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omments3.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codeName="ThisWorkbook" defaultThemeVersion="124226"/>
  <mc:AlternateContent xmlns:mc="http://schemas.openxmlformats.org/markup-compatibility/2006">
    <mc:Choice Requires="x15">
      <x15ac:absPath xmlns:x15ac="http://schemas.microsoft.com/office/spreadsheetml/2010/11/ac" url="C:\Users\Lilian\Documents\GitHub\Satysfactory-Boombox\boombox satis\Carte Gestion Alim\Simu\"/>
    </mc:Choice>
  </mc:AlternateContent>
  <xr:revisionPtr revIDLastSave="0" documentId="8_{F88523E3-ABDA-4125-8ED3-8D9D147151D0}" xr6:coauthVersionLast="47" xr6:coauthVersionMax="47" xr10:uidLastSave="{00000000-0000-0000-0000-000000000000}"/>
  <workbookProtection workbookAlgorithmName="SHA-512" workbookHashValue="AxlkDxsJJU5i4rgoj/ab9IPP+QOGJiN6gtEzSgpkXrf0b1FCoCMeNXh9kaxYMJOCU2yuNl6dvMkL//ziTU8Qhg==" workbookSaltValue="Hs+tbZUZ8dK1Y+/Uf/mTWQ==" workbookSpinCount="100000" lockStructure="1"/>
  <bookViews>
    <workbookView xWindow="-120" yWindow="-120" windowWidth="29040" windowHeight="15720" xr2:uid="{00000000-000D-0000-FFFF-FFFF00000000}"/>
  </bookViews>
  <sheets>
    <sheet name="LM5122_Quickstart" sheetId="2" r:id="rId1"/>
    <sheet name="Licenses" sheetId="7" r:id="rId2"/>
    <sheet name="Eff_vs_IOUT" sheetId="6" state="hidden" r:id="rId3"/>
    <sheet name="Eff_vs_VIN" sheetId="8" state="hidden" r:id="rId4"/>
    <sheet name="Plot Management" sheetId="9" state="hidden" r:id="rId5"/>
    <sheet name="Calculations" sheetId="3" state="hidden" r:id="rId6"/>
    <sheet name="EC_Table" sheetId="1" state="hidden" r:id="rId7"/>
    <sheet name="Control_Loop_Tables" sheetId="5" state="hidden" r:id="rId8"/>
    <sheet name="Tables_VS_VIN" sheetId="4" state="hidden" r:id="rId9"/>
  </sheets>
  <externalReferences>
    <externalReference r:id="rId10"/>
  </externalReferences>
  <definedNames>
    <definedName name="ACS">Calculations!$B$84</definedName>
    <definedName name="adc">Control_Loop_Tables!$B$35</definedName>
    <definedName name="adc_ea">Control_Loop_Tables!$B$59</definedName>
    <definedName name="ADC_VINmin">Calculations!$B$136</definedName>
    <definedName name="arCss">Calculations!$B$183</definedName>
    <definedName name="aRUV_lower">Calculations!$B$191</definedName>
    <definedName name="aRUV_upper">Calculations!$B$190</definedName>
    <definedName name="aRUV_upper_SEL">Calculations!$B$192</definedName>
    <definedName name="aTSSmax">Calculations!$B$184</definedName>
    <definedName name="Ccomp">Calculations!$B$170</definedName>
    <definedName name="Ccomp_S">Calculations!$B$179</definedName>
    <definedName name="CHF">Calculations!$B$171</definedName>
    <definedName name="CHF_S">Calculations!$B$180</definedName>
    <definedName name="COUT">Calculations!$B$115</definedName>
    <definedName name="DC_VIN_var_DCM">Control_Loop_Tables!$B$65</definedName>
    <definedName name="EFF_est">Calculations!$B$8</definedName>
    <definedName name="EFF_IOUT">'Plot Management'!$B$3</definedName>
    <definedName name="Eff_Plot_image">INDIRECT('Plot Management'!$A$1)</definedName>
    <definedName name="EFF_VIN">'Plot Management'!$B$5</definedName>
    <definedName name="eta">Calculations!$B$7</definedName>
    <definedName name="Fco_calc">Calculations!$B$167</definedName>
    <definedName name="Fcross">Calculations!$B$168</definedName>
    <definedName name="fp_lf_VINmin">Calculations!$B$139</definedName>
    <definedName name="fsw">Calculations!$B$6</definedName>
    <definedName name="fz_esr_VINmin">Calculations!$B$142</definedName>
    <definedName name="fz_rhp_VINmin">Calculations!$B$145</definedName>
    <definedName name="Gcomp">Control_Loop_Tables!$B$28</definedName>
    <definedName name="gfs">Calculations!$B$209</definedName>
    <definedName name="Graph_Text">Calculations!$B$21</definedName>
    <definedName name="IHYS">Calculations!$G$184</definedName>
    <definedName name="IHYSmin">Calculations!$G$186</definedName>
    <definedName name="IOUT">Calculations!$B$10</definedName>
    <definedName name="IOUT_np">Calculations!$B$12</definedName>
    <definedName name="IOUT_vari">Control_Loop_Tables!$B$15</definedName>
    <definedName name="IQ">EC_Table!$D$6</definedName>
    <definedName name="Isl">Control_Loop_Tables!$B$26</definedName>
    <definedName name="ISS">Calculations!$G$183</definedName>
    <definedName name="k_slope_selected">Calculations!$B$98</definedName>
    <definedName name="Kd">Control_Loop_Tables!$B$33</definedName>
    <definedName name="Kd_VINmin">Calculations!$B$132</definedName>
    <definedName name="kex">Control_Loop_Tables!$B$31</definedName>
    <definedName name="Kex_VINmin">Calculations!$B$130</definedName>
    <definedName name="km">Control_Loop_Tables!$B$32</definedName>
    <definedName name="Km_VINmin">Calculations!$B$131</definedName>
    <definedName name="Lm">Calculations!$B$42</definedName>
    <definedName name="LO">Calculations!$B$187</definedName>
    <definedName name="M_LIMIT">Calculations!$B$82</definedName>
    <definedName name="np">Calculations!$B$11</definedName>
    <definedName name="pTSSmin">Calculations!$B$182</definedName>
    <definedName name="Q">Control_Loop_Tables!$B$49</definedName>
    <definedName name="Q_VINmin">Calculations!$B$153</definedName>
    <definedName name="Qg_tot">Calculations!$B$204</definedName>
    <definedName name="Qg_tot_HS">Calculations!$B$221</definedName>
    <definedName name="Qgd">Calculations!$B$205</definedName>
    <definedName name="Qgs">Calculations!$B$206</definedName>
    <definedName name="Qrr">Calculations!$B$229</definedName>
    <definedName name="R_RT">Calculations!$B$24</definedName>
    <definedName name="R_sl">Control_Loop_Tables!$B$24</definedName>
    <definedName name="Rcomp">Calculations!$B$169</definedName>
    <definedName name="Rcomp_S">Calculations!$B$178</definedName>
    <definedName name="Rcs">Calculations!$B$87</definedName>
    <definedName name="rCss">Calculations!$C$183</definedName>
    <definedName name="Rdcr">Calculations!$B$43</definedName>
    <definedName name="RDS_on">Calculations!$B$203</definedName>
    <definedName name="RDS_on_HS">Calculations!$B$220</definedName>
    <definedName name="RESR">Calculations!$B$117</definedName>
    <definedName name="RFB_BOT">Calculations!$B$161</definedName>
    <definedName name="RFB_BOT_S">Calculations!$B$162</definedName>
    <definedName name="RFB_TOP">Calculations!$B$160</definedName>
    <definedName name="RFBB">Control_Loop_Tables!$B$54</definedName>
    <definedName name="RFBT">Control_Loop_Tables!$B$53</definedName>
    <definedName name="Rgate">Calculations!$B$207</definedName>
    <definedName name="RHP_freq">Calculations!$B$122</definedName>
    <definedName name="RR">Calculations!$B$40</definedName>
    <definedName name="Rsl_int">Control_Loop_Tables!$B$25</definedName>
    <definedName name="Rslope">Calculations!$B$101</definedName>
    <definedName name="RUV_lower">Calculations!$C$191</definedName>
    <definedName name="RUV_upper">Calculations!$C$190</definedName>
    <definedName name="RUV_upper_SEL">Calculations!$C$192</definedName>
    <definedName name="Se">Control_Loop_Tables!$B$47</definedName>
    <definedName name="Se_VINmin">Calculations!$B$149</definedName>
    <definedName name="Sn">Control_Loop_Tables!$B$46</definedName>
    <definedName name="Sn_VINmin">Calculations!$B$150</definedName>
    <definedName name="t_dead">EC_Table!$D$114</definedName>
    <definedName name="tf_sw">Calculations!$B$216</definedName>
    <definedName name="tr_sw">Calculations!$B$215</definedName>
    <definedName name="TSSmax">Calculations!$C$184</definedName>
    <definedName name="TSSmin">Calculations!$C$182</definedName>
    <definedName name="UVLO_OFF">Calculations!$B$188</definedName>
    <definedName name="UVLO_ON">Calculations!$B$187</definedName>
    <definedName name="UVth">Calculations!$G$185</definedName>
    <definedName name="Uvthmin">Calculations!$G$187</definedName>
    <definedName name="VCC">Calculations!$B$14</definedName>
    <definedName name="VCL">Calculations!$B$85</definedName>
    <definedName name="Vd_rect">Calculations!$B$230</definedName>
    <definedName name="VHYS">Calculations!$B$189</definedName>
    <definedName name="VIN_MAX">Calculations!$B$5</definedName>
    <definedName name="VIN_MIN">Calculations!$B$3</definedName>
    <definedName name="VIN_TYP">Calculations!$B$4</definedName>
    <definedName name="Vin_vari">LM5122_Quickstart!$I$82</definedName>
    <definedName name="VINSHUTDOWN">Calculations!$B$194</definedName>
    <definedName name="VINSTARTUP">Calculations!$B$187</definedName>
    <definedName name="VOUT">Calculations!$B$9</definedName>
    <definedName name="VOUT_VAR">Control_Loop_Tables!$B$17</definedName>
    <definedName name="VREF">EC_Table!$D$32</definedName>
    <definedName name="Vsl">Control_Loop_Tables!$B$27</definedName>
    <definedName name="Vslo">Control_Loop_Tables!$B$27</definedName>
    <definedName name="vth">Calculations!$B$210</definedName>
    <definedName name="w_p_low">Calculations!$B$125</definedName>
    <definedName name="w_RHP">Calculations!$B$121</definedName>
    <definedName name="w_Z_ESR">Calculations!$B$123</definedName>
    <definedName name="wp_lf">Control_Loop_Tables!$B$36</definedName>
    <definedName name="wp_lf_DCM">Control_Loop_Tables!$B$68</definedName>
    <definedName name="wp_lf_VINmin">Calculations!$B$138</definedName>
    <definedName name="wp0_ea">Control_Loop_Tables!$B$61</definedName>
    <definedName name="wp1_ea">Control_Loop_Tables!$B$62</definedName>
    <definedName name="wsl">Control_Loop_Tables!$B$48</definedName>
    <definedName name="wsl_VINmin">Calculations!$B$152</definedName>
    <definedName name="wz_ea">Control_Loop_Tables!$B$60</definedName>
    <definedName name="wz_esr">Control_Loop_Tables!$B$42</definedName>
    <definedName name="wz_esr_VINmin">Calculations!$B$141</definedName>
    <definedName name="wz_rhp">Control_Loop_Tables!$B$39</definedName>
    <definedName name="wz_RHP_VINmin">Calculations!$B$144</definedName>
    <definedName name="wz1_dcm">Control_Loop_Tables!$B$70</definedName>
    <definedName name="wz2_dcm">Control_Loop_Tables!$B$72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9" l="1"/>
  <c r="C21" i="3"/>
  <c r="B162" i="3" l="1"/>
  <c r="B192" i="3" l="1"/>
  <c r="B188" i="3"/>
  <c r="B187" i="3"/>
  <c r="C115" i="1"/>
  <c r="C114" i="1"/>
  <c r="E115" i="1"/>
  <c r="E114" i="1"/>
  <c r="D115" i="1"/>
  <c r="D114" i="1"/>
  <c r="B230" i="3"/>
  <c r="B229" i="3"/>
  <c r="B227" i="3"/>
  <c r="B224" i="3"/>
  <c r="B223" i="3"/>
  <c r="B222" i="3"/>
  <c r="B221" i="3"/>
  <c r="B220" i="3"/>
  <c r="B203" i="3"/>
  <c r="B206" i="3"/>
  <c r="B205" i="3"/>
  <c r="B204" i="3"/>
  <c r="B207" i="3"/>
  <c r="B210" i="3"/>
  <c r="N19" i="5" l="1"/>
  <c r="N560" i="5"/>
  <c r="N559" i="5"/>
  <c r="N558" i="5"/>
  <c r="N557" i="5"/>
  <c r="N556" i="5"/>
  <c r="N555" i="5"/>
  <c r="N554" i="5"/>
  <c r="N553" i="5"/>
  <c r="N552" i="5"/>
  <c r="N551" i="5"/>
  <c r="N550" i="5"/>
  <c r="N549" i="5"/>
  <c r="N548" i="5"/>
  <c r="N547" i="5"/>
  <c r="N546" i="5"/>
  <c r="N545" i="5"/>
  <c r="N544" i="5"/>
  <c r="N543" i="5"/>
  <c r="N542" i="5"/>
  <c r="N541" i="5"/>
  <c r="N540" i="5"/>
  <c r="N539" i="5"/>
  <c r="N538" i="5"/>
  <c r="N537" i="5"/>
  <c r="N536" i="5"/>
  <c r="N535" i="5"/>
  <c r="N534" i="5"/>
  <c r="N533" i="5"/>
  <c r="N532" i="5"/>
  <c r="N531" i="5"/>
  <c r="N530" i="5"/>
  <c r="N529" i="5"/>
  <c r="N528" i="5"/>
  <c r="N527" i="5"/>
  <c r="N526" i="5"/>
  <c r="N525" i="5"/>
  <c r="N524" i="5"/>
  <c r="N523" i="5"/>
  <c r="N522" i="5"/>
  <c r="N521" i="5"/>
  <c r="N520" i="5"/>
  <c r="N519" i="5"/>
  <c r="N518" i="5"/>
  <c r="N517" i="5"/>
  <c r="N516" i="5"/>
  <c r="N515" i="5"/>
  <c r="N514" i="5"/>
  <c r="N513" i="5"/>
  <c r="N512" i="5"/>
  <c r="N511" i="5"/>
  <c r="N510" i="5"/>
  <c r="N509" i="5"/>
  <c r="N508" i="5"/>
  <c r="N507" i="5"/>
  <c r="N506" i="5"/>
  <c r="N505" i="5"/>
  <c r="N504" i="5"/>
  <c r="N503" i="5"/>
  <c r="N502" i="5"/>
  <c r="N501" i="5"/>
  <c r="N500" i="5"/>
  <c r="N499" i="5"/>
  <c r="N498" i="5"/>
  <c r="N497" i="5"/>
  <c r="N496" i="5"/>
  <c r="N495" i="5"/>
  <c r="N494" i="5"/>
  <c r="N493" i="5"/>
  <c r="N492" i="5"/>
  <c r="N491" i="5"/>
  <c r="N490" i="5"/>
  <c r="N489" i="5"/>
  <c r="N488" i="5"/>
  <c r="N487" i="5"/>
  <c r="N486" i="5"/>
  <c r="N485" i="5"/>
  <c r="N484" i="5"/>
  <c r="N483" i="5"/>
  <c r="N482" i="5"/>
  <c r="N481" i="5"/>
  <c r="N480" i="5"/>
  <c r="N479" i="5"/>
  <c r="N478" i="5"/>
  <c r="N477" i="5"/>
  <c r="N476" i="5"/>
  <c r="N475" i="5"/>
  <c r="N474" i="5"/>
  <c r="N473" i="5"/>
  <c r="N472" i="5"/>
  <c r="N471" i="5"/>
  <c r="N470" i="5"/>
  <c r="N469" i="5"/>
  <c r="N468" i="5"/>
  <c r="N467" i="5"/>
  <c r="N466" i="5"/>
  <c r="N465" i="5"/>
  <c r="N464" i="5"/>
  <c r="N463" i="5"/>
  <c r="N462" i="5"/>
  <c r="N461" i="5"/>
  <c r="N460" i="5"/>
  <c r="N459" i="5"/>
  <c r="N458" i="5"/>
  <c r="N457" i="5"/>
  <c r="N456" i="5"/>
  <c r="N455" i="5"/>
  <c r="N454" i="5"/>
  <c r="N453" i="5"/>
  <c r="N452" i="5"/>
  <c r="N451" i="5"/>
  <c r="N450" i="5"/>
  <c r="N449" i="5"/>
  <c r="N448" i="5"/>
  <c r="N447" i="5"/>
  <c r="N446" i="5"/>
  <c r="N445" i="5"/>
  <c r="N444" i="5"/>
  <c r="N443" i="5"/>
  <c r="N442" i="5"/>
  <c r="N441" i="5"/>
  <c r="N440" i="5"/>
  <c r="N439" i="5"/>
  <c r="N438" i="5"/>
  <c r="N437" i="5"/>
  <c r="N436" i="5"/>
  <c r="N435" i="5"/>
  <c r="N434" i="5"/>
  <c r="N433" i="5"/>
  <c r="N432" i="5"/>
  <c r="N431" i="5"/>
  <c r="N430" i="5"/>
  <c r="N429" i="5"/>
  <c r="N428" i="5"/>
  <c r="N427" i="5"/>
  <c r="N426" i="5"/>
  <c r="N425" i="5"/>
  <c r="N424" i="5"/>
  <c r="N423" i="5"/>
  <c r="N422" i="5"/>
  <c r="N421" i="5"/>
  <c r="N420" i="5"/>
  <c r="N419" i="5"/>
  <c r="N418" i="5"/>
  <c r="N417" i="5"/>
  <c r="N416" i="5"/>
  <c r="N415" i="5"/>
  <c r="N414" i="5"/>
  <c r="N413" i="5"/>
  <c r="N412" i="5"/>
  <c r="N411" i="5"/>
  <c r="N410" i="5"/>
  <c r="N409" i="5"/>
  <c r="N408" i="5"/>
  <c r="N407" i="5"/>
  <c r="N406" i="5"/>
  <c r="N405" i="5"/>
  <c r="N404" i="5"/>
  <c r="N403" i="5"/>
  <c r="N402" i="5"/>
  <c r="N401" i="5"/>
  <c r="N400" i="5"/>
  <c r="N399" i="5"/>
  <c r="N398" i="5"/>
  <c r="N397" i="5"/>
  <c r="N396" i="5"/>
  <c r="N395" i="5"/>
  <c r="N394" i="5"/>
  <c r="N393" i="5"/>
  <c r="N392" i="5"/>
  <c r="N391" i="5"/>
  <c r="N390" i="5"/>
  <c r="N389" i="5"/>
  <c r="N388" i="5"/>
  <c r="N387" i="5"/>
  <c r="N386" i="5"/>
  <c r="N385" i="5"/>
  <c r="N384" i="5"/>
  <c r="N383" i="5"/>
  <c r="N382" i="5"/>
  <c r="N381" i="5"/>
  <c r="N380" i="5"/>
  <c r="N379" i="5"/>
  <c r="N378" i="5"/>
  <c r="N377" i="5"/>
  <c r="N376" i="5"/>
  <c r="N375" i="5"/>
  <c r="N374" i="5"/>
  <c r="N373" i="5"/>
  <c r="N372" i="5"/>
  <c r="N371" i="5"/>
  <c r="N370" i="5"/>
  <c r="N369" i="5"/>
  <c r="N368" i="5"/>
  <c r="N367" i="5"/>
  <c r="N366" i="5"/>
  <c r="N365" i="5"/>
  <c r="N364" i="5"/>
  <c r="N363" i="5"/>
  <c r="N362" i="5"/>
  <c r="N361" i="5"/>
  <c r="N360" i="5"/>
  <c r="N359" i="5"/>
  <c r="N358" i="5"/>
  <c r="N357" i="5"/>
  <c r="N356" i="5"/>
  <c r="N355" i="5"/>
  <c r="N354" i="5"/>
  <c r="N353" i="5"/>
  <c r="N352" i="5"/>
  <c r="N351" i="5"/>
  <c r="N350" i="5"/>
  <c r="N349" i="5"/>
  <c r="N348" i="5"/>
  <c r="N347" i="5"/>
  <c r="N346" i="5"/>
  <c r="N345" i="5"/>
  <c r="N344" i="5"/>
  <c r="N343" i="5"/>
  <c r="N342" i="5"/>
  <c r="N341" i="5"/>
  <c r="N340" i="5"/>
  <c r="N339" i="5"/>
  <c r="N338" i="5"/>
  <c r="N337" i="5"/>
  <c r="N336" i="5"/>
  <c r="N335" i="5"/>
  <c r="N334" i="5"/>
  <c r="N333" i="5"/>
  <c r="N332" i="5"/>
  <c r="N331" i="5"/>
  <c r="N330" i="5"/>
  <c r="N329" i="5"/>
  <c r="N328" i="5"/>
  <c r="N327" i="5"/>
  <c r="N326" i="5"/>
  <c r="N325" i="5"/>
  <c r="N324" i="5"/>
  <c r="N323" i="5"/>
  <c r="N322" i="5"/>
  <c r="N321" i="5"/>
  <c r="N320" i="5"/>
  <c r="N319" i="5"/>
  <c r="N318" i="5"/>
  <c r="N317" i="5"/>
  <c r="N316" i="5"/>
  <c r="N315" i="5"/>
  <c r="N314" i="5"/>
  <c r="N313" i="5"/>
  <c r="N312" i="5"/>
  <c r="N311" i="5"/>
  <c r="N310" i="5"/>
  <c r="N309" i="5"/>
  <c r="N308" i="5"/>
  <c r="N307" i="5"/>
  <c r="N306" i="5"/>
  <c r="N305" i="5"/>
  <c r="N304" i="5"/>
  <c r="N303" i="5"/>
  <c r="N302" i="5"/>
  <c r="N301" i="5"/>
  <c r="N300" i="5"/>
  <c r="N299" i="5"/>
  <c r="N298" i="5"/>
  <c r="N297" i="5"/>
  <c r="N296" i="5"/>
  <c r="N295" i="5"/>
  <c r="N294" i="5"/>
  <c r="N293" i="5"/>
  <c r="N292" i="5"/>
  <c r="N291" i="5"/>
  <c r="N290" i="5"/>
  <c r="N289" i="5"/>
  <c r="N288" i="5"/>
  <c r="N287" i="5"/>
  <c r="N286" i="5"/>
  <c r="N285" i="5"/>
  <c r="N284" i="5"/>
  <c r="N283" i="5"/>
  <c r="N282" i="5"/>
  <c r="N281" i="5"/>
  <c r="N280" i="5"/>
  <c r="N279" i="5"/>
  <c r="N278" i="5"/>
  <c r="N277" i="5"/>
  <c r="N276" i="5"/>
  <c r="N275" i="5"/>
  <c r="N274" i="5"/>
  <c r="N273" i="5"/>
  <c r="N272" i="5"/>
  <c r="N271" i="5"/>
  <c r="N270" i="5"/>
  <c r="N269" i="5"/>
  <c r="N268" i="5"/>
  <c r="N267" i="5"/>
  <c r="N266" i="5"/>
  <c r="N265" i="5"/>
  <c r="N264" i="5"/>
  <c r="N263" i="5"/>
  <c r="N262" i="5"/>
  <c r="N261" i="5"/>
  <c r="N260" i="5"/>
  <c r="N259" i="5"/>
  <c r="N258" i="5"/>
  <c r="N257" i="5"/>
  <c r="N256" i="5"/>
  <c r="N255" i="5"/>
  <c r="N254" i="5"/>
  <c r="N253" i="5"/>
  <c r="N252" i="5"/>
  <c r="N251" i="5"/>
  <c r="N250" i="5"/>
  <c r="N249" i="5"/>
  <c r="N248" i="5"/>
  <c r="N247" i="5"/>
  <c r="N246" i="5"/>
  <c r="N245" i="5"/>
  <c r="N244" i="5"/>
  <c r="N243" i="5"/>
  <c r="N242" i="5"/>
  <c r="N241" i="5"/>
  <c r="N240" i="5"/>
  <c r="N239" i="5"/>
  <c r="N238" i="5"/>
  <c r="N237" i="5"/>
  <c r="N236" i="5"/>
  <c r="N235" i="5"/>
  <c r="N234" i="5"/>
  <c r="N233" i="5"/>
  <c r="N232" i="5"/>
  <c r="N231" i="5"/>
  <c r="N230" i="5"/>
  <c r="N229" i="5"/>
  <c r="N228" i="5"/>
  <c r="N227" i="5"/>
  <c r="N226" i="5"/>
  <c r="N225" i="5"/>
  <c r="N224" i="5"/>
  <c r="N223" i="5"/>
  <c r="N222" i="5"/>
  <c r="N221" i="5"/>
  <c r="N220" i="5"/>
  <c r="N219" i="5"/>
  <c r="N218" i="5"/>
  <c r="N217" i="5"/>
  <c r="N216" i="5"/>
  <c r="N215" i="5"/>
  <c r="N214" i="5"/>
  <c r="N213" i="5"/>
  <c r="N212" i="5"/>
  <c r="N211" i="5"/>
  <c r="N210" i="5"/>
  <c r="N209" i="5"/>
  <c r="N208" i="5"/>
  <c r="N207" i="5"/>
  <c r="N206" i="5"/>
  <c r="N205" i="5"/>
  <c r="N204" i="5"/>
  <c r="N203" i="5"/>
  <c r="N202" i="5"/>
  <c r="N201" i="5"/>
  <c r="N200" i="5"/>
  <c r="N199" i="5"/>
  <c r="N198" i="5"/>
  <c r="N197" i="5"/>
  <c r="N196" i="5"/>
  <c r="N195" i="5"/>
  <c r="N194" i="5"/>
  <c r="N193" i="5"/>
  <c r="N192" i="5"/>
  <c r="N191" i="5"/>
  <c r="N190" i="5"/>
  <c r="N189" i="5"/>
  <c r="N188" i="5"/>
  <c r="N187" i="5"/>
  <c r="N186" i="5"/>
  <c r="N185" i="5"/>
  <c r="N184" i="5"/>
  <c r="N183" i="5"/>
  <c r="N182" i="5"/>
  <c r="N181" i="5"/>
  <c r="N180" i="5"/>
  <c r="N179" i="5"/>
  <c r="N178" i="5"/>
  <c r="N177" i="5"/>
  <c r="N176" i="5"/>
  <c r="N175" i="5"/>
  <c r="N174" i="5"/>
  <c r="N173" i="5"/>
  <c r="N172" i="5"/>
  <c r="N171" i="5"/>
  <c r="N170" i="5"/>
  <c r="N169" i="5"/>
  <c r="N168" i="5"/>
  <c r="N167" i="5"/>
  <c r="N166" i="5"/>
  <c r="N165" i="5"/>
  <c r="N164" i="5"/>
  <c r="N163" i="5"/>
  <c r="N162" i="5"/>
  <c r="N161" i="5"/>
  <c r="N160" i="5"/>
  <c r="N159" i="5"/>
  <c r="N158" i="5"/>
  <c r="N157" i="5"/>
  <c r="N156" i="5"/>
  <c r="N155" i="5"/>
  <c r="N154" i="5"/>
  <c r="N153" i="5"/>
  <c r="N152" i="5"/>
  <c r="N151" i="5"/>
  <c r="N150" i="5"/>
  <c r="N149" i="5"/>
  <c r="N148" i="5"/>
  <c r="N147" i="5"/>
  <c r="N146" i="5"/>
  <c r="N145" i="5"/>
  <c r="N144" i="5"/>
  <c r="N143" i="5"/>
  <c r="N142" i="5"/>
  <c r="N141" i="5"/>
  <c r="N140" i="5"/>
  <c r="N139" i="5"/>
  <c r="N138" i="5"/>
  <c r="N137" i="5"/>
  <c r="N136" i="5"/>
  <c r="N135" i="5"/>
  <c r="N134" i="5"/>
  <c r="N133" i="5"/>
  <c r="N132" i="5"/>
  <c r="N131" i="5"/>
  <c r="N130" i="5"/>
  <c r="N129" i="5"/>
  <c r="N128" i="5"/>
  <c r="N127" i="5"/>
  <c r="N126" i="5"/>
  <c r="N125" i="5"/>
  <c r="N124" i="5"/>
  <c r="N123" i="5"/>
  <c r="N122" i="5"/>
  <c r="N121" i="5"/>
  <c r="N120" i="5"/>
  <c r="N119" i="5"/>
  <c r="N118" i="5"/>
  <c r="N117" i="5"/>
  <c r="N116" i="5"/>
  <c r="N115" i="5"/>
  <c r="N114" i="5"/>
  <c r="N113" i="5"/>
  <c r="N112" i="5"/>
  <c r="N111" i="5"/>
  <c r="N110" i="5"/>
  <c r="N109" i="5"/>
  <c r="N108" i="5"/>
  <c r="N107" i="5"/>
  <c r="N106" i="5"/>
  <c r="N105" i="5"/>
  <c r="N104" i="5"/>
  <c r="N103" i="5"/>
  <c r="N102" i="5"/>
  <c r="N101" i="5"/>
  <c r="N100" i="5"/>
  <c r="N99" i="5"/>
  <c r="N98" i="5"/>
  <c r="N97" i="5"/>
  <c r="N96" i="5"/>
  <c r="N95" i="5"/>
  <c r="N94" i="5"/>
  <c r="N93" i="5"/>
  <c r="N92" i="5"/>
  <c r="N91" i="5"/>
  <c r="N90" i="5"/>
  <c r="N89" i="5"/>
  <c r="N88" i="5"/>
  <c r="N87" i="5"/>
  <c r="N86" i="5"/>
  <c r="N85" i="5"/>
  <c r="N84" i="5"/>
  <c r="N83" i="5"/>
  <c r="N82" i="5"/>
  <c r="N81" i="5"/>
  <c r="N80" i="5"/>
  <c r="N79" i="5"/>
  <c r="N78" i="5"/>
  <c r="N77" i="5"/>
  <c r="N76" i="5"/>
  <c r="N75" i="5"/>
  <c r="N74" i="5"/>
  <c r="N73" i="5"/>
  <c r="N72" i="5"/>
  <c r="N71" i="5"/>
  <c r="N70" i="5"/>
  <c r="N69" i="5"/>
  <c r="N68" i="5"/>
  <c r="N67" i="5"/>
  <c r="N66" i="5"/>
  <c r="N65" i="5"/>
  <c r="N64" i="5"/>
  <c r="N63" i="5"/>
  <c r="N62" i="5"/>
  <c r="N61" i="5"/>
  <c r="N60" i="5"/>
  <c r="N59" i="5"/>
  <c r="N58" i="5"/>
  <c r="N57" i="5"/>
  <c r="N56" i="5"/>
  <c r="N55"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B17" i="3"/>
  <c r="K19" i="5" l="1"/>
  <c r="B182" i="3"/>
  <c r="C182" i="3" s="1"/>
  <c r="B111" i="3"/>
  <c r="B9" i="3"/>
  <c r="B10" i="3"/>
  <c r="S157" i="8" l="1"/>
  <c r="S149" i="8"/>
  <c r="S141" i="8"/>
  <c r="S133" i="8"/>
  <c r="S125" i="8"/>
  <c r="S117" i="8"/>
  <c r="S109" i="8"/>
  <c r="S101" i="8"/>
  <c r="S93" i="8"/>
  <c r="S85" i="8"/>
  <c r="S77" i="8"/>
  <c r="S69" i="8"/>
  <c r="S61" i="8"/>
  <c r="S53" i="8"/>
  <c r="S45" i="8"/>
  <c r="S37" i="8"/>
  <c r="S29" i="8"/>
  <c r="S21" i="8"/>
  <c r="S13" i="8"/>
  <c r="S152" i="8"/>
  <c r="S120" i="8"/>
  <c r="S96" i="8"/>
  <c r="S56" i="8"/>
  <c r="S156" i="8"/>
  <c r="S148" i="8"/>
  <c r="S140" i="8"/>
  <c r="S132" i="8"/>
  <c r="S124" i="8"/>
  <c r="S116" i="8"/>
  <c r="S108" i="8"/>
  <c r="S100" i="8"/>
  <c r="S92" i="8"/>
  <c r="S84" i="8"/>
  <c r="S76" i="8"/>
  <c r="S68" i="8"/>
  <c r="S60" i="8"/>
  <c r="S52" i="8"/>
  <c r="S44" i="8"/>
  <c r="S36" i="8"/>
  <c r="S28" i="8"/>
  <c r="S20" i="8"/>
  <c r="S12" i="8"/>
  <c r="S136" i="8"/>
  <c r="S80" i="8"/>
  <c r="S48" i="8"/>
  <c r="S155" i="8"/>
  <c r="S147" i="8"/>
  <c r="S139" i="8"/>
  <c r="S131" i="8"/>
  <c r="S123" i="8"/>
  <c r="S115" i="8"/>
  <c r="S107" i="8"/>
  <c r="S99" i="8"/>
  <c r="S91" i="8"/>
  <c r="S83" i="8"/>
  <c r="S75" i="8"/>
  <c r="S67" i="8"/>
  <c r="S59" i="8"/>
  <c r="S51" i="8"/>
  <c r="S43" i="8"/>
  <c r="S35" i="8"/>
  <c r="S27" i="8"/>
  <c r="S19" i="8"/>
  <c r="S11" i="8"/>
  <c r="S128" i="8"/>
  <c r="S72" i="8"/>
  <c r="S32" i="8"/>
  <c r="S154" i="8"/>
  <c r="S146" i="8"/>
  <c r="S138" i="8"/>
  <c r="S130" i="8"/>
  <c r="S122" i="8"/>
  <c r="S114" i="8"/>
  <c r="S106" i="8"/>
  <c r="S98" i="8"/>
  <c r="S90" i="8"/>
  <c r="S82" i="8"/>
  <c r="S74" i="8"/>
  <c r="S66" i="8"/>
  <c r="S58" i="8"/>
  <c r="S50" i="8"/>
  <c r="S42" i="8"/>
  <c r="S34" i="8"/>
  <c r="S26" i="8"/>
  <c r="S18" i="8"/>
  <c r="S10" i="8"/>
  <c r="S144" i="8"/>
  <c r="S112" i="8"/>
  <c r="S88" i="8"/>
  <c r="S64" i="8"/>
  <c r="S40" i="8"/>
  <c r="S153" i="8"/>
  <c r="S145" i="8"/>
  <c r="S137" i="8"/>
  <c r="S129" i="8"/>
  <c r="S121" i="8"/>
  <c r="S113" i="8"/>
  <c r="S105" i="8"/>
  <c r="S97" i="8"/>
  <c r="S89" i="8"/>
  <c r="S81" i="8"/>
  <c r="S73" i="8"/>
  <c r="S65" i="8"/>
  <c r="S57" i="8"/>
  <c r="S49" i="8"/>
  <c r="S41" i="8"/>
  <c r="S33" i="8"/>
  <c r="S25" i="8"/>
  <c r="S17" i="8"/>
  <c r="S9" i="8"/>
  <c r="S104" i="8"/>
  <c r="S151" i="8"/>
  <c r="S143" i="8"/>
  <c r="S135" i="8"/>
  <c r="S127" i="8"/>
  <c r="S119" i="8"/>
  <c r="S111" i="8"/>
  <c r="S103" i="8"/>
  <c r="S95" i="8"/>
  <c r="S87" i="8"/>
  <c r="S79" i="8"/>
  <c r="S71" i="8"/>
  <c r="S63" i="8"/>
  <c r="S55" i="8"/>
  <c r="S47" i="8"/>
  <c r="S39" i="8"/>
  <c r="S31" i="8"/>
  <c r="S23" i="8"/>
  <c r="S15" i="8"/>
  <c r="S118" i="8"/>
  <c r="S54" i="8"/>
  <c r="S8" i="8"/>
  <c r="S102" i="8"/>
  <c r="S16" i="8"/>
  <c r="S110" i="8"/>
  <c r="S46" i="8"/>
  <c r="S7" i="8"/>
  <c r="S30" i="8"/>
  <c r="S62" i="8"/>
  <c r="S38" i="8"/>
  <c r="S94" i="8"/>
  <c r="S70" i="8"/>
  <c r="S14" i="8"/>
  <c r="S150" i="8"/>
  <c r="S86" i="8"/>
  <c r="S24" i="8"/>
  <c r="S126" i="8"/>
  <c r="S142" i="8"/>
  <c r="S78" i="8"/>
  <c r="S22" i="8"/>
  <c r="S134" i="8"/>
  <c r="R14" i="8"/>
  <c r="R11" i="8"/>
  <c r="R157" i="8"/>
  <c r="R153" i="8"/>
  <c r="R149" i="8"/>
  <c r="AV149" i="8" s="1"/>
  <c r="R145" i="8"/>
  <c r="R141" i="8"/>
  <c r="R137" i="8"/>
  <c r="R133" i="8"/>
  <c r="R129" i="8"/>
  <c r="R125" i="8"/>
  <c r="AV125" i="8" s="1"/>
  <c r="R121" i="8"/>
  <c r="R117" i="8"/>
  <c r="AV117" i="8" s="1"/>
  <c r="R113" i="8"/>
  <c r="R109" i="8"/>
  <c r="R105" i="8"/>
  <c r="R101" i="8"/>
  <c r="AV101" i="8" s="1"/>
  <c r="R97" i="8"/>
  <c r="R93" i="8"/>
  <c r="R89" i="8"/>
  <c r="R85" i="8"/>
  <c r="R81" i="8"/>
  <c r="AV81" i="8" s="1"/>
  <c r="R77" i="8"/>
  <c r="R73" i="8"/>
  <c r="AV73" i="8" s="1"/>
  <c r="R69" i="8"/>
  <c r="R65" i="8"/>
  <c r="R61" i="8"/>
  <c r="AV61" i="8" s="1"/>
  <c r="R57" i="8"/>
  <c r="R53" i="8"/>
  <c r="AV53" i="8" s="1"/>
  <c r="R49" i="8"/>
  <c r="R45" i="8"/>
  <c r="R41" i="8"/>
  <c r="R37" i="8"/>
  <c r="AV37" i="8" s="1"/>
  <c r="R33" i="8"/>
  <c r="R29" i="8"/>
  <c r="R25" i="8"/>
  <c r="R21" i="8"/>
  <c r="AV21" i="8" s="1"/>
  <c r="R17" i="8"/>
  <c r="AV17" i="8" s="1"/>
  <c r="R13" i="8"/>
  <c r="R7" i="8"/>
  <c r="R156" i="8"/>
  <c r="AV156" i="8" s="1"/>
  <c r="R152" i="8"/>
  <c r="R148" i="8"/>
  <c r="R144" i="8"/>
  <c r="R140" i="8"/>
  <c r="AV140" i="8" s="1"/>
  <c r="R136" i="8"/>
  <c r="R132" i="8"/>
  <c r="R128" i="8"/>
  <c r="R124" i="8"/>
  <c r="R120" i="8"/>
  <c r="AV120" i="8" s="1"/>
  <c r="R116" i="8"/>
  <c r="AV116" i="8" s="1"/>
  <c r="R112" i="8"/>
  <c r="R108" i="8"/>
  <c r="AV108" i="8" s="1"/>
  <c r="R104" i="8"/>
  <c r="R100" i="8"/>
  <c r="R96" i="8"/>
  <c r="R92" i="8"/>
  <c r="R88" i="8"/>
  <c r="AV88" i="8" s="1"/>
  <c r="R84" i="8"/>
  <c r="R80" i="8"/>
  <c r="R76" i="8"/>
  <c r="R72" i="8"/>
  <c r="R68" i="8"/>
  <c r="R64" i="8"/>
  <c r="R60" i="8"/>
  <c r="R56" i="8"/>
  <c r="R52" i="8"/>
  <c r="AV52" i="8" s="1"/>
  <c r="R48" i="8"/>
  <c r="R44" i="8"/>
  <c r="AV44" i="8" s="1"/>
  <c r="R40" i="8"/>
  <c r="R36" i="8"/>
  <c r="R32" i="8"/>
  <c r="R28" i="8"/>
  <c r="AV28" i="8" s="1"/>
  <c r="R24" i="8"/>
  <c r="R20" i="8"/>
  <c r="R16" i="8"/>
  <c r="R10" i="8"/>
  <c r="AV10" i="8" s="1"/>
  <c r="R143" i="8"/>
  <c r="R127" i="8"/>
  <c r="R111" i="8"/>
  <c r="R95" i="8"/>
  <c r="R79" i="8"/>
  <c r="AV79" i="8" s="1"/>
  <c r="R63" i="8"/>
  <c r="R47" i="8"/>
  <c r="AV47" i="8" s="1"/>
  <c r="R31" i="8"/>
  <c r="R15" i="8"/>
  <c r="R126" i="8"/>
  <c r="R110" i="8"/>
  <c r="AV110" i="8" s="1"/>
  <c r="R94" i="8"/>
  <c r="AV94" i="8" s="1"/>
  <c r="R62" i="8"/>
  <c r="R46" i="8"/>
  <c r="R30" i="8"/>
  <c r="R155" i="8"/>
  <c r="R139" i="8"/>
  <c r="R123" i="8"/>
  <c r="R91" i="8"/>
  <c r="R75" i="8"/>
  <c r="AV75" i="8" s="1"/>
  <c r="R59" i="8"/>
  <c r="R27" i="8"/>
  <c r="AV27" i="8" s="1"/>
  <c r="R154" i="8"/>
  <c r="R106" i="8"/>
  <c r="AV106" i="8" s="1"/>
  <c r="R42" i="8"/>
  <c r="R23" i="8"/>
  <c r="R134" i="8"/>
  <c r="R38" i="8"/>
  <c r="R147" i="8"/>
  <c r="R83" i="8"/>
  <c r="R19" i="8"/>
  <c r="R146" i="8"/>
  <c r="R34" i="8"/>
  <c r="R142" i="8"/>
  <c r="R78" i="8"/>
  <c r="R12" i="8"/>
  <c r="AV12" i="8" s="1"/>
  <c r="R138" i="8"/>
  <c r="R122" i="8"/>
  <c r="R74" i="8"/>
  <c r="R58" i="8"/>
  <c r="R9" i="8"/>
  <c r="AV9" i="8" s="1"/>
  <c r="R86" i="8"/>
  <c r="R8" i="8"/>
  <c r="R67" i="8"/>
  <c r="R130" i="8"/>
  <c r="R66" i="8"/>
  <c r="R107" i="8"/>
  <c r="R43" i="8"/>
  <c r="AV43" i="8" s="1"/>
  <c r="R90" i="8"/>
  <c r="R26" i="8"/>
  <c r="R39" i="8"/>
  <c r="R102" i="8"/>
  <c r="AV102" i="8" s="1"/>
  <c r="R22" i="8"/>
  <c r="R115" i="8"/>
  <c r="R35" i="8"/>
  <c r="AV35" i="8" s="1"/>
  <c r="R98" i="8"/>
  <c r="R50" i="8"/>
  <c r="R151" i="8"/>
  <c r="R135" i="8"/>
  <c r="R119" i="8"/>
  <c r="R103" i="8"/>
  <c r="R87" i="8"/>
  <c r="R71" i="8"/>
  <c r="R55" i="8"/>
  <c r="AV55" i="8" s="1"/>
  <c r="R118" i="8"/>
  <c r="R54" i="8"/>
  <c r="R99" i="8"/>
  <c r="AV99" i="8" s="1"/>
  <c r="R114" i="8"/>
  <c r="AV114" i="8" s="1"/>
  <c r="R18" i="8"/>
  <c r="AV18" i="8" s="1"/>
  <c r="R150" i="8"/>
  <c r="R70" i="8"/>
  <c r="R131" i="8"/>
  <c r="R51" i="8"/>
  <c r="R82" i="8"/>
  <c r="R156" i="6"/>
  <c r="R134" i="6"/>
  <c r="R131" i="6"/>
  <c r="R123" i="6"/>
  <c r="R120" i="6"/>
  <c r="R153" i="6"/>
  <c r="R148" i="6"/>
  <c r="R142" i="6"/>
  <c r="R137" i="6"/>
  <c r="R128" i="6"/>
  <c r="R125" i="6"/>
  <c r="R111" i="6"/>
  <c r="R101" i="6"/>
  <c r="R84" i="6"/>
  <c r="R76" i="6"/>
  <c r="R56" i="6"/>
  <c r="R50" i="6"/>
  <c r="R45" i="6"/>
  <c r="R39" i="6"/>
  <c r="R34" i="6"/>
  <c r="R31" i="6"/>
  <c r="R15" i="6"/>
  <c r="R12" i="6"/>
  <c r="R136" i="6"/>
  <c r="R150" i="6"/>
  <c r="R145" i="6"/>
  <c r="R139" i="6"/>
  <c r="R119" i="6"/>
  <c r="R114" i="6"/>
  <c r="R109" i="6"/>
  <c r="R103" i="6"/>
  <c r="R98" i="6"/>
  <c r="R95" i="6"/>
  <c r="R92" i="6"/>
  <c r="R87" i="6"/>
  <c r="R67" i="6"/>
  <c r="R61" i="6"/>
  <c r="R53" i="6"/>
  <c r="R47" i="6"/>
  <c r="R28" i="6"/>
  <c r="R25" i="6"/>
  <c r="R20" i="6"/>
  <c r="R9" i="6"/>
  <c r="R155" i="6"/>
  <c r="R133" i="6"/>
  <c r="R127" i="6"/>
  <c r="R152" i="6"/>
  <c r="R143" i="6"/>
  <c r="R132" i="6"/>
  <c r="R118" i="6"/>
  <c r="R108" i="6"/>
  <c r="R97" i="6"/>
  <c r="R79" i="6"/>
  <c r="R75" i="6"/>
  <c r="R64" i="6"/>
  <c r="R57" i="6"/>
  <c r="R49" i="6"/>
  <c r="R42" i="6"/>
  <c r="R38" i="6"/>
  <c r="R35" i="6"/>
  <c r="R27" i="6"/>
  <c r="R24" i="6"/>
  <c r="R17" i="6"/>
  <c r="R46" i="6"/>
  <c r="R147" i="6"/>
  <c r="R141" i="6"/>
  <c r="R122" i="6"/>
  <c r="R104" i="6"/>
  <c r="R93" i="6"/>
  <c r="R89" i="6"/>
  <c r="R82" i="6"/>
  <c r="R78" i="6"/>
  <c r="R60" i="6"/>
  <c r="R41" i="6"/>
  <c r="R13" i="6"/>
  <c r="R40" i="6"/>
  <c r="R33" i="6"/>
  <c r="R22" i="6"/>
  <c r="R88" i="6"/>
  <c r="R62" i="6"/>
  <c r="R51" i="6"/>
  <c r="R151" i="6"/>
  <c r="R126" i="6"/>
  <c r="R117" i="6"/>
  <c r="R107" i="6"/>
  <c r="R100" i="6"/>
  <c r="R85" i="6"/>
  <c r="R74" i="6"/>
  <c r="R70" i="6"/>
  <c r="R63" i="6"/>
  <c r="R52" i="6"/>
  <c r="R23" i="6"/>
  <c r="R19" i="6"/>
  <c r="R37" i="6"/>
  <c r="R80" i="6"/>
  <c r="R29" i="6"/>
  <c r="R54" i="6"/>
  <c r="R14" i="6"/>
  <c r="R116" i="6"/>
  <c r="R110" i="6"/>
  <c r="R96" i="6"/>
  <c r="R81" i="6"/>
  <c r="R77" i="6"/>
  <c r="R69" i="6"/>
  <c r="R59" i="6"/>
  <c r="R55" i="6"/>
  <c r="R48" i="6"/>
  <c r="R44" i="6"/>
  <c r="R30" i="6"/>
  <c r="R26" i="6"/>
  <c r="R16" i="6"/>
  <c r="R11" i="6"/>
  <c r="R8" i="6"/>
  <c r="R154" i="6"/>
  <c r="R36" i="6"/>
  <c r="R68" i="6"/>
  <c r="R7" i="6"/>
  <c r="R146" i="6"/>
  <c r="R140" i="6"/>
  <c r="R135" i="6"/>
  <c r="R130" i="6"/>
  <c r="R121" i="6"/>
  <c r="R113" i="6"/>
  <c r="R106" i="6"/>
  <c r="R102" i="6"/>
  <c r="R99" i="6"/>
  <c r="R91" i="6"/>
  <c r="R73" i="6"/>
  <c r="R66" i="6"/>
  <c r="R124" i="6"/>
  <c r="R72" i="6"/>
  <c r="R58" i="6"/>
  <c r="R86" i="6"/>
  <c r="R149" i="6"/>
  <c r="R144" i="6"/>
  <c r="R115" i="6"/>
  <c r="R112" i="6"/>
  <c r="R105" i="6"/>
  <c r="R94" i="6"/>
  <c r="R83" i="6"/>
  <c r="R65" i="6"/>
  <c r="R43" i="6"/>
  <c r="R21" i="6"/>
  <c r="R18" i="6"/>
  <c r="R157" i="6"/>
  <c r="R138" i="6"/>
  <c r="R129" i="6"/>
  <c r="R90" i="6"/>
  <c r="R71" i="6"/>
  <c r="R32" i="6"/>
  <c r="R10" i="6"/>
  <c r="O12" i="6"/>
  <c r="B160" i="3"/>
  <c r="B168" i="3"/>
  <c r="N8" i="5" s="1"/>
  <c r="B177" i="3"/>
  <c r="B178" i="3"/>
  <c r="B179" i="3"/>
  <c r="B180" i="3"/>
  <c r="B84" i="3"/>
  <c r="AV14" i="8" l="1"/>
  <c r="AV91" i="8"/>
  <c r="AV95" i="8"/>
  <c r="AV39" i="8"/>
  <c r="AV74" i="8"/>
  <c r="AV22" i="8"/>
  <c r="AV92" i="8"/>
  <c r="AV70" i="8"/>
  <c r="AV78" i="8"/>
  <c r="AV67" i="8"/>
  <c r="AV146" i="8"/>
  <c r="AV76" i="8"/>
  <c r="AV155" i="8"/>
  <c r="AV85" i="8"/>
  <c r="AV134" i="8"/>
  <c r="AV111" i="8"/>
  <c r="AV48" i="8"/>
  <c r="AV96" i="8"/>
  <c r="AV137" i="8"/>
  <c r="AV82" i="8"/>
  <c r="AV103" i="8"/>
  <c r="AV138" i="8"/>
  <c r="AV145" i="8"/>
  <c r="K61" i="5"/>
  <c r="B62" i="5"/>
  <c r="B61" i="5"/>
  <c r="K59" i="5"/>
  <c r="AV135" i="8"/>
  <c r="AV64" i="8"/>
  <c r="AV41" i="8"/>
  <c r="AV105" i="8"/>
  <c r="AV123" i="8"/>
  <c r="AV118" i="8"/>
  <c r="AV42" i="8"/>
  <c r="AV72" i="8"/>
  <c r="AV71" i="8"/>
  <c r="AV30" i="8"/>
  <c r="AV59" i="8"/>
  <c r="AV24" i="8"/>
  <c r="AV16" i="8"/>
  <c r="AV32" i="8"/>
  <c r="AV128" i="8"/>
  <c r="AV7" i="8"/>
  <c r="AV50" i="8"/>
  <c r="AV131" i="8"/>
  <c r="AV98" i="8"/>
  <c r="AV20" i="8"/>
  <c r="AV84" i="8"/>
  <c r="AV148" i="8"/>
  <c r="AV29" i="8"/>
  <c r="AV93" i="8"/>
  <c r="AV86" i="8"/>
  <c r="AV15" i="8"/>
  <c r="AV143" i="8"/>
  <c r="AV49" i="8"/>
  <c r="AV113" i="8"/>
  <c r="AV157" i="8"/>
  <c r="AV69" i="8"/>
  <c r="AV54" i="8"/>
  <c r="AV26" i="8"/>
  <c r="AV142" i="8"/>
  <c r="AV126" i="8"/>
  <c r="AV127" i="8"/>
  <c r="AV68" i="8"/>
  <c r="AV132" i="8"/>
  <c r="AV13" i="8"/>
  <c r="AV77" i="8"/>
  <c r="AV141" i="8"/>
  <c r="AV119" i="8"/>
  <c r="AV38" i="8"/>
  <c r="AV60" i="8"/>
  <c r="AV124" i="8"/>
  <c r="AV133" i="8"/>
  <c r="AV8" i="8"/>
  <c r="AV51" i="8"/>
  <c r="AV90" i="8"/>
  <c r="AV34" i="8"/>
  <c r="AV40" i="8"/>
  <c r="AV136" i="8"/>
  <c r="AV63" i="8"/>
  <c r="AV107" i="8"/>
  <c r="AV154" i="8"/>
  <c r="AV80" i="8"/>
  <c r="AV25" i="8"/>
  <c r="AV89" i="8"/>
  <c r="AV153" i="8"/>
  <c r="AV115" i="8"/>
  <c r="AV62" i="8"/>
  <c r="AV152" i="8"/>
  <c r="AV33" i="8"/>
  <c r="AV97" i="8"/>
  <c r="AV36" i="8"/>
  <c r="AV100" i="8"/>
  <c r="AV45" i="8"/>
  <c r="AV109" i="8"/>
  <c r="AV104" i="8"/>
  <c r="AV31" i="8"/>
  <c r="AV19" i="8"/>
  <c r="AV144" i="8"/>
  <c r="AV66" i="8"/>
  <c r="AV83" i="8"/>
  <c r="AV130" i="8"/>
  <c r="AV147" i="8"/>
  <c r="AV56" i="8"/>
  <c r="AV65" i="8"/>
  <c r="AV151" i="8"/>
  <c r="AV23" i="8"/>
  <c r="AV139" i="8"/>
  <c r="AV58" i="8"/>
  <c r="AV112" i="8"/>
  <c r="AV57" i="8"/>
  <c r="AV121" i="8"/>
  <c r="AV150" i="8"/>
  <c r="AV87" i="8"/>
  <c r="AV122" i="8"/>
  <c r="AV46" i="8"/>
  <c r="AV129" i="8"/>
  <c r="AV11" i="8"/>
  <c r="N7" i="5"/>
  <c r="S32" i="6"/>
  <c r="S28" i="6"/>
  <c r="S20" i="6"/>
  <c r="S12" i="6"/>
  <c r="S10" i="6"/>
  <c r="S51" i="6"/>
  <c r="S11" i="6"/>
  <c r="S8" i="6"/>
  <c r="S151" i="6"/>
  <c r="S148" i="6"/>
  <c r="S140" i="6"/>
  <c r="S123" i="6"/>
  <c r="S108" i="6"/>
  <c r="S102" i="6"/>
  <c r="S116" i="6"/>
  <c r="S88" i="6"/>
  <c r="S92" i="6"/>
  <c r="S83" i="6"/>
  <c r="S85" i="6"/>
  <c r="S72" i="6"/>
  <c r="S37" i="6"/>
  <c r="S62" i="6"/>
  <c r="S50" i="6"/>
  <c r="S33" i="6"/>
  <c r="S29" i="6"/>
  <c r="S64" i="6"/>
  <c r="S9" i="6"/>
  <c r="S19" i="6"/>
  <c r="S150" i="6"/>
  <c r="S134" i="6"/>
  <c r="S133" i="6"/>
  <c r="S115" i="6"/>
  <c r="S100" i="6"/>
  <c r="S119" i="6"/>
  <c r="S112" i="6"/>
  <c r="S89" i="6"/>
  <c r="S84" i="6"/>
  <c r="S75" i="6"/>
  <c r="S81" i="6"/>
  <c r="S52" i="6"/>
  <c r="S60" i="6"/>
  <c r="S56" i="6"/>
  <c r="S42" i="6"/>
  <c r="S23" i="6"/>
  <c r="S26" i="6"/>
  <c r="S24" i="6"/>
  <c r="S146" i="6"/>
  <c r="S143" i="6"/>
  <c r="S110" i="6"/>
  <c r="S87" i="6"/>
  <c r="S66" i="6"/>
  <c r="S39" i="6"/>
  <c r="S154" i="6"/>
  <c r="S149" i="6"/>
  <c r="S130" i="6"/>
  <c r="S129" i="6"/>
  <c r="S125" i="6"/>
  <c r="S109" i="6"/>
  <c r="S111" i="6"/>
  <c r="S105" i="6"/>
  <c r="S97" i="6"/>
  <c r="S113" i="6"/>
  <c r="S67" i="6"/>
  <c r="S80" i="6"/>
  <c r="S44" i="6"/>
  <c r="S54" i="6"/>
  <c r="S48" i="6"/>
  <c r="S14" i="6"/>
  <c r="S144" i="6"/>
  <c r="S61" i="6"/>
  <c r="S18" i="6"/>
  <c r="S34" i="6"/>
  <c r="S155" i="6"/>
  <c r="S141" i="6"/>
  <c r="S145" i="6"/>
  <c r="S121" i="6"/>
  <c r="S117" i="6"/>
  <c r="S101" i="6"/>
  <c r="S103" i="6"/>
  <c r="S94" i="6"/>
  <c r="S90" i="6"/>
  <c r="S98" i="6"/>
  <c r="S76" i="6"/>
  <c r="S70" i="6"/>
  <c r="S36" i="6"/>
  <c r="S46" i="6"/>
  <c r="S40" i="6"/>
  <c r="S35" i="6"/>
  <c r="S31" i="6"/>
  <c r="S43" i="6"/>
  <c r="S25" i="6"/>
  <c r="S147" i="6"/>
  <c r="S137" i="6"/>
  <c r="S138" i="6"/>
  <c r="S135" i="6"/>
  <c r="S126" i="6"/>
  <c r="S131" i="6"/>
  <c r="S128" i="6"/>
  <c r="S86" i="6"/>
  <c r="S82" i="6"/>
  <c r="S73" i="6"/>
  <c r="S68" i="6"/>
  <c r="S79" i="6"/>
  <c r="S59" i="6"/>
  <c r="S38" i="6"/>
  <c r="S57" i="6"/>
  <c r="S15" i="6"/>
  <c r="S13" i="6"/>
  <c r="S7" i="6"/>
  <c r="S142" i="6"/>
  <c r="S91" i="6"/>
  <c r="S16" i="6"/>
  <c r="S139" i="6"/>
  <c r="S153" i="6"/>
  <c r="S132" i="6"/>
  <c r="S122" i="6"/>
  <c r="S136" i="6"/>
  <c r="S127" i="6"/>
  <c r="S104" i="6"/>
  <c r="S78" i="6"/>
  <c r="S106" i="6"/>
  <c r="S65" i="6"/>
  <c r="S93" i="6"/>
  <c r="S77" i="6"/>
  <c r="S58" i="6"/>
  <c r="S55" i="6"/>
  <c r="S49" i="6"/>
  <c r="S22" i="6"/>
  <c r="S120" i="6"/>
  <c r="S63" i="6"/>
  <c r="S30" i="6"/>
  <c r="S27" i="6"/>
  <c r="S17" i="6"/>
  <c r="S156" i="6"/>
  <c r="S152" i="6"/>
  <c r="S157" i="6"/>
  <c r="S114" i="6"/>
  <c r="S107" i="6"/>
  <c r="S118" i="6"/>
  <c r="S124" i="6"/>
  <c r="S96" i="6"/>
  <c r="S95" i="6"/>
  <c r="S74" i="6"/>
  <c r="S69" i="6"/>
  <c r="S71" i="6"/>
  <c r="S53" i="6"/>
  <c r="S47" i="6"/>
  <c r="S41" i="6"/>
  <c r="S21" i="6"/>
  <c r="S99" i="6"/>
  <c r="S45" i="6"/>
  <c r="B53" i="5"/>
  <c r="B59" i="5" s="1"/>
  <c r="B163" i="3"/>
  <c r="B164" i="3" s="1"/>
  <c r="AS25" i="5" l="1"/>
  <c r="AS33" i="5"/>
  <c r="AS41" i="5"/>
  <c r="AS49" i="5"/>
  <c r="AS57" i="5"/>
  <c r="AS65" i="5"/>
  <c r="AS26" i="5"/>
  <c r="AS34" i="5"/>
  <c r="AS42" i="5"/>
  <c r="AS50" i="5"/>
  <c r="AS58" i="5"/>
  <c r="AS66" i="5"/>
  <c r="AS27" i="5"/>
  <c r="AS35" i="5"/>
  <c r="AS43" i="5"/>
  <c r="AS51" i="5"/>
  <c r="AS59" i="5"/>
  <c r="AS67" i="5"/>
  <c r="AS75" i="5"/>
  <c r="AS20" i="5"/>
  <c r="AS28" i="5"/>
  <c r="AS36" i="5"/>
  <c r="AS44" i="5"/>
  <c r="AS52" i="5"/>
  <c r="AS60" i="5"/>
  <c r="AS68" i="5"/>
  <c r="AS21" i="5"/>
  <c r="AS29" i="5"/>
  <c r="AS37" i="5"/>
  <c r="AS45" i="5"/>
  <c r="AS53" i="5"/>
  <c r="AS61" i="5"/>
  <c r="AS69" i="5"/>
  <c r="AS22" i="5"/>
  <c r="AS30" i="5"/>
  <c r="AS38" i="5"/>
  <c r="AS46" i="5"/>
  <c r="AS54" i="5"/>
  <c r="AS62" i="5"/>
  <c r="AS70" i="5"/>
  <c r="AS40" i="5"/>
  <c r="AS72" i="5"/>
  <c r="AS81" i="5"/>
  <c r="AS89" i="5"/>
  <c r="AS97" i="5"/>
  <c r="AS105" i="5"/>
  <c r="AS113" i="5"/>
  <c r="AS121" i="5"/>
  <c r="AS129" i="5"/>
  <c r="AS137" i="5"/>
  <c r="AS145" i="5"/>
  <c r="AS153" i="5"/>
  <c r="AS161" i="5"/>
  <c r="AS169" i="5"/>
  <c r="AS177" i="5"/>
  <c r="AS185" i="5"/>
  <c r="AS193" i="5"/>
  <c r="AS201" i="5"/>
  <c r="AS209" i="5"/>
  <c r="AS217" i="5"/>
  <c r="AS225" i="5"/>
  <c r="AS233" i="5"/>
  <c r="AS241" i="5"/>
  <c r="AS249" i="5"/>
  <c r="AS257" i="5"/>
  <c r="AS265" i="5"/>
  <c r="AS273" i="5"/>
  <c r="AS281" i="5"/>
  <c r="AS289" i="5"/>
  <c r="AS297" i="5"/>
  <c r="AS305" i="5"/>
  <c r="AS313" i="5"/>
  <c r="AS321" i="5"/>
  <c r="AS329" i="5"/>
  <c r="AS337" i="5"/>
  <c r="AS345" i="5"/>
  <c r="AS353" i="5"/>
  <c r="AS361" i="5"/>
  <c r="AS369" i="5"/>
  <c r="AS377" i="5"/>
  <c r="AS385" i="5"/>
  <c r="AS393" i="5"/>
  <c r="AS401" i="5"/>
  <c r="AS409" i="5"/>
  <c r="AS417" i="5"/>
  <c r="AS425" i="5"/>
  <c r="AS433" i="5"/>
  <c r="AS441" i="5"/>
  <c r="AS449" i="5"/>
  <c r="AS457" i="5"/>
  <c r="AS465" i="5"/>
  <c r="AS473" i="5"/>
  <c r="AS481" i="5"/>
  <c r="AS489" i="5"/>
  <c r="AS497" i="5"/>
  <c r="AS513" i="5"/>
  <c r="AS553" i="5"/>
  <c r="AS530" i="5"/>
  <c r="AS531" i="5"/>
  <c r="AS47" i="5"/>
  <c r="AS73" i="5"/>
  <c r="AS82" i="5"/>
  <c r="AS90" i="5"/>
  <c r="AS98" i="5"/>
  <c r="AS106" i="5"/>
  <c r="AS114" i="5"/>
  <c r="AS122" i="5"/>
  <c r="AS130" i="5"/>
  <c r="AS138" i="5"/>
  <c r="AS146" i="5"/>
  <c r="AS154" i="5"/>
  <c r="AS162" i="5"/>
  <c r="AS170" i="5"/>
  <c r="AS178" i="5"/>
  <c r="AS186" i="5"/>
  <c r="AS194" i="5"/>
  <c r="AS202" i="5"/>
  <c r="AS210" i="5"/>
  <c r="AS218" i="5"/>
  <c r="AS226" i="5"/>
  <c r="AS234" i="5"/>
  <c r="AS242" i="5"/>
  <c r="AS250" i="5"/>
  <c r="AS258" i="5"/>
  <c r="AS266" i="5"/>
  <c r="AS274" i="5"/>
  <c r="AS282" i="5"/>
  <c r="AS290" i="5"/>
  <c r="AS298" i="5"/>
  <c r="AS306" i="5"/>
  <c r="AS314" i="5"/>
  <c r="AS322" i="5"/>
  <c r="AS330" i="5"/>
  <c r="AS338" i="5"/>
  <c r="AS346" i="5"/>
  <c r="AS354" i="5"/>
  <c r="AS362" i="5"/>
  <c r="AS370" i="5"/>
  <c r="AS378" i="5"/>
  <c r="AS386" i="5"/>
  <c r="AS394" i="5"/>
  <c r="AS402" i="5"/>
  <c r="AS410" i="5"/>
  <c r="AS418" i="5"/>
  <c r="AS426" i="5"/>
  <c r="AS434" i="5"/>
  <c r="AS442" i="5"/>
  <c r="AS450" i="5"/>
  <c r="AS458" i="5"/>
  <c r="AS466" i="5"/>
  <c r="AS474" i="5"/>
  <c r="AS482" i="5"/>
  <c r="AS490" i="5"/>
  <c r="AS498" i="5"/>
  <c r="AS506" i="5"/>
  <c r="AS514" i="5"/>
  <c r="AS546" i="5"/>
  <c r="AS539" i="5"/>
  <c r="AS48" i="5"/>
  <c r="AS74" i="5"/>
  <c r="AS83" i="5"/>
  <c r="AS91" i="5"/>
  <c r="AS99" i="5"/>
  <c r="AS107" i="5"/>
  <c r="AS115" i="5"/>
  <c r="AS123" i="5"/>
  <c r="AS131" i="5"/>
  <c r="AS139" i="5"/>
  <c r="AS147" i="5"/>
  <c r="AS155" i="5"/>
  <c r="AS163" i="5"/>
  <c r="AS171" i="5"/>
  <c r="AS179" i="5"/>
  <c r="AS187" i="5"/>
  <c r="AS195" i="5"/>
  <c r="AS203" i="5"/>
  <c r="AS211" i="5"/>
  <c r="AS219" i="5"/>
  <c r="AS227" i="5"/>
  <c r="AS235" i="5"/>
  <c r="AS243" i="5"/>
  <c r="AS251" i="5"/>
  <c r="AS259" i="5"/>
  <c r="AS267" i="5"/>
  <c r="AS275" i="5"/>
  <c r="AS283" i="5"/>
  <c r="AS291" i="5"/>
  <c r="AS299" i="5"/>
  <c r="AS307" i="5"/>
  <c r="AS315" i="5"/>
  <c r="AS323" i="5"/>
  <c r="AS331" i="5"/>
  <c r="AS339" i="5"/>
  <c r="AS347" i="5"/>
  <c r="AS355" i="5"/>
  <c r="AS363" i="5"/>
  <c r="AS371" i="5"/>
  <c r="AS379" i="5"/>
  <c r="AS387" i="5"/>
  <c r="AS395" i="5"/>
  <c r="AS403" i="5"/>
  <c r="AS411" i="5"/>
  <c r="AS419" i="5"/>
  <c r="AS427" i="5"/>
  <c r="AS435" i="5"/>
  <c r="AS443" i="5"/>
  <c r="AS451" i="5"/>
  <c r="AS459" i="5"/>
  <c r="AS467" i="5"/>
  <c r="AS475" i="5"/>
  <c r="AS483" i="5"/>
  <c r="AS491" i="5"/>
  <c r="AS499" i="5"/>
  <c r="AS507" i="5"/>
  <c r="AS515" i="5"/>
  <c r="AS547" i="5"/>
  <c r="AS23" i="5"/>
  <c r="AS55" i="5"/>
  <c r="AS76" i="5"/>
  <c r="AS84" i="5"/>
  <c r="AS92" i="5"/>
  <c r="AS100" i="5"/>
  <c r="AS108" i="5"/>
  <c r="AS116" i="5"/>
  <c r="AS124" i="5"/>
  <c r="AS132" i="5"/>
  <c r="AS140" i="5"/>
  <c r="AS148" i="5"/>
  <c r="AS156" i="5"/>
  <c r="AS164" i="5"/>
  <c r="AS172" i="5"/>
  <c r="AS180" i="5"/>
  <c r="AS188" i="5"/>
  <c r="AS196" i="5"/>
  <c r="AS204" i="5"/>
  <c r="AS212" i="5"/>
  <c r="AS220" i="5"/>
  <c r="AS228" i="5"/>
  <c r="AS236" i="5"/>
  <c r="AS244" i="5"/>
  <c r="AS252" i="5"/>
  <c r="AS260" i="5"/>
  <c r="AS268" i="5"/>
  <c r="AS276" i="5"/>
  <c r="AS284" i="5"/>
  <c r="AS292" i="5"/>
  <c r="AS300" i="5"/>
  <c r="AS308" i="5"/>
  <c r="AS316" i="5"/>
  <c r="AS324" i="5"/>
  <c r="AS332" i="5"/>
  <c r="AS340" i="5"/>
  <c r="AS348" i="5"/>
  <c r="AS356" i="5"/>
  <c r="AS364" i="5"/>
  <c r="AS372" i="5"/>
  <c r="AS380" i="5"/>
  <c r="AS388" i="5"/>
  <c r="AS396" i="5"/>
  <c r="AS404" i="5"/>
  <c r="AS412" i="5"/>
  <c r="AS420" i="5"/>
  <c r="AS428" i="5"/>
  <c r="AS436" i="5"/>
  <c r="AS444" i="5"/>
  <c r="AS452" i="5"/>
  <c r="AS460" i="5"/>
  <c r="AS468" i="5"/>
  <c r="AS476" i="5"/>
  <c r="AS484" i="5"/>
  <c r="AS492" i="5"/>
  <c r="AS500" i="5"/>
  <c r="AS508" i="5"/>
  <c r="AS516" i="5"/>
  <c r="AS524" i="5"/>
  <c r="AS24" i="5"/>
  <c r="AS56" i="5"/>
  <c r="AS77" i="5"/>
  <c r="AS85" i="5"/>
  <c r="AS93" i="5"/>
  <c r="AS101" i="5"/>
  <c r="AS109" i="5"/>
  <c r="AS117" i="5"/>
  <c r="AS125" i="5"/>
  <c r="AS133" i="5"/>
  <c r="AS141" i="5"/>
  <c r="AS149" i="5"/>
  <c r="AS157" i="5"/>
  <c r="AS165" i="5"/>
  <c r="AS173" i="5"/>
  <c r="AS181" i="5"/>
  <c r="AS189" i="5"/>
  <c r="AS197" i="5"/>
  <c r="AS205" i="5"/>
  <c r="AS213" i="5"/>
  <c r="AS221" i="5"/>
  <c r="AS229" i="5"/>
  <c r="AS237" i="5"/>
  <c r="AS245" i="5"/>
  <c r="AS253" i="5"/>
  <c r="AS261" i="5"/>
  <c r="AS269" i="5"/>
  <c r="AS277" i="5"/>
  <c r="AS285" i="5"/>
  <c r="AS293" i="5"/>
  <c r="AS301" i="5"/>
  <c r="AS309" i="5"/>
  <c r="AS317" i="5"/>
  <c r="AS325" i="5"/>
  <c r="AS333" i="5"/>
  <c r="AS341" i="5"/>
  <c r="AS349" i="5"/>
  <c r="AS357" i="5"/>
  <c r="AS365" i="5"/>
  <c r="AS373" i="5"/>
  <c r="AS381" i="5"/>
  <c r="AS389" i="5"/>
  <c r="AS397" i="5"/>
  <c r="AS405" i="5"/>
  <c r="AS413" i="5"/>
  <c r="AS421" i="5"/>
  <c r="AS429" i="5"/>
  <c r="AS437" i="5"/>
  <c r="AS445" i="5"/>
  <c r="AS453" i="5"/>
  <c r="AS461" i="5"/>
  <c r="AS469" i="5"/>
  <c r="AS477" i="5"/>
  <c r="AS485" i="5"/>
  <c r="AS493" i="5"/>
  <c r="AS501" i="5"/>
  <c r="AS509" i="5"/>
  <c r="AS517" i="5"/>
  <c r="AS525" i="5"/>
  <c r="AS32" i="5"/>
  <c r="AS64" i="5"/>
  <c r="AS79" i="5"/>
  <c r="AS87" i="5"/>
  <c r="AS95" i="5"/>
  <c r="AS103" i="5"/>
  <c r="AS111" i="5"/>
  <c r="AS119" i="5"/>
  <c r="AS127" i="5"/>
  <c r="AS135" i="5"/>
  <c r="AS143" i="5"/>
  <c r="AS151" i="5"/>
  <c r="AS159" i="5"/>
  <c r="AS167" i="5"/>
  <c r="AS175" i="5"/>
  <c r="AS183" i="5"/>
  <c r="AS191" i="5"/>
  <c r="AS199" i="5"/>
  <c r="AS207" i="5"/>
  <c r="AS215" i="5"/>
  <c r="AS223" i="5"/>
  <c r="AS231" i="5"/>
  <c r="AS239" i="5"/>
  <c r="AS247" i="5"/>
  <c r="AS255" i="5"/>
  <c r="AS263" i="5"/>
  <c r="AS271" i="5"/>
  <c r="AS279" i="5"/>
  <c r="AS287" i="5"/>
  <c r="AS295" i="5"/>
  <c r="AS303" i="5"/>
  <c r="AS311" i="5"/>
  <c r="AS319" i="5"/>
  <c r="AS327" i="5"/>
  <c r="AS335" i="5"/>
  <c r="AS343" i="5"/>
  <c r="AS351" i="5"/>
  <c r="AS359" i="5"/>
  <c r="AS367" i="5"/>
  <c r="AS375" i="5"/>
  <c r="AS383" i="5"/>
  <c r="AS391" i="5"/>
  <c r="AS399" i="5"/>
  <c r="AS407" i="5"/>
  <c r="AS415" i="5"/>
  <c r="AS423" i="5"/>
  <c r="AS431" i="5"/>
  <c r="AS439" i="5"/>
  <c r="AS447" i="5"/>
  <c r="AS455" i="5"/>
  <c r="AS463" i="5"/>
  <c r="AS471" i="5"/>
  <c r="AS479" i="5"/>
  <c r="AS487" i="5"/>
  <c r="AS495" i="5"/>
  <c r="AS503" i="5"/>
  <c r="AS511" i="5"/>
  <c r="AS519" i="5"/>
  <c r="AS527" i="5"/>
  <c r="AS535" i="5"/>
  <c r="AS543" i="5"/>
  <c r="AS551" i="5"/>
  <c r="AS559" i="5"/>
  <c r="AS560" i="5"/>
  <c r="AS521" i="5"/>
  <c r="AS545" i="5"/>
  <c r="AS538" i="5"/>
  <c r="AS39" i="5"/>
  <c r="AS71" i="5"/>
  <c r="AS80" i="5"/>
  <c r="AS88" i="5"/>
  <c r="AS96" i="5"/>
  <c r="AS104" i="5"/>
  <c r="AS112" i="5"/>
  <c r="AS120" i="5"/>
  <c r="AS128" i="5"/>
  <c r="AS136" i="5"/>
  <c r="AS144" i="5"/>
  <c r="AS152" i="5"/>
  <c r="AS160" i="5"/>
  <c r="AS168" i="5"/>
  <c r="AS176" i="5"/>
  <c r="AS184" i="5"/>
  <c r="AS192" i="5"/>
  <c r="AS200" i="5"/>
  <c r="AS208" i="5"/>
  <c r="AS216" i="5"/>
  <c r="AS224" i="5"/>
  <c r="AS232" i="5"/>
  <c r="AS240" i="5"/>
  <c r="AS248" i="5"/>
  <c r="AS256" i="5"/>
  <c r="AS264" i="5"/>
  <c r="AS272" i="5"/>
  <c r="AS280" i="5"/>
  <c r="AS288" i="5"/>
  <c r="AS296" i="5"/>
  <c r="AS304" i="5"/>
  <c r="AS312" i="5"/>
  <c r="AS320" i="5"/>
  <c r="AS328" i="5"/>
  <c r="AS336" i="5"/>
  <c r="AS344" i="5"/>
  <c r="AS352" i="5"/>
  <c r="AS360" i="5"/>
  <c r="AS368" i="5"/>
  <c r="AS376" i="5"/>
  <c r="AS384" i="5"/>
  <c r="AS392" i="5"/>
  <c r="AS400" i="5"/>
  <c r="AS408" i="5"/>
  <c r="AS416" i="5"/>
  <c r="AS424" i="5"/>
  <c r="AS432" i="5"/>
  <c r="AS440" i="5"/>
  <c r="AS448" i="5"/>
  <c r="AS456" i="5"/>
  <c r="AS464" i="5"/>
  <c r="AS472" i="5"/>
  <c r="AS480" i="5"/>
  <c r="AS488" i="5"/>
  <c r="AS496" i="5"/>
  <c r="AS504" i="5"/>
  <c r="AS512" i="5"/>
  <c r="AS520" i="5"/>
  <c r="AS528" i="5"/>
  <c r="AS536" i="5"/>
  <c r="AS544" i="5"/>
  <c r="AS552" i="5"/>
  <c r="AS505" i="5"/>
  <c r="AS529" i="5"/>
  <c r="AS537" i="5"/>
  <c r="AS522" i="5"/>
  <c r="AS554" i="5"/>
  <c r="AS523" i="5"/>
  <c r="AS102" i="5"/>
  <c r="AS166" i="5"/>
  <c r="AS230" i="5"/>
  <c r="AS294" i="5"/>
  <c r="AS358" i="5"/>
  <c r="AS422" i="5"/>
  <c r="AS486" i="5"/>
  <c r="AS534" i="5"/>
  <c r="AS556" i="5"/>
  <c r="AS374" i="5"/>
  <c r="AS541" i="5"/>
  <c r="AS446" i="5"/>
  <c r="AS548" i="5"/>
  <c r="AS142" i="5"/>
  <c r="AS398" i="5"/>
  <c r="AS550" i="5"/>
  <c r="AS110" i="5"/>
  <c r="AS174" i="5"/>
  <c r="AS238" i="5"/>
  <c r="AS302" i="5"/>
  <c r="AS366" i="5"/>
  <c r="AS430" i="5"/>
  <c r="AS494" i="5"/>
  <c r="AS540" i="5"/>
  <c r="AS557" i="5"/>
  <c r="AS8" i="5"/>
  <c r="AS502" i="5"/>
  <c r="AS558" i="5"/>
  <c r="AS510" i="5"/>
  <c r="AS78" i="5"/>
  <c r="AS462" i="5"/>
  <c r="AS555" i="5"/>
  <c r="AS118" i="5"/>
  <c r="AS182" i="5"/>
  <c r="AS246" i="5"/>
  <c r="AS310" i="5"/>
  <c r="AS438" i="5"/>
  <c r="AS518" i="5"/>
  <c r="AS270" i="5"/>
  <c r="AS549" i="5"/>
  <c r="AS31" i="5"/>
  <c r="AS126" i="5"/>
  <c r="AS190" i="5"/>
  <c r="AS254" i="5"/>
  <c r="AS318" i="5"/>
  <c r="AS382" i="5"/>
  <c r="AS542" i="5"/>
  <c r="AS206" i="5"/>
  <c r="AS19" i="5"/>
  <c r="AS63" i="5"/>
  <c r="AS134" i="5"/>
  <c r="AS198" i="5"/>
  <c r="AS262" i="5"/>
  <c r="AS326" i="5"/>
  <c r="AS390" i="5"/>
  <c r="AS454" i="5"/>
  <c r="AS334" i="5"/>
  <c r="AS526" i="5"/>
  <c r="AS533" i="5"/>
  <c r="AS86" i="5"/>
  <c r="AS150" i="5"/>
  <c r="AS214" i="5"/>
  <c r="AS278" i="5"/>
  <c r="AS342" i="5"/>
  <c r="AS406" i="5"/>
  <c r="AS470" i="5"/>
  <c r="AS532" i="5"/>
  <c r="AS7" i="5"/>
  <c r="AS94" i="5"/>
  <c r="AS158" i="5"/>
  <c r="AS222" i="5"/>
  <c r="AS286" i="5"/>
  <c r="AS350" i="5"/>
  <c r="AS414" i="5"/>
  <c r="AS478" i="5"/>
  <c r="AV99" i="6"/>
  <c r="AV68" i="6"/>
  <c r="AV24" i="6"/>
  <c r="AV102" i="6"/>
  <c r="AV96" i="6"/>
  <c r="AV17" i="6"/>
  <c r="AV58" i="6"/>
  <c r="AV136" i="6"/>
  <c r="AV7" i="6"/>
  <c r="AV73" i="6"/>
  <c r="AV137" i="6"/>
  <c r="AV36" i="6"/>
  <c r="AV117" i="6"/>
  <c r="AV144" i="6"/>
  <c r="AV97" i="6"/>
  <c r="AV154" i="6"/>
  <c r="AV26" i="6"/>
  <c r="AV84" i="6"/>
  <c r="AV150" i="6"/>
  <c r="AV37" i="6"/>
  <c r="AV108" i="6"/>
  <c r="AV10" i="6"/>
  <c r="AV156" i="6"/>
  <c r="AV138" i="6"/>
  <c r="AV62" i="6"/>
  <c r="AV27" i="6"/>
  <c r="AV77" i="6"/>
  <c r="AV122" i="6"/>
  <c r="AV13" i="6"/>
  <c r="AV82" i="6"/>
  <c r="AV147" i="6"/>
  <c r="AV70" i="6"/>
  <c r="AV121" i="6"/>
  <c r="AV14" i="6"/>
  <c r="AV105" i="6"/>
  <c r="AV39" i="6"/>
  <c r="AV23" i="6"/>
  <c r="AV89" i="6"/>
  <c r="AV19" i="6"/>
  <c r="AV72" i="6"/>
  <c r="AV123" i="6"/>
  <c r="AV12" i="6"/>
  <c r="AV95" i="6"/>
  <c r="AV142" i="6"/>
  <c r="AV149" i="6"/>
  <c r="AV134" i="6"/>
  <c r="AV47" i="6"/>
  <c r="AV93" i="6"/>
  <c r="AV86" i="6"/>
  <c r="AV76" i="6"/>
  <c r="AV48" i="6"/>
  <c r="AV111" i="6"/>
  <c r="AV66" i="6"/>
  <c r="AV42" i="6"/>
  <c r="AV112" i="6"/>
  <c r="AV9" i="6"/>
  <c r="AV85" i="6"/>
  <c r="AV140" i="6"/>
  <c r="AV20" i="6"/>
  <c r="AV127" i="6"/>
  <c r="AV113" i="6"/>
  <c r="AV51" i="6"/>
  <c r="AV21" i="6"/>
  <c r="AV41" i="6"/>
  <c r="AV124" i="6"/>
  <c r="AV118" i="6"/>
  <c r="AV30" i="6"/>
  <c r="AV132" i="6"/>
  <c r="AV15" i="6"/>
  <c r="AV25" i="6"/>
  <c r="AV145" i="6"/>
  <c r="AV53" i="6"/>
  <c r="AV107" i="6"/>
  <c r="AV63" i="6"/>
  <c r="AV65" i="6"/>
  <c r="AV153" i="6"/>
  <c r="AV57" i="6"/>
  <c r="AV128" i="6"/>
  <c r="AV43" i="6"/>
  <c r="AV98" i="6"/>
  <c r="AV141" i="6"/>
  <c r="AV54" i="6"/>
  <c r="AV109" i="6"/>
  <c r="AV87" i="6"/>
  <c r="AV56" i="6"/>
  <c r="AV119" i="6"/>
  <c r="AV64" i="6"/>
  <c r="AV83" i="6"/>
  <c r="AV148" i="6"/>
  <c r="AV28" i="6"/>
  <c r="AV61" i="6"/>
  <c r="AV71" i="6"/>
  <c r="AV114" i="6"/>
  <c r="AV120" i="6"/>
  <c r="AV106" i="6"/>
  <c r="AV139" i="6"/>
  <c r="AV38" i="6"/>
  <c r="AV131" i="6"/>
  <c r="AV31" i="6"/>
  <c r="AV90" i="6"/>
  <c r="AV155" i="6"/>
  <c r="AV44" i="6"/>
  <c r="AV125" i="6"/>
  <c r="AV110" i="6"/>
  <c r="AV60" i="6"/>
  <c r="AV100" i="6"/>
  <c r="AV29" i="6"/>
  <c r="AV92" i="6"/>
  <c r="AV151" i="6"/>
  <c r="AV32" i="6"/>
  <c r="AV101" i="6"/>
  <c r="AV69" i="6"/>
  <c r="AV157" i="6"/>
  <c r="AV22" i="6"/>
  <c r="AV78" i="6"/>
  <c r="AV16" i="6"/>
  <c r="AV59" i="6"/>
  <c r="AV126" i="6"/>
  <c r="AV35" i="6"/>
  <c r="AV94" i="6"/>
  <c r="AV34" i="6"/>
  <c r="AV80" i="6"/>
  <c r="AV129" i="6"/>
  <c r="AV143" i="6"/>
  <c r="AV52" i="6"/>
  <c r="AV115" i="6"/>
  <c r="AV33" i="6"/>
  <c r="AV88" i="6"/>
  <c r="AV8" i="6"/>
  <c r="AV55" i="6"/>
  <c r="AV46" i="6"/>
  <c r="AV75" i="6"/>
  <c r="AV45" i="6"/>
  <c r="AV74" i="6"/>
  <c r="AV152" i="6"/>
  <c r="AV49" i="6"/>
  <c r="AV104" i="6"/>
  <c r="AV91" i="6"/>
  <c r="AV79" i="6"/>
  <c r="AV135" i="6"/>
  <c r="AV40" i="6"/>
  <c r="AV103" i="6"/>
  <c r="AV18" i="6"/>
  <c r="AV67" i="6"/>
  <c r="AV130" i="6"/>
  <c r="AV146" i="6"/>
  <c r="AV81" i="6"/>
  <c r="AV133" i="6"/>
  <c r="AV50" i="6"/>
  <c r="AV116" i="6"/>
  <c r="AV11" i="6"/>
  <c r="AR19" i="5"/>
  <c r="AR550" i="5"/>
  <c r="AR548" i="5"/>
  <c r="AR540" i="5"/>
  <c r="AR529" i="5"/>
  <c r="AR520" i="5"/>
  <c r="AR513" i="5"/>
  <c r="AR511" i="5"/>
  <c r="AR510" i="5"/>
  <c r="AR504" i="5"/>
  <c r="AR501" i="5"/>
  <c r="AR484" i="5"/>
  <c r="AR483" i="5"/>
  <c r="AR473" i="5"/>
  <c r="AR459" i="5"/>
  <c r="AR448" i="5"/>
  <c r="AR441" i="5"/>
  <c r="AR440" i="5"/>
  <c r="AR430" i="5"/>
  <c r="AR425" i="5"/>
  <c r="AR423" i="5"/>
  <c r="AR422" i="5"/>
  <c r="AR409" i="5"/>
  <c r="AR407" i="5"/>
  <c r="AR375" i="5"/>
  <c r="AR361" i="5"/>
  <c r="AR357" i="5"/>
  <c r="AR356" i="5"/>
  <c r="AR353" i="5"/>
  <c r="AR346" i="5"/>
  <c r="AR321" i="5"/>
  <c r="AR319" i="5"/>
  <c r="AR301" i="5"/>
  <c r="AR299" i="5"/>
  <c r="AR297" i="5"/>
  <c r="AR295" i="5"/>
  <c r="AR290" i="5"/>
  <c r="AR265" i="5"/>
  <c r="AR262" i="5"/>
  <c r="AR249" i="5"/>
  <c r="AR246" i="5"/>
  <c r="AR245" i="5"/>
  <c r="AR240" i="5"/>
  <c r="AR229" i="5"/>
  <c r="AR213" i="5"/>
  <c r="AR178" i="5"/>
  <c r="AR175" i="5"/>
  <c r="AR170" i="5"/>
  <c r="AR157" i="5"/>
  <c r="AR155" i="5"/>
  <c r="AR149" i="5"/>
  <c r="AR140" i="5"/>
  <c r="AR136" i="5"/>
  <c r="AR128" i="5"/>
  <c r="AR118" i="5"/>
  <c r="AR114" i="5"/>
  <c r="AR113" i="5"/>
  <c r="AR109" i="5"/>
  <c r="AR104" i="5"/>
  <c r="AR100" i="5"/>
  <c r="AR87" i="5"/>
  <c r="AR85" i="5"/>
  <c r="AR67" i="5"/>
  <c r="AR64" i="5"/>
  <c r="AR54" i="5"/>
  <c r="AR49" i="5"/>
  <c r="AR44" i="5"/>
  <c r="AR42" i="5"/>
  <c r="AR36" i="5"/>
  <c r="AR34" i="5"/>
  <c r="AR27" i="5"/>
  <c r="AR25" i="5"/>
  <c r="AR26" i="5"/>
  <c r="AR22" i="5"/>
  <c r="AR534" i="5"/>
  <c r="AR532" i="5"/>
  <c r="AR530" i="5"/>
  <c r="AR525" i="5"/>
  <c r="AR515" i="5"/>
  <c r="AR514" i="5"/>
  <c r="AR490" i="5"/>
  <c r="AR481" i="5"/>
  <c r="AR476" i="5"/>
  <c r="AR472" i="5"/>
  <c r="AR467" i="5"/>
  <c r="AR466" i="5"/>
  <c r="AR462" i="5"/>
  <c r="AR456" i="5"/>
  <c r="AR451" i="5"/>
  <c r="AR449" i="5"/>
  <c r="AR447" i="5"/>
  <c r="AR445" i="5"/>
  <c r="AR438" i="5"/>
  <c r="AR435" i="5"/>
  <c r="AR420" i="5"/>
  <c r="AR418" i="5"/>
  <c r="AR412" i="5"/>
  <c r="AR410" i="5"/>
  <c r="AR392" i="5"/>
  <c r="AR387" i="5"/>
  <c r="AR381" i="5"/>
  <c r="AR377" i="5"/>
  <c r="AR369" i="5"/>
  <c r="AR351" i="5"/>
  <c r="AR342" i="5"/>
  <c r="AR338" i="5"/>
  <c r="AR323" i="5"/>
  <c r="AR313" i="5"/>
  <c r="AR307" i="5"/>
  <c r="AR285" i="5"/>
  <c r="AR275" i="5"/>
  <c r="AR259" i="5"/>
  <c r="AR258" i="5"/>
  <c r="AR255" i="5"/>
  <c r="AR254" i="5"/>
  <c r="AR252" i="5"/>
  <c r="AR234" i="5"/>
  <c r="AR226" i="5"/>
  <c r="AR223" i="5"/>
  <c r="AR222" i="5"/>
  <c r="AR207" i="5"/>
  <c r="AR206" i="5"/>
  <c r="AR202" i="5"/>
  <c r="AR198" i="5"/>
  <c r="AR196" i="5"/>
  <c r="AR187" i="5"/>
  <c r="AR184" i="5"/>
  <c r="AR172" i="5"/>
  <c r="AR171" i="5"/>
  <c r="AR158" i="5"/>
  <c r="AR148" i="5"/>
  <c r="AR144" i="5"/>
  <c r="AR122" i="5"/>
  <c r="AR112" i="5"/>
  <c r="AR108" i="5"/>
  <c r="AR107" i="5"/>
  <c r="AR93" i="5"/>
  <c r="AR92" i="5"/>
  <c r="AR82" i="5"/>
  <c r="AR79" i="5"/>
  <c r="AR76" i="5"/>
  <c r="AR72" i="5"/>
  <c r="AR71" i="5"/>
  <c r="AR70" i="5"/>
  <c r="AR61" i="5"/>
  <c r="AR48" i="5"/>
  <c r="AR558" i="5"/>
  <c r="AR535" i="5"/>
  <c r="AR491" i="5"/>
  <c r="AR546" i="5"/>
  <c r="AR522" i="5"/>
  <c r="AR517" i="5"/>
  <c r="AR516" i="5"/>
  <c r="AR512" i="5"/>
  <c r="AR503" i="5"/>
  <c r="AR485" i="5"/>
  <c r="AR457" i="5"/>
  <c r="AR437" i="5"/>
  <c r="AR411" i="5"/>
  <c r="AR395" i="5"/>
  <c r="AR393" i="5"/>
  <c r="AR388" i="5"/>
  <c r="AR386" i="5"/>
  <c r="AR379" i="5"/>
  <c r="AR370" i="5"/>
  <c r="AR368" i="5"/>
  <c r="AR362" i="5"/>
  <c r="AR360" i="5"/>
  <c r="AR359" i="5"/>
  <c r="AR358" i="5"/>
  <c r="AR339" i="5"/>
  <c r="AR333" i="5"/>
  <c r="AR314" i="5"/>
  <c r="AR305" i="5"/>
  <c r="AR288" i="5"/>
  <c r="AR287" i="5"/>
  <c r="AR286" i="5"/>
  <c r="AR272" i="5"/>
  <c r="AR271" i="5"/>
  <c r="AR270" i="5"/>
  <c r="AR269" i="5"/>
  <c r="AR233" i="5"/>
  <c r="AR218" i="5"/>
  <c r="AR199" i="5"/>
  <c r="AR195" i="5"/>
  <c r="AR188" i="5"/>
  <c r="AR182" i="5"/>
  <c r="AR179" i="5"/>
  <c r="AR167" i="5"/>
  <c r="AR163" i="5"/>
  <c r="AR146" i="5"/>
  <c r="AR142" i="5"/>
  <c r="AR141" i="5"/>
  <c r="AR129" i="5"/>
  <c r="AR102" i="5"/>
  <c r="AR98" i="5"/>
  <c r="AR84" i="5"/>
  <c r="AR68" i="5"/>
  <c r="AR51" i="5"/>
  <c r="AR45" i="5"/>
  <c r="AR39" i="5"/>
  <c r="AR37" i="5"/>
  <c r="AR33" i="5"/>
  <c r="AR28" i="5"/>
  <c r="AR24" i="5"/>
  <c r="AR523" i="5"/>
  <c r="AR552" i="5"/>
  <c r="AR539" i="5"/>
  <c r="AR528" i="5"/>
  <c r="AR521" i="5"/>
  <c r="AR497" i="5"/>
  <c r="AR494" i="5"/>
  <c r="AR478" i="5"/>
  <c r="AR468" i="5"/>
  <c r="AR461" i="5"/>
  <c r="AR434" i="5"/>
  <c r="AR424" i="5"/>
  <c r="AR415" i="5"/>
  <c r="AR414" i="5"/>
  <c r="AR413" i="5"/>
  <c r="AR405" i="5"/>
  <c r="AR401" i="5"/>
  <c r="AR398" i="5"/>
  <c r="AR363" i="5"/>
  <c r="AR355" i="5"/>
  <c r="AR350" i="5"/>
  <c r="AR344" i="5"/>
  <c r="AR336" i="5"/>
  <c r="AR312" i="5"/>
  <c r="AR298" i="5"/>
  <c r="AR294" i="5"/>
  <c r="AR281" i="5"/>
  <c r="AR280" i="5"/>
  <c r="AR278" i="5"/>
  <c r="AR276" i="5"/>
  <c r="AR267" i="5"/>
  <c r="AR261" i="5"/>
  <c r="AR253" i="5"/>
  <c r="AR250" i="5"/>
  <c r="AR224" i="5"/>
  <c r="AR216" i="5"/>
  <c r="AR212" i="5"/>
  <c r="AR204" i="5"/>
  <c r="AR191" i="5"/>
  <c r="AR185" i="5"/>
  <c r="AR174" i="5"/>
  <c r="AR173" i="5"/>
  <c r="AR153" i="5"/>
  <c r="AR139" i="5"/>
  <c r="AR125" i="5"/>
  <c r="AR117" i="5"/>
  <c r="AR105" i="5"/>
  <c r="AR90" i="5"/>
  <c r="AR77" i="5"/>
  <c r="AR74" i="5"/>
  <c r="AR66" i="5"/>
  <c r="AR63" i="5"/>
  <c r="AR57" i="5"/>
  <c r="AR40" i="5"/>
  <c r="AR31" i="5"/>
  <c r="AR29" i="5"/>
  <c r="AR509" i="5"/>
  <c r="AR557" i="5"/>
  <c r="AR556" i="5"/>
  <c r="AR554" i="5"/>
  <c r="AR553" i="5"/>
  <c r="AR551" i="5"/>
  <c r="AR545" i="5"/>
  <c r="AR544" i="5"/>
  <c r="AR543" i="5"/>
  <c r="AR527" i="5"/>
  <c r="AR519" i="5"/>
  <c r="AR502" i="5"/>
  <c r="AR486" i="5"/>
  <c r="AR477" i="5"/>
  <c r="AR474" i="5"/>
  <c r="AR469" i="5"/>
  <c r="AR465" i="5"/>
  <c r="AR460" i="5"/>
  <c r="AR443" i="5"/>
  <c r="AR439" i="5"/>
  <c r="AR436" i="5"/>
  <c r="AR428" i="5"/>
  <c r="AR417" i="5"/>
  <c r="AR404" i="5"/>
  <c r="AR399" i="5"/>
  <c r="AR373" i="5"/>
  <c r="AR367" i="5"/>
  <c r="AR349" i="5"/>
  <c r="AR347" i="5"/>
  <c r="AR343" i="5"/>
  <c r="AR341" i="5"/>
  <c r="AR335" i="5"/>
  <c r="AR327" i="5"/>
  <c r="AR326" i="5"/>
  <c r="AR322" i="5"/>
  <c r="AR318" i="5"/>
  <c r="AR310" i="5"/>
  <c r="AR303" i="5"/>
  <c r="AR296" i="5"/>
  <c r="AR284" i="5"/>
  <c r="AR282" i="5"/>
  <c r="AR277" i="5"/>
  <c r="AR251" i="5"/>
  <c r="AR244" i="5"/>
  <c r="AR243" i="5"/>
  <c r="AR239" i="5"/>
  <c r="AR236" i="5"/>
  <c r="AR225" i="5"/>
  <c r="AR211" i="5"/>
  <c r="AR201" i="5"/>
  <c r="AR194" i="5"/>
  <c r="AR193" i="5"/>
  <c r="AR192" i="5"/>
  <c r="AR190" i="5"/>
  <c r="AR189" i="5"/>
  <c r="AR186" i="5"/>
  <c r="AR180" i="5"/>
  <c r="AR176" i="5"/>
  <c r="AR168" i="5"/>
  <c r="AR164" i="5"/>
  <c r="AR160" i="5"/>
  <c r="AR159" i="5"/>
  <c r="AR156" i="5"/>
  <c r="AR143" i="5"/>
  <c r="AR137" i="5"/>
  <c r="AR126" i="5"/>
  <c r="AR123" i="5"/>
  <c r="AR116" i="5"/>
  <c r="AR115" i="5"/>
  <c r="AR97" i="5"/>
  <c r="AR96" i="5"/>
  <c r="AR94" i="5"/>
  <c r="AR86" i="5"/>
  <c r="AR83" i="5"/>
  <c r="AR81" i="5"/>
  <c r="AR80" i="5"/>
  <c r="AR62" i="5"/>
  <c r="AR56" i="5"/>
  <c r="AR52" i="5"/>
  <c r="AR50" i="5"/>
  <c r="AR47" i="5"/>
  <c r="AR41" i="5"/>
  <c r="AR20" i="5"/>
  <c r="AR547" i="5"/>
  <c r="AR498" i="5"/>
  <c r="AR542" i="5"/>
  <c r="AR541" i="5"/>
  <c r="AR536" i="5"/>
  <c r="AR526" i="5"/>
  <c r="AR524" i="5"/>
  <c r="AR518" i="5"/>
  <c r="AR508" i="5"/>
  <c r="AR479" i="5"/>
  <c r="AR475" i="5"/>
  <c r="AR463" i="5"/>
  <c r="AR458" i="5"/>
  <c r="AR452" i="5"/>
  <c r="AR444" i="5"/>
  <c r="AR442" i="5"/>
  <c r="AR431" i="5"/>
  <c r="AR429" i="5"/>
  <c r="AR419" i="5"/>
  <c r="AR397" i="5"/>
  <c r="AR391" i="5"/>
  <c r="AR390" i="5"/>
  <c r="AR389" i="5"/>
  <c r="AR374" i="5"/>
  <c r="AR371" i="5"/>
  <c r="AR352" i="5"/>
  <c r="AR329" i="5"/>
  <c r="AR325" i="5"/>
  <c r="AR320" i="5"/>
  <c r="AR317" i="5"/>
  <c r="AR316" i="5"/>
  <c r="AR311" i="5"/>
  <c r="AR309" i="5"/>
  <c r="AR308" i="5"/>
  <c r="AR292" i="5"/>
  <c r="AR268" i="5"/>
  <c r="AR263" i="5"/>
  <c r="AR260" i="5"/>
  <c r="AR256" i="5"/>
  <c r="AR241" i="5"/>
  <c r="AR237" i="5"/>
  <c r="AR235" i="5"/>
  <c r="AR232" i="5"/>
  <c r="AR227" i="5"/>
  <c r="AR220" i="5"/>
  <c r="AR219" i="5"/>
  <c r="AR214" i="5"/>
  <c r="AR210" i="5"/>
  <c r="AR205" i="5"/>
  <c r="AR183" i="5"/>
  <c r="AR181" i="5"/>
  <c r="AR154" i="5"/>
  <c r="AR152" i="5"/>
  <c r="AR145" i="5"/>
  <c r="AR131" i="5"/>
  <c r="AR124" i="5"/>
  <c r="AR119" i="5"/>
  <c r="AR91" i="5"/>
  <c r="AR89" i="5"/>
  <c r="AR59" i="5"/>
  <c r="AR53" i="5"/>
  <c r="AR46" i="5"/>
  <c r="AR38" i="5"/>
  <c r="AR489" i="5"/>
  <c r="AR560" i="5"/>
  <c r="AR555" i="5"/>
  <c r="AR549" i="5"/>
  <c r="AR538" i="5"/>
  <c r="AR537" i="5"/>
  <c r="AR533" i="5"/>
  <c r="AR531" i="5"/>
  <c r="AR507" i="5"/>
  <c r="AR505" i="5"/>
  <c r="AR500" i="5"/>
  <c r="AR499" i="5"/>
  <c r="AR496" i="5"/>
  <c r="AR493" i="5"/>
  <c r="AR492" i="5"/>
  <c r="AR488" i="5"/>
  <c r="AR487" i="5"/>
  <c r="AR482" i="5"/>
  <c r="AR455" i="5"/>
  <c r="AR453" i="5"/>
  <c r="AR450" i="5"/>
  <c r="AR446" i="5"/>
  <c r="AR433" i="5"/>
  <c r="AR427" i="5"/>
  <c r="AR421" i="5"/>
  <c r="AR408" i="5"/>
  <c r="AR402" i="5"/>
  <c r="AR383" i="5"/>
  <c r="AR382" i="5"/>
  <c r="AR380" i="5"/>
  <c r="AR365" i="5"/>
  <c r="AR354" i="5"/>
  <c r="AR348" i="5"/>
  <c r="AR345" i="5"/>
  <c r="AR340" i="5"/>
  <c r="AR337" i="5"/>
  <c r="AR331" i="5"/>
  <c r="AR315" i="5"/>
  <c r="AR304" i="5"/>
  <c r="AR302" i="5"/>
  <c r="AR289" i="5"/>
  <c r="AR273" i="5"/>
  <c r="AR257" i="5"/>
  <c r="AR248" i="5"/>
  <c r="AR247" i="5"/>
  <c r="AR231" i="5"/>
  <c r="AR215" i="5"/>
  <c r="AR209" i="5"/>
  <c r="AR177" i="5"/>
  <c r="AR169" i="5"/>
  <c r="AR165" i="5"/>
  <c r="AR161" i="5"/>
  <c r="AR151" i="5"/>
  <c r="AR150" i="5"/>
  <c r="AR147" i="5"/>
  <c r="AR133" i="5"/>
  <c r="AR127" i="5"/>
  <c r="AR121" i="5"/>
  <c r="AR120" i="5"/>
  <c r="AR110" i="5"/>
  <c r="AR106" i="5"/>
  <c r="AR101" i="5"/>
  <c r="AR88" i="5"/>
  <c r="AR78" i="5"/>
  <c r="AR75" i="5"/>
  <c r="AR73" i="5"/>
  <c r="AR69" i="5"/>
  <c r="AR43" i="5"/>
  <c r="AR35" i="5"/>
  <c r="AR32" i="5"/>
  <c r="AR30" i="5"/>
  <c r="AR21" i="5"/>
  <c r="AR506" i="5"/>
  <c r="AR495" i="5"/>
  <c r="AR454" i="5"/>
  <c r="AR400" i="5"/>
  <c r="AR334" i="5"/>
  <c r="AR266" i="5"/>
  <c r="AR230" i="5"/>
  <c r="AR200" i="5"/>
  <c r="AR166" i="5"/>
  <c r="AR111" i="5"/>
  <c r="AR23" i="5"/>
  <c r="AR464" i="5"/>
  <c r="AR306" i="5"/>
  <c r="AR221" i="5"/>
  <c r="AR103" i="5"/>
  <c r="AR58" i="5"/>
  <c r="AR432" i="5"/>
  <c r="AR238" i="5"/>
  <c r="AR403" i="5"/>
  <c r="AR324" i="5"/>
  <c r="AR242" i="5"/>
  <c r="AR203" i="5"/>
  <c r="AR130" i="5"/>
  <c r="AR60" i="5"/>
  <c r="AR372" i="5"/>
  <c r="AR279" i="5"/>
  <c r="AR132" i="5"/>
  <c r="AR95" i="5"/>
  <c r="AR332" i="5"/>
  <c r="AR406" i="5"/>
  <c r="AR394" i="5"/>
  <c r="AR385" i="5"/>
  <c r="AR384" i="5"/>
  <c r="AR300" i="5"/>
  <c r="AR135" i="5"/>
  <c r="AR134" i="5"/>
  <c r="AR480" i="5"/>
  <c r="AR471" i="5"/>
  <c r="AR470" i="5"/>
  <c r="AR426" i="5"/>
  <c r="AR376" i="5"/>
  <c r="AR366" i="5"/>
  <c r="AR330" i="5"/>
  <c r="AR293" i="5"/>
  <c r="AR283" i="5"/>
  <c r="AR208" i="5"/>
  <c r="AR197" i="5"/>
  <c r="AR138" i="5"/>
  <c r="AR99" i="5"/>
  <c r="AR65" i="5"/>
  <c r="AR378" i="5"/>
  <c r="AR274" i="5"/>
  <c r="AR264" i="5"/>
  <c r="AR228" i="5"/>
  <c r="AR55" i="5"/>
  <c r="AR416" i="5"/>
  <c r="AR396" i="5"/>
  <c r="AR364" i="5"/>
  <c r="AR328" i="5"/>
  <c r="AR291" i="5"/>
  <c r="AR162" i="5"/>
  <c r="AR217" i="5"/>
  <c r="AR559" i="5"/>
  <c r="B57" i="5"/>
  <c r="B56" i="5"/>
  <c r="B60" i="5"/>
  <c r="B6" i="3"/>
  <c r="AY23" i="5" l="1"/>
  <c r="BB23" i="5" s="1"/>
  <c r="AY31" i="5"/>
  <c r="BB31" i="5" s="1"/>
  <c r="AY39" i="5"/>
  <c r="AY47" i="5"/>
  <c r="BB47" i="5" s="1"/>
  <c r="AY55" i="5"/>
  <c r="BB55" i="5" s="1"/>
  <c r="AY63" i="5"/>
  <c r="AY71" i="5"/>
  <c r="AY79" i="5"/>
  <c r="AY87" i="5"/>
  <c r="BB87" i="5" s="1"/>
  <c r="AY95" i="5"/>
  <c r="BB95" i="5" s="1"/>
  <c r="AY24" i="5"/>
  <c r="BB24" i="5" s="1"/>
  <c r="AY32" i="5"/>
  <c r="BB32" i="5" s="1"/>
  <c r="AY40" i="5"/>
  <c r="BB40" i="5" s="1"/>
  <c r="AY48" i="5"/>
  <c r="BB48" i="5" s="1"/>
  <c r="AY56" i="5"/>
  <c r="BB56" i="5" s="1"/>
  <c r="AY64" i="5"/>
  <c r="AY72" i="5"/>
  <c r="BB72" i="5" s="1"/>
  <c r="AY80" i="5"/>
  <c r="BB80" i="5" s="1"/>
  <c r="AY88" i="5"/>
  <c r="BB88" i="5" s="1"/>
  <c r="AY96" i="5"/>
  <c r="BB96" i="5" s="1"/>
  <c r="AY104" i="5"/>
  <c r="BB104" i="5" s="1"/>
  <c r="AY112" i="5"/>
  <c r="BB112" i="5" s="1"/>
  <c r="AY120" i="5"/>
  <c r="BB120" i="5" s="1"/>
  <c r="AY128" i="5"/>
  <c r="BB128" i="5" s="1"/>
  <c r="AY136" i="5"/>
  <c r="BB136" i="5" s="1"/>
  <c r="AY144" i="5"/>
  <c r="BB144" i="5" s="1"/>
  <c r="AY152" i="5"/>
  <c r="BB152" i="5" s="1"/>
  <c r="AY25" i="5"/>
  <c r="AY33" i="5"/>
  <c r="BB33" i="5" s="1"/>
  <c r="AY41" i="5"/>
  <c r="AY49" i="5"/>
  <c r="BB49" i="5" s="1"/>
  <c r="AY57" i="5"/>
  <c r="BB57" i="5" s="1"/>
  <c r="AY65" i="5"/>
  <c r="BB65" i="5" s="1"/>
  <c r="AY73" i="5"/>
  <c r="BB73" i="5" s="1"/>
  <c r="AY81" i="5"/>
  <c r="AY89" i="5"/>
  <c r="BB89" i="5" s="1"/>
  <c r="AY97" i="5"/>
  <c r="BB97" i="5" s="1"/>
  <c r="AY105" i="5"/>
  <c r="BB105" i="5" s="1"/>
  <c r="AY113" i="5"/>
  <c r="AY121" i="5"/>
  <c r="AY129" i="5"/>
  <c r="BB129" i="5" s="1"/>
  <c r="AY137" i="5"/>
  <c r="BB137" i="5" s="1"/>
  <c r="AY145" i="5"/>
  <c r="BB145" i="5" s="1"/>
  <c r="AY153" i="5"/>
  <c r="AY26" i="5"/>
  <c r="AY34" i="5"/>
  <c r="BB34" i="5" s="1"/>
  <c r="AY42" i="5"/>
  <c r="BB42" i="5" s="1"/>
  <c r="AY50" i="5"/>
  <c r="BB50" i="5" s="1"/>
  <c r="AY58" i="5"/>
  <c r="BB58" i="5" s="1"/>
  <c r="AY66" i="5"/>
  <c r="BB66" i="5" s="1"/>
  <c r="AY74" i="5"/>
  <c r="AY82" i="5"/>
  <c r="BB82" i="5" s="1"/>
  <c r="AY90" i="5"/>
  <c r="BB90" i="5" s="1"/>
  <c r="AY98" i="5"/>
  <c r="BB98" i="5" s="1"/>
  <c r="AY106" i="5"/>
  <c r="BB106" i="5" s="1"/>
  <c r="AY114" i="5"/>
  <c r="AY122" i="5"/>
  <c r="BB122" i="5" s="1"/>
  <c r="AY130" i="5"/>
  <c r="BB130" i="5" s="1"/>
  <c r="AY138" i="5"/>
  <c r="AY146" i="5"/>
  <c r="BB146" i="5" s="1"/>
  <c r="AY154" i="5"/>
  <c r="BB154" i="5" s="1"/>
  <c r="AY27" i="5"/>
  <c r="AY35" i="5"/>
  <c r="BB35" i="5" s="1"/>
  <c r="AY43" i="5"/>
  <c r="AY51" i="5"/>
  <c r="AY59" i="5"/>
  <c r="BB59" i="5" s="1"/>
  <c r="AY67" i="5"/>
  <c r="AY75" i="5"/>
  <c r="AY83" i="5"/>
  <c r="AY91" i="5"/>
  <c r="BB91" i="5" s="1"/>
  <c r="AY99" i="5"/>
  <c r="AY107" i="5"/>
  <c r="BB107" i="5" s="1"/>
  <c r="AY115" i="5"/>
  <c r="BB115" i="5" s="1"/>
  <c r="AY123" i="5"/>
  <c r="BB123" i="5" s="1"/>
  <c r="AY131" i="5"/>
  <c r="AY139" i="5"/>
  <c r="AY147" i="5"/>
  <c r="BB147" i="5" s="1"/>
  <c r="AY155" i="5"/>
  <c r="BB155" i="5" s="1"/>
  <c r="AY29" i="5"/>
  <c r="BB29" i="5" s="1"/>
  <c r="AY52" i="5"/>
  <c r="BB52" i="5" s="1"/>
  <c r="AY70" i="5"/>
  <c r="BB70" i="5" s="1"/>
  <c r="AY93" i="5"/>
  <c r="BB93" i="5" s="1"/>
  <c r="AY110" i="5"/>
  <c r="AY126" i="5"/>
  <c r="BB126" i="5" s="1"/>
  <c r="AY142" i="5"/>
  <c r="AY158" i="5"/>
  <c r="BB158" i="5" s="1"/>
  <c r="AY166" i="5"/>
  <c r="AY174" i="5"/>
  <c r="BB174" i="5" s="1"/>
  <c r="AY182" i="5"/>
  <c r="BB182" i="5" s="1"/>
  <c r="AY190" i="5"/>
  <c r="BB190" i="5" s="1"/>
  <c r="AY198" i="5"/>
  <c r="BB198" i="5" s="1"/>
  <c r="AY206" i="5"/>
  <c r="BB206" i="5" s="1"/>
  <c r="AY214" i="5"/>
  <c r="AY222" i="5"/>
  <c r="AY230" i="5"/>
  <c r="BB230" i="5" s="1"/>
  <c r="AY238" i="5"/>
  <c r="BB238" i="5" s="1"/>
  <c r="AY246" i="5"/>
  <c r="AY254" i="5"/>
  <c r="BB254" i="5" s="1"/>
  <c r="AY262" i="5"/>
  <c r="AY270" i="5"/>
  <c r="BB270" i="5" s="1"/>
  <c r="AY278" i="5"/>
  <c r="BB278" i="5" s="1"/>
  <c r="AY286" i="5"/>
  <c r="AY294" i="5"/>
  <c r="BB294" i="5" s="1"/>
  <c r="AY302" i="5"/>
  <c r="AY310" i="5"/>
  <c r="BB310" i="5" s="1"/>
  <c r="AY318" i="5"/>
  <c r="BB318" i="5" s="1"/>
  <c r="AY326" i="5"/>
  <c r="AY334" i="5"/>
  <c r="BB334" i="5" s="1"/>
  <c r="AY342" i="5"/>
  <c r="AY350" i="5"/>
  <c r="BB350" i="5" s="1"/>
  <c r="AY358" i="5"/>
  <c r="BB358" i="5" s="1"/>
  <c r="AY366" i="5"/>
  <c r="AY374" i="5"/>
  <c r="BB374" i="5" s="1"/>
  <c r="AY382" i="5"/>
  <c r="BB382" i="5" s="1"/>
  <c r="AY390" i="5"/>
  <c r="BB390" i="5" s="1"/>
  <c r="AY398" i="5"/>
  <c r="AY406" i="5"/>
  <c r="BB406" i="5" s="1"/>
  <c r="AY414" i="5"/>
  <c r="BB414" i="5" s="1"/>
  <c r="AY422" i="5"/>
  <c r="BB422" i="5" s="1"/>
  <c r="AY430" i="5"/>
  <c r="BB430" i="5" s="1"/>
  <c r="AY438" i="5"/>
  <c r="BB438" i="5" s="1"/>
  <c r="AY446" i="5"/>
  <c r="BB446" i="5" s="1"/>
  <c r="AY454" i="5"/>
  <c r="BB454" i="5" s="1"/>
  <c r="AY462" i="5"/>
  <c r="AY470" i="5"/>
  <c r="BB470" i="5" s="1"/>
  <c r="AY478" i="5"/>
  <c r="BB478" i="5" s="1"/>
  <c r="AY486" i="5"/>
  <c r="BB486" i="5" s="1"/>
  <c r="AY494" i="5"/>
  <c r="BB494" i="5" s="1"/>
  <c r="AY502" i="5"/>
  <c r="AY510" i="5"/>
  <c r="BB510" i="5" s="1"/>
  <c r="AY518" i="5"/>
  <c r="AY526" i="5"/>
  <c r="BB526" i="5" s="1"/>
  <c r="AY534" i="5"/>
  <c r="BB534" i="5" s="1"/>
  <c r="AY542" i="5"/>
  <c r="BB542" i="5" s="1"/>
  <c r="AY550" i="5"/>
  <c r="BB550" i="5" s="1"/>
  <c r="AY558" i="5"/>
  <c r="BB558" i="5" s="1"/>
  <c r="AY30" i="5"/>
  <c r="BB30" i="5" s="1"/>
  <c r="AY53" i="5"/>
  <c r="BB53" i="5" s="1"/>
  <c r="AY76" i="5"/>
  <c r="BB76" i="5" s="1"/>
  <c r="AY94" i="5"/>
  <c r="BB94" i="5" s="1"/>
  <c r="AY111" i="5"/>
  <c r="AY127" i="5"/>
  <c r="AY143" i="5"/>
  <c r="BB143" i="5" s="1"/>
  <c r="AY159" i="5"/>
  <c r="BB159" i="5" s="1"/>
  <c r="AY167" i="5"/>
  <c r="BB167" i="5" s="1"/>
  <c r="AY175" i="5"/>
  <c r="AY183" i="5"/>
  <c r="BB183" i="5" s="1"/>
  <c r="AY191" i="5"/>
  <c r="BB191" i="5" s="1"/>
  <c r="AY199" i="5"/>
  <c r="AY207" i="5"/>
  <c r="AY215" i="5"/>
  <c r="BB215" i="5" s="1"/>
  <c r="AY223" i="5"/>
  <c r="AY231" i="5"/>
  <c r="BB231" i="5" s="1"/>
  <c r="AY239" i="5"/>
  <c r="BB239" i="5" s="1"/>
  <c r="AY247" i="5"/>
  <c r="BB247" i="5" s="1"/>
  <c r="AY255" i="5"/>
  <c r="BB255" i="5" s="1"/>
  <c r="AY263" i="5"/>
  <c r="BB263" i="5" s="1"/>
  <c r="AY271" i="5"/>
  <c r="BB271" i="5" s="1"/>
  <c r="AY279" i="5"/>
  <c r="AY287" i="5"/>
  <c r="AY295" i="5"/>
  <c r="BB295" i="5" s="1"/>
  <c r="AY303" i="5"/>
  <c r="BB303" i="5" s="1"/>
  <c r="AY311" i="5"/>
  <c r="BB311" i="5" s="1"/>
  <c r="AY319" i="5"/>
  <c r="AY327" i="5"/>
  <c r="BB327" i="5" s="1"/>
  <c r="AY335" i="5"/>
  <c r="BB335" i="5" s="1"/>
  <c r="AY343" i="5"/>
  <c r="BB343" i="5" s="1"/>
  <c r="AY351" i="5"/>
  <c r="BB351" i="5" s="1"/>
  <c r="AY359" i="5"/>
  <c r="BB359" i="5" s="1"/>
  <c r="AY367" i="5"/>
  <c r="AY375" i="5"/>
  <c r="AY383" i="5"/>
  <c r="BB383" i="5" s="1"/>
  <c r="AY391" i="5"/>
  <c r="BB391" i="5" s="1"/>
  <c r="AY399" i="5"/>
  <c r="BB399" i="5" s="1"/>
  <c r="AY407" i="5"/>
  <c r="AY415" i="5"/>
  <c r="BB415" i="5" s="1"/>
  <c r="AY423" i="5"/>
  <c r="BB423" i="5" s="1"/>
  <c r="AY431" i="5"/>
  <c r="BB431" i="5" s="1"/>
  <c r="AY439" i="5"/>
  <c r="AY447" i="5"/>
  <c r="BB447" i="5" s="1"/>
  <c r="AY455" i="5"/>
  <c r="BB455" i="5" s="1"/>
  <c r="AY463" i="5"/>
  <c r="BB463" i="5" s="1"/>
  <c r="AY471" i="5"/>
  <c r="BB471" i="5" s="1"/>
  <c r="AY479" i="5"/>
  <c r="BB479" i="5" s="1"/>
  <c r="AY487" i="5"/>
  <c r="AY495" i="5"/>
  <c r="BB495" i="5" s="1"/>
  <c r="AY503" i="5"/>
  <c r="BB503" i="5" s="1"/>
  <c r="AY511" i="5"/>
  <c r="AY519" i="5"/>
  <c r="AY527" i="5"/>
  <c r="AY535" i="5"/>
  <c r="BB535" i="5" s="1"/>
  <c r="AY543" i="5"/>
  <c r="BB543" i="5" s="1"/>
  <c r="AY551" i="5"/>
  <c r="BB551" i="5" s="1"/>
  <c r="AY559" i="5"/>
  <c r="BB559" i="5" s="1"/>
  <c r="AY36" i="5"/>
  <c r="BB36" i="5" s="1"/>
  <c r="AY54" i="5"/>
  <c r="AY77" i="5"/>
  <c r="BB77" i="5" s="1"/>
  <c r="AY100" i="5"/>
  <c r="AY116" i="5"/>
  <c r="BB116" i="5" s="1"/>
  <c r="AY132" i="5"/>
  <c r="BB132" i="5" s="1"/>
  <c r="AY148" i="5"/>
  <c r="BB148" i="5" s="1"/>
  <c r="AY160" i="5"/>
  <c r="BB160" i="5" s="1"/>
  <c r="AY168" i="5"/>
  <c r="AY176" i="5"/>
  <c r="BB176" i="5" s="1"/>
  <c r="AY184" i="5"/>
  <c r="AY192" i="5"/>
  <c r="BB192" i="5" s="1"/>
  <c r="AY200" i="5"/>
  <c r="AY208" i="5"/>
  <c r="BB208" i="5" s="1"/>
  <c r="AY216" i="5"/>
  <c r="BB216" i="5" s="1"/>
  <c r="AY224" i="5"/>
  <c r="BB224" i="5" s="1"/>
  <c r="AY232" i="5"/>
  <c r="BB232" i="5" s="1"/>
  <c r="AY240" i="5"/>
  <c r="BB240" i="5" s="1"/>
  <c r="AY248" i="5"/>
  <c r="BB248" i="5" s="1"/>
  <c r="AY256" i="5"/>
  <c r="AY264" i="5"/>
  <c r="BB264" i="5" s="1"/>
  <c r="AY272" i="5"/>
  <c r="BB272" i="5" s="1"/>
  <c r="AY280" i="5"/>
  <c r="BB280" i="5" s="1"/>
  <c r="AY288" i="5"/>
  <c r="AY296" i="5"/>
  <c r="BB296" i="5" s="1"/>
  <c r="AY304" i="5"/>
  <c r="BB304" i="5" s="1"/>
  <c r="AY312" i="5"/>
  <c r="BB312" i="5" s="1"/>
  <c r="AY320" i="5"/>
  <c r="BB320" i="5" s="1"/>
  <c r="AY328" i="5"/>
  <c r="BB328" i="5" s="1"/>
  <c r="AY336" i="5"/>
  <c r="BB336" i="5" s="1"/>
  <c r="AY344" i="5"/>
  <c r="BB344" i="5" s="1"/>
  <c r="AY352" i="5"/>
  <c r="BB352" i="5" s="1"/>
  <c r="AY360" i="5"/>
  <c r="AY368" i="5"/>
  <c r="BB368" i="5" s="1"/>
  <c r="AY376" i="5"/>
  <c r="AY384" i="5"/>
  <c r="AY392" i="5"/>
  <c r="BB392" i="5" s="1"/>
  <c r="AY400" i="5"/>
  <c r="BB400" i="5" s="1"/>
  <c r="AY408" i="5"/>
  <c r="BB408" i="5" s="1"/>
  <c r="AY416" i="5"/>
  <c r="BB416" i="5" s="1"/>
  <c r="AY424" i="5"/>
  <c r="AY432" i="5"/>
  <c r="AY440" i="5"/>
  <c r="BB440" i="5" s="1"/>
  <c r="AY448" i="5"/>
  <c r="AY456" i="5"/>
  <c r="AY464" i="5"/>
  <c r="BB464" i="5" s="1"/>
  <c r="AY472" i="5"/>
  <c r="BB472" i="5" s="1"/>
  <c r="AY480" i="5"/>
  <c r="BB480" i="5" s="1"/>
  <c r="AY488" i="5"/>
  <c r="AY496" i="5"/>
  <c r="BB496" i="5" s="1"/>
  <c r="AY504" i="5"/>
  <c r="BB504" i="5" s="1"/>
  <c r="AY512" i="5"/>
  <c r="BB512" i="5" s="1"/>
  <c r="AY520" i="5"/>
  <c r="BB520" i="5" s="1"/>
  <c r="AY528" i="5"/>
  <c r="AY536" i="5"/>
  <c r="BB536" i="5" s="1"/>
  <c r="AY544" i="5"/>
  <c r="BB544" i="5" s="1"/>
  <c r="AY552" i="5"/>
  <c r="AY560" i="5"/>
  <c r="BB560" i="5" s="1"/>
  <c r="AY37" i="5"/>
  <c r="BB37" i="5" s="1"/>
  <c r="AY60" i="5"/>
  <c r="AY78" i="5"/>
  <c r="AY101" i="5"/>
  <c r="BB101" i="5" s="1"/>
  <c r="AY117" i="5"/>
  <c r="BB117" i="5" s="1"/>
  <c r="AY133" i="5"/>
  <c r="BB133" i="5" s="1"/>
  <c r="AY149" i="5"/>
  <c r="BB149" i="5" s="1"/>
  <c r="AY161" i="5"/>
  <c r="BB161" i="5" s="1"/>
  <c r="AY169" i="5"/>
  <c r="AY177" i="5"/>
  <c r="AY185" i="5"/>
  <c r="BB185" i="5" s="1"/>
  <c r="AY193" i="5"/>
  <c r="BB193" i="5" s="1"/>
  <c r="AY201" i="5"/>
  <c r="BB201" i="5" s="1"/>
  <c r="AY209" i="5"/>
  <c r="BB209" i="5" s="1"/>
  <c r="AY217" i="5"/>
  <c r="BB217" i="5" s="1"/>
  <c r="AY225" i="5"/>
  <c r="BB225" i="5" s="1"/>
  <c r="AY233" i="5"/>
  <c r="BB233" i="5" s="1"/>
  <c r="AY241" i="5"/>
  <c r="AY249" i="5"/>
  <c r="BB249" i="5" s="1"/>
  <c r="AY257" i="5"/>
  <c r="BB257" i="5" s="1"/>
  <c r="AY265" i="5"/>
  <c r="BB265" i="5" s="1"/>
  <c r="AY273" i="5"/>
  <c r="BB273" i="5" s="1"/>
  <c r="AY281" i="5"/>
  <c r="AY289" i="5"/>
  <c r="BB289" i="5" s="1"/>
  <c r="AY297" i="5"/>
  <c r="BB297" i="5" s="1"/>
  <c r="AY305" i="5"/>
  <c r="BB305" i="5" s="1"/>
  <c r="AY313" i="5"/>
  <c r="AY321" i="5"/>
  <c r="AY329" i="5"/>
  <c r="BB329" i="5" s="1"/>
  <c r="AY337" i="5"/>
  <c r="BB337" i="5" s="1"/>
  <c r="AY345" i="5"/>
  <c r="BB345" i="5" s="1"/>
  <c r="AY353" i="5"/>
  <c r="BB353" i="5" s="1"/>
  <c r="AY361" i="5"/>
  <c r="BB361" i="5" s="1"/>
  <c r="AY369" i="5"/>
  <c r="AY377" i="5"/>
  <c r="BB377" i="5" s="1"/>
  <c r="AY385" i="5"/>
  <c r="AY393" i="5"/>
  <c r="BB393" i="5" s="1"/>
  <c r="AY401" i="5"/>
  <c r="BB401" i="5" s="1"/>
  <c r="AY409" i="5"/>
  <c r="AY417" i="5"/>
  <c r="BB417" i="5" s="1"/>
  <c r="AY425" i="5"/>
  <c r="BB425" i="5" s="1"/>
  <c r="AY433" i="5"/>
  <c r="BB433" i="5" s="1"/>
  <c r="AY441" i="5"/>
  <c r="AY449" i="5"/>
  <c r="BB449" i="5" s="1"/>
  <c r="AY457" i="5"/>
  <c r="BB457" i="5" s="1"/>
  <c r="AY465" i="5"/>
  <c r="BB465" i="5" s="1"/>
  <c r="AY473" i="5"/>
  <c r="BB473" i="5" s="1"/>
  <c r="AY481" i="5"/>
  <c r="BB481" i="5" s="1"/>
  <c r="AY489" i="5"/>
  <c r="AY497" i="5"/>
  <c r="BB497" i="5" s="1"/>
  <c r="AY505" i="5"/>
  <c r="AY513" i="5"/>
  <c r="AY521" i="5"/>
  <c r="BB521" i="5" s="1"/>
  <c r="AY529" i="5"/>
  <c r="BB529" i="5" s="1"/>
  <c r="AY537" i="5"/>
  <c r="BB537" i="5" s="1"/>
  <c r="AY545" i="5"/>
  <c r="BB545" i="5" s="1"/>
  <c r="AY553" i="5"/>
  <c r="BB553" i="5" s="1"/>
  <c r="AY20" i="5"/>
  <c r="AY38" i="5"/>
  <c r="AY61" i="5"/>
  <c r="BB61" i="5" s="1"/>
  <c r="AY84" i="5"/>
  <c r="BB84" i="5" s="1"/>
  <c r="AY102" i="5"/>
  <c r="BB102" i="5" s="1"/>
  <c r="AY118" i="5"/>
  <c r="AY134" i="5"/>
  <c r="AY150" i="5"/>
  <c r="BB150" i="5" s="1"/>
  <c r="AY162" i="5"/>
  <c r="BB162" i="5" s="1"/>
  <c r="AY170" i="5"/>
  <c r="BB170" i="5" s="1"/>
  <c r="AY178" i="5"/>
  <c r="BB178" i="5" s="1"/>
  <c r="AY186" i="5"/>
  <c r="BB186" i="5" s="1"/>
  <c r="AY194" i="5"/>
  <c r="BB194" i="5" s="1"/>
  <c r="AY202" i="5"/>
  <c r="BB202" i="5" s="1"/>
  <c r="AY210" i="5"/>
  <c r="BB210" i="5" s="1"/>
  <c r="AY218" i="5"/>
  <c r="AY226" i="5"/>
  <c r="BB226" i="5" s="1"/>
  <c r="AY234" i="5"/>
  <c r="BB234" i="5" s="1"/>
  <c r="AY242" i="5"/>
  <c r="BB242" i="5" s="1"/>
  <c r="AY250" i="5"/>
  <c r="BB250" i="5" s="1"/>
  <c r="AY258" i="5"/>
  <c r="AY266" i="5"/>
  <c r="BB266" i="5" s="1"/>
  <c r="AY274" i="5"/>
  <c r="BB274" i="5" s="1"/>
  <c r="AY282" i="5"/>
  <c r="BB282" i="5" s="1"/>
  <c r="AY290" i="5"/>
  <c r="BB290" i="5" s="1"/>
  <c r="AY298" i="5"/>
  <c r="BB298" i="5" s="1"/>
  <c r="AY306" i="5"/>
  <c r="BB306" i="5" s="1"/>
  <c r="AY314" i="5"/>
  <c r="BB314" i="5" s="1"/>
  <c r="AY322" i="5"/>
  <c r="BB322" i="5" s="1"/>
  <c r="AY330" i="5"/>
  <c r="BB330" i="5" s="1"/>
  <c r="AY338" i="5"/>
  <c r="BB338" i="5" s="1"/>
  <c r="AY346" i="5"/>
  <c r="BB346" i="5" s="1"/>
  <c r="AY354" i="5"/>
  <c r="AY362" i="5"/>
  <c r="BB362" i="5" s="1"/>
  <c r="AY370" i="5"/>
  <c r="BB370" i="5" s="1"/>
  <c r="AY378" i="5"/>
  <c r="BB378" i="5" s="1"/>
  <c r="AY386" i="5"/>
  <c r="BB386" i="5" s="1"/>
  <c r="AY394" i="5"/>
  <c r="BB394" i="5" s="1"/>
  <c r="AY402" i="5"/>
  <c r="BB402" i="5" s="1"/>
  <c r="AY410" i="5"/>
  <c r="BB410" i="5" s="1"/>
  <c r="AY418" i="5"/>
  <c r="AY426" i="5"/>
  <c r="AY434" i="5"/>
  <c r="AY442" i="5"/>
  <c r="AY450" i="5"/>
  <c r="BB450" i="5" s="1"/>
  <c r="AY458" i="5"/>
  <c r="BB458" i="5" s="1"/>
  <c r="AY466" i="5"/>
  <c r="BB466" i="5" s="1"/>
  <c r="AY474" i="5"/>
  <c r="BB474" i="5" s="1"/>
  <c r="AY482" i="5"/>
  <c r="AY490" i="5"/>
  <c r="AY498" i="5"/>
  <c r="BB498" i="5" s="1"/>
  <c r="AY506" i="5"/>
  <c r="BB506" i="5" s="1"/>
  <c r="AY514" i="5"/>
  <c r="AY522" i="5"/>
  <c r="AY530" i="5"/>
  <c r="BB530" i="5" s="1"/>
  <c r="AY538" i="5"/>
  <c r="BB538" i="5" s="1"/>
  <c r="AY546" i="5"/>
  <c r="BB546" i="5" s="1"/>
  <c r="AY554" i="5"/>
  <c r="BB554" i="5" s="1"/>
  <c r="AY21" i="5"/>
  <c r="AY44" i="5"/>
  <c r="BB44" i="5" s="1"/>
  <c r="AY62" i="5"/>
  <c r="BB62" i="5" s="1"/>
  <c r="AY85" i="5"/>
  <c r="BB85" i="5" s="1"/>
  <c r="AY103" i="5"/>
  <c r="BB103" i="5" s="1"/>
  <c r="AY119" i="5"/>
  <c r="AY135" i="5"/>
  <c r="BB135" i="5" s="1"/>
  <c r="AY151" i="5"/>
  <c r="BB151" i="5" s="1"/>
  <c r="AY163" i="5"/>
  <c r="BB163" i="5" s="1"/>
  <c r="AY171" i="5"/>
  <c r="BB171" i="5" s="1"/>
  <c r="AY179" i="5"/>
  <c r="BB179" i="5" s="1"/>
  <c r="AY187" i="5"/>
  <c r="BB187" i="5" s="1"/>
  <c r="AY195" i="5"/>
  <c r="AY203" i="5"/>
  <c r="BB203" i="5" s="1"/>
  <c r="AY211" i="5"/>
  <c r="BB211" i="5" s="1"/>
  <c r="AY219" i="5"/>
  <c r="BB219" i="5" s="1"/>
  <c r="AY227" i="5"/>
  <c r="BB227" i="5" s="1"/>
  <c r="AY235" i="5"/>
  <c r="BB235" i="5" s="1"/>
  <c r="AY243" i="5"/>
  <c r="BB243" i="5" s="1"/>
  <c r="AY251" i="5"/>
  <c r="BB251" i="5" s="1"/>
  <c r="AY259" i="5"/>
  <c r="AY267" i="5"/>
  <c r="BB267" i="5" s="1"/>
  <c r="AY275" i="5"/>
  <c r="AY283" i="5"/>
  <c r="BB283" i="5" s="1"/>
  <c r="AY291" i="5"/>
  <c r="AY299" i="5"/>
  <c r="BB299" i="5" s="1"/>
  <c r="AY307" i="5"/>
  <c r="BB307" i="5" s="1"/>
  <c r="AY315" i="5"/>
  <c r="BB315" i="5" s="1"/>
  <c r="AY323" i="5"/>
  <c r="BB323" i="5" s="1"/>
  <c r="AY331" i="5"/>
  <c r="BB331" i="5" s="1"/>
  <c r="AY339" i="5"/>
  <c r="BB339" i="5" s="1"/>
  <c r="AY347" i="5"/>
  <c r="BB347" i="5" s="1"/>
  <c r="AY355" i="5"/>
  <c r="AY363" i="5"/>
  <c r="BB363" i="5" s="1"/>
  <c r="AY371" i="5"/>
  <c r="BB371" i="5" s="1"/>
  <c r="AY379" i="5"/>
  <c r="BB379" i="5" s="1"/>
  <c r="AY387" i="5"/>
  <c r="BB387" i="5" s="1"/>
  <c r="AY395" i="5"/>
  <c r="AY403" i="5"/>
  <c r="BB403" i="5" s="1"/>
  <c r="AY411" i="5"/>
  <c r="AY419" i="5"/>
  <c r="BB419" i="5" s="1"/>
  <c r="AY427" i="5"/>
  <c r="BB427" i="5" s="1"/>
  <c r="AY435" i="5"/>
  <c r="BB435" i="5" s="1"/>
  <c r="AY443" i="5"/>
  <c r="AY451" i="5"/>
  <c r="AY459" i="5"/>
  <c r="AY467" i="5"/>
  <c r="BB467" i="5" s="1"/>
  <c r="AY475" i="5"/>
  <c r="BB475" i="5" s="1"/>
  <c r="AY483" i="5"/>
  <c r="BB483" i="5" s="1"/>
  <c r="AY491" i="5"/>
  <c r="BB491" i="5" s="1"/>
  <c r="AY499" i="5"/>
  <c r="AY507" i="5"/>
  <c r="AY515" i="5"/>
  <c r="BB515" i="5" s="1"/>
  <c r="AY523" i="5"/>
  <c r="BB523" i="5" s="1"/>
  <c r="AY531" i="5"/>
  <c r="AY539" i="5"/>
  <c r="AY547" i="5"/>
  <c r="AY555" i="5"/>
  <c r="BB555" i="5" s="1"/>
  <c r="AY22" i="5"/>
  <c r="BB22" i="5" s="1"/>
  <c r="AY45" i="5"/>
  <c r="BB45" i="5" s="1"/>
  <c r="AY68" i="5"/>
  <c r="BB68" i="5" s="1"/>
  <c r="AY86" i="5"/>
  <c r="BB86" i="5" s="1"/>
  <c r="AY108" i="5"/>
  <c r="AY124" i="5"/>
  <c r="AY140" i="5"/>
  <c r="BB140" i="5" s="1"/>
  <c r="AY156" i="5"/>
  <c r="BB156" i="5" s="1"/>
  <c r="AY164" i="5"/>
  <c r="BB164" i="5" s="1"/>
  <c r="AY172" i="5"/>
  <c r="BB172" i="5" s="1"/>
  <c r="AY180" i="5"/>
  <c r="BB180" i="5" s="1"/>
  <c r="AY188" i="5"/>
  <c r="BB188" i="5" s="1"/>
  <c r="AY196" i="5"/>
  <c r="BB196" i="5" s="1"/>
  <c r="AY204" i="5"/>
  <c r="BB204" i="5" s="1"/>
  <c r="AY212" i="5"/>
  <c r="BB212" i="5" s="1"/>
  <c r="AY220" i="5"/>
  <c r="BB220" i="5" s="1"/>
  <c r="AY228" i="5"/>
  <c r="BB228" i="5" s="1"/>
  <c r="AY236" i="5"/>
  <c r="BB236" i="5" s="1"/>
  <c r="AY244" i="5"/>
  <c r="BB244" i="5" s="1"/>
  <c r="AY252" i="5"/>
  <c r="AY260" i="5"/>
  <c r="BB260" i="5" s="1"/>
  <c r="AY268" i="5"/>
  <c r="BB268" i="5" s="1"/>
  <c r="AY276" i="5"/>
  <c r="BB276" i="5" s="1"/>
  <c r="AY284" i="5"/>
  <c r="BB284" i="5" s="1"/>
  <c r="AY292" i="5"/>
  <c r="BB292" i="5" s="1"/>
  <c r="AY300" i="5"/>
  <c r="BB300" i="5" s="1"/>
  <c r="AY308" i="5"/>
  <c r="BB308" i="5" s="1"/>
  <c r="AY316" i="5"/>
  <c r="AY324" i="5"/>
  <c r="AY332" i="5"/>
  <c r="BB332" i="5" s="1"/>
  <c r="AY340" i="5"/>
  <c r="BB340" i="5" s="1"/>
  <c r="AY348" i="5"/>
  <c r="BB348" i="5" s="1"/>
  <c r="AY356" i="5"/>
  <c r="BB356" i="5" s="1"/>
  <c r="AY364" i="5"/>
  <c r="BB364" i="5" s="1"/>
  <c r="AY372" i="5"/>
  <c r="AY380" i="5"/>
  <c r="BB380" i="5" s="1"/>
  <c r="AY388" i="5"/>
  <c r="BB388" i="5" s="1"/>
  <c r="AY396" i="5"/>
  <c r="BB396" i="5" s="1"/>
  <c r="AY404" i="5"/>
  <c r="BB404" i="5" s="1"/>
  <c r="AY412" i="5"/>
  <c r="BB412" i="5" s="1"/>
  <c r="AY420" i="5"/>
  <c r="AY428" i="5"/>
  <c r="BB428" i="5" s="1"/>
  <c r="AY436" i="5"/>
  <c r="BB436" i="5" s="1"/>
  <c r="AY444" i="5"/>
  <c r="AY452" i="5"/>
  <c r="BB452" i="5" s="1"/>
  <c r="AY109" i="5"/>
  <c r="BB109" i="5" s="1"/>
  <c r="AY197" i="5"/>
  <c r="BB197" i="5" s="1"/>
  <c r="AY261" i="5"/>
  <c r="BB261" i="5" s="1"/>
  <c r="AY325" i="5"/>
  <c r="BB325" i="5" s="1"/>
  <c r="AY389" i="5"/>
  <c r="BB389" i="5" s="1"/>
  <c r="AY453" i="5"/>
  <c r="BB453" i="5" s="1"/>
  <c r="AY485" i="5"/>
  <c r="BB485" i="5" s="1"/>
  <c r="AY517" i="5"/>
  <c r="AY549" i="5"/>
  <c r="BB549" i="5" s="1"/>
  <c r="AY125" i="5"/>
  <c r="BB125" i="5" s="1"/>
  <c r="AY205" i="5"/>
  <c r="BB205" i="5" s="1"/>
  <c r="AY269" i="5"/>
  <c r="BB269" i="5" s="1"/>
  <c r="AY333" i="5"/>
  <c r="BB333" i="5" s="1"/>
  <c r="AY397" i="5"/>
  <c r="BB397" i="5" s="1"/>
  <c r="AY460" i="5"/>
  <c r="AY492" i="5"/>
  <c r="BB492" i="5" s="1"/>
  <c r="AY524" i="5"/>
  <c r="BB524" i="5" s="1"/>
  <c r="AY556" i="5"/>
  <c r="BB556" i="5" s="1"/>
  <c r="AY141" i="5"/>
  <c r="BB141" i="5" s="1"/>
  <c r="AY213" i="5"/>
  <c r="BB213" i="5" s="1"/>
  <c r="AY277" i="5"/>
  <c r="AY341" i="5"/>
  <c r="BB341" i="5" s="1"/>
  <c r="AY405" i="5"/>
  <c r="BB405" i="5" s="1"/>
  <c r="AY461" i="5"/>
  <c r="AY493" i="5"/>
  <c r="BB493" i="5" s="1"/>
  <c r="AY525" i="5"/>
  <c r="BB525" i="5" s="1"/>
  <c r="AY557" i="5"/>
  <c r="BB557" i="5" s="1"/>
  <c r="AY157" i="5"/>
  <c r="BB157" i="5" s="1"/>
  <c r="AY221" i="5"/>
  <c r="BB221" i="5" s="1"/>
  <c r="AY285" i="5"/>
  <c r="BB285" i="5" s="1"/>
  <c r="AY349" i="5"/>
  <c r="AY413" i="5"/>
  <c r="BB413" i="5" s="1"/>
  <c r="AY468" i="5"/>
  <c r="BB468" i="5" s="1"/>
  <c r="AY500" i="5"/>
  <c r="BB500" i="5" s="1"/>
  <c r="AY532" i="5"/>
  <c r="BB532" i="5" s="1"/>
  <c r="AY28" i="5"/>
  <c r="BB28" i="5" s="1"/>
  <c r="AY165" i="5"/>
  <c r="BB165" i="5" s="1"/>
  <c r="AY229" i="5"/>
  <c r="BB229" i="5" s="1"/>
  <c r="AY293" i="5"/>
  <c r="BB293" i="5" s="1"/>
  <c r="AY357" i="5"/>
  <c r="BB357" i="5" s="1"/>
  <c r="AY421" i="5"/>
  <c r="BB421" i="5" s="1"/>
  <c r="AY469" i="5"/>
  <c r="BB469" i="5" s="1"/>
  <c r="AY501" i="5"/>
  <c r="BB501" i="5" s="1"/>
  <c r="AY533" i="5"/>
  <c r="BB533" i="5" s="1"/>
  <c r="AY69" i="5"/>
  <c r="BB69" i="5" s="1"/>
  <c r="AY181" i="5"/>
  <c r="BB181" i="5" s="1"/>
  <c r="AY245" i="5"/>
  <c r="BB245" i="5" s="1"/>
  <c r="AY309" i="5"/>
  <c r="AY373" i="5"/>
  <c r="BB373" i="5" s="1"/>
  <c r="AY437" i="5"/>
  <c r="BB437" i="5" s="1"/>
  <c r="AY477" i="5"/>
  <c r="BB477" i="5" s="1"/>
  <c r="AY509" i="5"/>
  <c r="BB509" i="5" s="1"/>
  <c r="AY541" i="5"/>
  <c r="BB541" i="5" s="1"/>
  <c r="AY8" i="5"/>
  <c r="AY92" i="5"/>
  <c r="BB92" i="5" s="1"/>
  <c r="AY189" i="5"/>
  <c r="BB189" i="5" s="1"/>
  <c r="AY253" i="5"/>
  <c r="BB253" i="5" s="1"/>
  <c r="AY317" i="5"/>
  <c r="BB317" i="5" s="1"/>
  <c r="AY381" i="5"/>
  <c r="BB381" i="5" s="1"/>
  <c r="AY445" i="5"/>
  <c r="BB445" i="5" s="1"/>
  <c r="AY484" i="5"/>
  <c r="BB484" i="5" s="1"/>
  <c r="AY516" i="5"/>
  <c r="AY548" i="5"/>
  <c r="BB548" i="5" s="1"/>
  <c r="AY476" i="5"/>
  <c r="BB476" i="5" s="1"/>
  <c r="AY7" i="5"/>
  <c r="AY508" i="5"/>
  <c r="BB508" i="5" s="1"/>
  <c r="AY19" i="5"/>
  <c r="BB19" i="5" s="1"/>
  <c r="AY46" i="5"/>
  <c r="BB46" i="5" s="1"/>
  <c r="AY540" i="5"/>
  <c r="BB540" i="5" s="1"/>
  <c r="AY173" i="5"/>
  <c r="AY237" i="5"/>
  <c r="BB237" i="5" s="1"/>
  <c r="AY301" i="5"/>
  <c r="BB301" i="5" s="1"/>
  <c r="AY365" i="5"/>
  <c r="BB365" i="5" s="1"/>
  <c r="AY429" i="5"/>
  <c r="BB429" i="5" s="1"/>
  <c r="BB366" i="5"/>
  <c r="BB279" i="5"/>
  <c r="BB111" i="5"/>
  <c r="BB121" i="5"/>
  <c r="BB169" i="5"/>
  <c r="BB482" i="5"/>
  <c r="BB505" i="5"/>
  <c r="BB119" i="5"/>
  <c r="BB309" i="5"/>
  <c r="BB547" i="5"/>
  <c r="BB349" i="5"/>
  <c r="BB439" i="5"/>
  <c r="BB502" i="5"/>
  <c r="BB63" i="5"/>
  <c r="BB139" i="5"/>
  <c r="BB355" i="5"/>
  <c r="BB424" i="5"/>
  <c r="BB528" i="5"/>
  <c r="BB39" i="5"/>
  <c r="BB195" i="5"/>
  <c r="BB286" i="5"/>
  <c r="BB516" i="5"/>
  <c r="BB207" i="5"/>
  <c r="BB258" i="5"/>
  <c r="BB342" i="5"/>
  <c r="BB451" i="5"/>
  <c r="BB490" i="5"/>
  <c r="BB26" i="5"/>
  <c r="BB54" i="5"/>
  <c r="BB113" i="5"/>
  <c r="BB246" i="5"/>
  <c r="BB375" i="5"/>
  <c r="BB441" i="5"/>
  <c r="BB79" i="5"/>
  <c r="BB313" i="5"/>
  <c r="BB100" i="5"/>
  <c r="BB43" i="5"/>
  <c r="BB99" i="5"/>
  <c r="BB376" i="5"/>
  <c r="BB384" i="5"/>
  <c r="BB372" i="5"/>
  <c r="BB432" i="5"/>
  <c r="BB166" i="5"/>
  <c r="BB75" i="5"/>
  <c r="BB127" i="5"/>
  <c r="BB177" i="5"/>
  <c r="BB487" i="5"/>
  <c r="BB507" i="5"/>
  <c r="BB489" i="5"/>
  <c r="BB124" i="5"/>
  <c r="BB241" i="5"/>
  <c r="BB442" i="5"/>
  <c r="BB518" i="5"/>
  <c r="BB20" i="5"/>
  <c r="BB81" i="5"/>
  <c r="BB168" i="5"/>
  <c r="BB367" i="5"/>
  <c r="BB443" i="5"/>
  <c r="BB519" i="5"/>
  <c r="BB153" i="5"/>
  <c r="BB281" i="5"/>
  <c r="BB434" i="5"/>
  <c r="BB539" i="5"/>
  <c r="BB142" i="5"/>
  <c r="BB199" i="5"/>
  <c r="BB287" i="5"/>
  <c r="BB360" i="5"/>
  <c r="BB395" i="5"/>
  <c r="BB517" i="5"/>
  <c r="BB222" i="5"/>
  <c r="BB259" i="5"/>
  <c r="BB418" i="5"/>
  <c r="BB456" i="5"/>
  <c r="BB514" i="5"/>
  <c r="BB25" i="5"/>
  <c r="BB64" i="5"/>
  <c r="BB114" i="5"/>
  <c r="BB319" i="5"/>
  <c r="BB407" i="5"/>
  <c r="BB448" i="5"/>
  <c r="BB511" i="5"/>
  <c r="BB252" i="5"/>
  <c r="BB291" i="5"/>
  <c r="BB134" i="5"/>
  <c r="BB324" i="5"/>
  <c r="BB110" i="5"/>
  <c r="BB499" i="5"/>
  <c r="BB138" i="5"/>
  <c r="BB426" i="5"/>
  <c r="BB385" i="5"/>
  <c r="BB60" i="5"/>
  <c r="BB200" i="5"/>
  <c r="BB21" i="5"/>
  <c r="BB78" i="5"/>
  <c r="BB302" i="5"/>
  <c r="BB354" i="5"/>
  <c r="BB488" i="5"/>
  <c r="BB531" i="5"/>
  <c r="BB38" i="5"/>
  <c r="BB131" i="5"/>
  <c r="BB214" i="5"/>
  <c r="BB256" i="5"/>
  <c r="BB316" i="5"/>
  <c r="BB444" i="5"/>
  <c r="BB41" i="5"/>
  <c r="BB83" i="5"/>
  <c r="BB277" i="5"/>
  <c r="BB326" i="5"/>
  <c r="BB460" i="5"/>
  <c r="BB527" i="5"/>
  <c r="BB74" i="5"/>
  <c r="BB173" i="5"/>
  <c r="BB398" i="5"/>
  <c r="BB461" i="5"/>
  <c r="BB552" i="5"/>
  <c r="BB51" i="5"/>
  <c r="BB218" i="5"/>
  <c r="BB288" i="5"/>
  <c r="BB411" i="5"/>
  <c r="BB522" i="5"/>
  <c r="BB71" i="5"/>
  <c r="BB108" i="5"/>
  <c r="BB184" i="5"/>
  <c r="BB223" i="5"/>
  <c r="BB275" i="5"/>
  <c r="BB369" i="5"/>
  <c r="BB420" i="5"/>
  <c r="BB462" i="5"/>
  <c r="BB27" i="5"/>
  <c r="BB67" i="5"/>
  <c r="BB118" i="5"/>
  <c r="BB175" i="5"/>
  <c r="BB262" i="5"/>
  <c r="BB321" i="5"/>
  <c r="BB409" i="5"/>
  <c r="BB459" i="5"/>
  <c r="BB513" i="5"/>
  <c r="M8" i="8"/>
  <c r="B152" i="3"/>
  <c r="M8" i="6"/>
  <c r="N12" i="5"/>
  <c r="AS12" i="5" s="1"/>
  <c r="B48" i="5"/>
  <c r="B146" i="3"/>
  <c r="B55" i="5"/>
  <c r="B12" i="5"/>
  <c r="AY12" i="5" l="1"/>
  <c r="BA421" i="5"/>
  <c r="AZ421" i="5"/>
  <c r="BA446" i="5"/>
  <c r="AZ446" i="5"/>
  <c r="BA29" i="5"/>
  <c r="AZ29" i="5"/>
  <c r="AZ352" i="5"/>
  <c r="BA352" i="5"/>
  <c r="AZ497" i="5"/>
  <c r="BA497" i="5"/>
  <c r="BA170" i="5"/>
  <c r="AZ170" i="5"/>
  <c r="BA411" i="5"/>
  <c r="AZ411" i="5"/>
  <c r="AZ319" i="5"/>
  <c r="BA319" i="5"/>
  <c r="AZ367" i="5"/>
  <c r="BA367" i="5"/>
  <c r="AZ203" i="5"/>
  <c r="BA203" i="5"/>
  <c r="AZ494" i="5"/>
  <c r="BA494" i="5"/>
  <c r="AZ137" i="5"/>
  <c r="BA137" i="5"/>
  <c r="BA90" i="5"/>
  <c r="AZ90" i="5"/>
  <c r="BA168" i="5"/>
  <c r="AZ168" i="5"/>
  <c r="AZ44" i="5"/>
  <c r="BA44" i="5"/>
  <c r="BA144" i="5"/>
  <c r="AZ144" i="5"/>
  <c r="BA66" i="5"/>
  <c r="AZ66" i="5"/>
  <c r="BA65" i="5"/>
  <c r="AZ65" i="5"/>
  <c r="BA140" i="5"/>
  <c r="AZ140" i="5"/>
  <c r="AZ416" i="5"/>
  <c r="BA416" i="5"/>
  <c r="AZ504" i="5"/>
  <c r="BA504" i="5"/>
  <c r="BA516" i="5"/>
  <c r="AZ516" i="5"/>
  <c r="AZ51" i="5"/>
  <c r="BA51" i="5"/>
  <c r="BA249" i="5"/>
  <c r="AZ249" i="5"/>
  <c r="BA401" i="5"/>
  <c r="AZ401" i="5"/>
  <c r="BA148" i="5"/>
  <c r="AZ148" i="5"/>
  <c r="AZ355" i="5"/>
  <c r="BA355" i="5"/>
  <c r="BA534" i="5"/>
  <c r="AZ534" i="5"/>
  <c r="BA306" i="5"/>
  <c r="AZ306" i="5"/>
  <c r="BA188" i="5"/>
  <c r="AZ188" i="5"/>
  <c r="BA207" i="5"/>
  <c r="AZ207" i="5"/>
  <c r="BA281" i="5"/>
  <c r="AZ281" i="5"/>
  <c r="AZ508" i="5"/>
  <c r="BA508" i="5"/>
  <c r="BA328" i="5"/>
  <c r="AZ328" i="5"/>
  <c r="AZ435" i="5"/>
  <c r="BA435" i="5"/>
  <c r="BA379" i="5"/>
  <c r="AZ379" i="5"/>
  <c r="BA80" i="5"/>
  <c r="AZ80" i="5"/>
  <c r="AZ177" i="5"/>
  <c r="BA177" i="5"/>
  <c r="BA68" i="5"/>
  <c r="AZ68" i="5"/>
  <c r="BA533" i="5"/>
  <c r="AZ533" i="5"/>
  <c r="BA287" i="5"/>
  <c r="AZ287" i="5"/>
  <c r="AZ204" i="5"/>
  <c r="BA204" i="5"/>
  <c r="BA161" i="5"/>
  <c r="AZ161" i="5"/>
  <c r="BA297" i="5"/>
  <c r="AZ297" i="5"/>
  <c r="BA112" i="5"/>
  <c r="AZ112" i="5"/>
  <c r="AV524" i="5"/>
  <c r="AV505" i="5"/>
  <c r="AV502" i="5"/>
  <c r="AV496" i="5"/>
  <c r="AV475" i="5"/>
  <c r="AV468" i="5"/>
  <c r="AV435" i="5"/>
  <c r="AV432" i="5"/>
  <c r="AV428" i="5"/>
  <c r="AV418" i="5"/>
  <c r="AV414" i="5"/>
  <c r="AV398" i="5"/>
  <c r="AV389" i="5"/>
  <c r="AV375" i="5"/>
  <c r="AV371" i="5"/>
  <c r="AV350" i="5"/>
  <c r="AV306" i="5"/>
  <c r="AV294" i="5"/>
  <c r="AV286" i="5"/>
  <c r="AV251" i="5"/>
  <c r="AV229" i="5"/>
  <c r="AV227" i="5"/>
  <c r="AV225" i="5"/>
  <c r="AV528" i="5"/>
  <c r="AV518" i="5"/>
  <c r="AV480" i="5"/>
  <c r="AV469" i="5"/>
  <c r="AV445" i="5"/>
  <c r="AV430" i="5"/>
  <c r="AV406" i="5"/>
  <c r="AV382" i="5"/>
  <c r="AV367" i="5"/>
  <c r="AV322" i="5"/>
  <c r="AV317" i="5"/>
  <c r="AV309" i="5"/>
  <c r="AV303" i="5"/>
  <c r="AV279" i="5"/>
  <c r="AV276" i="5"/>
  <c r="AV261" i="5"/>
  <c r="AV254" i="5"/>
  <c r="AV246" i="5"/>
  <c r="AV237" i="5"/>
  <c r="AV233" i="5"/>
  <c r="AV218" i="5"/>
  <c r="AV214" i="5"/>
  <c r="AV206" i="5"/>
  <c r="AV557" i="5"/>
  <c r="AV546" i="5"/>
  <c r="AV535" i="5"/>
  <c r="AV504" i="5"/>
  <c r="AV487" i="5"/>
  <c r="AV394" i="5"/>
  <c r="AV384" i="5"/>
  <c r="AV365" i="5"/>
  <c r="AV356" i="5"/>
  <c r="AV348" i="5"/>
  <c r="AV346" i="5"/>
  <c r="AV338" i="5"/>
  <c r="AV320" i="5"/>
  <c r="AV299" i="5"/>
  <c r="AV273" i="5"/>
  <c r="AV267" i="5"/>
  <c r="AV257" i="5"/>
  <c r="AV230" i="5"/>
  <c r="AV197" i="5"/>
  <c r="AV194" i="5"/>
  <c r="AV538" i="5"/>
  <c r="AV529" i="5"/>
  <c r="AV498" i="5"/>
  <c r="AV484" i="5"/>
  <c r="AV458" i="5"/>
  <c r="AV457" i="5"/>
  <c r="AV454" i="5"/>
  <c r="AV440" i="5"/>
  <c r="AV433" i="5"/>
  <c r="AV425" i="5"/>
  <c r="AV385" i="5"/>
  <c r="AV358" i="5"/>
  <c r="AV344" i="5"/>
  <c r="AV341" i="5"/>
  <c r="AV329" i="5"/>
  <c r="AV262" i="5"/>
  <c r="AV187" i="5"/>
  <c r="AV532" i="5"/>
  <c r="AV482" i="5"/>
  <c r="AV474" i="5"/>
  <c r="AV463" i="5"/>
  <c r="AV449" i="5"/>
  <c r="AV442" i="5"/>
  <c r="AV401" i="5"/>
  <c r="AV390" i="5"/>
  <c r="AV372" i="5"/>
  <c r="AV353" i="5"/>
  <c r="AV336" i="5"/>
  <c r="AV333" i="5"/>
  <c r="AV313" i="5"/>
  <c r="AV305" i="5"/>
  <c r="AV295" i="5"/>
  <c r="AV277" i="5"/>
  <c r="AV238" i="5"/>
  <c r="AV235" i="5"/>
  <c r="AV219" i="5"/>
  <c r="AV195" i="5"/>
  <c r="AV547" i="5"/>
  <c r="AV542" i="5"/>
  <c r="AV525" i="5"/>
  <c r="AV515" i="5"/>
  <c r="AV510" i="5"/>
  <c r="AV509" i="5"/>
  <c r="AV479" i="5"/>
  <c r="AV471" i="5"/>
  <c r="AV466" i="5"/>
  <c r="AV446" i="5"/>
  <c r="AV434" i="5"/>
  <c r="AV422" i="5"/>
  <c r="AV420" i="5"/>
  <c r="AV412" i="5"/>
  <c r="AV407" i="5"/>
  <c r="AV404" i="5"/>
  <c r="AV376" i="5"/>
  <c r="AV361" i="5"/>
  <c r="AV349" i="5"/>
  <c r="AV316" i="5"/>
  <c r="AV310" i="5"/>
  <c r="AV300" i="5"/>
  <c r="AV275" i="5"/>
  <c r="AV270" i="5"/>
  <c r="AV268" i="5"/>
  <c r="AV243" i="5"/>
  <c r="AV226" i="5"/>
  <c r="AV221" i="5"/>
  <c r="AV198" i="5"/>
  <c r="AV193" i="5"/>
  <c r="AV556" i="5"/>
  <c r="AV539" i="5"/>
  <c r="AV536" i="5"/>
  <c r="AV533" i="5"/>
  <c r="AV523" i="5"/>
  <c r="AV497" i="5"/>
  <c r="AV417" i="5"/>
  <c r="AV368" i="5"/>
  <c r="AV366" i="5"/>
  <c r="AV357" i="5"/>
  <c r="AV330" i="5"/>
  <c r="AV321" i="5"/>
  <c r="AV266" i="5"/>
  <c r="AV263" i="5"/>
  <c r="AV250" i="5"/>
  <c r="AV245" i="5"/>
  <c r="AV222" i="5"/>
  <c r="AV213" i="5"/>
  <c r="AV205" i="5"/>
  <c r="AV202" i="5"/>
  <c r="AV184" i="5"/>
  <c r="AV537" i="5"/>
  <c r="AV325" i="5"/>
  <c r="AV157" i="5"/>
  <c r="AV153" i="5"/>
  <c r="AV127" i="5"/>
  <c r="AV120" i="5"/>
  <c r="AV89" i="5"/>
  <c r="AV73" i="5"/>
  <c r="AV63" i="5"/>
  <c r="AV55" i="5"/>
  <c r="AV47" i="5"/>
  <c r="AV26" i="5"/>
  <c r="AV172" i="5"/>
  <c r="AV110" i="5"/>
  <c r="AV517" i="5"/>
  <c r="AV512" i="5"/>
  <c r="AV180" i="5"/>
  <c r="AV168" i="5"/>
  <c r="AV151" i="5"/>
  <c r="AV149" i="5"/>
  <c r="AV132" i="5"/>
  <c r="AV111" i="5"/>
  <c r="AV103" i="5"/>
  <c r="AV101" i="5"/>
  <c r="AV95" i="5"/>
  <c r="AV81" i="5"/>
  <c r="AV74" i="5"/>
  <c r="AV23" i="5"/>
  <c r="AV486" i="5"/>
  <c r="AV337" i="5"/>
  <c r="AV185" i="5"/>
  <c r="AV182" i="5"/>
  <c r="AV173" i="5"/>
  <c r="AV169" i="5"/>
  <c r="AV160" i="5"/>
  <c r="AV87" i="5"/>
  <c r="AV85" i="5"/>
  <c r="AV40" i="5"/>
  <c r="AV31" i="5"/>
  <c r="AV176" i="5"/>
  <c r="AV437" i="5"/>
  <c r="AV423" i="5"/>
  <c r="AV165" i="5"/>
  <c r="AV161" i="5"/>
  <c r="AV158" i="5"/>
  <c r="AV143" i="5"/>
  <c r="AV135" i="5"/>
  <c r="AV128" i="5"/>
  <c r="AV123" i="5"/>
  <c r="AV112" i="5"/>
  <c r="AV108" i="5"/>
  <c r="AV104" i="5"/>
  <c r="AV88" i="5"/>
  <c r="AV373" i="5"/>
  <c r="AV258" i="5"/>
  <c r="AV152" i="5"/>
  <c r="AV115" i="5"/>
  <c r="AV34" i="5"/>
  <c r="AV551" i="5"/>
  <c r="AV405" i="5"/>
  <c r="AV387" i="5"/>
  <c r="AV345" i="5"/>
  <c r="AV302" i="5"/>
  <c r="AV278" i="5"/>
  <c r="AV189" i="5"/>
  <c r="AV174" i="5"/>
  <c r="AV98" i="5"/>
  <c r="AV64" i="5"/>
  <c r="AV56" i="5"/>
  <c r="AV48" i="5"/>
  <c r="AV33" i="5"/>
  <c r="AV80" i="5"/>
  <c r="AV541" i="5"/>
  <c r="AV289" i="5"/>
  <c r="AV210" i="5"/>
  <c r="AV192" i="5"/>
  <c r="AV181" i="5"/>
  <c r="AV148" i="5"/>
  <c r="AV134" i="5"/>
  <c r="AV119" i="5"/>
  <c r="AV100" i="5"/>
  <c r="AV84" i="5"/>
  <c r="AV39" i="5"/>
  <c r="AV25" i="5"/>
  <c r="AV553" i="5"/>
  <c r="AV483" i="5"/>
  <c r="AV450" i="5"/>
  <c r="AV177" i="5"/>
  <c r="AV144" i="5"/>
  <c r="AV139" i="5"/>
  <c r="AV131" i="5"/>
  <c r="AV86" i="5"/>
  <c r="AV66" i="5"/>
  <c r="AV65" i="5"/>
  <c r="AV58" i="5"/>
  <c r="AV57" i="5"/>
  <c r="AV50" i="5"/>
  <c r="AV49" i="5"/>
  <c r="AV42" i="5"/>
  <c r="AV41" i="5"/>
  <c r="AV409" i="5"/>
  <c r="AV136" i="5"/>
  <c r="AV36" i="5"/>
  <c r="AV118" i="5"/>
  <c r="AV52" i="5"/>
  <c r="AV560" i="5"/>
  <c r="AV492" i="5"/>
  <c r="AV77" i="5"/>
  <c r="AV99" i="5"/>
  <c r="AV69" i="5"/>
  <c r="AV97" i="5"/>
  <c r="AV204" i="5"/>
  <c r="AV271" i="5"/>
  <c r="AV285" i="5"/>
  <c r="AV282" i="5"/>
  <c r="AV297" i="5"/>
  <c r="AV304" i="5"/>
  <c r="AV124" i="5"/>
  <c r="AV126" i="5"/>
  <c r="AV78" i="5"/>
  <c r="AV60" i="5"/>
  <c r="AV426" i="5"/>
  <c r="AV217" i="5"/>
  <c r="AV326" i="5"/>
  <c r="AV342" i="5"/>
  <c r="AV75" i="5"/>
  <c r="AV96" i="5"/>
  <c r="AV35" i="5"/>
  <c r="AV59" i="5"/>
  <c r="AV91" i="5"/>
  <c r="AV29" i="5"/>
  <c r="AV140" i="5"/>
  <c r="AV130" i="5"/>
  <c r="AV175" i="5"/>
  <c r="AV154" i="5"/>
  <c r="AV142" i="5"/>
  <c r="AV150" i="5"/>
  <c r="AV207" i="5"/>
  <c r="AV191" i="5"/>
  <c r="AV236" i="5"/>
  <c r="AV231" i="5"/>
  <c r="AV252" i="5"/>
  <c r="AV287" i="5"/>
  <c r="AV292" i="5"/>
  <c r="AV293" i="5"/>
  <c r="AV323" i="5"/>
  <c r="AV311" i="5"/>
  <c r="AV116" i="5"/>
  <c r="AV415" i="5"/>
  <c r="AV443" i="5"/>
  <c r="AV76" i="5"/>
  <c r="AV102" i="5"/>
  <c r="AV70" i="5"/>
  <c r="AV90" i="5"/>
  <c r="AV133" i="5"/>
  <c r="AV129" i="5"/>
  <c r="AV183" i="5"/>
  <c r="AV220" i="5"/>
  <c r="AV211" i="5"/>
  <c r="AV224" i="5"/>
  <c r="AV249" i="5"/>
  <c r="AV291" i="5"/>
  <c r="AV234" i="5"/>
  <c r="AV506" i="5"/>
  <c r="AV431" i="5"/>
  <c r="AV478" i="5"/>
  <c r="AV462" i="5"/>
  <c r="AV493" i="5"/>
  <c r="AV32" i="5"/>
  <c r="AV51" i="5"/>
  <c r="AV92" i="5"/>
  <c r="AV22" i="5"/>
  <c r="AV38" i="5"/>
  <c r="AV54" i="5"/>
  <c r="AV105" i="5"/>
  <c r="AV113" i="5"/>
  <c r="AV137" i="5"/>
  <c r="AV141" i="5"/>
  <c r="AV146" i="5"/>
  <c r="AV147" i="5"/>
  <c r="AV162" i="5"/>
  <c r="AV178" i="5"/>
  <c r="AV209" i="5"/>
  <c r="AV208" i="5"/>
  <c r="AV215" i="5"/>
  <c r="AV239" i="5"/>
  <c r="AV244" i="5"/>
  <c r="AV255" i="5"/>
  <c r="AV256" i="5"/>
  <c r="AV298" i="5"/>
  <c r="AV272" i="5"/>
  <c r="AV343" i="5"/>
  <c r="AV489" i="5"/>
  <c r="AV544" i="5"/>
  <c r="AV109" i="5"/>
  <c r="AV19" i="5"/>
  <c r="AV82" i="5"/>
  <c r="AV159" i="5"/>
  <c r="AV156" i="5"/>
  <c r="AV164" i="5"/>
  <c r="AV212" i="5"/>
  <c r="AV223" i="5"/>
  <c r="AV269" i="5"/>
  <c r="AV264" i="5"/>
  <c r="AV283" i="5"/>
  <c r="AV359" i="5"/>
  <c r="AV301" i="5"/>
  <c r="AV20" i="5"/>
  <c r="AV190" i="5"/>
  <c r="AV280" i="5"/>
  <c r="AV93" i="5"/>
  <c r="AV83" i="5"/>
  <c r="AV43" i="5"/>
  <c r="AV67" i="5"/>
  <c r="AV94" i="5"/>
  <c r="AV45" i="5"/>
  <c r="AV121" i="5"/>
  <c r="AV122" i="5"/>
  <c r="AV125" i="5"/>
  <c r="AV138" i="5"/>
  <c r="AV166" i="5"/>
  <c r="AV186" i="5"/>
  <c r="AV155" i="5"/>
  <c r="AV167" i="5"/>
  <c r="AV163" i="5"/>
  <c r="AV201" i="5"/>
  <c r="AV253" i="5"/>
  <c r="AV260" i="5"/>
  <c r="AV259" i="5"/>
  <c r="AV334" i="5"/>
  <c r="AV324" i="5"/>
  <c r="AV179" i="5"/>
  <c r="AV265" i="5"/>
  <c r="AV72" i="5"/>
  <c r="AV53" i="5"/>
  <c r="AV21" i="5"/>
  <c r="AV79" i="5"/>
  <c r="AV106" i="5"/>
  <c r="AV24" i="5"/>
  <c r="AV107" i="5"/>
  <c r="AV203" i="5"/>
  <c r="AV196" i="5"/>
  <c r="AV216" i="5"/>
  <c r="AV232" i="5"/>
  <c r="AV247" i="5"/>
  <c r="AV242" i="5"/>
  <c r="AV241" i="5"/>
  <c r="AV284" i="5"/>
  <c r="AV328" i="5"/>
  <c r="AV308" i="5"/>
  <c r="AV28" i="5"/>
  <c r="AV37" i="5"/>
  <c r="AV240" i="5"/>
  <c r="AV248" i="5"/>
  <c r="AV335" i="5"/>
  <c r="AV374" i="5"/>
  <c r="AV381" i="5"/>
  <c r="AV410" i="5"/>
  <c r="AV447" i="5"/>
  <c r="AV452" i="5"/>
  <c r="AV444" i="5"/>
  <c r="AV485" i="5"/>
  <c r="AV522" i="5"/>
  <c r="AV526" i="5"/>
  <c r="AV534" i="5"/>
  <c r="AV545" i="5"/>
  <c r="AV362" i="5"/>
  <c r="AV550" i="5"/>
  <c r="AV27" i="5"/>
  <c r="AV46" i="5"/>
  <c r="AV228" i="5"/>
  <c r="AV307" i="5"/>
  <c r="AV360" i="5"/>
  <c r="AV380" i="5"/>
  <c r="AV386" i="5"/>
  <c r="AV378" i="5"/>
  <c r="AV490" i="5"/>
  <c r="AV476" i="5"/>
  <c r="AV516" i="5"/>
  <c r="AV491" i="5"/>
  <c r="AV531" i="5"/>
  <c r="AV527" i="5"/>
  <c r="AV44" i="5"/>
  <c r="AV171" i="5"/>
  <c r="AV290" i="5"/>
  <c r="AV314" i="5"/>
  <c r="AV354" i="5"/>
  <c r="AV315" i="5"/>
  <c r="AV363" i="5"/>
  <c r="AV393" i="5"/>
  <c r="AV408" i="5"/>
  <c r="AV436" i="5"/>
  <c r="AV448" i="5"/>
  <c r="AV460" i="5"/>
  <c r="AV481" i="5"/>
  <c r="AV473" i="5"/>
  <c r="AV488" i="5"/>
  <c r="AV508" i="5"/>
  <c r="AV554" i="5"/>
  <c r="AV558" i="5"/>
  <c r="AV555" i="5"/>
  <c r="AV429" i="5"/>
  <c r="AV494" i="5"/>
  <c r="AV540" i="5"/>
  <c r="AV68" i="5"/>
  <c r="AV71" i="5"/>
  <c r="AV188" i="5"/>
  <c r="AV312" i="5"/>
  <c r="AV327" i="5"/>
  <c r="AV383" i="5"/>
  <c r="AV391" i="5"/>
  <c r="AV392" i="5"/>
  <c r="AV413" i="5"/>
  <c r="AV439" i="5"/>
  <c r="AV451" i="5"/>
  <c r="AV453" i="5"/>
  <c r="AV470" i="5"/>
  <c r="AV495" i="5"/>
  <c r="AV520" i="5"/>
  <c r="AV548" i="5"/>
  <c r="AV199" i="5"/>
  <c r="AV464" i="5"/>
  <c r="AV552" i="5"/>
  <c r="AV30" i="5"/>
  <c r="AV114" i="5"/>
  <c r="AV117" i="5"/>
  <c r="AV281" i="5"/>
  <c r="AV355" i="5"/>
  <c r="AV318" i="5"/>
  <c r="AV347" i="5"/>
  <c r="AV369" i="5"/>
  <c r="AV370" i="5"/>
  <c r="AV379" i="5"/>
  <c r="AV419" i="5"/>
  <c r="AV399" i="5"/>
  <c r="AV377" i="5"/>
  <c r="AV403" i="5"/>
  <c r="AV411" i="5"/>
  <c r="AV455" i="5"/>
  <c r="AV461" i="5"/>
  <c r="AV500" i="5"/>
  <c r="AV513" i="5"/>
  <c r="AV519" i="5"/>
  <c r="AV340" i="5"/>
  <c r="AV352" i="5"/>
  <c r="AV511" i="5"/>
  <c r="AV288" i="5"/>
  <c r="AV331" i="5"/>
  <c r="AV351" i="5"/>
  <c r="AV395" i="5"/>
  <c r="AV424" i="5"/>
  <c r="AV388" i="5"/>
  <c r="AV397" i="5"/>
  <c r="AV421" i="5"/>
  <c r="AV438" i="5"/>
  <c r="AV427" i="5"/>
  <c r="AV465" i="5"/>
  <c r="AV441" i="5"/>
  <c r="AV456" i="5"/>
  <c r="AV459" i="5"/>
  <c r="AV501" i="5"/>
  <c r="AV503" i="5"/>
  <c r="AV530" i="5"/>
  <c r="AV296" i="5"/>
  <c r="AV61" i="5"/>
  <c r="AV62" i="5"/>
  <c r="AV170" i="5"/>
  <c r="AV145" i="5"/>
  <c r="AV200" i="5"/>
  <c r="AV319" i="5"/>
  <c r="AV332" i="5"/>
  <c r="AV339" i="5"/>
  <c r="AV396" i="5"/>
  <c r="AV402" i="5"/>
  <c r="AV400" i="5"/>
  <c r="AV477" i="5"/>
  <c r="AV472" i="5"/>
  <c r="AV467" i="5"/>
  <c r="AV499" i="5"/>
  <c r="AV507" i="5"/>
  <c r="AV514" i="5"/>
  <c r="AV521" i="5"/>
  <c r="AV549" i="5"/>
  <c r="AV559" i="5"/>
  <c r="AV274" i="5"/>
  <c r="AV364" i="5"/>
  <c r="AV416" i="5"/>
  <c r="AV543" i="5"/>
  <c r="BA33" i="5"/>
  <c r="AZ33" i="5"/>
  <c r="BA165" i="5"/>
  <c r="AZ165" i="5"/>
  <c r="BA91" i="5"/>
  <c r="AZ91" i="5"/>
  <c r="BA38" i="5"/>
  <c r="AZ38" i="5"/>
  <c r="BA384" i="5"/>
  <c r="AZ384" i="5"/>
  <c r="BA430" i="5"/>
  <c r="AZ430" i="5"/>
  <c r="AZ202" i="5"/>
  <c r="BA202" i="5"/>
  <c r="BA308" i="5"/>
  <c r="AZ308" i="5"/>
  <c r="BA409" i="5"/>
  <c r="AZ409" i="5"/>
  <c r="BA506" i="5"/>
  <c r="AZ506" i="5"/>
  <c r="BA213" i="5"/>
  <c r="AZ213" i="5"/>
  <c r="AZ366" i="5"/>
  <c r="BA366" i="5"/>
  <c r="BA547" i="5"/>
  <c r="AZ547" i="5"/>
  <c r="BA275" i="5"/>
  <c r="AZ275" i="5"/>
  <c r="BA431" i="5"/>
  <c r="AZ431" i="5"/>
  <c r="BA552" i="5"/>
  <c r="AZ552" i="5"/>
  <c r="BA333" i="5"/>
  <c r="AZ333" i="5"/>
  <c r="BA434" i="5"/>
  <c r="AZ434" i="5"/>
  <c r="BA291" i="5"/>
  <c r="AZ291" i="5"/>
  <c r="AZ457" i="5"/>
  <c r="BA457" i="5"/>
  <c r="AZ538" i="5"/>
  <c r="BA538" i="5"/>
  <c r="BA269" i="5"/>
  <c r="AZ269" i="5"/>
  <c r="AZ448" i="5"/>
  <c r="BA448" i="5"/>
  <c r="AZ510" i="5"/>
  <c r="BA510" i="5"/>
  <c r="BA273" i="5"/>
  <c r="AZ273" i="5"/>
  <c r="BA499" i="5"/>
  <c r="AZ499" i="5"/>
  <c r="AZ370" i="5"/>
  <c r="BA370" i="5"/>
  <c r="BA543" i="5"/>
  <c r="AZ543" i="5"/>
  <c r="BA334" i="5"/>
  <c r="AZ334" i="5"/>
  <c r="BA519" i="5"/>
  <c r="AZ519" i="5"/>
  <c r="AZ389" i="5"/>
  <c r="BA389" i="5"/>
  <c r="BA282" i="5"/>
  <c r="AZ282" i="5"/>
  <c r="BA501" i="5"/>
  <c r="AZ501" i="5"/>
  <c r="BA415" i="5"/>
  <c r="AZ415" i="5"/>
  <c r="AZ279" i="5"/>
  <c r="BA279" i="5"/>
  <c r="AZ481" i="5"/>
  <c r="BA481" i="5"/>
  <c r="AZ236" i="5"/>
  <c r="BA236" i="5"/>
  <c r="BA449" i="5"/>
  <c r="AZ449" i="5"/>
  <c r="BA164" i="5"/>
  <c r="AZ164" i="5"/>
  <c r="BA526" i="5"/>
  <c r="AZ526" i="5"/>
  <c r="BA440" i="5"/>
  <c r="AZ440" i="5"/>
  <c r="BA383" i="5"/>
  <c r="AZ383" i="5"/>
  <c r="BA59" i="5"/>
  <c r="AZ59" i="5"/>
  <c r="AZ496" i="5"/>
  <c r="BA496" i="5"/>
  <c r="BA410" i="5"/>
  <c r="AZ410" i="5"/>
  <c r="BA310" i="5"/>
  <c r="AZ310" i="5"/>
  <c r="BA200" i="5"/>
  <c r="AZ200" i="5"/>
  <c r="AZ187" i="5"/>
  <c r="BA187" i="5"/>
  <c r="BA83" i="5"/>
  <c r="AZ83" i="5"/>
  <c r="BA303" i="5"/>
  <c r="AZ303" i="5"/>
  <c r="AZ212" i="5"/>
  <c r="BA212" i="5"/>
  <c r="AZ32" i="5"/>
  <c r="BA32" i="5"/>
  <c r="AZ195" i="5"/>
  <c r="BA195" i="5"/>
  <c r="AZ206" i="5"/>
  <c r="BA206" i="5"/>
  <c r="BA216" i="5"/>
  <c r="AZ216" i="5"/>
  <c r="AZ109" i="5"/>
  <c r="BA109" i="5"/>
  <c r="AZ359" i="5"/>
  <c r="BA359" i="5"/>
  <c r="AZ178" i="5"/>
  <c r="BA178" i="5"/>
  <c r="AZ113" i="5"/>
  <c r="BA113" i="5"/>
  <c r="AZ193" i="5"/>
  <c r="BA193" i="5"/>
  <c r="BA198" i="5"/>
  <c r="AZ198" i="5"/>
  <c r="BA69" i="5"/>
  <c r="AZ69" i="5"/>
  <c r="BA274" i="5"/>
  <c r="AZ274" i="5"/>
  <c r="BA116" i="5"/>
  <c r="AZ116" i="5"/>
  <c r="AZ71" i="5"/>
  <c r="BA71" i="5"/>
  <c r="AZ79" i="5"/>
  <c r="BA79" i="5"/>
  <c r="AZ171" i="5"/>
  <c r="BA171" i="5"/>
  <c r="AZ52" i="5"/>
  <c r="BA52" i="5"/>
  <c r="BA39" i="5"/>
  <c r="AZ39" i="5"/>
  <c r="BA84" i="5"/>
  <c r="AZ84" i="5"/>
  <c r="BA25" i="5"/>
  <c r="AZ25" i="5"/>
  <c r="BA176" i="5"/>
  <c r="AZ176" i="5"/>
  <c r="AZ34" i="5"/>
  <c r="BA34" i="5"/>
  <c r="AZ194" i="5"/>
  <c r="BA194" i="5"/>
  <c r="AZ99" i="5"/>
  <c r="BA99" i="5"/>
  <c r="AZ87" i="5"/>
  <c r="BA87" i="5"/>
  <c r="BA210" i="5"/>
  <c r="AZ210" i="5"/>
  <c r="AZ456" i="5"/>
  <c r="BA456" i="5"/>
  <c r="BA250" i="5"/>
  <c r="AZ250" i="5"/>
  <c r="AZ321" i="5"/>
  <c r="BA321" i="5"/>
  <c r="AZ414" i="5"/>
  <c r="BA414" i="5"/>
  <c r="BA521" i="5"/>
  <c r="AZ521" i="5"/>
  <c r="BA217" i="5"/>
  <c r="AZ217" i="5"/>
  <c r="BA427" i="5"/>
  <c r="AZ427" i="5"/>
  <c r="AZ208" i="5"/>
  <c r="BA208" i="5"/>
  <c r="BA277" i="5"/>
  <c r="AZ277" i="5"/>
  <c r="BA436" i="5"/>
  <c r="AZ436" i="5"/>
  <c r="BA555" i="5"/>
  <c r="AZ555" i="5"/>
  <c r="BA336" i="5"/>
  <c r="AZ336" i="5"/>
  <c r="BA461" i="5"/>
  <c r="AZ461" i="5"/>
  <c r="AZ296" i="5"/>
  <c r="BA296" i="5"/>
  <c r="AZ458" i="5"/>
  <c r="BA458" i="5"/>
  <c r="BA546" i="5"/>
  <c r="AZ546" i="5"/>
  <c r="AZ276" i="5"/>
  <c r="BA276" i="5"/>
  <c r="AZ487" i="5"/>
  <c r="BA487" i="5"/>
  <c r="BA524" i="5"/>
  <c r="AZ524" i="5"/>
  <c r="BA364" i="5"/>
  <c r="AZ364" i="5"/>
  <c r="BA505" i="5"/>
  <c r="AZ505" i="5"/>
  <c r="BA419" i="5"/>
  <c r="AZ419" i="5"/>
  <c r="AZ245" i="5"/>
  <c r="BA245" i="5"/>
  <c r="AZ495" i="5"/>
  <c r="BA495" i="5"/>
  <c r="BA392" i="5"/>
  <c r="AZ392" i="5"/>
  <c r="BA520" i="5"/>
  <c r="AZ520" i="5"/>
  <c r="BA375" i="5"/>
  <c r="AZ375" i="5"/>
  <c r="BA418" i="5"/>
  <c r="AZ418" i="5"/>
  <c r="BA438" i="5"/>
  <c r="AZ438" i="5"/>
  <c r="BA155" i="5"/>
  <c r="AZ155" i="5"/>
  <c r="AZ502" i="5"/>
  <c r="BA502" i="5"/>
  <c r="BA423" i="5"/>
  <c r="AZ423" i="5"/>
  <c r="BA357" i="5"/>
  <c r="AZ357" i="5"/>
  <c r="BA463" i="5"/>
  <c r="AZ463" i="5"/>
  <c r="BA488" i="5"/>
  <c r="AZ488" i="5"/>
  <c r="AZ407" i="5"/>
  <c r="BA407" i="5"/>
  <c r="BA304" i="5"/>
  <c r="AZ304" i="5"/>
  <c r="BA223" i="5"/>
  <c r="AZ223" i="5"/>
  <c r="BA154" i="5"/>
  <c r="AZ154" i="5"/>
  <c r="AZ292" i="5"/>
  <c r="BA292" i="5"/>
  <c r="AZ300" i="5"/>
  <c r="BA300" i="5"/>
  <c r="AZ159" i="5"/>
  <c r="BA159" i="5"/>
  <c r="AZ43" i="5"/>
  <c r="BA43" i="5"/>
  <c r="BA185" i="5"/>
  <c r="AZ185" i="5"/>
  <c r="BA372" i="5"/>
  <c r="AZ372" i="5"/>
  <c r="AZ225" i="5"/>
  <c r="BA225" i="5"/>
  <c r="BA78" i="5"/>
  <c r="AZ78" i="5"/>
  <c r="AZ260" i="5"/>
  <c r="BA260" i="5"/>
  <c r="AZ183" i="5"/>
  <c r="BA183" i="5"/>
  <c r="BA53" i="5"/>
  <c r="AZ53" i="5"/>
  <c r="BA67" i="5"/>
  <c r="AZ67" i="5"/>
  <c r="BA182" i="5"/>
  <c r="AZ182" i="5"/>
  <c r="BA77" i="5"/>
  <c r="AZ77" i="5"/>
  <c r="BA251" i="5"/>
  <c r="AZ251" i="5"/>
  <c r="AZ133" i="5"/>
  <c r="BA133" i="5"/>
  <c r="BA57" i="5"/>
  <c r="AZ57" i="5"/>
  <c r="BA103" i="5"/>
  <c r="AZ103" i="5"/>
  <c r="AZ229" i="5"/>
  <c r="BA229" i="5"/>
  <c r="BA60" i="5"/>
  <c r="AZ60" i="5"/>
  <c r="BA131" i="5"/>
  <c r="AZ131" i="5"/>
  <c r="BA115" i="5"/>
  <c r="AZ115" i="5"/>
  <c r="BA23" i="5"/>
  <c r="AZ23" i="5"/>
  <c r="BA179" i="5"/>
  <c r="AZ179" i="5"/>
  <c r="BA46" i="5"/>
  <c r="AZ46" i="5"/>
  <c r="BA312" i="5"/>
  <c r="AZ312" i="5"/>
  <c r="BA123" i="5"/>
  <c r="AZ123" i="5"/>
  <c r="AZ101" i="5"/>
  <c r="BA101" i="5"/>
  <c r="AZ335" i="5"/>
  <c r="BA335" i="5"/>
  <c r="BA475" i="5"/>
  <c r="AZ475" i="5"/>
  <c r="AZ252" i="5"/>
  <c r="BA252" i="5"/>
  <c r="BA325" i="5"/>
  <c r="AZ325" i="5"/>
  <c r="BA428" i="5"/>
  <c r="AZ428" i="5"/>
  <c r="AZ523" i="5"/>
  <c r="BA523" i="5"/>
  <c r="AZ226" i="5"/>
  <c r="BA226" i="5"/>
  <c r="BA437" i="5"/>
  <c r="AZ437" i="5"/>
  <c r="BA221" i="5"/>
  <c r="AZ221" i="5"/>
  <c r="AZ305" i="5"/>
  <c r="BA305" i="5"/>
  <c r="BA442" i="5"/>
  <c r="AZ442" i="5"/>
  <c r="BA224" i="5"/>
  <c r="AZ224" i="5"/>
  <c r="BA344" i="5"/>
  <c r="AZ344" i="5"/>
  <c r="AZ489" i="5"/>
  <c r="BA489" i="5"/>
  <c r="BA320" i="5"/>
  <c r="AZ320" i="5"/>
  <c r="BA478" i="5"/>
  <c r="AZ478" i="5"/>
  <c r="BA196" i="5"/>
  <c r="AZ196" i="5"/>
  <c r="AZ299" i="5"/>
  <c r="BA299" i="5"/>
  <c r="BA514" i="5"/>
  <c r="AZ514" i="5"/>
  <c r="BA107" i="5"/>
  <c r="AZ107" i="5"/>
  <c r="BA480" i="5"/>
  <c r="AZ480" i="5"/>
  <c r="AZ388" i="5"/>
  <c r="BA388" i="5"/>
  <c r="BA395" i="5"/>
  <c r="AZ395" i="5"/>
  <c r="AZ399" i="5"/>
  <c r="BA399" i="5"/>
  <c r="AZ295" i="5"/>
  <c r="BA295" i="5"/>
  <c r="BA452" i="5"/>
  <c r="AZ452" i="5"/>
  <c r="BA553" i="5"/>
  <c r="AZ553" i="5"/>
  <c r="AZ500" i="5"/>
  <c r="BA500" i="5"/>
  <c r="AZ447" i="5"/>
  <c r="BA447" i="5"/>
  <c r="AZ374" i="5"/>
  <c r="BA374" i="5"/>
  <c r="BA404" i="5"/>
  <c r="AZ404" i="5"/>
  <c r="BA476" i="5"/>
  <c r="AZ476" i="5"/>
  <c r="BA386" i="5"/>
  <c r="AZ386" i="5"/>
  <c r="BA94" i="5"/>
  <c r="AZ94" i="5"/>
  <c r="AZ192" i="5"/>
  <c r="BA192" i="5"/>
  <c r="BA134" i="5"/>
  <c r="AZ134" i="5"/>
  <c r="BA257" i="5"/>
  <c r="AZ257" i="5"/>
  <c r="AZ267" i="5"/>
  <c r="BA267" i="5"/>
  <c r="BA132" i="5"/>
  <c r="AZ132" i="5"/>
  <c r="BA40" i="5"/>
  <c r="AZ40" i="5"/>
  <c r="BA151" i="5"/>
  <c r="AZ151" i="5"/>
  <c r="BA24" i="5"/>
  <c r="AZ24" i="5"/>
  <c r="BA136" i="5"/>
  <c r="AZ136" i="5"/>
  <c r="BA199" i="5"/>
  <c r="AZ199" i="5"/>
  <c r="AZ255" i="5"/>
  <c r="BA255" i="5"/>
  <c r="AZ162" i="5"/>
  <c r="BA162" i="5"/>
  <c r="BA37" i="5"/>
  <c r="AZ37" i="5"/>
  <c r="BA146" i="5"/>
  <c r="AZ146" i="5"/>
  <c r="BA153" i="5"/>
  <c r="AZ153" i="5"/>
  <c r="AZ96" i="5"/>
  <c r="BA96" i="5"/>
  <c r="AZ239" i="5"/>
  <c r="BA239" i="5"/>
  <c r="AZ88" i="5"/>
  <c r="BA88" i="5"/>
  <c r="BA102" i="5"/>
  <c r="AZ102" i="5"/>
  <c r="AZ111" i="5"/>
  <c r="BA111" i="5"/>
  <c r="BA86" i="5"/>
  <c r="AZ86" i="5"/>
  <c r="AZ73" i="5"/>
  <c r="BA73" i="5"/>
  <c r="BA30" i="5"/>
  <c r="AZ30" i="5"/>
  <c r="AZ125" i="5"/>
  <c r="BA125" i="5"/>
  <c r="AZ48" i="5"/>
  <c r="BA48" i="5"/>
  <c r="BA294" i="5"/>
  <c r="AZ294" i="5"/>
  <c r="BA54" i="5"/>
  <c r="AZ54" i="5"/>
  <c r="BA445" i="5"/>
  <c r="AZ445" i="5"/>
  <c r="AZ175" i="5"/>
  <c r="BA175" i="5"/>
  <c r="BA106" i="5"/>
  <c r="AZ106" i="5"/>
  <c r="AZ337" i="5"/>
  <c r="BA337" i="5"/>
  <c r="BA483" i="5"/>
  <c r="AZ483" i="5"/>
  <c r="BA258" i="5"/>
  <c r="AZ258" i="5"/>
  <c r="AZ343" i="5"/>
  <c r="BA343" i="5"/>
  <c r="BA432" i="5"/>
  <c r="AZ432" i="5"/>
  <c r="BA545" i="5"/>
  <c r="AZ545" i="5"/>
  <c r="AZ280" i="5"/>
  <c r="BA280" i="5"/>
  <c r="AZ466" i="5"/>
  <c r="BA466" i="5"/>
  <c r="BA243" i="5"/>
  <c r="AZ243" i="5"/>
  <c r="BA313" i="5"/>
  <c r="AZ313" i="5"/>
  <c r="BA482" i="5"/>
  <c r="AZ482" i="5"/>
  <c r="BA238" i="5"/>
  <c r="AZ238" i="5"/>
  <c r="BA390" i="5"/>
  <c r="AZ390" i="5"/>
  <c r="BA498" i="5"/>
  <c r="AZ498" i="5"/>
  <c r="AZ341" i="5"/>
  <c r="BA341" i="5"/>
  <c r="BA492" i="5"/>
  <c r="AZ492" i="5"/>
  <c r="BA197" i="5"/>
  <c r="AZ197" i="5"/>
  <c r="BA309" i="5"/>
  <c r="AZ309" i="5"/>
  <c r="BA528" i="5"/>
  <c r="AZ528" i="5"/>
  <c r="AZ451" i="5"/>
  <c r="BA451" i="5"/>
  <c r="AZ82" i="5"/>
  <c r="BA82" i="5"/>
  <c r="BA462" i="5"/>
  <c r="AZ462" i="5"/>
  <c r="AZ347" i="5"/>
  <c r="BA347" i="5"/>
  <c r="BA444" i="5"/>
  <c r="AZ444" i="5"/>
  <c r="AZ484" i="5"/>
  <c r="BA484" i="5"/>
  <c r="BA402" i="5"/>
  <c r="AZ402" i="5"/>
  <c r="BA124" i="5"/>
  <c r="AZ124" i="5"/>
  <c r="BA385" i="5"/>
  <c r="AZ385" i="5"/>
  <c r="AZ548" i="5"/>
  <c r="BA548" i="5"/>
  <c r="BA412" i="5"/>
  <c r="AZ412" i="5"/>
  <c r="BA493" i="5"/>
  <c r="AZ493" i="5"/>
  <c r="BA470" i="5"/>
  <c r="AZ470" i="5"/>
  <c r="BA397" i="5"/>
  <c r="AZ397" i="5"/>
  <c r="BA314" i="5"/>
  <c r="AZ314" i="5"/>
  <c r="AZ559" i="5"/>
  <c r="BA559" i="5"/>
  <c r="BA471" i="5"/>
  <c r="AZ471" i="5"/>
  <c r="AZ380" i="5"/>
  <c r="BA380" i="5"/>
  <c r="BA332" i="5"/>
  <c r="AZ332" i="5"/>
  <c r="AZ167" i="5"/>
  <c r="BA167" i="5"/>
  <c r="AZ104" i="5"/>
  <c r="BA104" i="5"/>
  <c r="AZ253" i="5"/>
  <c r="BA253" i="5"/>
  <c r="AZ284" i="5"/>
  <c r="BA284" i="5"/>
  <c r="BA105" i="5"/>
  <c r="AZ105" i="5"/>
  <c r="AZ301" i="5"/>
  <c r="BA301" i="5"/>
  <c r="BA186" i="5"/>
  <c r="AZ186" i="5"/>
  <c r="AZ27" i="5"/>
  <c r="BA27" i="5"/>
  <c r="BA147" i="5"/>
  <c r="AZ147" i="5"/>
  <c r="BA228" i="5"/>
  <c r="AZ228" i="5"/>
  <c r="BA265" i="5"/>
  <c r="AZ265" i="5"/>
  <c r="BA174" i="5"/>
  <c r="AZ174" i="5"/>
  <c r="BA21" i="5"/>
  <c r="AZ21" i="5"/>
  <c r="BA172" i="5"/>
  <c r="AZ172" i="5"/>
  <c r="BA120" i="5"/>
  <c r="AZ120" i="5"/>
  <c r="AZ222" i="5"/>
  <c r="BA222" i="5"/>
  <c r="AZ240" i="5"/>
  <c r="BA240" i="5"/>
  <c r="BA72" i="5"/>
  <c r="AZ72" i="5"/>
  <c r="AZ19" i="5"/>
  <c r="BA19" i="5"/>
  <c r="BA114" i="5"/>
  <c r="AZ114" i="5"/>
  <c r="BA119" i="5"/>
  <c r="AZ119" i="5"/>
  <c r="BA81" i="5"/>
  <c r="AZ81" i="5"/>
  <c r="BA36" i="5"/>
  <c r="AZ36" i="5"/>
  <c r="BA152" i="5"/>
  <c r="AZ152" i="5"/>
  <c r="AZ56" i="5"/>
  <c r="BA56" i="5"/>
  <c r="BA473" i="5"/>
  <c r="AZ473" i="5"/>
  <c r="BA62" i="5"/>
  <c r="AZ62" i="5"/>
  <c r="AZ453" i="5"/>
  <c r="BA453" i="5"/>
  <c r="BA406" i="5"/>
  <c r="AZ406" i="5"/>
  <c r="BA160" i="5"/>
  <c r="AZ160" i="5"/>
  <c r="AZ345" i="5"/>
  <c r="BA345" i="5"/>
  <c r="BA512" i="5"/>
  <c r="AZ512" i="5"/>
  <c r="BA266" i="5"/>
  <c r="AZ266" i="5"/>
  <c r="BA350" i="5"/>
  <c r="AZ350" i="5"/>
  <c r="BA450" i="5"/>
  <c r="AZ450" i="5"/>
  <c r="BA556" i="5"/>
  <c r="AZ556" i="5"/>
  <c r="AZ293" i="5"/>
  <c r="BA293" i="5"/>
  <c r="BA479" i="5"/>
  <c r="AZ479" i="5"/>
  <c r="BA248" i="5"/>
  <c r="AZ248" i="5"/>
  <c r="BA360" i="5"/>
  <c r="AZ360" i="5"/>
  <c r="BA511" i="5"/>
  <c r="AZ511" i="5"/>
  <c r="BA241" i="5"/>
  <c r="AZ241" i="5"/>
  <c r="AZ408" i="5"/>
  <c r="BA408" i="5"/>
  <c r="BA509" i="5"/>
  <c r="AZ509" i="5"/>
  <c r="BA353" i="5"/>
  <c r="AZ353" i="5"/>
  <c r="AZ507" i="5"/>
  <c r="BA507" i="5"/>
  <c r="AZ218" i="5"/>
  <c r="BA218" i="5"/>
  <c r="AZ327" i="5"/>
  <c r="BA327" i="5"/>
  <c r="AZ544" i="5"/>
  <c r="BA544" i="5"/>
  <c r="BA403" i="5"/>
  <c r="AZ403" i="5"/>
  <c r="BA474" i="5"/>
  <c r="AZ474" i="5"/>
  <c r="BA469" i="5"/>
  <c r="AZ469" i="5"/>
  <c r="BA351" i="5"/>
  <c r="AZ351" i="5"/>
  <c r="AZ400" i="5"/>
  <c r="BA400" i="5"/>
  <c r="BA467" i="5"/>
  <c r="AZ467" i="5"/>
  <c r="BA330" i="5"/>
  <c r="AZ330" i="5"/>
  <c r="BA551" i="5"/>
  <c r="AZ551" i="5"/>
  <c r="BA322" i="5"/>
  <c r="AZ322" i="5"/>
  <c r="BA541" i="5"/>
  <c r="AZ541" i="5"/>
  <c r="BA378" i="5"/>
  <c r="AZ378" i="5"/>
  <c r="BA426" i="5"/>
  <c r="AZ426" i="5"/>
  <c r="AZ485" i="5"/>
  <c r="BA485" i="5"/>
  <c r="BA393" i="5"/>
  <c r="AZ393" i="5"/>
  <c r="BA285" i="5"/>
  <c r="AZ285" i="5"/>
  <c r="BA557" i="5"/>
  <c r="AZ557" i="5"/>
  <c r="BA490" i="5"/>
  <c r="AZ490" i="5"/>
  <c r="BA373" i="5"/>
  <c r="AZ373" i="5"/>
  <c r="BA233" i="5"/>
  <c r="AZ233" i="5"/>
  <c r="BA180" i="5"/>
  <c r="AZ180" i="5"/>
  <c r="BA76" i="5"/>
  <c r="AZ76" i="5"/>
  <c r="BA454" i="5"/>
  <c r="AZ454" i="5"/>
  <c r="BA219" i="5"/>
  <c r="AZ219" i="5"/>
  <c r="BA85" i="5"/>
  <c r="AZ85" i="5"/>
  <c r="BA259" i="5"/>
  <c r="AZ259" i="5"/>
  <c r="AZ166" i="5"/>
  <c r="BA166" i="5"/>
  <c r="BA283" i="5"/>
  <c r="AZ283" i="5"/>
  <c r="BA100" i="5"/>
  <c r="AZ100" i="5"/>
  <c r="BA130" i="5"/>
  <c r="AZ130" i="5"/>
  <c r="BA244" i="5"/>
  <c r="AZ244" i="5"/>
  <c r="AZ158" i="5"/>
  <c r="BA158" i="5"/>
  <c r="AZ75" i="5"/>
  <c r="BA75" i="5"/>
  <c r="BA289" i="5"/>
  <c r="AZ289" i="5"/>
  <c r="AZ129" i="5"/>
  <c r="BA129" i="5"/>
  <c r="BA394" i="5"/>
  <c r="AZ394" i="5"/>
  <c r="BA201" i="5"/>
  <c r="AZ201" i="5"/>
  <c r="BA339" i="5"/>
  <c r="AZ339" i="5"/>
  <c r="BA47" i="5"/>
  <c r="AZ47" i="5"/>
  <c r="BA127" i="5"/>
  <c r="AZ127" i="5"/>
  <c r="BA181" i="5"/>
  <c r="AZ181" i="5"/>
  <c r="BA89" i="5"/>
  <c r="AZ89" i="5"/>
  <c r="AZ42" i="5"/>
  <c r="BA42" i="5"/>
  <c r="BA254" i="5"/>
  <c r="AZ254" i="5"/>
  <c r="AZ64" i="5"/>
  <c r="BA64" i="5"/>
  <c r="BA41" i="5"/>
  <c r="AZ41" i="5"/>
  <c r="BA108" i="5"/>
  <c r="AZ108" i="5"/>
  <c r="AZ93" i="5"/>
  <c r="BA93" i="5"/>
  <c r="BA49" i="5"/>
  <c r="AZ49" i="5"/>
  <c r="BA173" i="5"/>
  <c r="AZ173" i="5"/>
  <c r="BA363" i="5"/>
  <c r="AZ363" i="5"/>
  <c r="AZ517" i="5"/>
  <c r="BA517" i="5"/>
  <c r="BA272" i="5"/>
  <c r="AZ272" i="5"/>
  <c r="BA368" i="5"/>
  <c r="AZ368" i="5"/>
  <c r="BA468" i="5"/>
  <c r="AZ468" i="5"/>
  <c r="AZ560" i="5"/>
  <c r="BA560" i="5"/>
  <c r="BA298" i="5"/>
  <c r="AZ298" i="5"/>
  <c r="AZ491" i="5"/>
  <c r="BA491" i="5"/>
  <c r="AZ264" i="5"/>
  <c r="BA264" i="5"/>
  <c r="BA361" i="5"/>
  <c r="AZ361" i="5"/>
  <c r="BA513" i="5"/>
  <c r="AZ513" i="5"/>
  <c r="BA262" i="5"/>
  <c r="AZ262" i="5"/>
  <c r="BA420" i="5"/>
  <c r="AZ420" i="5"/>
  <c r="BA525" i="5"/>
  <c r="AZ525" i="5"/>
  <c r="BA356" i="5"/>
  <c r="AZ356" i="5"/>
  <c r="AZ522" i="5"/>
  <c r="BA522" i="5"/>
  <c r="AZ230" i="5"/>
  <c r="BA230" i="5"/>
  <c r="BA348" i="5"/>
  <c r="AZ348" i="5"/>
  <c r="BA424" i="5"/>
  <c r="AZ424" i="5"/>
  <c r="BA377" i="5"/>
  <c r="AZ377" i="5"/>
  <c r="AZ472" i="5"/>
  <c r="BA472" i="5"/>
  <c r="BA338" i="5"/>
  <c r="AZ338" i="5"/>
  <c r="BA558" i="5"/>
  <c r="AZ558" i="5"/>
  <c r="BA459" i="5"/>
  <c r="AZ459" i="5"/>
  <c r="AZ331" i="5"/>
  <c r="BA331" i="5"/>
  <c r="AZ554" i="5"/>
  <c r="BA554" i="5"/>
  <c r="BA342" i="5"/>
  <c r="AZ342" i="5"/>
  <c r="BA527" i="5"/>
  <c r="AZ527" i="5"/>
  <c r="BA391" i="5"/>
  <c r="AZ391" i="5"/>
  <c r="AZ307" i="5"/>
  <c r="BA307" i="5"/>
  <c r="BA455" i="5"/>
  <c r="AZ455" i="5"/>
  <c r="BA381" i="5"/>
  <c r="AZ381" i="5"/>
  <c r="BA271" i="5"/>
  <c r="AZ271" i="5"/>
  <c r="BA540" i="5"/>
  <c r="AZ540" i="5"/>
  <c r="AZ443" i="5"/>
  <c r="BA443" i="5"/>
  <c r="AZ396" i="5"/>
  <c r="BA396" i="5"/>
  <c r="BA227" i="5"/>
  <c r="AZ227" i="5"/>
  <c r="BA156" i="5"/>
  <c r="AZ156" i="5"/>
  <c r="BA61" i="5"/>
  <c r="AZ61" i="5"/>
  <c r="AZ35" i="5"/>
  <c r="BA35" i="5"/>
  <c r="BA247" i="5"/>
  <c r="AZ247" i="5"/>
  <c r="BA209" i="5"/>
  <c r="AZ209" i="5"/>
  <c r="AZ235" i="5"/>
  <c r="BA235" i="5"/>
  <c r="BA138" i="5"/>
  <c r="AZ138" i="5"/>
  <c r="AZ263" i="5"/>
  <c r="BA263" i="5"/>
  <c r="BA92" i="5"/>
  <c r="AZ92" i="5"/>
  <c r="BA141" i="5"/>
  <c r="AZ141" i="5"/>
  <c r="BA234" i="5"/>
  <c r="AZ234" i="5"/>
  <c r="BA128" i="5"/>
  <c r="AZ128" i="5"/>
  <c r="BA242" i="5"/>
  <c r="AZ242" i="5"/>
  <c r="AZ211" i="5"/>
  <c r="BA211" i="5"/>
  <c r="BA110" i="5"/>
  <c r="AZ110" i="5"/>
  <c r="BA340" i="5"/>
  <c r="AZ340" i="5"/>
  <c r="AZ145" i="5"/>
  <c r="BA145" i="5"/>
  <c r="BA324" i="5"/>
  <c r="AZ324" i="5"/>
  <c r="BA55" i="5"/>
  <c r="AZ55" i="5"/>
  <c r="BA149" i="5"/>
  <c r="AZ149" i="5"/>
  <c r="AZ22" i="5"/>
  <c r="BA22" i="5"/>
  <c r="AZ95" i="5"/>
  <c r="BA95" i="5"/>
  <c r="AZ50" i="5"/>
  <c r="BA50" i="5"/>
  <c r="AZ286" i="5"/>
  <c r="BA286" i="5"/>
  <c r="BA70" i="5"/>
  <c r="AZ70" i="5"/>
  <c r="AZ117" i="5"/>
  <c r="BA117" i="5"/>
  <c r="BA118" i="5"/>
  <c r="AZ118" i="5"/>
  <c r="BA157" i="5"/>
  <c r="AZ157" i="5"/>
  <c r="BA139" i="5"/>
  <c r="AZ139" i="5"/>
  <c r="BA237" i="5"/>
  <c r="AZ237" i="5"/>
  <c r="BA382" i="5"/>
  <c r="AZ382" i="5"/>
  <c r="AZ549" i="5"/>
  <c r="BA549" i="5"/>
  <c r="AZ278" i="5"/>
  <c r="BA278" i="5"/>
  <c r="BA387" i="5"/>
  <c r="AZ387" i="5"/>
  <c r="AZ486" i="5"/>
  <c r="BA486" i="5"/>
  <c r="BA184" i="5"/>
  <c r="AZ184" i="5"/>
  <c r="BA316" i="5"/>
  <c r="AZ316" i="5"/>
  <c r="AZ536" i="5"/>
  <c r="BA536" i="5"/>
  <c r="AZ268" i="5"/>
  <c r="BA268" i="5"/>
  <c r="BA376" i="5"/>
  <c r="AZ376" i="5"/>
  <c r="AZ515" i="5"/>
  <c r="BA515" i="5"/>
  <c r="AZ311" i="5"/>
  <c r="BA311" i="5"/>
  <c r="BA422" i="5"/>
  <c r="AZ422" i="5"/>
  <c r="AZ529" i="5"/>
  <c r="BA529" i="5"/>
  <c r="AZ365" i="5"/>
  <c r="BA365" i="5"/>
  <c r="BA532" i="5"/>
  <c r="AZ532" i="5"/>
  <c r="BA246" i="5"/>
  <c r="AZ246" i="5"/>
  <c r="AZ358" i="5"/>
  <c r="BA358" i="5"/>
  <c r="AZ477" i="5"/>
  <c r="BA477" i="5"/>
  <c r="BA429" i="5"/>
  <c r="AZ429" i="5"/>
  <c r="BA232" i="5"/>
  <c r="AZ232" i="5"/>
  <c r="BA413" i="5"/>
  <c r="AZ413" i="5"/>
  <c r="BA318" i="5"/>
  <c r="AZ318" i="5"/>
  <c r="AZ530" i="5"/>
  <c r="BA530" i="5"/>
  <c r="BA465" i="5"/>
  <c r="AZ465" i="5"/>
  <c r="BA326" i="5"/>
  <c r="AZ326" i="5"/>
  <c r="BA518" i="5"/>
  <c r="AZ518" i="5"/>
  <c r="AZ354" i="5"/>
  <c r="BA354" i="5"/>
  <c r="BA531" i="5"/>
  <c r="AZ531" i="5"/>
  <c r="BA369" i="5"/>
  <c r="AZ369" i="5"/>
  <c r="BA539" i="5"/>
  <c r="AZ539" i="5"/>
  <c r="BA464" i="5"/>
  <c r="AZ464" i="5"/>
  <c r="BA371" i="5"/>
  <c r="AZ371" i="5"/>
  <c r="BA169" i="5"/>
  <c r="AZ169" i="5"/>
  <c r="BA537" i="5"/>
  <c r="AZ537" i="5"/>
  <c r="BA439" i="5"/>
  <c r="AZ439" i="5"/>
  <c r="BA362" i="5"/>
  <c r="AZ362" i="5"/>
  <c r="BA231" i="5"/>
  <c r="AZ231" i="5"/>
  <c r="BA143" i="5"/>
  <c r="AZ143" i="5"/>
  <c r="BA45" i="5"/>
  <c r="AZ45" i="5"/>
  <c r="BA122" i="5"/>
  <c r="AZ122" i="5"/>
  <c r="BA190" i="5"/>
  <c r="AZ190" i="5"/>
  <c r="AZ214" i="5"/>
  <c r="BA214" i="5"/>
  <c r="AZ215" i="5"/>
  <c r="BA215" i="5"/>
  <c r="AZ121" i="5"/>
  <c r="BA121" i="5"/>
  <c r="AZ256" i="5"/>
  <c r="BA256" i="5"/>
  <c r="BA74" i="5"/>
  <c r="AZ74" i="5"/>
  <c r="BA290" i="5"/>
  <c r="AZ290" i="5"/>
  <c r="AZ191" i="5"/>
  <c r="BA191" i="5"/>
  <c r="BA126" i="5"/>
  <c r="AZ126" i="5"/>
  <c r="BA460" i="5"/>
  <c r="AZ460" i="5"/>
  <c r="AZ220" i="5"/>
  <c r="BA220" i="5"/>
  <c r="BA97" i="5"/>
  <c r="AZ97" i="5"/>
  <c r="AZ323" i="5"/>
  <c r="BA323" i="5"/>
  <c r="AZ150" i="5"/>
  <c r="BA150" i="5"/>
  <c r="AZ346" i="5"/>
  <c r="BA346" i="5"/>
  <c r="BA63" i="5"/>
  <c r="AZ63" i="5"/>
  <c r="BA163" i="5"/>
  <c r="AZ163" i="5"/>
  <c r="AZ26" i="5"/>
  <c r="BA26" i="5"/>
  <c r="AZ142" i="5"/>
  <c r="BA142" i="5"/>
  <c r="AZ58" i="5"/>
  <c r="BA58" i="5"/>
  <c r="AZ315" i="5"/>
  <c r="BA315" i="5"/>
  <c r="BA98" i="5"/>
  <c r="AZ98" i="5"/>
  <c r="AZ20" i="5"/>
  <c r="BA20" i="5"/>
  <c r="BA135" i="5"/>
  <c r="AZ135" i="5"/>
  <c r="BA31" i="5"/>
  <c r="AZ31" i="5"/>
  <c r="BA28" i="5"/>
  <c r="AZ28" i="5"/>
  <c r="BA317" i="5"/>
  <c r="AZ317" i="5"/>
  <c r="BA405" i="5"/>
  <c r="AZ405" i="5"/>
  <c r="BA189" i="5"/>
  <c r="AZ189" i="5"/>
  <c r="BA302" i="5"/>
  <c r="AZ302" i="5"/>
  <c r="BA398" i="5"/>
  <c r="AZ398" i="5"/>
  <c r="BA503" i="5"/>
  <c r="AZ503" i="5"/>
  <c r="BA205" i="5"/>
  <c r="AZ205" i="5"/>
  <c r="BA349" i="5"/>
  <c r="AZ349" i="5"/>
  <c r="BA542" i="5"/>
  <c r="AZ542" i="5"/>
  <c r="AZ270" i="5"/>
  <c r="BA270" i="5"/>
  <c r="BA417" i="5"/>
  <c r="AZ417" i="5"/>
  <c r="BA550" i="5"/>
  <c r="AZ550" i="5"/>
  <c r="AZ329" i="5"/>
  <c r="BA329" i="5"/>
  <c r="BA433" i="5"/>
  <c r="AZ433" i="5"/>
  <c r="BA288" i="5"/>
  <c r="AZ288" i="5"/>
  <c r="AZ441" i="5"/>
  <c r="BA441" i="5"/>
  <c r="BA535" i="5"/>
  <c r="AZ535" i="5"/>
  <c r="BA261" i="5"/>
  <c r="AZ261" i="5"/>
  <c r="BA425" i="5"/>
  <c r="AZ425" i="5"/>
  <c r="AZ8" i="5"/>
  <c r="BA8" i="5"/>
  <c r="BA7" i="5"/>
  <c r="AZ7" i="5"/>
  <c r="N13" i="5"/>
  <c r="AV8" i="5"/>
  <c r="AV7" i="5"/>
  <c r="AV12" i="5"/>
  <c r="B189" i="3"/>
  <c r="C190" i="3" s="1"/>
  <c r="B190" i="3" s="1"/>
  <c r="I74" i="2" s="1"/>
  <c r="C192" i="3"/>
  <c r="C191" i="3" s="1"/>
  <c r="AS13" i="5" l="1"/>
  <c r="AY13" i="5"/>
  <c r="AT486" i="5"/>
  <c r="AU486" i="5"/>
  <c r="AU244" i="5"/>
  <c r="AT244" i="5"/>
  <c r="AU29" i="5"/>
  <c r="AT29" i="5"/>
  <c r="AU340" i="5"/>
  <c r="AT340" i="5"/>
  <c r="AU85" i="5"/>
  <c r="AT85" i="5"/>
  <c r="AU54" i="5"/>
  <c r="AT54" i="5"/>
  <c r="AU413" i="5"/>
  <c r="AT413" i="5"/>
  <c r="AT513" i="5"/>
  <c r="AU513" i="5"/>
  <c r="AU259" i="5"/>
  <c r="AT259" i="5"/>
  <c r="AU535" i="5"/>
  <c r="AT535" i="5"/>
  <c r="AU508" i="5"/>
  <c r="AT508" i="5"/>
  <c r="AU393" i="5"/>
  <c r="AT393" i="5"/>
  <c r="AT236" i="5"/>
  <c r="AU236" i="5"/>
  <c r="AT53" i="5"/>
  <c r="AU53" i="5"/>
  <c r="AU521" i="5"/>
  <c r="AT521" i="5"/>
  <c r="AT382" i="5"/>
  <c r="AU382" i="5"/>
  <c r="AU234" i="5"/>
  <c r="AT234" i="5"/>
  <c r="AT121" i="5"/>
  <c r="AU121" i="5"/>
  <c r="AT98" i="5"/>
  <c r="AU98" i="5"/>
  <c r="AU519" i="5"/>
  <c r="AT519" i="5"/>
  <c r="AU417" i="5"/>
  <c r="AT417" i="5"/>
  <c r="AU260" i="5"/>
  <c r="AT260" i="5"/>
  <c r="AU164" i="5"/>
  <c r="AT164" i="5"/>
  <c r="AT432" i="5"/>
  <c r="AU432" i="5"/>
  <c r="AT470" i="5"/>
  <c r="AU470" i="5"/>
  <c r="AU306" i="5"/>
  <c r="AT306" i="5"/>
  <c r="AU215" i="5"/>
  <c r="AT215" i="5"/>
  <c r="AT43" i="5"/>
  <c r="AU43" i="5"/>
  <c r="AU533" i="5"/>
  <c r="AT533" i="5"/>
  <c r="AU289" i="5"/>
  <c r="AT289" i="5"/>
  <c r="AU187" i="5"/>
  <c r="AT187" i="5"/>
  <c r="AU520" i="5"/>
  <c r="AT520" i="5"/>
  <c r="AT437" i="5"/>
  <c r="AU437" i="5"/>
  <c r="AU311" i="5"/>
  <c r="AT311" i="5"/>
  <c r="AT123" i="5"/>
  <c r="AU123" i="5"/>
  <c r="AU35" i="5"/>
  <c r="AT35" i="5"/>
  <c r="AT542" i="5"/>
  <c r="AU542" i="5"/>
  <c r="AT379" i="5"/>
  <c r="AU379" i="5"/>
  <c r="AU190" i="5"/>
  <c r="AT190" i="5"/>
  <c r="AU91" i="5"/>
  <c r="AT91" i="5"/>
  <c r="AU61" i="5"/>
  <c r="AT61" i="5"/>
  <c r="AU181" i="5"/>
  <c r="AT181" i="5"/>
  <c r="AU197" i="5"/>
  <c r="AT197" i="5"/>
  <c r="AU86" i="5"/>
  <c r="AT86" i="5"/>
  <c r="AU277" i="5"/>
  <c r="AT277" i="5"/>
  <c r="AU524" i="5"/>
  <c r="AT524" i="5"/>
  <c r="AU36" i="5"/>
  <c r="AT36" i="5"/>
  <c r="AU74" i="5"/>
  <c r="AT74" i="5"/>
  <c r="AU168" i="5"/>
  <c r="AT168" i="5"/>
  <c r="AT280" i="5"/>
  <c r="AU280" i="5"/>
  <c r="AU403" i="5"/>
  <c r="AT403" i="5"/>
  <c r="AU489" i="5"/>
  <c r="AT489" i="5"/>
  <c r="AT487" i="5"/>
  <c r="AU487" i="5"/>
  <c r="AT46" i="5"/>
  <c r="AU46" i="5"/>
  <c r="AU239" i="5"/>
  <c r="AT239" i="5"/>
  <c r="AT376" i="5"/>
  <c r="AU376" i="5"/>
  <c r="AU498" i="5"/>
  <c r="AT498" i="5"/>
  <c r="AT89" i="5"/>
  <c r="AU89" i="5"/>
  <c r="AU34" i="5"/>
  <c r="AT34" i="5"/>
  <c r="AU135" i="5"/>
  <c r="AT135" i="5"/>
  <c r="AT227" i="5"/>
  <c r="AU227" i="5"/>
  <c r="AU329" i="5"/>
  <c r="AT329" i="5"/>
  <c r="AU443" i="5"/>
  <c r="AT443" i="5"/>
  <c r="AT538" i="5"/>
  <c r="AU538" i="5"/>
  <c r="AU49" i="5"/>
  <c r="AT49" i="5"/>
  <c r="AU26" i="5"/>
  <c r="AT26" i="5"/>
  <c r="AU169" i="5"/>
  <c r="AT169" i="5"/>
  <c r="AU325" i="5"/>
  <c r="AT325" i="5"/>
  <c r="AU449" i="5"/>
  <c r="AT449" i="5"/>
  <c r="AU271" i="5"/>
  <c r="AT271" i="5"/>
  <c r="AU483" i="5"/>
  <c r="AT483" i="5"/>
  <c r="AU81" i="5"/>
  <c r="AT81" i="5"/>
  <c r="AU220" i="5"/>
  <c r="AT220" i="5"/>
  <c r="AU430" i="5"/>
  <c r="AT430" i="5"/>
  <c r="AU407" i="5"/>
  <c r="AT407" i="5"/>
  <c r="AU545" i="5"/>
  <c r="AT545" i="5"/>
  <c r="AU82" i="5"/>
  <c r="AT82" i="5"/>
  <c r="AU67" i="5"/>
  <c r="AT67" i="5"/>
  <c r="AT151" i="5"/>
  <c r="AU151" i="5"/>
  <c r="AU160" i="5"/>
  <c r="AT160" i="5"/>
  <c r="AU436" i="5"/>
  <c r="AT436" i="5"/>
  <c r="AU504" i="5"/>
  <c r="AT504" i="5"/>
  <c r="AU222" i="5"/>
  <c r="AT222" i="5"/>
  <c r="AU534" i="5"/>
  <c r="AT534" i="5"/>
  <c r="AU161" i="5"/>
  <c r="AT161" i="5"/>
  <c r="AT400" i="5"/>
  <c r="AU400" i="5"/>
  <c r="AU424" i="5"/>
  <c r="AT424" i="5"/>
  <c r="AT511" i="5"/>
  <c r="AU511" i="5"/>
  <c r="AU47" i="5"/>
  <c r="AT47" i="5"/>
  <c r="AT299" i="5"/>
  <c r="AU299" i="5"/>
  <c r="AT495" i="5"/>
  <c r="AU495" i="5"/>
  <c r="AU332" i="5"/>
  <c r="AT332" i="5"/>
  <c r="AU216" i="5"/>
  <c r="AT216" i="5"/>
  <c r="AU166" i="5"/>
  <c r="AT166" i="5"/>
  <c r="AU482" i="5"/>
  <c r="AT482" i="5"/>
  <c r="AT369" i="5"/>
  <c r="AU369" i="5"/>
  <c r="AU203" i="5"/>
  <c r="AT203" i="5"/>
  <c r="AU78" i="5"/>
  <c r="AT78" i="5"/>
  <c r="AU84" i="5"/>
  <c r="AT84" i="5"/>
  <c r="AU514" i="5"/>
  <c r="AT514" i="5"/>
  <c r="AT452" i="5"/>
  <c r="AU452" i="5"/>
  <c r="AT252" i="5"/>
  <c r="AU252" i="5"/>
  <c r="AT146" i="5"/>
  <c r="AU146" i="5"/>
  <c r="AT45" i="5"/>
  <c r="AU45" i="5"/>
  <c r="AU461" i="5"/>
  <c r="AT461" i="5"/>
  <c r="AU324" i="5"/>
  <c r="AT324" i="5"/>
  <c r="AU163" i="5"/>
  <c r="AT163" i="5"/>
  <c r="AT378" i="5"/>
  <c r="AU378" i="5"/>
  <c r="AU492" i="5"/>
  <c r="AT492" i="5"/>
  <c r="AU281" i="5"/>
  <c r="AT281" i="5"/>
  <c r="AU145" i="5"/>
  <c r="AT145" i="5"/>
  <c r="AT371" i="5"/>
  <c r="AU371" i="5"/>
  <c r="AU435" i="5"/>
  <c r="AT435" i="5"/>
  <c r="AU326" i="5"/>
  <c r="AT326" i="5"/>
  <c r="AU133" i="5"/>
  <c r="AT133" i="5"/>
  <c r="AT196" i="5"/>
  <c r="AU196" i="5"/>
  <c r="AT527" i="5"/>
  <c r="AU527" i="5"/>
  <c r="AU363" i="5"/>
  <c r="AT363" i="5"/>
  <c r="AT186" i="5"/>
  <c r="AU186" i="5"/>
  <c r="AU109" i="5"/>
  <c r="AT109" i="5"/>
  <c r="AU40" i="5"/>
  <c r="AT40" i="5"/>
  <c r="AT279" i="5"/>
  <c r="AU279" i="5"/>
  <c r="AU345" i="5"/>
  <c r="AT345" i="5"/>
  <c r="AT148" i="5"/>
  <c r="AU148" i="5"/>
  <c r="AT323" i="5"/>
  <c r="AU323" i="5"/>
  <c r="AU537" i="5"/>
  <c r="AT537" i="5"/>
  <c r="AU112" i="5"/>
  <c r="AT112" i="5"/>
  <c r="AT83" i="5"/>
  <c r="AU83" i="5"/>
  <c r="AT177" i="5"/>
  <c r="AU177" i="5"/>
  <c r="AU294" i="5"/>
  <c r="AT294" i="5"/>
  <c r="AT406" i="5"/>
  <c r="AU406" i="5"/>
  <c r="AU506" i="5"/>
  <c r="AT506" i="5"/>
  <c r="AT536" i="5"/>
  <c r="AU536" i="5"/>
  <c r="AU79" i="5"/>
  <c r="AT79" i="5"/>
  <c r="AU251" i="5"/>
  <c r="AT251" i="5"/>
  <c r="AU381" i="5"/>
  <c r="AT381" i="5"/>
  <c r="AT502" i="5"/>
  <c r="AU502" i="5"/>
  <c r="AU117" i="5"/>
  <c r="AT117" i="5"/>
  <c r="AU38" i="5"/>
  <c r="AT38" i="5"/>
  <c r="AU157" i="5"/>
  <c r="AT157" i="5"/>
  <c r="AU230" i="5"/>
  <c r="AT230" i="5"/>
  <c r="AU347" i="5"/>
  <c r="AT347" i="5"/>
  <c r="AU465" i="5"/>
  <c r="AT465" i="5"/>
  <c r="AU167" i="5"/>
  <c r="AT167" i="5"/>
  <c r="AU71" i="5"/>
  <c r="AT71" i="5"/>
  <c r="AT30" i="5"/>
  <c r="AU30" i="5"/>
  <c r="AT214" i="5"/>
  <c r="AU214" i="5"/>
  <c r="AU333" i="5"/>
  <c r="AT333" i="5"/>
  <c r="AU499" i="5"/>
  <c r="AT499" i="5"/>
  <c r="AU296" i="5"/>
  <c r="AT296" i="5"/>
  <c r="AT510" i="5"/>
  <c r="AU510" i="5"/>
  <c r="AT111" i="5"/>
  <c r="AU111" i="5"/>
  <c r="AU228" i="5"/>
  <c r="AT228" i="5"/>
  <c r="AT457" i="5"/>
  <c r="AU457" i="5"/>
  <c r="AT505" i="5"/>
  <c r="AU505" i="5"/>
  <c r="AT104" i="5"/>
  <c r="AU104" i="5"/>
  <c r="AU476" i="5"/>
  <c r="AT476" i="5"/>
  <c r="AU211" i="5"/>
  <c r="AT211" i="5"/>
  <c r="AU248" i="5"/>
  <c r="AT248" i="5"/>
  <c r="AU62" i="5"/>
  <c r="AT62" i="5"/>
  <c r="AU372" i="5"/>
  <c r="AT372" i="5"/>
  <c r="AU350" i="5"/>
  <c r="AT350" i="5"/>
  <c r="AU558" i="5"/>
  <c r="AT558" i="5"/>
  <c r="AU314" i="5"/>
  <c r="AT314" i="5"/>
  <c r="AU32" i="5"/>
  <c r="AT32" i="5"/>
  <c r="AU70" i="5"/>
  <c r="AT70" i="5"/>
  <c r="AT339" i="5"/>
  <c r="AU339" i="5"/>
  <c r="AU283" i="5"/>
  <c r="AT283" i="5"/>
  <c r="AT179" i="5"/>
  <c r="AU179" i="5"/>
  <c r="AU240" i="5"/>
  <c r="AT240" i="5"/>
  <c r="AU456" i="5"/>
  <c r="AT456" i="5"/>
  <c r="AT334" i="5"/>
  <c r="AU334" i="5"/>
  <c r="AU223" i="5"/>
  <c r="AT223" i="5"/>
  <c r="AU93" i="5"/>
  <c r="AT93" i="5"/>
  <c r="AU488" i="5"/>
  <c r="AT488" i="5"/>
  <c r="AU396" i="5"/>
  <c r="AT396" i="5"/>
  <c r="AU172" i="5"/>
  <c r="AT172" i="5"/>
  <c r="AU39" i="5"/>
  <c r="AT39" i="5"/>
  <c r="AU92" i="5"/>
  <c r="AT92" i="5"/>
  <c r="AU496" i="5"/>
  <c r="AT496" i="5"/>
  <c r="AU402" i="5"/>
  <c r="AT402" i="5"/>
  <c r="AT237" i="5"/>
  <c r="AU237" i="5"/>
  <c r="AU75" i="5"/>
  <c r="AT75" i="5"/>
  <c r="AU107" i="5"/>
  <c r="AT107" i="5"/>
  <c r="AU444" i="5"/>
  <c r="AT444" i="5"/>
  <c r="AU293" i="5"/>
  <c r="AT293" i="5"/>
  <c r="AU139" i="5"/>
  <c r="AT139" i="5"/>
  <c r="AT440" i="5"/>
  <c r="AU440" i="5"/>
  <c r="AT490" i="5"/>
  <c r="AU490" i="5"/>
  <c r="AT253" i="5"/>
  <c r="AU253" i="5"/>
  <c r="AU114" i="5"/>
  <c r="AT114" i="5"/>
  <c r="AT27" i="5"/>
  <c r="AU27" i="5"/>
  <c r="AU423" i="5"/>
  <c r="AT423" i="5"/>
  <c r="AU301" i="5"/>
  <c r="AT301" i="5"/>
  <c r="AU126" i="5"/>
  <c r="AT126" i="5"/>
  <c r="AU275" i="5"/>
  <c r="AT275" i="5"/>
  <c r="AU531" i="5"/>
  <c r="AT531" i="5"/>
  <c r="AU319" i="5"/>
  <c r="AT319" i="5"/>
  <c r="AU174" i="5"/>
  <c r="AT174" i="5"/>
  <c r="AU147" i="5"/>
  <c r="AT147" i="5"/>
  <c r="AU120" i="5"/>
  <c r="AT120" i="5"/>
  <c r="AU330" i="5"/>
  <c r="AT330" i="5"/>
  <c r="AU394" i="5"/>
  <c r="AT394" i="5"/>
  <c r="AU207" i="5"/>
  <c r="AT207" i="5"/>
  <c r="AU327" i="5"/>
  <c r="AT327" i="5"/>
  <c r="AU546" i="5"/>
  <c r="AT546" i="5"/>
  <c r="AU366" i="5"/>
  <c r="AT366" i="5"/>
  <c r="AT96" i="5"/>
  <c r="AU96" i="5"/>
  <c r="AU213" i="5"/>
  <c r="AT213" i="5"/>
  <c r="AT303" i="5"/>
  <c r="AU303" i="5"/>
  <c r="AU421" i="5"/>
  <c r="AT421" i="5"/>
  <c r="AU528" i="5"/>
  <c r="AT528" i="5"/>
  <c r="AU108" i="5"/>
  <c r="AT108" i="5"/>
  <c r="AU87" i="5"/>
  <c r="AT87" i="5"/>
  <c r="AU262" i="5"/>
  <c r="AT262" i="5"/>
  <c r="AU399" i="5"/>
  <c r="AT399" i="5"/>
  <c r="AT517" i="5"/>
  <c r="AU517" i="5"/>
  <c r="AU143" i="5"/>
  <c r="AT143" i="5"/>
  <c r="AU64" i="5"/>
  <c r="AT64" i="5"/>
  <c r="AU165" i="5"/>
  <c r="AT165" i="5"/>
  <c r="AU247" i="5"/>
  <c r="AT247" i="5"/>
  <c r="AT368" i="5"/>
  <c r="AU368" i="5"/>
  <c r="AT481" i="5"/>
  <c r="AU481" i="5"/>
  <c r="AU264" i="5"/>
  <c r="AT264" i="5"/>
  <c r="AU250" i="5"/>
  <c r="AT250" i="5"/>
  <c r="AU56" i="5"/>
  <c r="AT56" i="5"/>
  <c r="AU235" i="5"/>
  <c r="AT235" i="5"/>
  <c r="AU338" i="5"/>
  <c r="AT338" i="5"/>
  <c r="AU503" i="5"/>
  <c r="AT503" i="5"/>
  <c r="AU384" i="5"/>
  <c r="AT384" i="5"/>
  <c r="AU532" i="5"/>
  <c r="AT532" i="5"/>
  <c r="AU116" i="5"/>
  <c r="AT116" i="5"/>
  <c r="AT245" i="5"/>
  <c r="AU245" i="5"/>
  <c r="AT491" i="5"/>
  <c r="AU491" i="5"/>
  <c r="AU501" i="5"/>
  <c r="AT501" i="5"/>
  <c r="AU447" i="5"/>
  <c r="AT447" i="5"/>
  <c r="AU156" i="5"/>
  <c r="AT156" i="5"/>
  <c r="AT131" i="5"/>
  <c r="AU131" i="5"/>
  <c r="AU386" i="5"/>
  <c r="AT386" i="5"/>
  <c r="AU266" i="5"/>
  <c r="AT266" i="5"/>
  <c r="AU210" i="5"/>
  <c r="AT210" i="5"/>
  <c r="AU335" i="5"/>
  <c r="AT335" i="5"/>
  <c r="AU59" i="5"/>
  <c r="AT59" i="5"/>
  <c r="AU124" i="5"/>
  <c r="AT124" i="5"/>
  <c r="AU138" i="5"/>
  <c r="AT138" i="5"/>
  <c r="AT464" i="5"/>
  <c r="AU464" i="5"/>
  <c r="AU304" i="5"/>
  <c r="AT304" i="5"/>
  <c r="AT199" i="5"/>
  <c r="AU199" i="5"/>
  <c r="AU404" i="5"/>
  <c r="AT404" i="5"/>
  <c r="AU484" i="5"/>
  <c r="AT484" i="5"/>
  <c r="AU320" i="5"/>
  <c r="AT320" i="5"/>
  <c r="AU154" i="5"/>
  <c r="AT154" i="5"/>
  <c r="AU68" i="5"/>
  <c r="AT68" i="5"/>
  <c r="AT37" i="5"/>
  <c r="AU37" i="5"/>
  <c r="AT494" i="5"/>
  <c r="AU494" i="5"/>
  <c r="AT362" i="5"/>
  <c r="AU362" i="5"/>
  <c r="AU242" i="5"/>
  <c r="AT242" i="5"/>
  <c r="AU410" i="5"/>
  <c r="AT410" i="5"/>
  <c r="AU554" i="5"/>
  <c r="AT554" i="5"/>
  <c r="AT420" i="5"/>
  <c r="AU420" i="5"/>
  <c r="AT359" i="5"/>
  <c r="AU359" i="5"/>
  <c r="AU130" i="5"/>
  <c r="AT130" i="5"/>
  <c r="AU155" i="5"/>
  <c r="AT155" i="5"/>
  <c r="AT445" i="5"/>
  <c r="AU445" i="5"/>
  <c r="AT209" i="5"/>
  <c r="AU209" i="5"/>
  <c r="AU344" i="5"/>
  <c r="AT344" i="5"/>
  <c r="AU291" i="5"/>
  <c r="AT291" i="5"/>
  <c r="AT387" i="5"/>
  <c r="AU387" i="5"/>
  <c r="AU308" i="5"/>
  <c r="AT308" i="5"/>
  <c r="AU118" i="5"/>
  <c r="AT118" i="5"/>
  <c r="AU408" i="5"/>
  <c r="AT408" i="5"/>
  <c r="AU507" i="5"/>
  <c r="AT507" i="5"/>
  <c r="AU355" i="5"/>
  <c r="AT355" i="5"/>
  <c r="AT115" i="5"/>
  <c r="AU115" i="5"/>
  <c r="AT241" i="5"/>
  <c r="AU241" i="5"/>
  <c r="AU73" i="5"/>
  <c r="AT73" i="5"/>
  <c r="AT375" i="5"/>
  <c r="AU375" i="5"/>
  <c r="AU24" i="5"/>
  <c r="AT24" i="5"/>
  <c r="AU221" i="5"/>
  <c r="AT221" i="5"/>
  <c r="AT331" i="5"/>
  <c r="AU331" i="5"/>
  <c r="AU206" i="5"/>
  <c r="AT206" i="5"/>
  <c r="AU458" i="5"/>
  <c r="AT458" i="5"/>
  <c r="AU100" i="5"/>
  <c r="AT100" i="5"/>
  <c r="AU218" i="5"/>
  <c r="AT218" i="5"/>
  <c r="AT313" i="5"/>
  <c r="AU313" i="5"/>
  <c r="AU427" i="5"/>
  <c r="AT427" i="5"/>
  <c r="AT550" i="5"/>
  <c r="AU550" i="5"/>
  <c r="AU232" i="5"/>
  <c r="AT232" i="5"/>
  <c r="AU149" i="5"/>
  <c r="AT149" i="5"/>
  <c r="AU269" i="5"/>
  <c r="AT269" i="5"/>
  <c r="AT416" i="5"/>
  <c r="AU416" i="5"/>
  <c r="AU547" i="5"/>
  <c r="AT547" i="5"/>
  <c r="AU162" i="5"/>
  <c r="AT162" i="5"/>
  <c r="AT72" i="5"/>
  <c r="AU72" i="5"/>
  <c r="AT189" i="5"/>
  <c r="AU189" i="5"/>
  <c r="AT274" i="5"/>
  <c r="AU274" i="5"/>
  <c r="AU373" i="5"/>
  <c r="AT373" i="5"/>
  <c r="AT485" i="5"/>
  <c r="AU485" i="5"/>
  <c r="AT292" i="5"/>
  <c r="AU292" i="5"/>
  <c r="AU361" i="5"/>
  <c r="AT361" i="5"/>
  <c r="AU60" i="5"/>
  <c r="AT60" i="5"/>
  <c r="AT267" i="5"/>
  <c r="AU267" i="5"/>
  <c r="AU343" i="5"/>
  <c r="AT343" i="5"/>
  <c r="AT518" i="5"/>
  <c r="AU518" i="5"/>
  <c r="AT95" i="5"/>
  <c r="AU95" i="5"/>
  <c r="AT22" i="5"/>
  <c r="AU22" i="5"/>
  <c r="AU136" i="5"/>
  <c r="AT136" i="5"/>
  <c r="AU258" i="5"/>
  <c r="AT258" i="5"/>
  <c r="AT509" i="5"/>
  <c r="AU509" i="5"/>
  <c r="AU129" i="5"/>
  <c r="AT129" i="5"/>
  <c r="AU310" i="5"/>
  <c r="AT310" i="5"/>
  <c r="AU474" i="5"/>
  <c r="AT474" i="5"/>
  <c r="AU195" i="5"/>
  <c r="AT195" i="5"/>
  <c r="AU380" i="5"/>
  <c r="AT380" i="5"/>
  <c r="AT468" i="5"/>
  <c r="AU468" i="5"/>
  <c r="AU42" i="5"/>
  <c r="AT42" i="5"/>
  <c r="AU191" i="5"/>
  <c r="AT191" i="5"/>
  <c r="AU180" i="5"/>
  <c r="AT180" i="5"/>
  <c r="AT354" i="5"/>
  <c r="AU354" i="5"/>
  <c r="AT415" i="5"/>
  <c r="AU415" i="5"/>
  <c r="AT412" i="5"/>
  <c r="AU412" i="5"/>
  <c r="AU441" i="5"/>
  <c r="AT441" i="5"/>
  <c r="AU328" i="5"/>
  <c r="AT328" i="5"/>
  <c r="AU178" i="5"/>
  <c r="AT178" i="5"/>
  <c r="AU204" i="5"/>
  <c r="AT204" i="5"/>
  <c r="AU451" i="5"/>
  <c r="AT451" i="5"/>
  <c r="AU298" i="5"/>
  <c r="AT298" i="5"/>
  <c r="AU183" i="5"/>
  <c r="AT183" i="5"/>
  <c r="AU99" i="5"/>
  <c r="AT99" i="5"/>
  <c r="AU90" i="5"/>
  <c r="AT90" i="5"/>
  <c r="AT477" i="5"/>
  <c r="AU477" i="5"/>
  <c r="AU315" i="5"/>
  <c r="AT315" i="5"/>
  <c r="AU201" i="5"/>
  <c r="AT201" i="5"/>
  <c r="AU466" i="5"/>
  <c r="AT466" i="5"/>
  <c r="AU530" i="5"/>
  <c r="AT530" i="5"/>
  <c r="AT409" i="5"/>
  <c r="AU409" i="5"/>
  <c r="AU273" i="5"/>
  <c r="AT273" i="5"/>
  <c r="AU122" i="5"/>
  <c r="AT122" i="5"/>
  <c r="AU69" i="5"/>
  <c r="AT69" i="5"/>
  <c r="AT446" i="5"/>
  <c r="AU446" i="5"/>
  <c r="AU208" i="5"/>
  <c r="AT208" i="5"/>
  <c r="AT348" i="5"/>
  <c r="AU348" i="5"/>
  <c r="AU555" i="5"/>
  <c r="AT555" i="5"/>
  <c r="AU388" i="5"/>
  <c r="AT388" i="5"/>
  <c r="AT257" i="5"/>
  <c r="AU257" i="5"/>
  <c r="AT55" i="5"/>
  <c r="AU55" i="5"/>
  <c r="AT463" i="5"/>
  <c r="AU463" i="5"/>
  <c r="AT469" i="5"/>
  <c r="AU469" i="5"/>
  <c r="AT312" i="5"/>
  <c r="AU312" i="5"/>
  <c r="AT141" i="5"/>
  <c r="AU141" i="5"/>
  <c r="AU356" i="5"/>
  <c r="AT356" i="5"/>
  <c r="AT77" i="5"/>
  <c r="AU77" i="5"/>
  <c r="AU454" i="5"/>
  <c r="AT454" i="5"/>
  <c r="AU28" i="5"/>
  <c r="AT28" i="5"/>
  <c r="AT229" i="5"/>
  <c r="AU229" i="5"/>
  <c r="AU341" i="5"/>
  <c r="AT341" i="5"/>
  <c r="AU288" i="5"/>
  <c r="AT288" i="5"/>
  <c r="AU20" i="5"/>
  <c r="AT20" i="5"/>
  <c r="AT103" i="5"/>
  <c r="AU103" i="5"/>
  <c r="AU226" i="5"/>
  <c r="AT226" i="5"/>
  <c r="AU346" i="5"/>
  <c r="AT346" i="5"/>
  <c r="AT442" i="5"/>
  <c r="AU442" i="5"/>
  <c r="AU176" i="5"/>
  <c r="AT176" i="5"/>
  <c r="AT254" i="5"/>
  <c r="AU254" i="5"/>
  <c r="AU152" i="5"/>
  <c r="AT152" i="5"/>
  <c r="AU286" i="5"/>
  <c r="AT286" i="5"/>
  <c r="AU439" i="5"/>
  <c r="AT439" i="5"/>
  <c r="AU556" i="5"/>
  <c r="AT556" i="5"/>
  <c r="AT202" i="5"/>
  <c r="AU202" i="5"/>
  <c r="AT97" i="5"/>
  <c r="AU97" i="5"/>
  <c r="AU194" i="5"/>
  <c r="AT194" i="5"/>
  <c r="AU278" i="5"/>
  <c r="AT278" i="5"/>
  <c r="AU392" i="5"/>
  <c r="AT392" i="5"/>
  <c r="AU522" i="5"/>
  <c r="AT522" i="5"/>
  <c r="AU462" i="5"/>
  <c r="AT462" i="5"/>
  <c r="AU390" i="5"/>
  <c r="AT390" i="5"/>
  <c r="AT88" i="5"/>
  <c r="AU88" i="5"/>
  <c r="AT270" i="5"/>
  <c r="AU270" i="5"/>
  <c r="AU360" i="5"/>
  <c r="AT360" i="5"/>
  <c r="AU548" i="5"/>
  <c r="AT548" i="5"/>
  <c r="AU127" i="5"/>
  <c r="AT127" i="5"/>
  <c r="AU48" i="5"/>
  <c r="AT48" i="5"/>
  <c r="AU150" i="5"/>
  <c r="AT150" i="5"/>
  <c r="AU305" i="5"/>
  <c r="AT305" i="5"/>
  <c r="AT526" i="5"/>
  <c r="AU526" i="5"/>
  <c r="AU374" i="5"/>
  <c r="AT374" i="5"/>
  <c r="AU560" i="5"/>
  <c r="AT560" i="5"/>
  <c r="AU428" i="5"/>
  <c r="AT428" i="5"/>
  <c r="AU212" i="5"/>
  <c r="AT212" i="5"/>
  <c r="AU364" i="5"/>
  <c r="AT364" i="5"/>
  <c r="AU57" i="5"/>
  <c r="AT57" i="5"/>
  <c r="AU549" i="5"/>
  <c r="AT549" i="5"/>
  <c r="AU198" i="5"/>
  <c r="AT198" i="5"/>
  <c r="AT321" i="5"/>
  <c r="AU321" i="5"/>
  <c r="AU171" i="5"/>
  <c r="AT171" i="5"/>
  <c r="AU175" i="5"/>
  <c r="AT175" i="5"/>
  <c r="AU395" i="5"/>
  <c r="AT395" i="5"/>
  <c r="AT336" i="5"/>
  <c r="AU336" i="5"/>
  <c r="AU425" i="5"/>
  <c r="AT425" i="5"/>
  <c r="AU256" i="5"/>
  <c r="AT256" i="5"/>
  <c r="AT113" i="5"/>
  <c r="AU113" i="5"/>
  <c r="AU233" i="5"/>
  <c r="AT233" i="5"/>
  <c r="AU431" i="5"/>
  <c r="AT431" i="5"/>
  <c r="AT287" i="5"/>
  <c r="AU287" i="5"/>
  <c r="AU158" i="5"/>
  <c r="AT158" i="5"/>
  <c r="AU51" i="5"/>
  <c r="AT51" i="5"/>
  <c r="AT200" i="5"/>
  <c r="AU200" i="5"/>
  <c r="AT467" i="5"/>
  <c r="AU467" i="5"/>
  <c r="AU316" i="5"/>
  <c r="AT316" i="5"/>
  <c r="AU225" i="5"/>
  <c r="AT225" i="5"/>
  <c r="AT192" i="5"/>
  <c r="AU192" i="5"/>
  <c r="AT497" i="5"/>
  <c r="AU497" i="5"/>
  <c r="AT385" i="5"/>
  <c r="AU385" i="5"/>
  <c r="AU261" i="5"/>
  <c r="AT261" i="5"/>
  <c r="AU63" i="5"/>
  <c r="AT63" i="5"/>
  <c r="AU276" i="5"/>
  <c r="AT276" i="5"/>
  <c r="AU419" i="5"/>
  <c r="AT419" i="5"/>
  <c r="AU188" i="5"/>
  <c r="AT188" i="5"/>
  <c r="AU453" i="5"/>
  <c r="AT453" i="5"/>
  <c r="AU543" i="5"/>
  <c r="AT543" i="5"/>
  <c r="AU429" i="5"/>
  <c r="AT429" i="5"/>
  <c r="AU249" i="5"/>
  <c r="AT249" i="5"/>
  <c r="AT23" i="5"/>
  <c r="AU23" i="5"/>
  <c r="AT541" i="5"/>
  <c r="AU541" i="5"/>
  <c r="AU433" i="5"/>
  <c r="AT433" i="5"/>
  <c r="AT297" i="5"/>
  <c r="AU297" i="5"/>
  <c r="AU134" i="5"/>
  <c r="AT134" i="5"/>
  <c r="AT553" i="5"/>
  <c r="AU553" i="5"/>
  <c r="AU44" i="5"/>
  <c r="AT44" i="5"/>
  <c r="AU66" i="5"/>
  <c r="AT66" i="5"/>
  <c r="AU41" i="5"/>
  <c r="AT41" i="5"/>
  <c r="AU238" i="5"/>
  <c r="AT238" i="5"/>
  <c r="AU349" i="5"/>
  <c r="AT349" i="5"/>
  <c r="AU322" i="5"/>
  <c r="AT322" i="5"/>
  <c r="AU33" i="5"/>
  <c r="AT33" i="5"/>
  <c r="AU128" i="5"/>
  <c r="AT128" i="5"/>
  <c r="AU243" i="5"/>
  <c r="AT243" i="5"/>
  <c r="AU358" i="5"/>
  <c r="AT358" i="5"/>
  <c r="AT455" i="5"/>
  <c r="AU455" i="5"/>
  <c r="AU302" i="5"/>
  <c r="AT302" i="5"/>
  <c r="AU450" i="5"/>
  <c r="AT450" i="5"/>
  <c r="AU173" i="5"/>
  <c r="AT173" i="5"/>
  <c r="AU290" i="5"/>
  <c r="AT290" i="5"/>
  <c r="AU448" i="5"/>
  <c r="AT448" i="5"/>
  <c r="AT159" i="5"/>
  <c r="AU159" i="5"/>
  <c r="AT357" i="5"/>
  <c r="AU357" i="5"/>
  <c r="AU101" i="5"/>
  <c r="AT101" i="5"/>
  <c r="AU205" i="5"/>
  <c r="AT205" i="5"/>
  <c r="AU300" i="5"/>
  <c r="AT300" i="5"/>
  <c r="AU397" i="5"/>
  <c r="AT397" i="5"/>
  <c r="AT525" i="5"/>
  <c r="AU525" i="5"/>
  <c r="AT500" i="5"/>
  <c r="AU500" i="5"/>
  <c r="AT479" i="5"/>
  <c r="AU479" i="5"/>
  <c r="AU125" i="5"/>
  <c r="AT125" i="5"/>
  <c r="AT282" i="5"/>
  <c r="AU282" i="5"/>
  <c r="AU377" i="5"/>
  <c r="AT377" i="5"/>
  <c r="AU552" i="5"/>
  <c r="AT552" i="5"/>
  <c r="AT317" i="5"/>
  <c r="AU317" i="5"/>
  <c r="AU52" i="5"/>
  <c r="AT52" i="5"/>
  <c r="AU153" i="5"/>
  <c r="AT153" i="5"/>
  <c r="AU352" i="5"/>
  <c r="AT352" i="5"/>
  <c r="AU539" i="5"/>
  <c r="AT539" i="5"/>
  <c r="AT231" i="5"/>
  <c r="AU231" i="5"/>
  <c r="AU472" i="5"/>
  <c r="AT472" i="5"/>
  <c r="AT351" i="5"/>
  <c r="AU351" i="5"/>
  <c r="AT471" i="5"/>
  <c r="AU471" i="5"/>
  <c r="AT106" i="5"/>
  <c r="AU106" i="5"/>
  <c r="AT272" i="5"/>
  <c r="AU272" i="5"/>
  <c r="AU480" i="5"/>
  <c r="AT480" i="5"/>
  <c r="AU493" i="5"/>
  <c r="AT493" i="5"/>
  <c r="AU119" i="5"/>
  <c r="AT119" i="5"/>
  <c r="AU434" i="5"/>
  <c r="AT434" i="5"/>
  <c r="AT540" i="5"/>
  <c r="AU540" i="5"/>
  <c r="AT414" i="5"/>
  <c r="AU414" i="5"/>
  <c r="AT140" i="5"/>
  <c r="AU140" i="5"/>
  <c r="AU105" i="5"/>
  <c r="AT105" i="5"/>
  <c r="AU544" i="5"/>
  <c r="AT544" i="5"/>
  <c r="AU551" i="5"/>
  <c r="AT551" i="5"/>
  <c r="AT401" i="5"/>
  <c r="AU401" i="5"/>
  <c r="AU263" i="5"/>
  <c r="AT263" i="5"/>
  <c r="AT137" i="5"/>
  <c r="AU137" i="5"/>
  <c r="AU391" i="5"/>
  <c r="AT391" i="5"/>
  <c r="AT426" i="5"/>
  <c r="AU426" i="5"/>
  <c r="AT265" i="5"/>
  <c r="AU265" i="5"/>
  <c r="AU170" i="5"/>
  <c r="AT170" i="5"/>
  <c r="AU473" i="5"/>
  <c r="AT473" i="5"/>
  <c r="AT559" i="5"/>
  <c r="AU559" i="5"/>
  <c r="AT460" i="5"/>
  <c r="AU460" i="5"/>
  <c r="AU318" i="5"/>
  <c r="AT318" i="5"/>
  <c r="AU193" i="5"/>
  <c r="AT193" i="5"/>
  <c r="AU76" i="5"/>
  <c r="AT76" i="5"/>
  <c r="AT478" i="5"/>
  <c r="AU478" i="5"/>
  <c r="AT383" i="5"/>
  <c r="AU383" i="5"/>
  <c r="AU224" i="5"/>
  <c r="AT224" i="5"/>
  <c r="AT31" i="5"/>
  <c r="AU31" i="5"/>
  <c r="AU284" i="5"/>
  <c r="AT284" i="5"/>
  <c r="AT307" i="5"/>
  <c r="AU307" i="5"/>
  <c r="AU182" i="5"/>
  <c r="AT182" i="5"/>
  <c r="AT21" i="5"/>
  <c r="AU21" i="5"/>
  <c r="AU516" i="5"/>
  <c r="AT516" i="5"/>
  <c r="AU342" i="5"/>
  <c r="AT342" i="5"/>
  <c r="AU217" i="5"/>
  <c r="AT217" i="5"/>
  <c r="AU94" i="5"/>
  <c r="AT94" i="5"/>
  <c r="AU438" i="5"/>
  <c r="AT438" i="5"/>
  <c r="AU418" i="5"/>
  <c r="AT418" i="5"/>
  <c r="AU285" i="5"/>
  <c r="AT285" i="5"/>
  <c r="AU80" i="5"/>
  <c r="AT80" i="5"/>
  <c r="AU512" i="5"/>
  <c r="AT512" i="5"/>
  <c r="AU132" i="5"/>
  <c r="AT132" i="5"/>
  <c r="AU102" i="5"/>
  <c r="AT102" i="5"/>
  <c r="AU58" i="5"/>
  <c r="AT58" i="5"/>
  <c r="AU246" i="5"/>
  <c r="AT246" i="5"/>
  <c r="AU411" i="5"/>
  <c r="AT411" i="5"/>
  <c r="AT405" i="5"/>
  <c r="AU405" i="5"/>
  <c r="AU50" i="5"/>
  <c r="AT50" i="5"/>
  <c r="AU144" i="5"/>
  <c r="AT144" i="5"/>
  <c r="AT255" i="5"/>
  <c r="AU255" i="5"/>
  <c r="AU367" i="5"/>
  <c r="AT367" i="5"/>
  <c r="AU475" i="5"/>
  <c r="AT475" i="5"/>
  <c r="AU370" i="5"/>
  <c r="AT370" i="5"/>
  <c r="AU25" i="5"/>
  <c r="AT25" i="5"/>
  <c r="AU184" i="5"/>
  <c r="AT184" i="5"/>
  <c r="AT337" i="5"/>
  <c r="AU337" i="5"/>
  <c r="AU459" i="5"/>
  <c r="AT459" i="5"/>
  <c r="AT268" i="5"/>
  <c r="AU268" i="5"/>
  <c r="AU398" i="5"/>
  <c r="AT398" i="5"/>
  <c r="AT110" i="5"/>
  <c r="AU110" i="5"/>
  <c r="AU219" i="5"/>
  <c r="AT219" i="5"/>
  <c r="AU309" i="5"/>
  <c r="AT309" i="5"/>
  <c r="AU422" i="5"/>
  <c r="AT422" i="5"/>
  <c r="AU529" i="5"/>
  <c r="AT529" i="5"/>
  <c r="AT523" i="5"/>
  <c r="AU523" i="5"/>
  <c r="AU515" i="5"/>
  <c r="AT515" i="5"/>
  <c r="AU142" i="5"/>
  <c r="AT142" i="5"/>
  <c r="AT295" i="5"/>
  <c r="AU295" i="5"/>
  <c r="AT389" i="5"/>
  <c r="AU389" i="5"/>
  <c r="AU19" i="5"/>
  <c r="AT19" i="5"/>
  <c r="AU353" i="5"/>
  <c r="AT353" i="5"/>
  <c r="AU65" i="5"/>
  <c r="AT65" i="5"/>
  <c r="AU185" i="5"/>
  <c r="AT185" i="5"/>
  <c r="AU365" i="5"/>
  <c r="AT365" i="5"/>
  <c r="AU557" i="5"/>
  <c r="AT557" i="5"/>
  <c r="AX411" i="5"/>
  <c r="AW411" i="5"/>
  <c r="AW393" i="5"/>
  <c r="AX393" i="5"/>
  <c r="AW72" i="5"/>
  <c r="AX72" i="5"/>
  <c r="AX141" i="5"/>
  <c r="AW141" i="5"/>
  <c r="AW426" i="5"/>
  <c r="AX426" i="5"/>
  <c r="AW174" i="5"/>
  <c r="AX174" i="5"/>
  <c r="AW168" i="5"/>
  <c r="AX168" i="5"/>
  <c r="AX420" i="5"/>
  <c r="AW420" i="5"/>
  <c r="AX299" i="5"/>
  <c r="AW299" i="5"/>
  <c r="AW543" i="5"/>
  <c r="AX543" i="5"/>
  <c r="AX507" i="5"/>
  <c r="AW507" i="5"/>
  <c r="AX339" i="5"/>
  <c r="AW339" i="5"/>
  <c r="AX296" i="5"/>
  <c r="AW296" i="5"/>
  <c r="AW427" i="5"/>
  <c r="AX427" i="5"/>
  <c r="AX331" i="5"/>
  <c r="AW331" i="5"/>
  <c r="AX461" i="5"/>
  <c r="AW461" i="5"/>
  <c r="AX370" i="5"/>
  <c r="AW370" i="5"/>
  <c r="AX30" i="5"/>
  <c r="AW30" i="5"/>
  <c r="AX453" i="5"/>
  <c r="AW453" i="5"/>
  <c r="AW312" i="5"/>
  <c r="AX312" i="5"/>
  <c r="AX558" i="5"/>
  <c r="AW558" i="5"/>
  <c r="AW436" i="5"/>
  <c r="AX436" i="5"/>
  <c r="AX171" i="5"/>
  <c r="AW171" i="5"/>
  <c r="AX378" i="5"/>
  <c r="AW378" i="5"/>
  <c r="AX550" i="5"/>
  <c r="AW550" i="5"/>
  <c r="AW452" i="5"/>
  <c r="AX452" i="5"/>
  <c r="AX37" i="5"/>
  <c r="AW37" i="5"/>
  <c r="AX232" i="5"/>
  <c r="AW232" i="5"/>
  <c r="AW21" i="5"/>
  <c r="AX21" i="5"/>
  <c r="AW260" i="5"/>
  <c r="AX260" i="5"/>
  <c r="AX138" i="5"/>
  <c r="AW138" i="5"/>
  <c r="AX83" i="5"/>
  <c r="AW83" i="5"/>
  <c r="AX264" i="5"/>
  <c r="AW264" i="5"/>
  <c r="AX19" i="5"/>
  <c r="AW19" i="5"/>
  <c r="AX255" i="5"/>
  <c r="AW255" i="5"/>
  <c r="AW147" i="5"/>
  <c r="AX147" i="5"/>
  <c r="AX22" i="5"/>
  <c r="AW22" i="5"/>
  <c r="AW506" i="5"/>
  <c r="AX506" i="5"/>
  <c r="AX129" i="5"/>
  <c r="AW129" i="5"/>
  <c r="AX116" i="5"/>
  <c r="AW116" i="5"/>
  <c r="AX236" i="5"/>
  <c r="AW236" i="5"/>
  <c r="AX140" i="5"/>
  <c r="AW140" i="5"/>
  <c r="AX326" i="5"/>
  <c r="AW326" i="5"/>
  <c r="AX297" i="5"/>
  <c r="AW297" i="5"/>
  <c r="AX77" i="5"/>
  <c r="AW77" i="5"/>
  <c r="AW41" i="5"/>
  <c r="AX41" i="5"/>
  <c r="AW86" i="5"/>
  <c r="AX86" i="5"/>
  <c r="AW25" i="5"/>
  <c r="AX25" i="5"/>
  <c r="AW192" i="5"/>
  <c r="AX192" i="5"/>
  <c r="AX64" i="5"/>
  <c r="AW64" i="5"/>
  <c r="AX405" i="5"/>
  <c r="AW405" i="5"/>
  <c r="AX104" i="5"/>
  <c r="AW104" i="5"/>
  <c r="AX161" i="5"/>
  <c r="AW161" i="5"/>
  <c r="AW87" i="5"/>
  <c r="AX87" i="5"/>
  <c r="AW23" i="5"/>
  <c r="AX23" i="5"/>
  <c r="AW149" i="5"/>
  <c r="AX149" i="5"/>
  <c r="AX26" i="5"/>
  <c r="AW26" i="5"/>
  <c r="AX153" i="5"/>
  <c r="AW153" i="5"/>
  <c r="AX222" i="5"/>
  <c r="AW222" i="5"/>
  <c r="AW366" i="5"/>
  <c r="AX366" i="5"/>
  <c r="AX556" i="5"/>
  <c r="AW556" i="5"/>
  <c r="AW275" i="5"/>
  <c r="AX275" i="5"/>
  <c r="AW407" i="5"/>
  <c r="AX407" i="5"/>
  <c r="AX479" i="5"/>
  <c r="AW479" i="5"/>
  <c r="AX219" i="5"/>
  <c r="AW219" i="5"/>
  <c r="AW336" i="5"/>
  <c r="AX336" i="5"/>
  <c r="AW474" i="5"/>
  <c r="AX474" i="5"/>
  <c r="AX358" i="5"/>
  <c r="AW358" i="5"/>
  <c r="AX484" i="5"/>
  <c r="AW484" i="5"/>
  <c r="AX267" i="5"/>
  <c r="AW267" i="5"/>
  <c r="AX365" i="5"/>
  <c r="AW365" i="5"/>
  <c r="AX206" i="5"/>
  <c r="AW206" i="5"/>
  <c r="AX276" i="5"/>
  <c r="AW276" i="5"/>
  <c r="AW406" i="5"/>
  <c r="AX406" i="5"/>
  <c r="AW227" i="5"/>
  <c r="AX227" i="5"/>
  <c r="AW375" i="5"/>
  <c r="AX375" i="5"/>
  <c r="AX468" i="5"/>
  <c r="AW468" i="5"/>
  <c r="AW467" i="5"/>
  <c r="AX467" i="5"/>
  <c r="AW464" i="5"/>
  <c r="AX464" i="5"/>
  <c r="AW545" i="5"/>
  <c r="AX545" i="5"/>
  <c r="AW122" i="5"/>
  <c r="AX122" i="5"/>
  <c r="AW90" i="5"/>
  <c r="AX90" i="5"/>
  <c r="AW49" i="5"/>
  <c r="AX49" i="5"/>
  <c r="AX423" i="5"/>
  <c r="AW423" i="5"/>
  <c r="AX417" i="5"/>
  <c r="AW417" i="5"/>
  <c r="AX532" i="5"/>
  <c r="AW532" i="5"/>
  <c r="AW251" i="5"/>
  <c r="AX251" i="5"/>
  <c r="AX416" i="5"/>
  <c r="AW416" i="5"/>
  <c r="AW499" i="5"/>
  <c r="AX499" i="5"/>
  <c r="AW332" i="5"/>
  <c r="AX332" i="5"/>
  <c r="AX530" i="5"/>
  <c r="AW530" i="5"/>
  <c r="AX438" i="5"/>
  <c r="AW438" i="5"/>
  <c r="AX288" i="5"/>
  <c r="AW288" i="5"/>
  <c r="AX455" i="5"/>
  <c r="AW455" i="5"/>
  <c r="AX369" i="5"/>
  <c r="AW369" i="5"/>
  <c r="AX552" i="5"/>
  <c r="AW552" i="5"/>
  <c r="AX451" i="5"/>
  <c r="AW451" i="5"/>
  <c r="AW188" i="5"/>
  <c r="AX188" i="5"/>
  <c r="AX554" i="5"/>
  <c r="AW554" i="5"/>
  <c r="AW408" i="5"/>
  <c r="AX408" i="5"/>
  <c r="AX44" i="5"/>
  <c r="AW44" i="5"/>
  <c r="AX386" i="5"/>
  <c r="AW386" i="5"/>
  <c r="AX362" i="5"/>
  <c r="AW362" i="5"/>
  <c r="AX447" i="5"/>
  <c r="AW447" i="5"/>
  <c r="AW28" i="5"/>
  <c r="AX28" i="5"/>
  <c r="AX216" i="5"/>
  <c r="AW216" i="5"/>
  <c r="AW53" i="5"/>
  <c r="AX53" i="5"/>
  <c r="AW253" i="5"/>
  <c r="AX253" i="5"/>
  <c r="AX125" i="5"/>
  <c r="AW125" i="5"/>
  <c r="AX93" i="5"/>
  <c r="AW93" i="5"/>
  <c r="AW269" i="5"/>
  <c r="AX269" i="5"/>
  <c r="AX109" i="5"/>
  <c r="AW109" i="5"/>
  <c r="AW244" i="5"/>
  <c r="AX244" i="5"/>
  <c r="AW146" i="5"/>
  <c r="AX146" i="5"/>
  <c r="AX92" i="5"/>
  <c r="AW92" i="5"/>
  <c r="AX234" i="5"/>
  <c r="AW234" i="5"/>
  <c r="AX133" i="5"/>
  <c r="AW133" i="5"/>
  <c r="AX311" i="5"/>
  <c r="AW311" i="5"/>
  <c r="AX191" i="5"/>
  <c r="AW191" i="5"/>
  <c r="AX29" i="5"/>
  <c r="AW29" i="5"/>
  <c r="AW217" i="5"/>
  <c r="AX217" i="5"/>
  <c r="AX282" i="5"/>
  <c r="AW282" i="5"/>
  <c r="AX492" i="5"/>
  <c r="AW492" i="5"/>
  <c r="AW42" i="5"/>
  <c r="AX42" i="5"/>
  <c r="AX131" i="5"/>
  <c r="AW131" i="5"/>
  <c r="AX39" i="5"/>
  <c r="AW39" i="5"/>
  <c r="AX210" i="5"/>
  <c r="AW210" i="5"/>
  <c r="AX98" i="5"/>
  <c r="AW98" i="5"/>
  <c r="AW551" i="5"/>
  <c r="AX551" i="5"/>
  <c r="AX108" i="5"/>
  <c r="AW108" i="5"/>
  <c r="AX165" i="5"/>
  <c r="AW165" i="5"/>
  <c r="AW160" i="5"/>
  <c r="AX160" i="5"/>
  <c r="AX74" i="5"/>
  <c r="AW74" i="5"/>
  <c r="AW151" i="5"/>
  <c r="AX151" i="5"/>
  <c r="AX47" i="5"/>
  <c r="AW47" i="5"/>
  <c r="AX157" i="5"/>
  <c r="AW157" i="5"/>
  <c r="AW245" i="5"/>
  <c r="AX245" i="5"/>
  <c r="AX368" i="5"/>
  <c r="AW368" i="5"/>
  <c r="AX193" i="5"/>
  <c r="AW193" i="5"/>
  <c r="AX300" i="5"/>
  <c r="AW300" i="5"/>
  <c r="AW412" i="5"/>
  <c r="AX412" i="5"/>
  <c r="AX509" i="5"/>
  <c r="AW509" i="5"/>
  <c r="AX235" i="5"/>
  <c r="AW235" i="5"/>
  <c r="AX353" i="5"/>
  <c r="AW353" i="5"/>
  <c r="AW482" i="5"/>
  <c r="AX482" i="5"/>
  <c r="AW385" i="5"/>
  <c r="AX385" i="5"/>
  <c r="AW498" i="5"/>
  <c r="AX498" i="5"/>
  <c r="AX273" i="5"/>
  <c r="AW273" i="5"/>
  <c r="AX384" i="5"/>
  <c r="AW384" i="5"/>
  <c r="AX214" i="5"/>
  <c r="AW214" i="5"/>
  <c r="AW279" i="5"/>
  <c r="AX279" i="5"/>
  <c r="AW430" i="5"/>
  <c r="AX430" i="5"/>
  <c r="AW229" i="5"/>
  <c r="AX229" i="5"/>
  <c r="AW389" i="5"/>
  <c r="AX389" i="5"/>
  <c r="AX475" i="5"/>
  <c r="AW475" i="5"/>
  <c r="AX503" i="5"/>
  <c r="AW503" i="5"/>
  <c r="AW527" i="5"/>
  <c r="AX527" i="5"/>
  <c r="AX201" i="5"/>
  <c r="AW201" i="5"/>
  <c r="AX51" i="5"/>
  <c r="AW51" i="5"/>
  <c r="AX91" i="5"/>
  <c r="AW91" i="5"/>
  <c r="AX34" i="5"/>
  <c r="AW34" i="5"/>
  <c r="AX325" i="5"/>
  <c r="AW325" i="5"/>
  <c r="AX238" i="5"/>
  <c r="AW238" i="5"/>
  <c r="AW218" i="5"/>
  <c r="AX218" i="5"/>
  <c r="AW496" i="5"/>
  <c r="AX496" i="5"/>
  <c r="AX274" i="5"/>
  <c r="AW274" i="5"/>
  <c r="AX472" i="5"/>
  <c r="AW472" i="5"/>
  <c r="AX200" i="5"/>
  <c r="AW200" i="5"/>
  <c r="AX501" i="5"/>
  <c r="AW501" i="5"/>
  <c r="AW397" i="5"/>
  <c r="AX397" i="5"/>
  <c r="AW352" i="5"/>
  <c r="AX352" i="5"/>
  <c r="AW403" i="5"/>
  <c r="AX403" i="5"/>
  <c r="AX318" i="5"/>
  <c r="AW318" i="5"/>
  <c r="AX199" i="5"/>
  <c r="AW199" i="5"/>
  <c r="AX413" i="5"/>
  <c r="AW413" i="5"/>
  <c r="AX68" i="5"/>
  <c r="AW68" i="5"/>
  <c r="AX488" i="5"/>
  <c r="AW488" i="5"/>
  <c r="AX363" i="5"/>
  <c r="AW363" i="5"/>
  <c r="AW531" i="5"/>
  <c r="AX531" i="5"/>
  <c r="AW360" i="5"/>
  <c r="AX360" i="5"/>
  <c r="AX534" i="5"/>
  <c r="AW534" i="5"/>
  <c r="AW381" i="5"/>
  <c r="AX381" i="5"/>
  <c r="AW328" i="5"/>
  <c r="AX328" i="5"/>
  <c r="AX203" i="5"/>
  <c r="AW203" i="5"/>
  <c r="AW265" i="5"/>
  <c r="AX265" i="5"/>
  <c r="AX163" i="5"/>
  <c r="AW163" i="5"/>
  <c r="AW121" i="5"/>
  <c r="AX121" i="5"/>
  <c r="AX190" i="5"/>
  <c r="AW190" i="5"/>
  <c r="AW212" i="5"/>
  <c r="AX212" i="5"/>
  <c r="AX489" i="5"/>
  <c r="AW489" i="5"/>
  <c r="AX215" i="5"/>
  <c r="AW215" i="5"/>
  <c r="AX137" i="5"/>
  <c r="AW137" i="5"/>
  <c r="AX32" i="5"/>
  <c r="AW32" i="5"/>
  <c r="AW249" i="5"/>
  <c r="AX249" i="5"/>
  <c r="AX70" i="5"/>
  <c r="AW70" i="5"/>
  <c r="AW293" i="5"/>
  <c r="AX293" i="5"/>
  <c r="AX150" i="5"/>
  <c r="AW150" i="5"/>
  <c r="AX59" i="5"/>
  <c r="AW59" i="5"/>
  <c r="AX60" i="5"/>
  <c r="AW60" i="5"/>
  <c r="AW271" i="5"/>
  <c r="AX271" i="5"/>
  <c r="AW52" i="5"/>
  <c r="AX52" i="5"/>
  <c r="AW50" i="5"/>
  <c r="AX50" i="5"/>
  <c r="AX144" i="5"/>
  <c r="AW144" i="5"/>
  <c r="AX100" i="5"/>
  <c r="AW100" i="5"/>
  <c r="AW541" i="5"/>
  <c r="AX541" i="5"/>
  <c r="AW189" i="5"/>
  <c r="AX189" i="5"/>
  <c r="AX115" i="5"/>
  <c r="AW115" i="5"/>
  <c r="AX123" i="5"/>
  <c r="AW123" i="5"/>
  <c r="AX437" i="5"/>
  <c r="AW437" i="5"/>
  <c r="AX173" i="5"/>
  <c r="AW173" i="5"/>
  <c r="AW95" i="5"/>
  <c r="AX95" i="5"/>
  <c r="AX180" i="5"/>
  <c r="AW180" i="5"/>
  <c r="AX63" i="5"/>
  <c r="AW63" i="5"/>
  <c r="AX537" i="5"/>
  <c r="AW537" i="5"/>
  <c r="AX263" i="5"/>
  <c r="AW263" i="5"/>
  <c r="AW497" i="5"/>
  <c r="AX497" i="5"/>
  <c r="AW221" i="5"/>
  <c r="AX221" i="5"/>
  <c r="AW316" i="5"/>
  <c r="AX316" i="5"/>
  <c r="AX422" i="5"/>
  <c r="AW422" i="5"/>
  <c r="AW515" i="5"/>
  <c r="AX515" i="5"/>
  <c r="AW277" i="5"/>
  <c r="AX277" i="5"/>
  <c r="AW390" i="5"/>
  <c r="AX390" i="5"/>
  <c r="AX187" i="5"/>
  <c r="AW187" i="5"/>
  <c r="AX433" i="5"/>
  <c r="AW433" i="5"/>
  <c r="AW538" i="5"/>
  <c r="AX538" i="5"/>
  <c r="AW320" i="5"/>
  <c r="AX320" i="5"/>
  <c r="AX487" i="5"/>
  <c r="AW487" i="5"/>
  <c r="AX233" i="5"/>
  <c r="AW233" i="5"/>
  <c r="AX309" i="5"/>
  <c r="AW309" i="5"/>
  <c r="AX469" i="5"/>
  <c r="AW469" i="5"/>
  <c r="AX286" i="5"/>
  <c r="AW286" i="5"/>
  <c r="AX414" i="5"/>
  <c r="AW414" i="5"/>
  <c r="AW502" i="5"/>
  <c r="AX502" i="5"/>
  <c r="AX511" i="5"/>
  <c r="AW511" i="5"/>
  <c r="AW508" i="5"/>
  <c r="AX508" i="5"/>
  <c r="AW196" i="5"/>
  <c r="AX196" i="5"/>
  <c r="AX239" i="5"/>
  <c r="AW239" i="5"/>
  <c r="AW285" i="5"/>
  <c r="AX285" i="5"/>
  <c r="AX289" i="5"/>
  <c r="AW289" i="5"/>
  <c r="AX55" i="5"/>
  <c r="AW55" i="5"/>
  <c r="AX510" i="5"/>
  <c r="AW510" i="5"/>
  <c r="AX394" i="5"/>
  <c r="AW394" i="5"/>
  <c r="AX559" i="5"/>
  <c r="AW559" i="5"/>
  <c r="AX477" i="5"/>
  <c r="AW477" i="5"/>
  <c r="AX145" i="5"/>
  <c r="AW145" i="5"/>
  <c r="AW459" i="5"/>
  <c r="AX459" i="5"/>
  <c r="AX388" i="5"/>
  <c r="AW388" i="5"/>
  <c r="AW340" i="5"/>
  <c r="AX340" i="5"/>
  <c r="AW377" i="5"/>
  <c r="AX377" i="5"/>
  <c r="AW355" i="5"/>
  <c r="AX355" i="5"/>
  <c r="AX548" i="5"/>
  <c r="AW548" i="5"/>
  <c r="AX392" i="5"/>
  <c r="AW392" i="5"/>
  <c r="AX540" i="5"/>
  <c r="AW540" i="5"/>
  <c r="AW473" i="5"/>
  <c r="AX473" i="5"/>
  <c r="AX315" i="5"/>
  <c r="AW315" i="5"/>
  <c r="AW491" i="5"/>
  <c r="AX491" i="5"/>
  <c r="AX307" i="5"/>
  <c r="AW307" i="5"/>
  <c r="AX526" i="5"/>
  <c r="AW526" i="5"/>
  <c r="AX374" i="5"/>
  <c r="AW374" i="5"/>
  <c r="AX284" i="5"/>
  <c r="AW284" i="5"/>
  <c r="AX107" i="5"/>
  <c r="AW107" i="5"/>
  <c r="AX179" i="5"/>
  <c r="AW179" i="5"/>
  <c r="AW167" i="5"/>
  <c r="AX167" i="5"/>
  <c r="AW45" i="5"/>
  <c r="AX45" i="5"/>
  <c r="AW20" i="5"/>
  <c r="AX20" i="5"/>
  <c r="AX164" i="5"/>
  <c r="AW164" i="5"/>
  <c r="AX343" i="5"/>
  <c r="AW343" i="5"/>
  <c r="AX208" i="5"/>
  <c r="AW208" i="5"/>
  <c r="AX113" i="5"/>
  <c r="AW113" i="5"/>
  <c r="AX493" i="5"/>
  <c r="AW493" i="5"/>
  <c r="AX224" i="5"/>
  <c r="AW224" i="5"/>
  <c r="AW102" i="5"/>
  <c r="AX102" i="5"/>
  <c r="AX292" i="5"/>
  <c r="AW292" i="5"/>
  <c r="AX142" i="5"/>
  <c r="AW142" i="5"/>
  <c r="AX35" i="5"/>
  <c r="AW35" i="5"/>
  <c r="AX78" i="5"/>
  <c r="AW78" i="5"/>
  <c r="AW204" i="5"/>
  <c r="AX204" i="5"/>
  <c r="AW118" i="5"/>
  <c r="AX118" i="5"/>
  <c r="AW57" i="5"/>
  <c r="AX57" i="5"/>
  <c r="AX177" i="5"/>
  <c r="AW177" i="5"/>
  <c r="AX119" i="5"/>
  <c r="AW119" i="5"/>
  <c r="AW80" i="5"/>
  <c r="AX80" i="5"/>
  <c r="AW278" i="5"/>
  <c r="AX278" i="5"/>
  <c r="AX152" i="5"/>
  <c r="AW152" i="5"/>
  <c r="AX128" i="5"/>
  <c r="AW128" i="5"/>
  <c r="AW176" i="5"/>
  <c r="AX176" i="5"/>
  <c r="AX182" i="5"/>
  <c r="AW182" i="5"/>
  <c r="AW101" i="5"/>
  <c r="AX101" i="5"/>
  <c r="AX512" i="5"/>
  <c r="AW512" i="5"/>
  <c r="AW73" i="5"/>
  <c r="AX73" i="5"/>
  <c r="AW184" i="5"/>
  <c r="AX184" i="5"/>
  <c r="AX266" i="5"/>
  <c r="AW266" i="5"/>
  <c r="AW523" i="5"/>
  <c r="AX523" i="5"/>
  <c r="AW226" i="5"/>
  <c r="AX226" i="5"/>
  <c r="AX349" i="5"/>
  <c r="AW349" i="5"/>
  <c r="AX434" i="5"/>
  <c r="AW434" i="5"/>
  <c r="AX525" i="5"/>
  <c r="AW525" i="5"/>
  <c r="AW295" i="5"/>
  <c r="AX295" i="5"/>
  <c r="AX401" i="5"/>
  <c r="AW401" i="5"/>
  <c r="AX262" i="5"/>
  <c r="AW262" i="5"/>
  <c r="AX440" i="5"/>
  <c r="AW440" i="5"/>
  <c r="AX194" i="5"/>
  <c r="AW194" i="5"/>
  <c r="AW338" i="5"/>
  <c r="AX338" i="5"/>
  <c r="AX504" i="5"/>
  <c r="AW504" i="5"/>
  <c r="AW237" i="5"/>
  <c r="AX237" i="5"/>
  <c r="AX317" i="5"/>
  <c r="AW317" i="5"/>
  <c r="AW480" i="5"/>
  <c r="AX480" i="5"/>
  <c r="AW294" i="5"/>
  <c r="AX294" i="5"/>
  <c r="AX418" i="5"/>
  <c r="AW418" i="5"/>
  <c r="AW505" i="5"/>
  <c r="AX505" i="5"/>
  <c r="AW319" i="5"/>
  <c r="AX319" i="5"/>
  <c r="AX439" i="5"/>
  <c r="AW439" i="5"/>
  <c r="AX410" i="5"/>
  <c r="AW410" i="5"/>
  <c r="AX223" i="5"/>
  <c r="AW223" i="5"/>
  <c r="AX291" i="5"/>
  <c r="AW291" i="5"/>
  <c r="AX560" i="5"/>
  <c r="AW560" i="5"/>
  <c r="AW112" i="5"/>
  <c r="AX112" i="5"/>
  <c r="AX198" i="5"/>
  <c r="AW198" i="5"/>
  <c r="AX425" i="5"/>
  <c r="AW425" i="5"/>
  <c r="AX445" i="5"/>
  <c r="AW445" i="5"/>
  <c r="AW549" i="5"/>
  <c r="AX549" i="5"/>
  <c r="AX400" i="5"/>
  <c r="AW400" i="5"/>
  <c r="AX170" i="5"/>
  <c r="AW170" i="5"/>
  <c r="AW456" i="5"/>
  <c r="AX456" i="5"/>
  <c r="AX424" i="5"/>
  <c r="AW424" i="5"/>
  <c r="AW519" i="5"/>
  <c r="AX519" i="5"/>
  <c r="AX399" i="5"/>
  <c r="AW399" i="5"/>
  <c r="AX281" i="5"/>
  <c r="AW281" i="5"/>
  <c r="AX520" i="5"/>
  <c r="AW520" i="5"/>
  <c r="AW391" i="5"/>
  <c r="AX391" i="5"/>
  <c r="AX494" i="5"/>
  <c r="AW494" i="5"/>
  <c r="AX481" i="5"/>
  <c r="AW481" i="5"/>
  <c r="AX354" i="5"/>
  <c r="AW354" i="5"/>
  <c r="AX516" i="5"/>
  <c r="AW516" i="5"/>
  <c r="AX228" i="5"/>
  <c r="AW228" i="5"/>
  <c r="AW522" i="5"/>
  <c r="AX522" i="5"/>
  <c r="AX335" i="5"/>
  <c r="AW335" i="5"/>
  <c r="AW241" i="5"/>
  <c r="AX241" i="5"/>
  <c r="AX24" i="5"/>
  <c r="AW24" i="5"/>
  <c r="AW324" i="5"/>
  <c r="AX324" i="5"/>
  <c r="AX155" i="5"/>
  <c r="AW155" i="5"/>
  <c r="AW94" i="5"/>
  <c r="AX94" i="5"/>
  <c r="AW301" i="5"/>
  <c r="AX301" i="5"/>
  <c r="AX156" i="5"/>
  <c r="AW156" i="5"/>
  <c r="AX272" i="5"/>
  <c r="AW272" i="5"/>
  <c r="AX209" i="5"/>
  <c r="AW209" i="5"/>
  <c r="AW105" i="5"/>
  <c r="AX105" i="5"/>
  <c r="AX462" i="5"/>
  <c r="AW462" i="5"/>
  <c r="AX211" i="5"/>
  <c r="AW211" i="5"/>
  <c r="AX76" i="5"/>
  <c r="AW76" i="5"/>
  <c r="AW287" i="5"/>
  <c r="AX287" i="5"/>
  <c r="AX154" i="5"/>
  <c r="AW154" i="5"/>
  <c r="AX96" i="5"/>
  <c r="AW96" i="5"/>
  <c r="AW126" i="5"/>
  <c r="AX126" i="5"/>
  <c r="AX97" i="5"/>
  <c r="AW97" i="5"/>
  <c r="AW36" i="5"/>
  <c r="AX36" i="5"/>
  <c r="AX58" i="5"/>
  <c r="AW58" i="5"/>
  <c r="AX450" i="5"/>
  <c r="AW450" i="5"/>
  <c r="AW134" i="5"/>
  <c r="AX134" i="5"/>
  <c r="AW33" i="5"/>
  <c r="AX33" i="5"/>
  <c r="AW302" i="5"/>
  <c r="AX302" i="5"/>
  <c r="AX258" i="5"/>
  <c r="AW258" i="5"/>
  <c r="AW135" i="5"/>
  <c r="AX135" i="5"/>
  <c r="AX31" i="5"/>
  <c r="AW31" i="5"/>
  <c r="AX185" i="5"/>
  <c r="AW185" i="5"/>
  <c r="AX103" i="5"/>
  <c r="AW103" i="5"/>
  <c r="AX517" i="5"/>
  <c r="AW517" i="5"/>
  <c r="AW89" i="5"/>
  <c r="AX89" i="5"/>
  <c r="AX202" i="5"/>
  <c r="AW202" i="5"/>
  <c r="AX321" i="5"/>
  <c r="AW321" i="5"/>
  <c r="AX533" i="5"/>
  <c r="AW533" i="5"/>
  <c r="AW243" i="5"/>
  <c r="AX243" i="5"/>
  <c r="AW361" i="5"/>
  <c r="AX361" i="5"/>
  <c r="AX446" i="5"/>
  <c r="AW446" i="5"/>
  <c r="AX542" i="5"/>
  <c r="AW542" i="5"/>
  <c r="AX305" i="5"/>
  <c r="AW305" i="5"/>
  <c r="AX442" i="5"/>
  <c r="AW442" i="5"/>
  <c r="AW329" i="5"/>
  <c r="AX329" i="5"/>
  <c r="AX454" i="5"/>
  <c r="AW454" i="5"/>
  <c r="AW197" i="5"/>
  <c r="AX197" i="5"/>
  <c r="AW346" i="5"/>
  <c r="AX346" i="5"/>
  <c r="AX535" i="5"/>
  <c r="AW535" i="5"/>
  <c r="AW246" i="5"/>
  <c r="AX246" i="5"/>
  <c r="AW322" i="5"/>
  <c r="AX322" i="5"/>
  <c r="AW518" i="5"/>
  <c r="AX518" i="5"/>
  <c r="AX306" i="5"/>
  <c r="AW306" i="5"/>
  <c r="AX428" i="5"/>
  <c r="AW428" i="5"/>
  <c r="AW524" i="5"/>
  <c r="AX524" i="5"/>
  <c r="AX421" i="5"/>
  <c r="AW421" i="5"/>
  <c r="AX71" i="5"/>
  <c r="AW71" i="5"/>
  <c r="AW308" i="5"/>
  <c r="AX308" i="5"/>
  <c r="AX544" i="5"/>
  <c r="AW544" i="5"/>
  <c r="AX323" i="5"/>
  <c r="AW323" i="5"/>
  <c r="AX139" i="5"/>
  <c r="AW139" i="5"/>
  <c r="AX169" i="5"/>
  <c r="AW169" i="5"/>
  <c r="AX250" i="5"/>
  <c r="AW250" i="5"/>
  <c r="AX372" i="5"/>
  <c r="AW372" i="5"/>
  <c r="AX303" i="5"/>
  <c r="AW303" i="5"/>
  <c r="AX521" i="5"/>
  <c r="AW521" i="5"/>
  <c r="AX402" i="5"/>
  <c r="AW402" i="5"/>
  <c r="AW62" i="5"/>
  <c r="AX62" i="5"/>
  <c r="AX441" i="5"/>
  <c r="AW441" i="5"/>
  <c r="AX395" i="5"/>
  <c r="AW395" i="5"/>
  <c r="AX513" i="5"/>
  <c r="AW513" i="5"/>
  <c r="AW419" i="5"/>
  <c r="AX419" i="5"/>
  <c r="AX117" i="5"/>
  <c r="AW117" i="5"/>
  <c r="AX495" i="5"/>
  <c r="AW495" i="5"/>
  <c r="AX383" i="5"/>
  <c r="AW383" i="5"/>
  <c r="AX429" i="5"/>
  <c r="AW429" i="5"/>
  <c r="AX460" i="5"/>
  <c r="AW460" i="5"/>
  <c r="AX314" i="5"/>
  <c r="AW314" i="5"/>
  <c r="AW476" i="5"/>
  <c r="AX476" i="5"/>
  <c r="AX46" i="5"/>
  <c r="AW46" i="5"/>
  <c r="AX485" i="5"/>
  <c r="AW485" i="5"/>
  <c r="AX248" i="5"/>
  <c r="AW248" i="5"/>
  <c r="AX242" i="5"/>
  <c r="AW242" i="5"/>
  <c r="AW106" i="5"/>
  <c r="AX106" i="5"/>
  <c r="AX334" i="5"/>
  <c r="AW334" i="5"/>
  <c r="AX186" i="5"/>
  <c r="AW186" i="5"/>
  <c r="AW67" i="5"/>
  <c r="AX67" i="5"/>
  <c r="AW359" i="5"/>
  <c r="AX359" i="5"/>
  <c r="AW159" i="5"/>
  <c r="AX159" i="5"/>
  <c r="AX298" i="5"/>
  <c r="AW298" i="5"/>
  <c r="AW178" i="5"/>
  <c r="AX178" i="5"/>
  <c r="AX54" i="5"/>
  <c r="AW54" i="5"/>
  <c r="AW478" i="5"/>
  <c r="AX478" i="5"/>
  <c r="AX220" i="5"/>
  <c r="AW220" i="5"/>
  <c r="AX443" i="5"/>
  <c r="AW443" i="5"/>
  <c r="AX252" i="5"/>
  <c r="AW252" i="5"/>
  <c r="AW175" i="5"/>
  <c r="AX175" i="5"/>
  <c r="AX75" i="5"/>
  <c r="AW75" i="5"/>
  <c r="AX124" i="5"/>
  <c r="AW124" i="5"/>
  <c r="AX69" i="5"/>
  <c r="AW69" i="5"/>
  <c r="AX136" i="5"/>
  <c r="AW136" i="5"/>
  <c r="AW65" i="5"/>
  <c r="AX65" i="5"/>
  <c r="AW483" i="5"/>
  <c r="AX483" i="5"/>
  <c r="AX148" i="5"/>
  <c r="AW148" i="5"/>
  <c r="AX48" i="5"/>
  <c r="AW48" i="5"/>
  <c r="AX345" i="5"/>
  <c r="AW345" i="5"/>
  <c r="AW373" i="5"/>
  <c r="AX373" i="5"/>
  <c r="AW143" i="5"/>
  <c r="AX143" i="5"/>
  <c r="AX40" i="5"/>
  <c r="AW40" i="5"/>
  <c r="AX337" i="5"/>
  <c r="AW337" i="5"/>
  <c r="AW111" i="5"/>
  <c r="AX111" i="5"/>
  <c r="AW110" i="5"/>
  <c r="AX110" i="5"/>
  <c r="AX120" i="5"/>
  <c r="AW120" i="5"/>
  <c r="AW205" i="5"/>
  <c r="AX205" i="5"/>
  <c r="AX330" i="5"/>
  <c r="AW330" i="5"/>
  <c r="AW536" i="5"/>
  <c r="AX536" i="5"/>
  <c r="AW268" i="5"/>
  <c r="AX268" i="5"/>
  <c r="AX376" i="5"/>
  <c r="AW376" i="5"/>
  <c r="AW466" i="5"/>
  <c r="AX466" i="5"/>
  <c r="AX547" i="5"/>
  <c r="AW547" i="5"/>
  <c r="AX313" i="5"/>
  <c r="AW313" i="5"/>
  <c r="AW449" i="5"/>
  <c r="AX449" i="5"/>
  <c r="AX341" i="5"/>
  <c r="AW341" i="5"/>
  <c r="AW457" i="5"/>
  <c r="AX457" i="5"/>
  <c r="AW230" i="5"/>
  <c r="AX230" i="5"/>
  <c r="AX348" i="5"/>
  <c r="AW348" i="5"/>
  <c r="AX546" i="5"/>
  <c r="AW546" i="5"/>
  <c r="AX254" i="5"/>
  <c r="AW254" i="5"/>
  <c r="AW367" i="5"/>
  <c r="AX367" i="5"/>
  <c r="AX528" i="5"/>
  <c r="AW528" i="5"/>
  <c r="AX350" i="5"/>
  <c r="AW350" i="5"/>
  <c r="AX432" i="5"/>
  <c r="AW432" i="5"/>
  <c r="AX364" i="5"/>
  <c r="AW364" i="5"/>
  <c r="AW347" i="5"/>
  <c r="AX347" i="5"/>
  <c r="AX380" i="5"/>
  <c r="AW380" i="5"/>
  <c r="AX280" i="5"/>
  <c r="AW280" i="5"/>
  <c r="AW207" i="5"/>
  <c r="AX207" i="5"/>
  <c r="AX84" i="5"/>
  <c r="AW84" i="5"/>
  <c r="AW81" i="5"/>
  <c r="AX81" i="5"/>
  <c r="AW310" i="5"/>
  <c r="AX310" i="5"/>
  <c r="AX529" i="5"/>
  <c r="AW529" i="5"/>
  <c r="AX398" i="5"/>
  <c r="AW398" i="5"/>
  <c r="AX514" i="5"/>
  <c r="AW514" i="5"/>
  <c r="AX396" i="5"/>
  <c r="AW396" i="5"/>
  <c r="AX61" i="5"/>
  <c r="AW61" i="5"/>
  <c r="AX465" i="5"/>
  <c r="AW465" i="5"/>
  <c r="AX351" i="5"/>
  <c r="AW351" i="5"/>
  <c r="AW500" i="5"/>
  <c r="AX500" i="5"/>
  <c r="AW379" i="5"/>
  <c r="AX379" i="5"/>
  <c r="AW114" i="5"/>
  <c r="AX114" i="5"/>
  <c r="AW470" i="5"/>
  <c r="AX470" i="5"/>
  <c r="AX327" i="5"/>
  <c r="AW327" i="5"/>
  <c r="AW555" i="5"/>
  <c r="AX555" i="5"/>
  <c r="AX448" i="5"/>
  <c r="AW448" i="5"/>
  <c r="AX290" i="5"/>
  <c r="AW290" i="5"/>
  <c r="AW490" i="5"/>
  <c r="AX490" i="5"/>
  <c r="AX27" i="5"/>
  <c r="AW27" i="5"/>
  <c r="AW444" i="5"/>
  <c r="AX444" i="5"/>
  <c r="AW240" i="5"/>
  <c r="AX240" i="5"/>
  <c r="AW247" i="5"/>
  <c r="AX247" i="5"/>
  <c r="AX79" i="5"/>
  <c r="AW79" i="5"/>
  <c r="AW259" i="5"/>
  <c r="AX259" i="5"/>
  <c r="AX166" i="5"/>
  <c r="AW166" i="5"/>
  <c r="AW43" i="5"/>
  <c r="AX43" i="5"/>
  <c r="AW283" i="5"/>
  <c r="AX283" i="5"/>
  <c r="AX82" i="5"/>
  <c r="AW82" i="5"/>
  <c r="AX256" i="5"/>
  <c r="AW256" i="5"/>
  <c r="AX162" i="5"/>
  <c r="AW162" i="5"/>
  <c r="AX38" i="5"/>
  <c r="AW38" i="5"/>
  <c r="AW431" i="5"/>
  <c r="AX431" i="5"/>
  <c r="AX183" i="5"/>
  <c r="AW183" i="5"/>
  <c r="AX415" i="5"/>
  <c r="AW415" i="5"/>
  <c r="AX231" i="5"/>
  <c r="AW231" i="5"/>
  <c r="AW130" i="5"/>
  <c r="AX130" i="5"/>
  <c r="AX342" i="5"/>
  <c r="AW342" i="5"/>
  <c r="AW304" i="5"/>
  <c r="AX304" i="5"/>
  <c r="AX99" i="5"/>
  <c r="AW99" i="5"/>
  <c r="AW409" i="5"/>
  <c r="AX409" i="5"/>
  <c r="AX66" i="5"/>
  <c r="AW66" i="5"/>
  <c r="AX553" i="5"/>
  <c r="AW553" i="5"/>
  <c r="AX181" i="5"/>
  <c r="AW181" i="5"/>
  <c r="AX56" i="5"/>
  <c r="AW56" i="5"/>
  <c r="AW387" i="5"/>
  <c r="AX387" i="5"/>
  <c r="AW88" i="5"/>
  <c r="AX88" i="5"/>
  <c r="AX158" i="5"/>
  <c r="AW158" i="5"/>
  <c r="AX85" i="5"/>
  <c r="AW85" i="5"/>
  <c r="AW486" i="5"/>
  <c r="AX486" i="5"/>
  <c r="AX132" i="5"/>
  <c r="AW132" i="5"/>
  <c r="AX172" i="5"/>
  <c r="AW172" i="5"/>
  <c r="AX127" i="5"/>
  <c r="AW127" i="5"/>
  <c r="AW213" i="5"/>
  <c r="AX213" i="5"/>
  <c r="AW357" i="5"/>
  <c r="AX357" i="5"/>
  <c r="AX539" i="5"/>
  <c r="AW539" i="5"/>
  <c r="AX270" i="5"/>
  <c r="AW270" i="5"/>
  <c r="AX404" i="5"/>
  <c r="AW404" i="5"/>
  <c r="AX471" i="5"/>
  <c r="AW471" i="5"/>
  <c r="AX195" i="5"/>
  <c r="AW195" i="5"/>
  <c r="AX333" i="5"/>
  <c r="AW333" i="5"/>
  <c r="AX463" i="5"/>
  <c r="AW463" i="5"/>
  <c r="AX344" i="5"/>
  <c r="AW344" i="5"/>
  <c r="AW458" i="5"/>
  <c r="AX458" i="5"/>
  <c r="AX257" i="5"/>
  <c r="AW257" i="5"/>
  <c r="AW356" i="5"/>
  <c r="AX356" i="5"/>
  <c r="AW557" i="5"/>
  <c r="AX557" i="5"/>
  <c r="AW261" i="5"/>
  <c r="AX261" i="5"/>
  <c r="AW382" i="5"/>
  <c r="AX382" i="5"/>
  <c r="AX225" i="5"/>
  <c r="AW225" i="5"/>
  <c r="AX371" i="5"/>
  <c r="AW371" i="5"/>
  <c r="AX435" i="5"/>
  <c r="AW435" i="5"/>
  <c r="AX8" i="5"/>
  <c r="AW8" i="5"/>
  <c r="AU12" i="5"/>
  <c r="AT12" i="5"/>
  <c r="BA12" i="5"/>
  <c r="AZ12" i="5"/>
  <c r="AT7" i="5"/>
  <c r="AU7" i="5"/>
  <c r="AV13" i="5"/>
  <c r="AX12" i="5"/>
  <c r="AW12" i="5"/>
  <c r="AW7" i="5"/>
  <c r="AX7" i="5"/>
  <c r="AU8" i="5"/>
  <c r="AT8" i="5"/>
  <c r="G186" i="3"/>
  <c r="B194" i="3" s="1"/>
  <c r="BD404" i="5" l="1"/>
  <c r="BC404" i="5"/>
  <c r="BD341" i="5"/>
  <c r="BC341" i="5"/>
  <c r="BD242" i="5"/>
  <c r="BC242" i="5"/>
  <c r="BC33" i="5"/>
  <c r="BD33" i="5"/>
  <c r="BC445" i="5"/>
  <c r="BD445" i="5"/>
  <c r="BC177" i="5"/>
  <c r="BD177" i="5"/>
  <c r="BD137" i="5"/>
  <c r="BC137" i="5"/>
  <c r="BD430" i="5"/>
  <c r="BC430" i="5"/>
  <c r="BC447" i="5"/>
  <c r="BD447" i="5"/>
  <c r="BC479" i="5"/>
  <c r="BD479" i="5"/>
  <c r="BD83" i="5"/>
  <c r="BC83" i="5"/>
  <c r="BD371" i="5"/>
  <c r="BC371" i="5"/>
  <c r="BC357" i="5"/>
  <c r="BD357" i="5"/>
  <c r="BD88" i="5"/>
  <c r="BC88" i="5"/>
  <c r="BD304" i="5"/>
  <c r="BC304" i="5"/>
  <c r="BD162" i="5"/>
  <c r="BC162" i="5"/>
  <c r="BD247" i="5"/>
  <c r="BC247" i="5"/>
  <c r="BD327" i="5"/>
  <c r="BC327" i="5"/>
  <c r="BC396" i="5"/>
  <c r="BD396" i="5"/>
  <c r="BC280" i="5"/>
  <c r="BD280" i="5"/>
  <c r="BC254" i="5"/>
  <c r="BD254" i="5"/>
  <c r="BD547" i="5"/>
  <c r="BC547" i="5"/>
  <c r="BC110" i="5"/>
  <c r="BD110" i="5"/>
  <c r="BD148" i="5"/>
  <c r="BC148" i="5"/>
  <c r="BD252" i="5"/>
  <c r="BC252" i="5"/>
  <c r="BC359" i="5"/>
  <c r="BD359" i="5"/>
  <c r="BC46" i="5"/>
  <c r="BD46" i="5"/>
  <c r="BC419" i="5"/>
  <c r="BD419" i="5"/>
  <c r="BD372" i="5"/>
  <c r="BC372" i="5"/>
  <c r="BC421" i="5"/>
  <c r="BD421" i="5"/>
  <c r="BC346" i="5"/>
  <c r="BD346" i="5"/>
  <c r="BC361" i="5"/>
  <c r="BD361" i="5"/>
  <c r="BC185" i="5"/>
  <c r="BD185" i="5"/>
  <c r="BD58" i="5"/>
  <c r="BC58" i="5"/>
  <c r="BC211" i="5"/>
  <c r="BD211" i="5"/>
  <c r="BD155" i="5"/>
  <c r="BC155" i="5"/>
  <c r="BC354" i="5"/>
  <c r="BD354" i="5"/>
  <c r="BC424" i="5"/>
  <c r="BD424" i="5"/>
  <c r="BD112" i="5"/>
  <c r="BC112" i="5"/>
  <c r="BD418" i="5"/>
  <c r="BC418" i="5"/>
  <c r="BC440" i="5"/>
  <c r="BD440" i="5"/>
  <c r="BD523" i="5"/>
  <c r="BC523" i="5"/>
  <c r="BD128" i="5"/>
  <c r="BC128" i="5"/>
  <c r="BD204" i="5"/>
  <c r="BC204" i="5"/>
  <c r="BC113" i="5"/>
  <c r="BD113" i="5"/>
  <c r="BD107" i="5"/>
  <c r="BC107" i="5"/>
  <c r="BD540" i="5"/>
  <c r="BC540" i="5"/>
  <c r="BD145" i="5"/>
  <c r="BC145" i="5"/>
  <c r="BC239" i="5"/>
  <c r="BD239" i="5"/>
  <c r="BD309" i="5"/>
  <c r="BC309" i="5"/>
  <c r="BC277" i="5"/>
  <c r="BD277" i="5"/>
  <c r="BD63" i="5"/>
  <c r="BC63" i="5"/>
  <c r="BD541" i="5"/>
  <c r="BC541" i="5"/>
  <c r="BD150" i="5"/>
  <c r="BC150" i="5"/>
  <c r="BD212" i="5"/>
  <c r="BC212" i="5"/>
  <c r="BC534" i="5"/>
  <c r="BD534" i="5"/>
  <c r="BD318" i="5"/>
  <c r="BC318" i="5"/>
  <c r="BD496" i="5"/>
  <c r="BC496" i="5"/>
  <c r="BC527" i="5"/>
  <c r="BD527" i="5"/>
  <c r="BC384" i="5"/>
  <c r="BD384" i="5"/>
  <c r="BC412" i="5"/>
  <c r="BD412" i="5"/>
  <c r="BC74" i="5"/>
  <c r="BD74" i="5"/>
  <c r="BC131" i="5"/>
  <c r="BD131" i="5"/>
  <c r="BC133" i="5"/>
  <c r="BD133" i="5"/>
  <c r="BC125" i="5"/>
  <c r="BD125" i="5"/>
  <c r="BC44" i="5"/>
  <c r="BD44" i="5"/>
  <c r="BC288" i="5"/>
  <c r="BD288" i="5"/>
  <c r="BD417" i="5"/>
  <c r="BC417" i="5"/>
  <c r="BC468" i="5"/>
  <c r="BD468" i="5"/>
  <c r="BC484" i="5"/>
  <c r="BD484" i="5"/>
  <c r="BD556" i="5"/>
  <c r="BC556" i="5"/>
  <c r="BD161" i="5"/>
  <c r="BC161" i="5"/>
  <c r="BD77" i="5"/>
  <c r="BC77" i="5"/>
  <c r="BD22" i="5"/>
  <c r="BC22" i="5"/>
  <c r="BC21" i="5"/>
  <c r="BD21" i="5"/>
  <c r="BD558" i="5"/>
  <c r="BC558" i="5"/>
  <c r="BD296" i="5"/>
  <c r="BC296" i="5"/>
  <c r="BD426" i="5"/>
  <c r="BC426" i="5"/>
  <c r="BC166" i="5"/>
  <c r="BD166" i="5"/>
  <c r="BD124" i="5"/>
  <c r="BC124" i="5"/>
  <c r="BC544" i="5"/>
  <c r="BD544" i="5"/>
  <c r="BD156" i="5"/>
  <c r="BC156" i="5"/>
  <c r="BD434" i="5"/>
  <c r="BC434" i="5"/>
  <c r="BC414" i="5"/>
  <c r="BD414" i="5"/>
  <c r="BD203" i="5"/>
  <c r="BC203" i="5"/>
  <c r="BD29" i="5"/>
  <c r="BC29" i="5"/>
  <c r="BC545" i="5"/>
  <c r="BD545" i="5"/>
  <c r="BC116" i="5"/>
  <c r="BD116" i="5"/>
  <c r="BC344" i="5"/>
  <c r="BD344" i="5"/>
  <c r="BD261" i="5"/>
  <c r="BC261" i="5"/>
  <c r="BD195" i="5"/>
  <c r="BC195" i="5"/>
  <c r="BD172" i="5"/>
  <c r="BC172" i="5"/>
  <c r="BD181" i="5"/>
  <c r="BC181" i="5"/>
  <c r="BC231" i="5"/>
  <c r="BD231" i="5"/>
  <c r="BD283" i="5"/>
  <c r="BC283" i="5"/>
  <c r="BD27" i="5"/>
  <c r="BC27" i="5"/>
  <c r="BD379" i="5"/>
  <c r="BC379" i="5"/>
  <c r="BC529" i="5"/>
  <c r="BD529" i="5"/>
  <c r="BC364" i="5"/>
  <c r="BD364" i="5"/>
  <c r="BD230" i="5"/>
  <c r="BC230" i="5"/>
  <c r="BD268" i="5"/>
  <c r="BC268" i="5"/>
  <c r="BD40" i="5"/>
  <c r="BC40" i="5"/>
  <c r="BD136" i="5"/>
  <c r="BC136" i="5"/>
  <c r="BD478" i="5"/>
  <c r="BC478" i="5"/>
  <c r="BC334" i="5"/>
  <c r="BD334" i="5"/>
  <c r="BC460" i="5"/>
  <c r="BD460" i="5"/>
  <c r="BC441" i="5"/>
  <c r="BD441" i="5"/>
  <c r="BD139" i="5"/>
  <c r="BC139" i="5"/>
  <c r="BD306" i="5"/>
  <c r="BC306" i="5"/>
  <c r="BD329" i="5"/>
  <c r="BC329" i="5"/>
  <c r="BC321" i="5"/>
  <c r="BD321" i="5"/>
  <c r="BD258" i="5"/>
  <c r="BC258" i="5"/>
  <c r="BC126" i="5"/>
  <c r="BD126" i="5"/>
  <c r="BD209" i="5"/>
  <c r="BC209" i="5"/>
  <c r="BD241" i="5"/>
  <c r="BC241" i="5"/>
  <c r="BD391" i="5"/>
  <c r="BC391" i="5"/>
  <c r="BD400" i="5"/>
  <c r="BC400" i="5"/>
  <c r="BC223" i="5"/>
  <c r="BD223" i="5"/>
  <c r="BD317" i="5"/>
  <c r="BC317" i="5"/>
  <c r="BD295" i="5"/>
  <c r="BC295" i="5"/>
  <c r="BC73" i="5"/>
  <c r="BD73" i="5"/>
  <c r="BD80" i="5"/>
  <c r="BC80" i="5"/>
  <c r="BD142" i="5"/>
  <c r="BC142" i="5"/>
  <c r="BC164" i="5"/>
  <c r="BD164" i="5"/>
  <c r="BC526" i="5"/>
  <c r="BD526" i="5"/>
  <c r="BC355" i="5"/>
  <c r="BD355" i="5"/>
  <c r="BD394" i="5"/>
  <c r="BC394" i="5"/>
  <c r="BD511" i="5"/>
  <c r="BC511" i="5"/>
  <c r="BD320" i="5"/>
  <c r="BC320" i="5"/>
  <c r="BC316" i="5"/>
  <c r="BD316" i="5"/>
  <c r="BD173" i="5"/>
  <c r="BC173" i="5"/>
  <c r="BC50" i="5"/>
  <c r="BD50" i="5"/>
  <c r="BD249" i="5"/>
  <c r="BC249" i="5"/>
  <c r="BC163" i="5"/>
  <c r="BD163" i="5"/>
  <c r="BD363" i="5"/>
  <c r="BC363" i="5"/>
  <c r="BD397" i="5"/>
  <c r="BC397" i="5"/>
  <c r="BD325" i="5"/>
  <c r="BC325" i="5"/>
  <c r="BD389" i="5"/>
  <c r="BC389" i="5"/>
  <c r="BD385" i="5"/>
  <c r="BC385" i="5"/>
  <c r="BD368" i="5"/>
  <c r="BC368" i="5"/>
  <c r="BC108" i="5"/>
  <c r="BD108" i="5"/>
  <c r="BC282" i="5"/>
  <c r="BD282" i="5"/>
  <c r="BD146" i="5"/>
  <c r="BC146" i="5"/>
  <c r="BD216" i="5"/>
  <c r="BC216" i="5"/>
  <c r="BC188" i="5"/>
  <c r="BD188" i="5"/>
  <c r="BC332" i="5"/>
  <c r="BD332" i="5"/>
  <c r="BC90" i="5"/>
  <c r="BD90" i="5"/>
  <c r="BD406" i="5"/>
  <c r="BC406" i="5"/>
  <c r="BC336" i="5"/>
  <c r="BD336" i="5"/>
  <c r="BD153" i="5"/>
  <c r="BC153" i="5"/>
  <c r="BC64" i="5"/>
  <c r="BD64" i="5"/>
  <c r="BC140" i="5"/>
  <c r="BD140" i="5"/>
  <c r="BD452" i="5"/>
  <c r="BC452" i="5"/>
  <c r="BC30" i="5"/>
  <c r="BD30" i="5"/>
  <c r="BC543" i="5"/>
  <c r="BD543" i="5"/>
  <c r="BD393" i="5"/>
  <c r="BC393" i="5"/>
  <c r="BD183" i="5"/>
  <c r="BC183" i="5"/>
  <c r="BC350" i="5"/>
  <c r="BD350" i="5"/>
  <c r="BC305" i="5"/>
  <c r="BD305" i="5"/>
  <c r="BC522" i="5"/>
  <c r="BD522" i="5"/>
  <c r="BD491" i="5"/>
  <c r="BC491" i="5"/>
  <c r="BD271" i="5"/>
  <c r="BC271" i="5"/>
  <c r="BD91" i="5"/>
  <c r="BC91" i="5"/>
  <c r="BD378" i="5"/>
  <c r="BC378" i="5"/>
  <c r="BD257" i="5"/>
  <c r="BC257" i="5"/>
  <c r="BC431" i="5"/>
  <c r="BD431" i="5"/>
  <c r="BC259" i="5"/>
  <c r="BD259" i="5"/>
  <c r="BC448" i="5"/>
  <c r="BD448" i="5"/>
  <c r="BC465" i="5"/>
  <c r="BD465" i="5"/>
  <c r="BD84" i="5"/>
  <c r="BC84" i="5"/>
  <c r="BC528" i="5"/>
  <c r="BD528" i="5"/>
  <c r="BD449" i="5"/>
  <c r="BC449" i="5"/>
  <c r="BD205" i="5"/>
  <c r="BC205" i="5"/>
  <c r="BD345" i="5"/>
  <c r="BC345" i="5"/>
  <c r="BD75" i="5"/>
  <c r="BC75" i="5"/>
  <c r="BD298" i="5"/>
  <c r="BC298" i="5"/>
  <c r="BD248" i="5"/>
  <c r="BC248" i="5"/>
  <c r="BC495" i="5"/>
  <c r="BD495" i="5"/>
  <c r="BD521" i="5"/>
  <c r="BC521" i="5"/>
  <c r="BD308" i="5"/>
  <c r="BC308" i="5"/>
  <c r="BC246" i="5"/>
  <c r="BD246" i="5"/>
  <c r="BC542" i="5"/>
  <c r="BD542" i="5"/>
  <c r="BD517" i="5"/>
  <c r="BC517" i="5"/>
  <c r="BD134" i="5"/>
  <c r="BC134" i="5"/>
  <c r="BD287" i="5"/>
  <c r="BC287" i="5"/>
  <c r="BC301" i="5"/>
  <c r="BD301" i="5"/>
  <c r="BC228" i="5"/>
  <c r="BD228" i="5"/>
  <c r="BC399" i="5"/>
  <c r="BD399" i="5"/>
  <c r="BD425" i="5"/>
  <c r="BC425" i="5"/>
  <c r="BC319" i="5"/>
  <c r="BD319" i="5"/>
  <c r="BD338" i="5"/>
  <c r="BC338" i="5"/>
  <c r="BD349" i="5"/>
  <c r="BC349" i="5"/>
  <c r="BC182" i="5"/>
  <c r="BD182" i="5"/>
  <c r="BC57" i="5"/>
  <c r="BD57" i="5"/>
  <c r="BC224" i="5"/>
  <c r="BD224" i="5"/>
  <c r="BC167" i="5"/>
  <c r="BD167" i="5"/>
  <c r="BC315" i="5"/>
  <c r="BD315" i="5"/>
  <c r="BD388" i="5"/>
  <c r="BC388" i="5"/>
  <c r="BD289" i="5"/>
  <c r="BC289" i="5"/>
  <c r="BD286" i="5"/>
  <c r="BC286" i="5"/>
  <c r="BC187" i="5"/>
  <c r="BD187" i="5"/>
  <c r="BC263" i="5"/>
  <c r="BD263" i="5"/>
  <c r="BD115" i="5"/>
  <c r="BC115" i="5"/>
  <c r="BC60" i="5"/>
  <c r="BD60" i="5"/>
  <c r="BD215" i="5"/>
  <c r="BC215" i="5"/>
  <c r="BD328" i="5"/>
  <c r="BC328" i="5"/>
  <c r="BD413" i="5"/>
  <c r="BC413" i="5"/>
  <c r="BD472" i="5"/>
  <c r="BC472" i="5"/>
  <c r="BD51" i="5"/>
  <c r="BC51" i="5"/>
  <c r="BD279" i="5"/>
  <c r="BC279" i="5"/>
  <c r="BC235" i="5"/>
  <c r="BD235" i="5"/>
  <c r="BD47" i="5"/>
  <c r="BC47" i="5"/>
  <c r="BC210" i="5"/>
  <c r="BD210" i="5"/>
  <c r="BC191" i="5"/>
  <c r="BD191" i="5"/>
  <c r="BC269" i="5"/>
  <c r="BD269" i="5"/>
  <c r="BD362" i="5"/>
  <c r="BC362" i="5"/>
  <c r="BC369" i="5"/>
  <c r="BD369" i="5"/>
  <c r="BC251" i="5"/>
  <c r="BD251" i="5"/>
  <c r="BD464" i="5"/>
  <c r="BC464" i="5"/>
  <c r="BD365" i="5"/>
  <c r="BC365" i="5"/>
  <c r="BC407" i="5"/>
  <c r="BD407" i="5"/>
  <c r="BC23" i="5"/>
  <c r="BD23" i="5"/>
  <c r="BC86" i="5"/>
  <c r="BD86" i="5"/>
  <c r="BD129" i="5"/>
  <c r="BC129" i="5"/>
  <c r="BC138" i="5"/>
  <c r="BD138" i="5"/>
  <c r="BC171" i="5"/>
  <c r="BD171" i="5"/>
  <c r="BD331" i="5"/>
  <c r="BC331" i="5"/>
  <c r="BD168" i="5"/>
  <c r="BC168" i="5"/>
  <c r="BC66" i="5"/>
  <c r="BD66" i="5"/>
  <c r="BC330" i="5"/>
  <c r="BD330" i="5"/>
  <c r="BD402" i="5"/>
  <c r="BC402" i="5"/>
  <c r="BC439" i="5"/>
  <c r="BD439" i="5"/>
  <c r="BD102" i="5"/>
  <c r="BC102" i="5"/>
  <c r="BC497" i="5"/>
  <c r="BD497" i="5"/>
  <c r="BC353" i="5"/>
  <c r="BD353" i="5"/>
  <c r="BC552" i="5"/>
  <c r="BD552" i="5"/>
  <c r="BD461" i="5"/>
  <c r="BC461" i="5"/>
  <c r="BD225" i="5"/>
  <c r="BC225" i="5"/>
  <c r="BD213" i="5"/>
  <c r="BC213" i="5"/>
  <c r="BC387" i="5"/>
  <c r="BD387" i="5"/>
  <c r="BD342" i="5"/>
  <c r="BC342" i="5"/>
  <c r="BD256" i="5"/>
  <c r="BC256" i="5"/>
  <c r="BD240" i="5"/>
  <c r="BC240" i="5"/>
  <c r="BD470" i="5"/>
  <c r="BC470" i="5"/>
  <c r="BD514" i="5"/>
  <c r="BC514" i="5"/>
  <c r="BC380" i="5"/>
  <c r="BD380" i="5"/>
  <c r="BC546" i="5"/>
  <c r="BD546" i="5"/>
  <c r="BC466" i="5"/>
  <c r="BD466" i="5"/>
  <c r="BD111" i="5"/>
  <c r="BC111" i="5"/>
  <c r="BC483" i="5"/>
  <c r="BD483" i="5"/>
  <c r="BC443" i="5"/>
  <c r="BD443" i="5"/>
  <c r="BD67" i="5"/>
  <c r="BC67" i="5"/>
  <c r="BC476" i="5"/>
  <c r="BD476" i="5"/>
  <c r="BC513" i="5"/>
  <c r="BD513" i="5"/>
  <c r="BD250" i="5"/>
  <c r="BC250" i="5"/>
  <c r="BC524" i="5"/>
  <c r="BD524" i="5"/>
  <c r="BD197" i="5"/>
  <c r="BC197" i="5"/>
  <c r="BD243" i="5"/>
  <c r="BC243" i="5"/>
  <c r="BC31" i="5"/>
  <c r="BD31" i="5"/>
  <c r="BD36" i="5"/>
  <c r="BC36" i="5"/>
  <c r="BC462" i="5"/>
  <c r="BD462" i="5"/>
  <c r="BC324" i="5"/>
  <c r="BD324" i="5"/>
  <c r="BC481" i="5"/>
  <c r="BD481" i="5"/>
  <c r="BC456" i="5"/>
  <c r="BD456" i="5"/>
  <c r="BD560" i="5"/>
  <c r="BC560" i="5"/>
  <c r="BD294" i="5"/>
  <c r="BC294" i="5"/>
  <c r="BC262" i="5"/>
  <c r="BD262" i="5"/>
  <c r="BC266" i="5"/>
  <c r="BD266" i="5"/>
  <c r="BC152" i="5"/>
  <c r="BD152" i="5"/>
  <c r="BD78" i="5"/>
  <c r="BC78" i="5"/>
  <c r="BC208" i="5"/>
  <c r="BD208" i="5"/>
  <c r="BD284" i="5"/>
  <c r="BC284" i="5"/>
  <c r="BD392" i="5"/>
  <c r="BC392" i="5"/>
  <c r="BD477" i="5"/>
  <c r="BC477" i="5"/>
  <c r="BD196" i="5"/>
  <c r="BC196" i="5"/>
  <c r="BD233" i="5"/>
  <c r="BC233" i="5"/>
  <c r="BD515" i="5"/>
  <c r="BC515" i="5"/>
  <c r="BC180" i="5"/>
  <c r="BD180" i="5"/>
  <c r="BD100" i="5"/>
  <c r="BC100" i="5"/>
  <c r="BD293" i="5"/>
  <c r="BC293" i="5"/>
  <c r="BD190" i="5"/>
  <c r="BC190" i="5"/>
  <c r="BD360" i="5"/>
  <c r="BC360" i="5"/>
  <c r="BD403" i="5"/>
  <c r="BC403" i="5"/>
  <c r="BC218" i="5"/>
  <c r="BD218" i="5"/>
  <c r="BC503" i="5"/>
  <c r="BD503" i="5"/>
  <c r="BC273" i="5"/>
  <c r="BD273" i="5"/>
  <c r="BD300" i="5"/>
  <c r="BC300" i="5"/>
  <c r="BD160" i="5"/>
  <c r="BC160" i="5"/>
  <c r="BC42" i="5"/>
  <c r="BD42" i="5"/>
  <c r="BD234" i="5"/>
  <c r="BC234" i="5"/>
  <c r="BD253" i="5"/>
  <c r="BC253" i="5"/>
  <c r="BD408" i="5"/>
  <c r="BC408" i="5"/>
  <c r="BC438" i="5"/>
  <c r="BD438" i="5"/>
  <c r="BD423" i="5"/>
  <c r="BC423" i="5"/>
  <c r="BD375" i="5"/>
  <c r="BC375" i="5"/>
  <c r="BC358" i="5"/>
  <c r="BD358" i="5"/>
  <c r="BC366" i="5"/>
  <c r="BD366" i="5"/>
  <c r="BC104" i="5"/>
  <c r="BD104" i="5"/>
  <c r="BD297" i="5"/>
  <c r="BC297" i="5"/>
  <c r="BC147" i="5"/>
  <c r="BD147" i="5"/>
  <c r="BC19" i="5"/>
  <c r="BD19" i="5"/>
  <c r="BD232" i="5"/>
  <c r="BC232" i="5"/>
  <c r="BD312" i="5"/>
  <c r="BC312" i="5"/>
  <c r="BD339" i="5"/>
  <c r="BC339" i="5"/>
  <c r="BD141" i="5"/>
  <c r="BC141" i="5"/>
  <c r="BC486" i="5"/>
  <c r="BD486" i="5"/>
  <c r="BC351" i="5"/>
  <c r="BD351" i="5"/>
  <c r="BD373" i="5"/>
  <c r="BC373" i="5"/>
  <c r="BC154" i="5"/>
  <c r="BD154" i="5"/>
  <c r="BD504" i="5"/>
  <c r="BC504" i="5"/>
  <c r="BD45" i="5"/>
  <c r="BC45" i="5"/>
  <c r="BC433" i="5"/>
  <c r="BD433" i="5"/>
  <c r="BC200" i="5"/>
  <c r="BD200" i="5"/>
  <c r="BD109" i="5"/>
  <c r="BC109" i="5"/>
  <c r="BC149" i="5"/>
  <c r="BD149" i="5"/>
  <c r="BC85" i="5"/>
  <c r="BD85" i="5"/>
  <c r="BD471" i="5"/>
  <c r="BC471" i="5"/>
  <c r="BC132" i="5"/>
  <c r="BD132" i="5"/>
  <c r="BD553" i="5"/>
  <c r="BC553" i="5"/>
  <c r="BC415" i="5"/>
  <c r="BD415" i="5"/>
  <c r="BC43" i="5"/>
  <c r="BD43" i="5"/>
  <c r="BD490" i="5"/>
  <c r="BC490" i="5"/>
  <c r="BD500" i="5"/>
  <c r="BC500" i="5"/>
  <c r="BC310" i="5"/>
  <c r="BD310" i="5"/>
  <c r="BC432" i="5"/>
  <c r="BD432" i="5"/>
  <c r="BC457" i="5"/>
  <c r="BD457" i="5"/>
  <c r="BD536" i="5"/>
  <c r="BC536" i="5"/>
  <c r="BD143" i="5"/>
  <c r="BC143" i="5"/>
  <c r="BC69" i="5"/>
  <c r="BD69" i="5"/>
  <c r="BC54" i="5"/>
  <c r="BD54" i="5"/>
  <c r="BD106" i="5"/>
  <c r="BC106" i="5"/>
  <c r="BC429" i="5"/>
  <c r="BD429" i="5"/>
  <c r="BC62" i="5"/>
  <c r="BD62" i="5"/>
  <c r="BC323" i="5"/>
  <c r="BD323" i="5"/>
  <c r="BD518" i="5"/>
  <c r="BC518" i="5"/>
  <c r="BC442" i="5"/>
  <c r="BD442" i="5"/>
  <c r="BC202" i="5"/>
  <c r="BD202" i="5"/>
  <c r="BC302" i="5"/>
  <c r="BD302" i="5"/>
  <c r="BD96" i="5"/>
  <c r="BC96" i="5"/>
  <c r="BD272" i="5"/>
  <c r="BC272" i="5"/>
  <c r="BD335" i="5"/>
  <c r="BC335" i="5"/>
  <c r="BC520" i="5"/>
  <c r="BD520" i="5"/>
  <c r="BC549" i="5"/>
  <c r="BD549" i="5"/>
  <c r="BC410" i="5"/>
  <c r="BD410" i="5"/>
  <c r="BC237" i="5"/>
  <c r="BD237" i="5"/>
  <c r="BD525" i="5"/>
  <c r="BC525" i="5"/>
  <c r="BC512" i="5"/>
  <c r="BD512" i="5"/>
  <c r="BD119" i="5"/>
  <c r="BC119" i="5"/>
  <c r="BC292" i="5"/>
  <c r="BD292" i="5"/>
  <c r="BD20" i="5"/>
  <c r="BC20" i="5"/>
  <c r="BD307" i="5"/>
  <c r="BC307" i="5"/>
  <c r="BD377" i="5"/>
  <c r="BC377" i="5"/>
  <c r="BC510" i="5"/>
  <c r="BD510" i="5"/>
  <c r="BC502" i="5"/>
  <c r="BD502" i="5"/>
  <c r="BD538" i="5"/>
  <c r="BC538" i="5"/>
  <c r="BD221" i="5"/>
  <c r="BC221" i="5"/>
  <c r="BD437" i="5"/>
  <c r="BC437" i="5"/>
  <c r="BC52" i="5"/>
  <c r="BD52" i="5"/>
  <c r="BD32" i="5"/>
  <c r="BC32" i="5"/>
  <c r="BD265" i="5"/>
  <c r="BC265" i="5"/>
  <c r="BC488" i="5"/>
  <c r="BD488" i="5"/>
  <c r="BD501" i="5"/>
  <c r="BC501" i="5"/>
  <c r="BC34" i="5"/>
  <c r="BD34" i="5"/>
  <c r="BD229" i="5"/>
  <c r="BC229" i="5"/>
  <c r="BC482" i="5"/>
  <c r="BD482" i="5"/>
  <c r="BC245" i="5"/>
  <c r="BD245" i="5"/>
  <c r="BD551" i="5"/>
  <c r="BC551" i="5"/>
  <c r="BD217" i="5"/>
  <c r="BC217" i="5"/>
  <c r="BC244" i="5"/>
  <c r="BD244" i="5"/>
  <c r="BD28" i="5"/>
  <c r="BC28" i="5"/>
  <c r="BD451" i="5"/>
  <c r="BC451" i="5"/>
  <c r="BC499" i="5"/>
  <c r="BD499" i="5"/>
  <c r="BD122" i="5"/>
  <c r="BC122" i="5"/>
  <c r="BD276" i="5"/>
  <c r="BC276" i="5"/>
  <c r="BD219" i="5"/>
  <c r="BC219" i="5"/>
  <c r="BD26" i="5"/>
  <c r="BC26" i="5"/>
  <c r="BC192" i="5"/>
  <c r="BD192" i="5"/>
  <c r="BD236" i="5"/>
  <c r="BC236" i="5"/>
  <c r="BD264" i="5"/>
  <c r="BC264" i="5"/>
  <c r="BD550" i="5"/>
  <c r="BC550" i="5"/>
  <c r="BC370" i="5"/>
  <c r="BD370" i="5"/>
  <c r="BC299" i="5"/>
  <c r="BD299" i="5"/>
  <c r="BD411" i="5"/>
  <c r="BC411" i="5"/>
  <c r="BD290" i="5"/>
  <c r="BC290" i="5"/>
  <c r="BC178" i="5"/>
  <c r="BD178" i="5"/>
  <c r="BD322" i="5"/>
  <c r="BC322" i="5"/>
  <c r="BD101" i="5"/>
  <c r="BC101" i="5"/>
  <c r="BD55" i="5"/>
  <c r="BC55" i="5"/>
  <c r="BD68" i="5"/>
  <c r="BC68" i="5"/>
  <c r="BD98" i="5"/>
  <c r="BC98" i="5"/>
  <c r="BD206" i="5"/>
  <c r="BC206" i="5"/>
  <c r="BC420" i="5"/>
  <c r="BD420" i="5"/>
  <c r="BD409" i="5"/>
  <c r="BC409" i="5"/>
  <c r="BC463" i="5"/>
  <c r="BD463" i="5"/>
  <c r="BD557" i="5"/>
  <c r="BC557" i="5"/>
  <c r="BC435" i="5"/>
  <c r="BD435" i="5"/>
  <c r="BD458" i="5"/>
  <c r="BC458" i="5"/>
  <c r="BC539" i="5"/>
  <c r="BD539" i="5"/>
  <c r="BD158" i="5"/>
  <c r="BC158" i="5"/>
  <c r="BD99" i="5"/>
  <c r="BC99" i="5"/>
  <c r="BC38" i="5"/>
  <c r="BD38" i="5"/>
  <c r="BD79" i="5"/>
  <c r="BC79" i="5"/>
  <c r="BC555" i="5"/>
  <c r="BD555" i="5"/>
  <c r="BD61" i="5"/>
  <c r="BC61" i="5"/>
  <c r="BD207" i="5"/>
  <c r="BC207" i="5"/>
  <c r="BD367" i="5"/>
  <c r="BC367" i="5"/>
  <c r="BC313" i="5"/>
  <c r="BD313" i="5"/>
  <c r="BD120" i="5"/>
  <c r="BC120" i="5"/>
  <c r="BD48" i="5"/>
  <c r="BC48" i="5"/>
  <c r="BD175" i="5"/>
  <c r="BC175" i="5"/>
  <c r="BD159" i="5"/>
  <c r="BC159" i="5"/>
  <c r="BC485" i="5"/>
  <c r="BD485" i="5"/>
  <c r="BD117" i="5"/>
  <c r="BC117" i="5"/>
  <c r="BD303" i="5"/>
  <c r="BC303" i="5"/>
  <c r="BC71" i="5"/>
  <c r="BD71" i="5"/>
  <c r="BD535" i="5"/>
  <c r="BC535" i="5"/>
  <c r="BC446" i="5"/>
  <c r="BD446" i="5"/>
  <c r="BD103" i="5"/>
  <c r="BC103" i="5"/>
  <c r="BD450" i="5"/>
  <c r="BC450" i="5"/>
  <c r="BC76" i="5"/>
  <c r="BD76" i="5"/>
  <c r="BC94" i="5"/>
  <c r="BD94" i="5"/>
  <c r="BD516" i="5"/>
  <c r="BC516" i="5"/>
  <c r="BD519" i="5"/>
  <c r="BC519" i="5"/>
  <c r="BD198" i="5"/>
  <c r="BC198" i="5"/>
  <c r="BD505" i="5"/>
  <c r="BC505" i="5"/>
  <c r="BC194" i="5"/>
  <c r="BD194" i="5"/>
  <c r="BD226" i="5"/>
  <c r="BC226" i="5"/>
  <c r="BC176" i="5"/>
  <c r="BD176" i="5"/>
  <c r="BD118" i="5"/>
  <c r="BC118" i="5"/>
  <c r="BD493" i="5"/>
  <c r="BC493" i="5"/>
  <c r="BC179" i="5"/>
  <c r="BD179" i="5"/>
  <c r="BC473" i="5"/>
  <c r="BD473" i="5"/>
  <c r="BD459" i="5"/>
  <c r="BC459" i="5"/>
  <c r="BD285" i="5"/>
  <c r="BC285" i="5"/>
  <c r="BC469" i="5"/>
  <c r="BD469" i="5"/>
  <c r="BC390" i="5"/>
  <c r="BD390" i="5"/>
  <c r="BD537" i="5"/>
  <c r="BC537" i="5"/>
  <c r="BC189" i="5"/>
  <c r="BD189" i="5"/>
  <c r="BD59" i="5"/>
  <c r="BC59" i="5"/>
  <c r="BC489" i="5"/>
  <c r="BD489" i="5"/>
  <c r="BD381" i="5"/>
  <c r="BC381" i="5"/>
  <c r="BC199" i="5"/>
  <c r="BD199" i="5"/>
  <c r="BD274" i="5"/>
  <c r="BC274" i="5"/>
  <c r="BD201" i="5"/>
  <c r="BC201" i="5"/>
  <c r="BD214" i="5"/>
  <c r="BC214" i="5"/>
  <c r="BD509" i="5"/>
  <c r="BC509" i="5"/>
  <c r="BC151" i="5"/>
  <c r="BD151" i="5"/>
  <c r="BD39" i="5"/>
  <c r="BC39" i="5"/>
  <c r="BC311" i="5"/>
  <c r="BD311" i="5"/>
  <c r="BC93" i="5"/>
  <c r="BD93" i="5"/>
  <c r="BD386" i="5"/>
  <c r="BC386" i="5"/>
  <c r="BC455" i="5"/>
  <c r="BD455" i="5"/>
  <c r="BD532" i="5"/>
  <c r="BC532" i="5"/>
  <c r="BC467" i="5"/>
  <c r="BD467" i="5"/>
  <c r="BD267" i="5"/>
  <c r="BC267" i="5"/>
  <c r="BD275" i="5"/>
  <c r="BC275" i="5"/>
  <c r="BC87" i="5"/>
  <c r="BD87" i="5"/>
  <c r="BC41" i="5"/>
  <c r="BD41" i="5"/>
  <c r="BC506" i="5"/>
  <c r="BD506" i="5"/>
  <c r="BC260" i="5"/>
  <c r="BD260" i="5"/>
  <c r="BC436" i="5"/>
  <c r="BD436" i="5"/>
  <c r="BC427" i="5"/>
  <c r="BD427" i="5"/>
  <c r="BC174" i="5"/>
  <c r="BD174" i="5"/>
  <c r="BC356" i="5"/>
  <c r="BD356" i="5"/>
  <c r="BD81" i="5"/>
  <c r="BC81" i="5"/>
  <c r="BC383" i="5"/>
  <c r="BD383" i="5"/>
  <c r="BD89" i="5"/>
  <c r="BC89" i="5"/>
  <c r="BD281" i="5"/>
  <c r="BC281" i="5"/>
  <c r="BC340" i="5"/>
  <c r="BD340" i="5"/>
  <c r="BD123" i="5"/>
  <c r="BC123" i="5"/>
  <c r="BD157" i="5"/>
  <c r="BC157" i="5"/>
  <c r="BD416" i="5"/>
  <c r="BC416" i="5"/>
  <c r="BC25" i="5"/>
  <c r="BD25" i="5"/>
  <c r="BD270" i="5"/>
  <c r="BC270" i="5"/>
  <c r="BD382" i="5"/>
  <c r="BC382" i="5"/>
  <c r="BD333" i="5"/>
  <c r="BC333" i="5"/>
  <c r="BD127" i="5"/>
  <c r="BC127" i="5"/>
  <c r="BC56" i="5"/>
  <c r="BD56" i="5"/>
  <c r="BD130" i="5"/>
  <c r="BC130" i="5"/>
  <c r="BC82" i="5"/>
  <c r="BD82" i="5"/>
  <c r="BC444" i="5"/>
  <c r="BD444" i="5"/>
  <c r="BD114" i="5"/>
  <c r="BC114" i="5"/>
  <c r="BC398" i="5"/>
  <c r="BD398" i="5"/>
  <c r="BC347" i="5"/>
  <c r="BD347" i="5"/>
  <c r="BC348" i="5"/>
  <c r="BD348" i="5"/>
  <c r="BD376" i="5"/>
  <c r="BC376" i="5"/>
  <c r="BD337" i="5"/>
  <c r="BC337" i="5"/>
  <c r="BD65" i="5"/>
  <c r="BC65" i="5"/>
  <c r="BC220" i="5"/>
  <c r="BD220" i="5"/>
  <c r="BD186" i="5"/>
  <c r="BC186" i="5"/>
  <c r="BC314" i="5"/>
  <c r="BD314" i="5"/>
  <c r="BC395" i="5"/>
  <c r="BD395" i="5"/>
  <c r="BC169" i="5"/>
  <c r="BD169" i="5"/>
  <c r="BD428" i="5"/>
  <c r="BC428" i="5"/>
  <c r="BD454" i="5"/>
  <c r="BC454" i="5"/>
  <c r="BC533" i="5"/>
  <c r="BD533" i="5"/>
  <c r="BD135" i="5"/>
  <c r="BC135" i="5"/>
  <c r="BC97" i="5"/>
  <c r="BD97" i="5"/>
  <c r="BC105" i="5"/>
  <c r="BD105" i="5"/>
  <c r="BD24" i="5"/>
  <c r="BC24" i="5"/>
  <c r="BC494" i="5"/>
  <c r="BD494" i="5"/>
  <c r="BC170" i="5"/>
  <c r="BD170" i="5"/>
  <c r="BC291" i="5"/>
  <c r="BD291" i="5"/>
  <c r="BC480" i="5"/>
  <c r="BD480" i="5"/>
  <c r="BC401" i="5"/>
  <c r="BD401" i="5"/>
  <c r="BD184" i="5"/>
  <c r="BC184" i="5"/>
  <c r="BD278" i="5"/>
  <c r="BC278" i="5"/>
  <c r="BD35" i="5"/>
  <c r="BC35" i="5"/>
  <c r="BD343" i="5"/>
  <c r="BC343" i="5"/>
  <c r="BC374" i="5"/>
  <c r="BD374" i="5"/>
  <c r="BC548" i="5"/>
  <c r="BD548" i="5"/>
  <c r="BC559" i="5"/>
  <c r="BD559" i="5"/>
  <c r="BD508" i="5"/>
  <c r="BC508" i="5"/>
  <c r="BD487" i="5"/>
  <c r="BC487" i="5"/>
  <c r="BC422" i="5"/>
  <c r="BD422" i="5"/>
  <c r="BD95" i="5"/>
  <c r="BC95" i="5"/>
  <c r="BD144" i="5"/>
  <c r="BC144" i="5"/>
  <c r="BD70" i="5"/>
  <c r="BC70" i="5"/>
  <c r="BC121" i="5"/>
  <c r="BD121" i="5"/>
  <c r="BD531" i="5"/>
  <c r="BC531" i="5"/>
  <c r="BD352" i="5"/>
  <c r="BC352" i="5"/>
  <c r="BD238" i="5"/>
  <c r="BC238" i="5"/>
  <c r="BC475" i="5"/>
  <c r="BD475" i="5"/>
  <c r="BD498" i="5"/>
  <c r="BC498" i="5"/>
  <c r="BD193" i="5"/>
  <c r="BC193" i="5"/>
  <c r="BD165" i="5"/>
  <c r="BC165" i="5"/>
  <c r="BD492" i="5"/>
  <c r="BC492" i="5"/>
  <c r="BD92" i="5"/>
  <c r="BC92" i="5"/>
  <c r="BD53" i="5"/>
  <c r="BC53" i="5"/>
  <c r="BC554" i="5"/>
  <c r="BD554" i="5"/>
  <c r="BD530" i="5"/>
  <c r="BC530" i="5"/>
  <c r="BD49" i="5"/>
  <c r="BC49" i="5"/>
  <c r="BD227" i="5"/>
  <c r="BC227" i="5"/>
  <c r="BC474" i="5"/>
  <c r="BD474" i="5"/>
  <c r="BC222" i="5"/>
  <c r="BD222" i="5"/>
  <c r="BD405" i="5"/>
  <c r="BC405" i="5"/>
  <c r="BC326" i="5"/>
  <c r="BD326" i="5"/>
  <c r="BC255" i="5"/>
  <c r="BD255" i="5"/>
  <c r="BD37" i="5"/>
  <c r="BC37" i="5"/>
  <c r="BC453" i="5"/>
  <c r="BD453" i="5"/>
  <c r="BC507" i="5"/>
  <c r="BD507" i="5"/>
  <c r="BC72" i="5"/>
  <c r="BD72" i="5"/>
  <c r="AX13" i="5"/>
  <c r="AW13" i="5"/>
  <c r="BA13" i="5"/>
  <c r="AZ13" i="5"/>
  <c r="AU13" i="5"/>
  <c r="AT13" i="5"/>
  <c r="B191" i="3"/>
  <c r="I76" i="2" s="1"/>
  <c r="G183" i="3"/>
  <c r="B54" i="5" l="1"/>
  <c r="B117" i="3" l="1"/>
  <c r="B115" i="3"/>
  <c r="B42" i="5" l="1"/>
  <c r="B141" i="3"/>
  <c r="B70" i="5"/>
  <c r="AI440" i="5" s="1"/>
  <c r="AR13" i="5"/>
  <c r="BB13" i="5" s="1"/>
  <c r="AR11" i="5"/>
  <c r="AR10" i="5"/>
  <c r="AR7" i="5"/>
  <c r="BB7" i="5" s="1"/>
  <c r="AR9" i="5"/>
  <c r="AR8" i="5"/>
  <c r="BB8" i="5" s="1"/>
  <c r="AR12" i="5"/>
  <c r="BB12" i="5" s="1"/>
  <c r="B123" i="3"/>
  <c r="B101" i="3"/>
  <c r="B24" i="5" s="1"/>
  <c r="B26" i="5" s="1"/>
  <c r="B47" i="5" s="1"/>
  <c r="B98" i="3"/>
  <c r="B87" i="3"/>
  <c r="B82" i="3"/>
  <c r="B43" i="3"/>
  <c r="B42" i="3"/>
  <c r="O15" i="8" s="1"/>
  <c r="B40" i="3"/>
  <c r="AI418" i="5" l="1"/>
  <c r="AI447" i="5"/>
  <c r="AI553" i="5"/>
  <c r="AI501" i="5"/>
  <c r="AJ501" i="5" s="1"/>
  <c r="AI518" i="5"/>
  <c r="AK518" i="5" s="1"/>
  <c r="AI507" i="5"/>
  <c r="AJ507" i="5" s="1"/>
  <c r="AI413" i="5"/>
  <c r="AI7" i="5"/>
  <c r="AK7" i="5" s="1"/>
  <c r="AI539" i="5"/>
  <c r="AK539" i="5" s="1"/>
  <c r="AI551" i="5"/>
  <c r="AI486" i="5"/>
  <c r="AJ486" i="5" s="1"/>
  <c r="AI470" i="5"/>
  <c r="AK470" i="5" s="1"/>
  <c r="AI530" i="5"/>
  <c r="AI490" i="5"/>
  <c r="AI557" i="5"/>
  <c r="AI484" i="5"/>
  <c r="AK484" i="5" s="1"/>
  <c r="AI295" i="5"/>
  <c r="AJ295" i="5" s="1"/>
  <c r="AI307" i="5"/>
  <c r="AJ307" i="5" s="1"/>
  <c r="AI260" i="5"/>
  <c r="AJ260" i="5" s="1"/>
  <c r="AI524" i="5"/>
  <c r="AK524" i="5" s="1"/>
  <c r="AI527" i="5"/>
  <c r="AK527" i="5" s="1"/>
  <c r="AI263" i="5"/>
  <c r="AI13" i="5"/>
  <c r="AK13" i="5" s="1"/>
  <c r="AI542" i="5"/>
  <c r="AK542" i="5" s="1"/>
  <c r="AI446" i="5"/>
  <c r="AJ446" i="5" s="1"/>
  <c r="AI499" i="5"/>
  <c r="AK499" i="5" s="1"/>
  <c r="AI466" i="5"/>
  <c r="AJ466" i="5" s="1"/>
  <c r="AI472" i="5"/>
  <c r="AJ472" i="5" s="1"/>
  <c r="AI460" i="5"/>
  <c r="AK460" i="5" s="1"/>
  <c r="AI410" i="5"/>
  <c r="AJ410" i="5" s="1"/>
  <c r="AI521" i="5"/>
  <c r="AI435" i="5"/>
  <c r="AJ435" i="5" s="1"/>
  <c r="AI444" i="5"/>
  <c r="AK444" i="5" s="1"/>
  <c r="AI438" i="5"/>
  <c r="AJ438" i="5" s="1"/>
  <c r="AI334" i="5"/>
  <c r="AK334" i="5" s="1"/>
  <c r="AI516" i="5"/>
  <c r="AJ516" i="5" s="1"/>
  <c r="AI204" i="5"/>
  <c r="AI284" i="5"/>
  <c r="AI306" i="5"/>
  <c r="AI237" i="5"/>
  <c r="AK237" i="5" s="1"/>
  <c r="AI469" i="5"/>
  <c r="AK469" i="5" s="1"/>
  <c r="AI379" i="5"/>
  <c r="AK379" i="5" s="1"/>
  <c r="AI465" i="5"/>
  <c r="AK465" i="5" s="1"/>
  <c r="AI497" i="5"/>
  <c r="AJ497" i="5" s="1"/>
  <c r="AI362" i="5"/>
  <c r="AJ362" i="5" s="1"/>
  <c r="AI203" i="5"/>
  <c r="AI559" i="5"/>
  <c r="AK559" i="5" s="1"/>
  <c r="AI408" i="5"/>
  <c r="AK408" i="5" s="1"/>
  <c r="AI526" i="5"/>
  <c r="AK526" i="5" s="1"/>
  <c r="AI452" i="5"/>
  <c r="AK452" i="5" s="1"/>
  <c r="AI514" i="5"/>
  <c r="AJ514" i="5" s="1"/>
  <c r="AI351" i="5"/>
  <c r="AK351" i="5" s="1"/>
  <c r="AI545" i="5"/>
  <c r="AJ545" i="5" s="1"/>
  <c r="AI342" i="5"/>
  <c r="AJ342" i="5" s="1"/>
  <c r="AI451" i="5"/>
  <c r="AI423" i="5"/>
  <c r="AK423" i="5" s="1"/>
  <c r="AI482" i="5"/>
  <c r="AJ482" i="5" s="1"/>
  <c r="AI322" i="5"/>
  <c r="AJ322" i="5" s="1"/>
  <c r="AI377" i="5"/>
  <c r="AK377" i="5" s="1"/>
  <c r="AI548" i="5"/>
  <c r="AK548" i="5" s="1"/>
  <c r="AI396" i="5"/>
  <c r="AI519" i="5"/>
  <c r="AK519" i="5" s="1"/>
  <c r="AI330" i="5"/>
  <c r="AI478" i="5"/>
  <c r="AK478" i="5" s="1"/>
  <c r="AI255" i="5"/>
  <c r="AK255" i="5" s="1"/>
  <c r="AI533" i="5"/>
  <c r="AK533" i="5" s="1"/>
  <c r="AI289" i="5"/>
  <c r="AK289" i="5" s="1"/>
  <c r="AI433" i="5"/>
  <c r="AJ433" i="5" s="1"/>
  <c r="AI387" i="5"/>
  <c r="AJ387" i="5" s="1"/>
  <c r="AI431" i="5"/>
  <c r="AJ431" i="5" s="1"/>
  <c r="AI312" i="5"/>
  <c r="AJ312" i="5" s="1"/>
  <c r="AI303" i="5"/>
  <c r="AK303" i="5" s="1"/>
  <c r="AI374" i="5"/>
  <c r="AK374" i="5" s="1"/>
  <c r="AI283" i="5"/>
  <c r="AK283" i="5" s="1"/>
  <c r="AI513" i="5"/>
  <c r="AJ513" i="5" s="1"/>
  <c r="AI426" i="5"/>
  <c r="AK426" i="5" s="1"/>
  <c r="AI300" i="5"/>
  <c r="AI12" i="5"/>
  <c r="AK12" i="5" s="1"/>
  <c r="AI493" i="5"/>
  <c r="AI480" i="5"/>
  <c r="AK480" i="5" s="1"/>
  <c r="AI495" i="5"/>
  <c r="AJ495" i="5" s="1"/>
  <c r="AI464" i="5"/>
  <c r="AK464" i="5" s="1"/>
  <c r="AI474" i="5"/>
  <c r="AK474" i="5" s="1"/>
  <c r="AI180" i="5"/>
  <c r="AJ180" i="5" s="1"/>
  <c r="AI503" i="5"/>
  <c r="AI554" i="5"/>
  <c r="AK554" i="5" s="1"/>
  <c r="AI316" i="5"/>
  <c r="AI346" i="5"/>
  <c r="AJ346" i="5" s="1"/>
  <c r="AI419" i="5"/>
  <c r="AK419" i="5" s="1"/>
  <c r="AI371" i="5"/>
  <c r="AK371" i="5" s="1"/>
  <c r="AI219" i="5"/>
  <c r="AK219" i="5" s="1"/>
  <c r="AI385" i="5"/>
  <c r="AK385" i="5" s="1"/>
  <c r="AI8" i="5"/>
  <c r="AK8" i="5" s="1"/>
  <c r="AI488" i="5"/>
  <c r="AK488" i="5" s="1"/>
  <c r="AI456" i="5"/>
  <c r="AJ456" i="5" s="1"/>
  <c r="AI463" i="5"/>
  <c r="AK463" i="5" s="1"/>
  <c r="AI537" i="5"/>
  <c r="AJ537" i="5" s="1"/>
  <c r="AI461" i="5"/>
  <c r="AK461" i="5" s="1"/>
  <c r="AI77" i="5"/>
  <c r="AJ77" i="5" s="1"/>
  <c r="AI496" i="5"/>
  <c r="AJ496" i="5" s="1"/>
  <c r="AI510" i="5"/>
  <c r="AJ510" i="5" s="1"/>
  <c r="AI520" i="5"/>
  <c r="AK520" i="5" s="1"/>
  <c r="AI531" i="5"/>
  <c r="AI297" i="5"/>
  <c r="AJ297" i="5" s="1"/>
  <c r="AI339" i="5"/>
  <c r="AJ339" i="5" s="1"/>
  <c r="AI91" i="5"/>
  <c r="AK91" i="5" s="1"/>
  <c r="AI81" i="5"/>
  <c r="AK81" i="5" s="1"/>
  <c r="AI340" i="5"/>
  <c r="AK340" i="5" s="1"/>
  <c r="AI273" i="5"/>
  <c r="AI244" i="5"/>
  <c r="AJ244" i="5" s="1"/>
  <c r="AI27" i="5"/>
  <c r="AI235" i="5"/>
  <c r="AJ235" i="5" s="1"/>
  <c r="AI105" i="5"/>
  <c r="AK105" i="5" s="1"/>
  <c r="AI82" i="5"/>
  <c r="AK82" i="5" s="1"/>
  <c r="AI415" i="5"/>
  <c r="AK415" i="5" s="1"/>
  <c r="AI432" i="5"/>
  <c r="AK432" i="5" s="1"/>
  <c r="AI476" i="5"/>
  <c r="AK476" i="5" s="1"/>
  <c r="AI310" i="5"/>
  <c r="AJ310" i="5" s="1"/>
  <c r="AI467" i="5"/>
  <c r="AK467" i="5" s="1"/>
  <c r="AI124" i="5"/>
  <c r="AJ124" i="5" s="1"/>
  <c r="AI293" i="5"/>
  <c r="AK293" i="5" s="1"/>
  <c r="AI369" i="5"/>
  <c r="AK369" i="5" s="1"/>
  <c r="AI141" i="5"/>
  <c r="AJ141" i="5" s="1"/>
  <c r="AI164" i="5"/>
  <c r="AK164" i="5" s="1"/>
  <c r="AI471" i="5"/>
  <c r="AJ471" i="5" s="1"/>
  <c r="AI538" i="5"/>
  <c r="AJ538" i="5" s="1"/>
  <c r="AI459" i="5"/>
  <c r="AI43" i="5"/>
  <c r="AK43" i="5" s="1"/>
  <c r="AI185" i="5"/>
  <c r="AK185" i="5" s="1"/>
  <c r="AI323" i="5"/>
  <c r="AJ323" i="5" s="1"/>
  <c r="AI78" i="5"/>
  <c r="AK78" i="5" s="1"/>
  <c r="AI109" i="5"/>
  <c r="AJ109" i="5" s="1"/>
  <c r="AI558" i="5"/>
  <c r="AI412" i="5"/>
  <c r="AJ412" i="5" s="1"/>
  <c r="AI481" i="5"/>
  <c r="AI534" i="5"/>
  <c r="AK534" i="5" s="1"/>
  <c r="AI448" i="5"/>
  <c r="AK448" i="5" s="1"/>
  <c r="AI424" i="5"/>
  <c r="AJ424" i="5" s="1"/>
  <c r="AI32" i="5"/>
  <c r="AJ32" i="5" s="1"/>
  <c r="AI264" i="5"/>
  <c r="AJ264" i="5" s="1"/>
  <c r="AI391" i="5"/>
  <c r="AJ391" i="5" s="1"/>
  <c r="AI140" i="5"/>
  <c r="AJ140" i="5" s="1"/>
  <c r="AI492" i="5"/>
  <c r="AK492" i="5" s="1"/>
  <c r="AI407" i="5"/>
  <c r="AJ407" i="5" s="1"/>
  <c r="AI399" i="5"/>
  <c r="AK399" i="5" s="1"/>
  <c r="AI292" i="5"/>
  <c r="AJ292" i="5" s="1"/>
  <c r="AI279" i="5"/>
  <c r="AK279" i="5" s="1"/>
  <c r="AI269" i="5"/>
  <c r="AK269" i="5" s="1"/>
  <c r="AI315" i="5"/>
  <c r="AI138" i="5"/>
  <c r="AJ138" i="5" s="1"/>
  <c r="AI443" i="5"/>
  <c r="AI154" i="5"/>
  <c r="AK154" i="5" s="1"/>
  <c r="AI318" i="5"/>
  <c r="AK318" i="5" s="1"/>
  <c r="AI380" i="5"/>
  <c r="AK380" i="5" s="1"/>
  <c r="AI281" i="5"/>
  <c r="AK281" i="5" s="1"/>
  <c r="AI243" i="5"/>
  <c r="AJ243" i="5" s="1"/>
  <c r="AI178" i="5"/>
  <c r="AI291" i="5"/>
  <c r="AK291" i="5" s="1"/>
  <c r="AI161" i="5"/>
  <c r="AI314" i="5"/>
  <c r="AK314" i="5" s="1"/>
  <c r="AI136" i="5"/>
  <c r="AJ136" i="5" s="1"/>
  <c r="AI257" i="5"/>
  <c r="AJ257" i="5" s="1"/>
  <c r="AI354" i="5"/>
  <c r="AK354" i="5" s="1"/>
  <c r="AI393" i="5"/>
  <c r="AJ393" i="5" s="1"/>
  <c r="AI276" i="5"/>
  <c r="AJ276" i="5" s="1"/>
  <c r="AI88" i="5"/>
  <c r="AK88" i="5" s="1"/>
  <c r="AI429" i="5"/>
  <c r="AK429" i="5" s="1"/>
  <c r="AI287" i="5"/>
  <c r="AJ287" i="5" s="1"/>
  <c r="AI222" i="5"/>
  <c r="AJ222" i="5" s="1"/>
  <c r="AI249" i="5"/>
  <c r="AJ249" i="5" s="1"/>
  <c r="AI170" i="5"/>
  <c r="AK170" i="5" s="1"/>
  <c r="AI79" i="5"/>
  <c r="AJ79" i="5" s="1"/>
  <c r="AI69" i="5"/>
  <c r="AJ69" i="5" s="1"/>
  <c r="AI97" i="5"/>
  <c r="AJ97" i="5" s="1"/>
  <c r="AI162" i="5"/>
  <c r="AI364" i="5"/>
  <c r="AK364" i="5" s="1"/>
  <c r="AI383" i="5"/>
  <c r="AK383" i="5" s="1"/>
  <c r="AI236" i="5"/>
  <c r="AJ236" i="5" s="1"/>
  <c r="AI253" i="5"/>
  <c r="AK253" i="5" s="1"/>
  <c r="AI395" i="5"/>
  <c r="AJ395" i="5" s="1"/>
  <c r="AI256" i="5"/>
  <c r="AI59" i="5"/>
  <c r="AJ59" i="5" s="1"/>
  <c r="AI357" i="5"/>
  <c r="AI271" i="5"/>
  <c r="AK271" i="5" s="1"/>
  <c r="AI211" i="5"/>
  <c r="AJ211" i="5" s="1"/>
  <c r="AI251" i="5"/>
  <c r="AK251" i="5" s="1"/>
  <c r="AI158" i="5"/>
  <c r="AJ158" i="5" s="1"/>
  <c r="AI130" i="5"/>
  <c r="AK130" i="5" s="1"/>
  <c r="AI21" i="5"/>
  <c r="AJ21" i="5" s="1"/>
  <c r="AI194" i="5"/>
  <c r="AK194" i="5" s="1"/>
  <c r="AI28" i="5"/>
  <c r="AK28" i="5" s="1"/>
  <c r="AI37" i="5"/>
  <c r="AK37" i="5" s="1"/>
  <c r="AI355" i="5"/>
  <c r="AK355" i="5" s="1"/>
  <c r="AI311" i="5"/>
  <c r="AK311" i="5" s="1"/>
  <c r="AI216" i="5"/>
  <c r="AK216" i="5" s="1"/>
  <c r="AI261" i="5"/>
  <c r="AJ261" i="5" s="1"/>
  <c r="AI386" i="5"/>
  <c r="AJ386" i="5" s="1"/>
  <c r="AI247" i="5"/>
  <c r="AK247" i="5" s="1"/>
  <c r="AI76" i="5"/>
  <c r="AI326" i="5"/>
  <c r="AJ326" i="5" s="1"/>
  <c r="AI183" i="5"/>
  <c r="AK183" i="5" s="1"/>
  <c r="AI128" i="5"/>
  <c r="AJ128" i="5" s="1"/>
  <c r="AI201" i="5"/>
  <c r="AJ201" i="5" s="1"/>
  <c r="AI75" i="5"/>
  <c r="AK75" i="5" s="1"/>
  <c r="AI74" i="5"/>
  <c r="AI22" i="5"/>
  <c r="AJ22" i="5" s="1"/>
  <c r="AI119" i="5"/>
  <c r="AI225" i="5"/>
  <c r="AK225" i="5" s="1"/>
  <c r="AI195" i="5"/>
  <c r="AJ195" i="5" s="1"/>
  <c r="AI338" i="5"/>
  <c r="AK338" i="5" s="1"/>
  <c r="AI200" i="5"/>
  <c r="AK200" i="5" s="1"/>
  <c r="AI133" i="5"/>
  <c r="AJ133" i="5" s="1"/>
  <c r="AI335" i="5"/>
  <c r="AK335" i="5" s="1"/>
  <c r="AI132" i="5"/>
  <c r="AK132" i="5" s="1"/>
  <c r="AI116" i="5"/>
  <c r="AK116" i="5" s="1"/>
  <c r="AI177" i="5"/>
  <c r="AJ177" i="5" s="1"/>
  <c r="AI242" i="5"/>
  <c r="AJ242" i="5" s="1"/>
  <c r="AI190" i="5"/>
  <c r="AJ190" i="5" s="1"/>
  <c r="AI73" i="5"/>
  <c r="AK73" i="5" s="1"/>
  <c r="AI159" i="5"/>
  <c r="AJ159" i="5" s="1"/>
  <c r="AI186" i="5"/>
  <c r="AK186" i="5" s="1"/>
  <c r="AI146" i="5"/>
  <c r="AK146" i="5" s="1"/>
  <c r="AI331" i="5"/>
  <c r="AI223" i="5"/>
  <c r="AK223" i="5" s="1"/>
  <c r="AI421" i="5"/>
  <c r="AK421" i="5" s="1"/>
  <c r="AI359" i="5"/>
  <c r="AJ359" i="5" s="1"/>
  <c r="AI118" i="5"/>
  <c r="AJ118" i="5" s="1"/>
  <c r="AI90" i="5"/>
  <c r="AK90" i="5" s="1"/>
  <c r="AI207" i="5"/>
  <c r="AI67" i="5"/>
  <c r="AK67" i="5" s="1"/>
  <c r="AI220" i="5"/>
  <c r="AI33" i="5"/>
  <c r="AK33" i="5" s="1"/>
  <c r="AI229" i="5"/>
  <c r="AJ229" i="5" s="1"/>
  <c r="AI267" i="5"/>
  <c r="AK267" i="5" s="1"/>
  <c r="AI402" i="5"/>
  <c r="AK402" i="5" s="1"/>
  <c r="AI328" i="5"/>
  <c r="AK328" i="5" s="1"/>
  <c r="AI285" i="5"/>
  <c r="AK285" i="5" s="1"/>
  <c r="AI98" i="5"/>
  <c r="AJ98" i="5" s="1"/>
  <c r="AI137" i="5"/>
  <c r="AK137" i="5" s="1"/>
  <c r="AI319" i="5"/>
  <c r="AK319" i="5" s="1"/>
  <c r="AI196" i="5"/>
  <c r="AK196" i="5" s="1"/>
  <c r="AI381" i="5"/>
  <c r="AJ381" i="5" s="1"/>
  <c r="AI308" i="5"/>
  <c r="AJ308" i="5" s="1"/>
  <c r="AI29" i="5"/>
  <c r="AJ29" i="5" s="1"/>
  <c r="AI45" i="5"/>
  <c r="AI199" i="5"/>
  <c r="AK199" i="5" s="1"/>
  <c r="AI19" i="5"/>
  <c r="AI166" i="5"/>
  <c r="AJ166" i="5" s="1"/>
  <c r="AI55" i="5"/>
  <c r="AK55" i="5" s="1"/>
  <c r="AI53" i="5"/>
  <c r="AK53" i="5" s="1"/>
  <c r="AI61" i="5"/>
  <c r="AJ61" i="5" s="1"/>
  <c r="AI121" i="5"/>
  <c r="AK121" i="5" s="1"/>
  <c r="AI169" i="5"/>
  <c r="AI107" i="5"/>
  <c r="AJ107" i="5" s="1"/>
  <c r="AI25" i="5"/>
  <c r="AI80" i="5"/>
  <c r="AJ80" i="5" s="1"/>
  <c r="AI71" i="5"/>
  <c r="AK71" i="5" s="1"/>
  <c r="AI173" i="5"/>
  <c r="AJ173" i="5" s="1"/>
  <c r="AI441" i="5"/>
  <c r="AJ441" i="5" s="1"/>
  <c r="AI156" i="5"/>
  <c r="AJ156" i="5" s="1"/>
  <c r="AI102" i="5"/>
  <c r="AJ102" i="5" s="1"/>
  <c r="AI115" i="5"/>
  <c r="AJ115" i="5" s="1"/>
  <c r="AI93" i="5"/>
  <c r="AK93" i="5" s="1"/>
  <c r="AI85" i="5"/>
  <c r="AJ85" i="5" s="1"/>
  <c r="AI299" i="5"/>
  <c r="AJ299" i="5" s="1"/>
  <c r="AI215" i="5"/>
  <c r="AK215" i="5" s="1"/>
  <c r="AI259" i="5"/>
  <c r="AK259" i="5" s="1"/>
  <c r="AI304" i="5"/>
  <c r="AJ304" i="5" s="1"/>
  <c r="AI129" i="5"/>
  <c r="AK129" i="5" s="1"/>
  <c r="AI23" i="5"/>
  <c r="AK23" i="5" s="1"/>
  <c r="AI64" i="5"/>
  <c r="AI143" i="5"/>
  <c r="AK143" i="5" s="1"/>
  <c r="AI280" i="5"/>
  <c r="AJ280" i="5" s="1"/>
  <c r="AI131" i="5"/>
  <c r="AK131" i="5" s="1"/>
  <c r="AI163" i="5"/>
  <c r="AK163" i="5" s="1"/>
  <c r="AI198" i="5"/>
  <c r="AJ198" i="5" s="1"/>
  <c r="AI265" i="5"/>
  <c r="AI104" i="5"/>
  <c r="AJ104" i="5" s="1"/>
  <c r="AI184" i="5"/>
  <c r="AI26" i="5"/>
  <c r="AJ26" i="5" s="1"/>
  <c r="AI49" i="5"/>
  <c r="AK49" i="5" s="1"/>
  <c r="AI99" i="5"/>
  <c r="AJ99" i="5" s="1"/>
  <c r="AI313" i="5"/>
  <c r="AK313" i="5" s="1"/>
  <c r="AI120" i="5"/>
  <c r="AJ120" i="5" s="1"/>
  <c r="AI174" i="5"/>
  <c r="AK174" i="5" s="1"/>
  <c r="AI252" i="5"/>
  <c r="AK252" i="5" s="1"/>
  <c r="AI24" i="5"/>
  <c r="AK24" i="5" s="1"/>
  <c r="AI38" i="5"/>
  <c r="AK38" i="5" s="1"/>
  <c r="AI30" i="5"/>
  <c r="AK30" i="5" s="1"/>
  <c r="AI65" i="5"/>
  <c r="AK65" i="5" s="1"/>
  <c r="AI103" i="5"/>
  <c r="AK103" i="5" s="1"/>
  <c r="AI153" i="5"/>
  <c r="AJ153" i="5" s="1"/>
  <c r="AI100" i="5"/>
  <c r="AJ100" i="5" s="1"/>
  <c r="AI182" i="5"/>
  <c r="AJ182" i="5" s="1"/>
  <c r="AI228" i="5"/>
  <c r="AI51" i="5"/>
  <c r="AK51" i="5" s="1"/>
  <c r="AI248" i="5"/>
  <c r="AK248" i="5" s="1"/>
  <c r="AI40" i="5"/>
  <c r="AJ40" i="5" s="1"/>
  <c r="AI206" i="5"/>
  <c r="AK206" i="5" s="1"/>
  <c r="AI142" i="5"/>
  <c r="AJ142" i="5" s="1"/>
  <c r="AI92" i="5"/>
  <c r="AI254" i="5"/>
  <c r="AJ254" i="5" s="1"/>
  <c r="AI294" i="5"/>
  <c r="AI36" i="5"/>
  <c r="AJ36" i="5" s="1"/>
  <c r="AI232" i="5"/>
  <c r="AK232" i="5" s="1"/>
  <c r="AI504" i="5"/>
  <c r="AJ504" i="5" s="1"/>
  <c r="AI39" i="5"/>
  <c r="AJ39" i="5" s="1"/>
  <c r="AI302" i="5"/>
  <c r="AK302" i="5" s="1"/>
  <c r="AI214" i="5"/>
  <c r="AK214" i="5" s="1"/>
  <c r="AI35" i="5"/>
  <c r="AJ35" i="5" s="1"/>
  <c r="AI240" i="5"/>
  <c r="AJ240" i="5" s="1"/>
  <c r="AI83" i="5"/>
  <c r="AJ83" i="5" s="1"/>
  <c r="AI227" i="5"/>
  <c r="AK227" i="5" s="1"/>
  <c r="AI112" i="5"/>
  <c r="AK112" i="5" s="1"/>
  <c r="AI101" i="5"/>
  <c r="AK101" i="5" s="1"/>
  <c r="AI398" i="5"/>
  <c r="AJ398" i="5" s="1"/>
  <c r="AI68" i="5"/>
  <c r="AJ68" i="5" s="1"/>
  <c r="AI47" i="5"/>
  <c r="AK47" i="5" s="1"/>
  <c r="AI94" i="5"/>
  <c r="AI48" i="5"/>
  <c r="AJ48" i="5" s="1"/>
  <c r="AI110" i="5"/>
  <c r="AK110" i="5" s="1"/>
  <c r="AI160" i="5"/>
  <c r="AK160" i="5" s="1"/>
  <c r="AI113" i="5"/>
  <c r="AK113" i="5" s="1"/>
  <c r="AI239" i="5"/>
  <c r="AJ239" i="5" s="1"/>
  <c r="AI187" i="5"/>
  <c r="AI231" i="5"/>
  <c r="AJ231" i="5" s="1"/>
  <c r="AI106" i="5"/>
  <c r="AI145" i="5"/>
  <c r="AJ145" i="5" s="1"/>
  <c r="AI96" i="5"/>
  <c r="AK96" i="5" s="1"/>
  <c r="AI217" i="5"/>
  <c r="AK217" i="5" s="1"/>
  <c r="AI126" i="5"/>
  <c r="AK126" i="5" s="1"/>
  <c r="AI72" i="5"/>
  <c r="AK72" i="5" s="1"/>
  <c r="AI246" i="5"/>
  <c r="AK246" i="5" s="1"/>
  <c r="AI31" i="5"/>
  <c r="AK31" i="5" s="1"/>
  <c r="AI63" i="5"/>
  <c r="AK63" i="5" s="1"/>
  <c r="AI50" i="5"/>
  <c r="AJ50" i="5" s="1"/>
  <c r="AI84" i="5"/>
  <c r="AK84" i="5" s="1"/>
  <c r="AI122" i="5"/>
  <c r="AK122" i="5" s="1"/>
  <c r="AI157" i="5"/>
  <c r="AK157" i="5" s="1"/>
  <c r="AI286" i="5"/>
  <c r="AJ286" i="5" s="1"/>
  <c r="AI57" i="5"/>
  <c r="AJ57" i="5" s="1"/>
  <c r="AI288" i="5"/>
  <c r="AJ288" i="5" s="1"/>
  <c r="AI114" i="5"/>
  <c r="AI87" i="5"/>
  <c r="AJ87" i="5" s="1"/>
  <c r="AI238" i="5"/>
  <c r="AJ238" i="5" s="1"/>
  <c r="AI332" i="5"/>
  <c r="AJ332" i="5" s="1"/>
  <c r="AI176" i="5"/>
  <c r="AK176" i="5" s="1"/>
  <c r="AI305" i="5"/>
  <c r="AK305" i="5" s="1"/>
  <c r="AI212" i="5"/>
  <c r="AI34" i="5"/>
  <c r="AK34" i="5" s="1"/>
  <c r="AI58" i="5"/>
  <c r="AI416" i="5"/>
  <c r="AJ416" i="5" s="1"/>
  <c r="AI321" i="5"/>
  <c r="AK321" i="5" s="1"/>
  <c r="AI221" i="5"/>
  <c r="AJ221" i="5" s="1"/>
  <c r="AI56" i="5"/>
  <c r="AJ56" i="5" s="1"/>
  <c r="AI401" i="5"/>
  <c r="AK401" i="5" s="1"/>
  <c r="AI205" i="5"/>
  <c r="AK205" i="5" s="1"/>
  <c r="AI329" i="5"/>
  <c r="AJ329" i="5" s="1"/>
  <c r="AI268" i="5"/>
  <c r="AK268" i="5" s="1"/>
  <c r="AI86" i="5"/>
  <c r="AK86" i="5" s="1"/>
  <c r="AI20" i="5"/>
  <c r="AJ20" i="5" s="1"/>
  <c r="AI66" i="5"/>
  <c r="AJ66" i="5" s="1"/>
  <c r="AI111" i="5"/>
  <c r="AK111" i="5" s="1"/>
  <c r="AI46" i="5"/>
  <c r="AJ46" i="5" s="1"/>
  <c r="AI458" i="5"/>
  <c r="AK458" i="5" s="1"/>
  <c r="AI44" i="5"/>
  <c r="AK44" i="5" s="1"/>
  <c r="AI135" i="5"/>
  <c r="AI258" i="5"/>
  <c r="AJ258" i="5" s="1"/>
  <c r="AI208" i="5"/>
  <c r="AK208" i="5" s="1"/>
  <c r="AI437" i="5"/>
  <c r="AJ437" i="5" s="1"/>
  <c r="AI41" i="5"/>
  <c r="AK41" i="5" s="1"/>
  <c r="AI70" i="5"/>
  <c r="AJ70" i="5" s="1"/>
  <c r="AI193" i="5"/>
  <c r="AI54" i="5"/>
  <c r="AJ54" i="5" s="1"/>
  <c r="AI213" i="5"/>
  <c r="AI52" i="5"/>
  <c r="AJ52" i="5" s="1"/>
  <c r="AI144" i="5"/>
  <c r="AK144" i="5" s="1"/>
  <c r="AI277" i="5"/>
  <c r="AK277" i="5" s="1"/>
  <c r="AI278" i="5"/>
  <c r="AK278" i="5" s="1"/>
  <c r="AI165" i="5"/>
  <c r="AJ165" i="5" s="1"/>
  <c r="AI108" i="5"/>
  <c r="AJ108" i="5" s="1"/>
  <c r="AI42" i="5"/>
  <c r="AJ42" i="5" s="1"/>
  <c r="AI89" i="5"/>
  <c r="AK89" i="5" s="1"/>
  <c r="AI250" i="5"/>
  <c r="AK250" i="5" s="1"/>
  <c r="AI62" i="5"/>
  <c r="AJ62" i="5" s="1"/>
  <c r="AI95" i="5"/>
  <c r="AJ95" i="5" s="1"/>
  <c r="AI60" i="5"/>
  <c r="AK60" i="5" s="1"/>
  <c r="AI151" i="5"/>
  <c r="AJ151" i="5" s="1"/>
  <c r="AI282" i="5"/>
  <c r="AJ282" i="5" s="1"/>
  <c r="AI345" i="5"/>
  <c r="AJ345" i="5" s="1"/>
  <c r="AI172" i="5"/>
  <c r="AI296" i="5"/>
  <c r="AK296" i="5" s="1"/>
  <c r="AI139" i="5"/>
  <c r="AK139" i="5" s="1"/>
  <c r="AI218" i="5"/>
  <c r="AK218" i="5" s="1"/>
  <c r="AI324" i="5"/>
  <c r="AK324" i="5" s="1"/>
  <c r="AI233" i="5"/>
  <c r="AK233" i="5" s="1"/>
  <c r="AI179" i="5"/>
  <c r="AI320" i="5"/>
  <c r="AK320" i="5" s="1"/>
  <c r="AI148" i="5"/>
  <c r="AI224" i="5"/>
  <c r="AK224" i="5" s="1"/>
  <c r="AI382" i="5"/>
  <c r="AJ382" i="5" s="1"/>
  <c r="AI376" i="5"/>
  <c r="AK376" i="5" s="1"/>
  <c r="AI192" i="5"/>
  <c r="AK192" i="5" s="1"/>
  <c r="AI327" i="5"/>
  <c r="AK327" i="5" s="1"/>
  <c r="AI152" i="5"/>
  <c r="AJ152" i="5" s="1"/>
  <c r="AI226" i="5"/>
  <c r="AK226" i="5" s="1"/>
  <c r="AI400" i="5"/>
  <c r="AJ400" i="5" s="1"/>
  <c r="AI317" i="5"/>
  <c r="AJ317" i="5" s="1"/>
  <c r="AI274" i="5"/>
  <c r="AJ274" i="5" s="1"/>
  <c r="AI234" i="5"/>
  <c r="AK234" i="5" s="1"/>
  <c r="AI406" i="5"/>
  <c r="AJ406" i="5" s="1"/>
  <c r="AI175" i="5"/>
  <c r="AJ175" i="5" s="1"/>
  <c r="AI272" i="5"/>
  <c r="AK272" i="5" s="1"/>
  <c r="AI439" i="5"/>
  <c r="AK439" i="5" s="1"/>
  <c r="AI555" i="5"/>
  <c r="AI325" i="5"/>
  <c r="AK325" i="5" s="1"/>
  <c r="AI262" i="5"/>
  <c r="AJ262" i="5" s="1"/>
  <c r="AI449" i="5"/>
  <c r="AJ449" i="5" s="1"/>
  <c r="AI202" i="5"/>
  <c r="AK202" i="5" s="1"/>
  <c r="AI298" i="5"/>
  <c r="AK298" i="5" s="1"/>
  <c r="AI525" i="5"/>
  <c r="AI550" i="5"/>
  <c r="AK550" i="5" s="1"/>
  <c r="AI270" i="5"/>
  <c r="AK270" i="5" s="1"/>
  <c r="AI117" i="5"/>
  <c r="AK117" i="5" s="1"/>
  <c r="AI210" i="5"/>
  <c r="AK210" i="5" s="1"/>
  <c r="AI301" i="5"/>
  <c r="AJ301" i="5" s="1"/>
  <c r="AI134" i="5"/>
  <c r="AK134" i="5" s="1"/>
  <c r="AI149" i="5"/>
  <c r="AJ149" i="5" s="1"/>
  <c r="AI275" i="5"/>
  <c r="AK275" i="5" s="1"/>
  <c r="AI123" i="5"/>
  <c r="AJ123" i="5" s="1"/>
  <c r="AI358" i="5"/>
  <c r="AJ358" i="5" s="1"/>
  <c r="AI150" i="5"/>
  <c r="AK150" i="5" s="1"/>
  <c r="AI290" i="5"/>
  <c r="AK290" i="5" s="1"/>
  <c r="AI147" i="5"/>
  <c r="AJ147" i="5" s="1"/>
  <c r="AI436" i="5"/>
  <c r="AK436" i="5" s="1"/>
  <c r="AI155" i="5"/>
  <c r="AJ155" i="5" s="1"/>
  <c r="AI309" i="5"/>
  <c r="AK309" i="5" s="1"/>
  <c r="AI266" i="5"/>
  <c r="AJ266" i="5" s="1"/>
  <c r="AI363" i="5"/>
  <c r="AI167" i="5"/>
  <c r="AJ167" i="5" s="1"/>
  <c r="AI188" i="5"/>
  <c r="AK188" i="5" s="1"/>
  <c r="AI414" i="5"/>
  <c r="AJ414" i="5" s="1"/>
  <c r="AI372" i="5"/>
  <c r="AK372" i="5" s="1"/>
  <c r="AI168" i="5"/>
  <c r="AJ168" i="5" s="1"/>
  <c r="AI191" i="5"/>
  <c r="AK191" i="5" s="1"/>
  <c r="AI556" i="5"/>
  <c r="AJ556" i="5" s="1"/>
  <c r="AI389" i="5"/>
  <c r="AI189" i="5"/>
  <c r="AK189" i="5" s="1"/>
  <c r="AI230" i="5"/>
  <c r="AK230" i="5" s="1"/>
  <c r="AI353" i="5"/>
  <c r="AK353" i="5" s="1"/>
  <c r="AI181" i="5"/>
  <c r="AJ181" i="5" s="1"/>
  <c r="AI125" i="5"/>
  <c r="AJ125" i="5" s="1"/>
  <c r="AI349" i="5"/>
  <c r="AK349" i="5" s="1"/>
  <c r="AI390" i="5"/>
  <c r="AK390" i="5" s="1"/>
  <c r="AI494" i="5"/>
  <c r="AJ494" i="5" s="1"/>
  <c r="AI411" i="5"/>
  <c r="AJ411" i="5" s="1"/>
  <c r="AI127" i="5"/>
  <c r="AJ127" i="5" s="1"/>
  <c r="AI361" i="5"/>
  <c r="AK361" i="5" s="1"/>
  <c r="AI475" i="5"/>
  <c r="AK475" i="5" s="1"/>
  <c r="AI529" i="5"/>
  <c r="AK529" i="5" s="1"/>
  <c r="AI540" i="5"/>
  <c r="AK540" i="5" s="1"/>
  <c r="AI197" i="5"/>
  <c r="AJ197" i="5" s="1"/>
  <c r="AI171" i="5"/>
  <c r="AK171" i="5" s="1"/>
  <c r="AI479" i="5"/>
  <c r="AJ479" i="5" s="1"/>
  <c r="AI405" i="5"/>
  <c r="AJ405" i="5" s="1"/>
  <c r="AI384" i="5"/>
  <c r="AK384" i="5" s="1"/>
  <c r="AI442" i="5"/>
  <c r="AK442" i="5" s="1"/>
  <c r="AI209" i="5"/>
  <c r="AK209" i="5" s="1"/>
  <c r="AI509" i="5"/>
  <c r="AK509" i="5" s="1"/>
  <c r="AI457" i="5"/>
  <c r="AK457" i="5" s="1"/>
  <c r="AI487" i="5"/>
  <c r="AI511" i="5"/>
  <c r="AK511" i="5" s="1"/>
  <c r="AI241" i="5"/>
  <c r="AK241" i="5" s="1"/>
  <c r="AI245" i="5"/>
  <c r="AK245" i="5" s="1"/>
  <c r="AI552" i="5"/>
  <c r="AK552" i="5" s="1"/>
  <c r="AI541" i="5"/>
  <c r="AJ541" i="5" s="1"/>
  <c r="AI505" i="5"/>
  <c r="AJ505" i="5" s="1"/>
  <c r="AI422" i="5"/>
  <c r="AJ422" i="5" s="1"/>
  <c r="AI341" i="5"/>
  <c r="AK341" i="5" s="1"/>
  <c r="AI517" i="5"/>
  <c r="AK517" i="5" s="1"/>
  <c r="AI420" i="5"/>
  <c r="AK420" i="5" s="1"/>
  <c r="AI337" i="5"/>
  <c r="AJ337" i="5" s="1"/>
  <c r="AI462" i="5"/>
  <c r="AK462" i="5" s="1"/>
  <c r="AI536" i="5"/>
  <c r="AK536" i="5" s="1"/>
  <c r="AI403" i="5"/>
  <c r="AK403" i="5" s="1"/>
  <c r="AI515" i="5"/>
  <c r="AK515" i="5" s="1"/>
  <c r="AI394" i="5"/>
  <c r="AK394" i="5" s="1"/>
  <c r="AI547" i="5"/>
  <c r="AJ547" i="5" s="1"/>
  <c r="AI454" i="5"/>
  <c r="AJ454" i="5" s="1"/>
  <c r="AI453" i="5"/>
  <c r="AK453" i="5" s="1"/>
  <c r="AI344" i="5"/>
  <c r="AK344" i="5" s="1"/>
  <c r="AI546" i="5"/>
  <c r="AJ546" i="5" s="1"/>
  <c r="AI434" i="5"/>
  <c r="AK434" i="5" s="1"/>
  <c r="AI343" i="5"/>
  <c r="AK343" i="5" s="1"/>
  <c r="AI468" i="5"/>
  <c r="AK468" i="5" s="1"/>
  <c r="AI336" i="5"/>
  <c r="AK336" i="5" s="1"/>
  <c r="AI428" i="5"/>
  <c r="AK428" i="5" s="1"/>
  <c r="AI522" i="5"/>
  <c r="AK522" i="5" s="1"/>
  <c r="AI397" i="5"/>
  <c r="AJ397" i="5" s="1"/>
  <c r="AI356" i="5"/>
  <c r="AK356" i="5" s="1"/>
  <c r="AI455" i="5"/>
  <c r="AK455" i="5" s="1"/>
  <c r="AI549" i="5"/>
  <c r="AK549" i="5" s="1"/>
  <c r="AI450" i="5"/>
  <c r="AJ450" i="5" s="1"/>
  <c r="AI352" i="5"/>
  <c r="AJ352" i="5" s="1"/>
  <c r="AI473" i="5"/>
  <c r="AK473" i="5" s="1"/>
  <c r="AI360" i="5"/>
  <c r="AJ360" i="5" s="1"/>
  <c r="AI483" i="5"/>
  <c r="AJ483" i="5" s="1"/>
  <c r="AI543" i="5"/>
  <c r="AJ543" i="5" s="1"/>
  <c r="AI409" i="5"/>
  <c r="AK409" i="5" s="1"/>
  <c r="AI370" i="5"/>
  <c r="AJ370" i="5" s="1"/>
  <c r="AI485" i="5"/>
  <c r="AK485" i="5" s="1"/>
  <c r="AI347" i="5"/>
  <c r="AK347" i="5" s="1"/>
  <c r="AI528" i="5"/>
  <c r="AK528" i="5" s="1"/>
  <c r="AI417" i="5"/>
  <c r="AK417" i="5" s="1"/>
  <c r="AI365" i="5"/>
  <c r="AK365" i="5" s="1"/>
  <c r="AI508" i="5"/>
  <c r="AJ508" i="5" s="1"/>
  <c r="AI366" i="5"/>
  <c r="AK366" i="5" s="1"/>
  <c r="AI498" i="5"/>
  <c r="AJ498" i="5" s="1"/>
  <c r="AI367" i="5"/>
  <c r="AJ367" i="5" s="1"/>
  <c r="AI489" i="5"/>
  <c r="AJ489" i="5" s="1"/>
  <c r="AI333" i="5"/>
  <c r="AK333" i="5" s="1"/>
  <c r="AI477" i="5"/>
  <c r="AK477" i="5" s="1"/>
  <c r="AI425" i="5"/>
  <c r="AK425" i="5" s="1"/>
  <c r="AI560" i="5"/>
  <c r="AK560" i="5" s="1"/>
  <c r="AI350" i="5"/>
  <c r="AJ350" i="5" s="1"/>
  <c r="AI544" i="5"/>
  <c r="AK544" i="5" s="1"/>
  <c r="AI430" i="5"/>
  <c r="AJ430" i="5" s="1"/>
  <c r="AI378" i="5"/>
  <c r="AJ378" i="5" s="1"/>
  <c r="AI532" i="5"/>
  <c r="AK532" i="5" s="1"/>
  <c r="AI388" i="5"/>
  <c r="AJ388" i="5" s="1"/>
  <c r="AI512" i="5"/>
  <c r="AJ512" i="5" s="1"/>
  <c r="AI373" i="5"/>
  <c r="AK373" i="5" s="1"/>
  <c r="AI491" i="5"/>
  <c r="AJ491" i="5" s="1"/>
  <c r="AI348" i="5"/>
  <c r="AK348" i="5" s="1"/>
  <c r="AI500" i="5"/>
  <c r="AK500" i="5" s="1"/>
  <c r="AI427" i="5"/>
  <c r="AK427" i="5" s="1"/>
  <c r="B71" i="5"/>
  <c r="AI445" i="5"/>
  <c r="AJ445" i="5" s="1"/>
  <c r="AI404" i="5"/>
  <c r="AJ404" i="5" s="1"/>
  <c r="AI535" i="5"/>
  <c r="AK535" i="5" s="1"/>
  <c r="AI392" i="5"/>
  <c r="AJ392" i="5" s="1"/>
  <c r="AI523" i="5"/>
  <c r="AJ523" i="5" s="1"/>
  <c r="AI375" i="5"/>
  <c r="AK375" i="5" s="1"/>
  <c r="AI502" i="5"/>
  <c r="AK502" i="5" s="1"/>
  <c r="AI368" i="5"/>
  <c r="AJ368" i="5" s="1"/>
  <c r="AI506" i="5"/>
  <c r="AK506" i="5" s="1"/>
  <c r="N10" i="5"/>
  <c r="O15" i="6"/>
  <c r="AK472" i="5"/>
  <c r="AJ460" i="5"/>
  <c r="AK486" i="5"/>
  <c r="AK204" i="5"/>
  <c r="AJ204" i="5"/>
  <c r="AK161" i="5"/>
  <c r="AJ161" i="5"/>
  <c r="AK169" i="5"/>
  <c r="AJ169" i="5"/>
  <c r="AK22" i="5"/>
  <c r="AJ94" i="5"/>
  <c r="AK94" i="5"/>
  <c r="AK329" i="5"/>
  <c r="AJ270" i="5"/>
  <c r="AJ171" i="5"/>
  <c r="AK440" i="5"/>
  <c r="AJ440" i="5"/>
  <c r="AK530" i="5"/>
  <c r="AJ530" i="5"/>
  <c r="AJ558" i="5"/>
  <c r="AK558" i="5"/>
  <c r="AJ481" i="5"/>
  <c r="AK481" i="5"/>
  <c r="AK459" i="5"/>
  <c r="AJ459" i="5"/>
  <c r="AK393" i="5"/>
  <c r="AJ88" i="5"/>
  <c r="AK45" i="5"/>
  <c r="AJ45" i="5"/>
  <c r="AK304" i="5"/>
  <c r="AK551" i="5"/>
  <c r="AJ551" i="5"/>
  <c r="AK553" i="5"/>
  <c r="AJ553" i="5"/>
  <c r="AK531" i="5"/>
  <c r="AJ531" i="5"/>
  <c r="AJ443" i="5"/>
  <c r="AK443" i="5"/>
  <c r="AK162" i="5"/>
  <c r="AJ162" i="5"/>
  <c r="AJ256" i="5"/>
  <c r="AK256" i="5"/>
  <c r="AK357" i="5"/>
  <c r="AJ357" i="5"/>
  <c r="AK207" i="5"/>
  <c r="AJ207" i="5"/>
  <c r="AK265" i="5"/>
  <c r="AJ265" i="5"/>
  <c r="AK166" i="5"/>
  <c r="AJ25" i="5"/>
  <c r="AK25" i="5"/>
  <c r="AJ458" i="5"/>
  <c r="AK135" i="5"/>
  <c r="AJ135" i="5"/>
  <c r="AJ212" i="5"/>
  <c r="AK212" i="5"/>
  <c r="AJ518" i="5"/>
  <c r="AK316" i="5"/>
  <c r="AJ316" i="5"/>
  <c r="AJ67" i="5"/>
  <c r="AK69" i="5"/>
  <c r="AK172" i="5"/>
  <c r="AJ172" i="5"/>
  <c r="AK545" i="5"/>
  <c r="AK431" i="5"/>
  <c r="AJ300" i="5"/>
  <c r="AK300" i="5"/>
  <c r="AK261" i="5"/>
  <c r="AK76" i="5"/>
  <c r="AJ76" i="5"/>
  <c r="AK100" i="5"/>
  <c r="AK228" i="5"/>
  <c r="AJ228" i="5"/>
  <c r="AK92" i="5"/>
  <c r="AJ92" i="5"/>
  <c r="AK294" i="5"/>
  <c r="AJ294" i="5"/>
  <c r="AJ179" i="5"/>
  <c r="AK179" i="5"/>
  <c r="AK148" i="5"/>
  <c r="AJ148" i="5"/>
  <c r="AJ434" i="5"/>
  <c r="AJ557" i="5"/>
  <c r="AK557" i="5"/>
  <c r="AJ447" i="5"/>
  <c r="AK447" i="5"/>
  <c r="AJ315" i="5"/>
  <c r="AK315" i="5"/>
  <c r="AJ252" i="5"/>
  <c r="AJ33" i="5"/>
  <c r="AJ396" i="5"/>
  <c r="AK396" i="5"/>
  <c r="AK330" i="5"/>
  <c r="AJ330" i="5"/>
  <c r="AJ490" i="5"/>
  <c r="AK490" i="5"/>
  <c r="AK501" i="5"/>
  <c r="AJ485" i="5"/>
  <c r="AK418" i="5"/>
  <c r="AJ418" i="5"/>
  <c r="AJ521" i="5"/>
  <c r="AK521" i="5"/>
  <c r="AK178" i="5"/>
  <c r="AJ178" i="5"/>
  <c r="AK184" i="5"/>
  <c r="AJ184" i="5"/>
  <c r="AJ394" i="5"/>
  <c r="AJ284" i="5"/>
  <c r="AK284" i="5"/>
  <c r="AJ306" i="5"/>
  <c r="AK306" i="5"/>
  <c r="AK263" i="5"/>
  <c r="AJ263" i="5"/>
  <c r="AJ451" i="5"/>
  <c r="AK451" i="5"/>
  <c r="AJ499" i="5"/>
  <c r="AJ186" i="5"/>
  <c r="AK331" i="5"/>
  <c r="AJ331" i="5"/>
  <c r="AK19" i="5"/>
  <c r="AJ19" i="5"/>
  <c r="AJ74" i="5"/>
  <c r="AK74" i="5"/>
  <c r="AK115" i="5"/>
  <c r="AK119" i="5"/>
  <c r="AJ119" i="5"/>
  <c r="AK555" i="5"/>
  <c r="AJ555" i="5"/>
  <c r="AK363" i="5"/>
  <c r="AJ363" i="5"/>
  <c r="AJ487" i="5"/>
  <c r="AK487" i="5"/>
  <c r="AK389" i="5"/>
  <c r="AJ389" i="5"/>
  <c r="AK213" i="5"/>
  <c r="AJ213" i="5"/>
  <c r="AK493" i="5"/>
  <c r="AJ493" i="5"/>
  <c r="AJ480" i="5"/>
  <c r="AK503" i="5"/>
  <c r="AJ503" i="5"/>
  <c r="AK310" i="5"/>
  <c r="AK98" i="5"/>
  <c r="AJ187" i="5"/>
  <c r="AK187" i="5"/>
  <c r="AJ106" i="5"/>
  <c r="AK106" i="5"/>
  <c r="AK145" i="5"/>
  <c r="AK57" i="5"/>
  <c r="AK114" i="5"/>
  <c r="AJ114" i="5"/>
  <c r="AK367" i="5"/>
  <c r="AJ413" i="5"/>
  <c r="AK413" i="5"/>
  <c r="AJ203" i="5"/>
  <c r="AK203" i="5"/>
  <c r="AK193" i="5"/>
  <c r="AJ193" i="5"/>
  <c r="AJ488" i="5"/>
  <c r="AK496" i="5"/>
  <c r="AJ554" i="5"/>
  <c r="AK433" i="5"/>
  <c r="AK471" i="5"/>
  <c r="AK273" i="5"/>
  <c r="AJ273" i="5"/>
  <c r="AK27" i="5"/>
  <c r="AJ27" i="5"/>
  <c r="AJ220" i="5"/>
  <c r="AK220" i="5"/>
  <c r="AJ291" i="5"/>
  <c r="AJ64" i="5"/>
  <c r="AK64" i="5"/>
  <c r="AJ34" i="5"/>
  <c r="AJ58" i="5"/>
  <c r="AK58" i="5"/>
  <c r="AK525" i="5"/>
  <c r="AJ525" i="5"/>
  <c r="AJ191" i="5"/>
  <c r="AJ500" i="5"/>
  <c r="S392" i="5"/>
  <c r="S319" i="5"/>
  <c r="S194" i="5"/>
  <c r="S123" i="5"/>
  <c r="S38" i="5"/>
  <c r="S555" i="5"/>
  <c r="S475" i="5"/>
  <c r="S389" i="5"/>
  <c r="S370" i="5"/>
  <c r="S313" i="5"/>
  <c r="S258" i="5"/>
  <c r="S230" i="5"/>
  <c r="S172" i="5"/>
  <c r="S164" i="5"/>
  <c r="S152" i="5"/>
  <c r="S100" i="5"/>
  <c r="S89" i="5"/>
  <c r="S87" i="5"/>
  <c r="S57" i="5"/>
  <c r="S52" i="5"/>
  <c r="S50" i="5"/>
  <c r="S547" i="5"/>
  <c r="S479" i="5"/>
  <c r="S462" i="5"/>
  <c r="S375" i="5"/>
  <c r="S312" i="5"/>
  <c r="S246" i="5"/>
  <c r="S58" i="5"/>
  <c r="S34" i="5"/>
  <c r="S19" i="5"/>
  <c r="S560" i="5"/>
  <c r="S556" i="5"/>
  <c r="S536" i="5"/>
  <c r="S528" i="5"/>
  <c r="S526" i="5"/>
  <c r="S515" i="5"/>
  <c r="S509" i="5"/>
  <c r="S500" i="5"/>
  <c r="S496" i="5"/>
  <c r="S489" i="5"/>
  <c r="S442" i="5"/>
  <c r="S441" i="5"/>
  <c r="S420" i="5"/>
  <c r="S414" i="5"/>
  <c r="S381" i="5"/>
  <c r="S350" i="5"/>
  <c r="S337" i="5"/>
  <c r="S302" i="5"/>
  <c r="S291" i="5"/>
  <c r="S277" i="5"/>
  <c r="S269" i="5"/>
  <c r="S208" i="5"/>
  <c r="S149" i="5"/>
  <c r="S135" i="5"/>
  <c r="S127" i="5"/>
  <c r="S111" i="5"/>
  <c r="S106" i="5"/>
  <c r="S71" i="5"/>
  <c r="S63" i="5"/>
  <c r="S54" i="5"/>
  <c r="S39" i="5"/>
  <c r="S26" i="5"/>
  <c r="S329" i="5"/>
  <c r="S210" i="5"/>
  <c r="S60" i="5"/>
  <c r="S546" i="5"/>
  <c r="S525" i="5"/>
  <c r="S520" i="5"/>
  <c r="S468" i="5"/>
  <c r="S445" i="5"/>
  <c r="S428" i="5"/>
  <c r="S376" i="5"/>
  <c r="S361" i="5"/>
  <c r="S358" i="5"/>
  <c r="S341" i="5"/>
  <c r="S336" i="5"/>
  <c r="S325" i="5"/>
  <c r="S309" i="5"/>
  <c r="S294" i="5"/>
  <c r="S288" i="5"/>
  <c r="S266" i="5"/>
  <c r="S262" i="5"/>
  <c r="S261" i="5"/>
  <c r="S254" i="5"/>
  <c r="S252" i="5"/>
  <c r="S249" i="5"/>
  <c r="S218" i="5"/>
  <c r="S181" i="5"/>
  <c r="S173" i="5"/>
  <c r="S168" i="5"/>
  <c r="S133" i="5"/>
  <c r="S131" i="5"/>
  <c r="S108" i="5"/>
  <c r="S98" i="5"/>
  <c r="S91" i="5"/>
  <c r="S64" i="5"/>
  <c r="S49" i="5"/>
  <c r="S44" i="5"/>
  <c r="S42" i="5"/>
  <c r="S20" i="5"/>
  <c r="S552" i="5"/>
  <c r="S482" i="5"/>
  <c r="S457" i="5"/>
  <c r="S406" i="5"/>
  <c r="S250" i="5"/>
  <c r="S95" i="5"/>
  <c r="S65" i="5"/>
  <c r="S540" i="5"/>
  <c r="S503" i="5"/>
  <c r="S437" i="5"/>
  <c r="S434" i="5"/>
  <c r="S422" i="5"/>
  <c r="S394" i="5"/>
  <c r="S378" i="5"/>
  <c r="S333" i="5"/>
  <c r="S316" i="5"/>
  <c r="S299" i="5"/>
  <c r="S275" i="5"/>
  <c r="S270" i="5"/>
  <c r="S268" i="5"/>
  <c r="S221" i="5"/>
  <c r="S191" i="5"/>
  <c r="S160" i="5"/>
  <c r="S148" i="5"/>
  <c r="S144" i="5"/>
  <c r="S142" i="5"/>
  <c r="S125" i="5"/>
  <c r="S117" i="5"/>
  <c r="S103" i="5"/>
  <c r="S101" i="5"/>
  <c r="S80" i="5"/>
  <c r="S68" i="5"/>
  <c r="S55" i="5"/>
  <c r="S46" i="5"/>
  <c r="S28" i="5"/>
  <c r="S25" i="5"/>
  <c r="S22" i="5"/>
  <c r="S544" i="5"/>
  <c r="S541" i="5"/>
  <c r="S527" i="5"/>
  <c r="S512" i="5"/>
  <c r="S466" i="5"/>
  <c r="S454" i="5"/>
  <c r="S430" i="5"/>
  <c r="S425" i="5"/>
  <c r="S408" i="5"/>
  <c r="S405" i="5"/>
  <c r="S403" i="5"/>
  <c r="S400" i="5"/>
  <c r="S390" i="5"/>
  <c r="S366" i="5"/>
  <c r="S349" i="5"/>
  <c r="S321" i="5"/>
  <c r="S320" i="5"/>
  <c r="S317" i="5"/>
  <c r="S296" i="5"/>
  <c r="S243" i="5"/>
  <c r="S235" i="5"/>
  <c r="S232" i="5"/>
  <c r="S212" i="5"/>
  <c r="S197" i="5"/>
  <c r="S192" i="5"/>
  <c r="S179" i="5"/>
  <c r="S163" i="5"/>
  <c r="S159" i="5"/>
  <c r="S143" i="5"/>
  <c r="S118" i="5"/>
  <c r="S102" i="5"/>
  <c r="S85" i="5"/>
  <c r="S66" i="5"/>
  <c r="S56" i="5"/>
  <c r="S41" i="5"/>
  <c r="S33" i="5"/>
  <c r="S30" i="5"/>
  <c r="S498" i="5"/>
  <c r="S467" i="5"/>
  <c r="S448" i="5"/>
  <c r="S367" i="5"/>
  <c r="S308" i="5"/>
  <c r="S265" i="5"/>
  <c r="S84" i="5"/>
  <c r="S36" i="5"/>
  <c r="S534" i="5"/>
  <c r="S532" i="5"/>
  <c r="S529" i="5"/>
  <c r="S523" i="5"/>
  <c r="S517" i="5"/>
  <c r="S487" i="5"/>
  <c r="S486" i="5"/>
  <c r="S463" i="5"/>
  <c r="S458" i="5"/>
  <c r="S456" i="5"/>
  <c r="S450" i="5"/>
  <c r="S417" i="5"/>
  <c r="S409" i="5"/>
  <c r="S404" i="5"/>
  <c r="S382" i="5"/>
  <c r="S368" i="5"/>
  <c r="S365" i="5"/>
  <c r="S343" i="5"/>
  <c r="S327" i="5"/>
  <c r="S280" i="5"/>
  <c r="S278" i="5"/>
  <c r="S272" i="5"/>
  <c r="S260" i="5"/>
  <c r="S237" i="5"/>
  <c r="S233" i="5"/>
  <c r="S226" i="5"/>
  <c r="S224" i="5"/>
  <c r="S209" i="5"/>
  <c r="S205" i="5"/>
  <c r="S196" i="5"/>
  <c r="S184" i="5"/>
  <c r="S175" i="5"/>
  <c r="S171" i="5"/>
  <c r="S165" i="5"/>
  <c r="S139" i="5"/>
  <c r="S126" i="5"/>
  <c r="S94" i="5"/>
  <c r="S93" i="5"/>
  <c r="S86" i="5"/>
  <c r="S81" i="5"/>
  <c r="S47" i="5"/>
  <c r="S23" i="5"/>
  <c r="S550" i="5"/>
  <c r="S493" i="5"/>
  <c r="S398" i="5"/>
  <c r="S248" i="5"/>
  <c r="S119" i="5"/>
  <c r="S70" i="5"/>
  <c r="S31" i="5"/>
  <c r="S77" i="5"/>
  <c r="S67" i="5"/>
  <c r="S124" i="5"/>
  <c r="S104" i="5"/>
  <c r="S129" i="5"/>
  <c r="S146" i="5"/>
  <c r="S166" i="5"/>
  <c r="S145" i="5"/>
  <c r="S217" i="5"/>
  <c r="S190" i="5"/>
  <c r="S227" i="5"/>
  <c r="S328" i="5"/>
  <c r="S267" i="5"/>
  <c r="S281" i="5"/>
  <c r="S364" i="5"/>
  <c r="S369" i="5"/>
  <c r="S380" i="5"/>
  <c r="S410" i="5"/>
  <c r="S460" i="5"/>
  <c r="S485" i="5"/>
  <c r="S474" i="5"/>
  <c r="S492" i="5"/>
  <c r="S519" i="5"/>
  <c r="S549" i="5"/>
  <c r="S150" i="5"/>
  <c r="S204" i="5"/>
  <c r="S244" i="5"/>
  <c r="S415" i="5"/>
  <c r="S470" i="5"/>
  <c r="S21" i="5"/>
  <c r="S61" i="5"/>
  <c r="S216" i="5"/>
  <c r="S234" i="5"/>
  <c r="S502" i="5"/>
  <c r="S74" i="5"/>
  <c r="S75" i="5"/>
  <c r="S40" i="5"/>
  <c r="S43" i="5"/>
  <c r="S121" i="5"/>
  <c r="S137" i="5"/>
  <c r="S116" i="5"/>
  <c r="S134" i="5"/>
  <c r="S128" i="5"/>
  <c r="S161" i="5"/>
  <c r="S177" i="5"/>
  <c r="S188" i="5"/>
  <c r="S231" i="5"/>
  <c r="S263" i="5"/>
  <c r="S284" i="5"/>
  <c r="S335" i="5"/>
  <c r="S297" i="5"/>
  <c r="S354" i="5"/>
  <c r="S326" i="5"/>
  <c r="S314" i="5"/>
  <c r="S374" i="5"/>
  <c r="S379" i="5"/>
  <c r="S377" i="5"/>
  <c r="S411" i="5"/>
  <c r="S401" i="5"/>
  <c r="S413" i="5"/>
  <c r="S464" i="5"/>
  <c r="S438" i="5"/>
  <c r="S477" i="5"/>
  <c r="S497" i="5"/>
  <c r="S507" i="5"/>
  <c r="S521" i="5"/>
  <c r="S513" i="5"/>
  <c r="S531" i="5"/>
  <c r="S542" i="5"/>
  <c r="S554" i="5"/>
  <c r="S551" i="5"/>
  <c r="S79" i="5"/>
  <c r="S69" i="5"/>
  <c r="S92" i="5"/>
  <c r="S141" i="5"/>
  <c r="S120" i="5"/>
  <c r="S155" i="5"/>
  <c r="S220" i="5"/>
  <c r="S256" i="5"/>
  <c r="S292" i="5"/>
  <c r="S429" i="5"/>
  <c r="S418" i="5"/>
  <c r="S522" i="5"/>
  <c r="S548" i="5"/>
  <c r="S37" i="5"/>
  <c r="S24" i="5"/>
  <c r="S151" i="5"/>
  <c r="S211" i="5"/>
  <c r="S264" i="5"/>
  <c r="S90" i="5"/>
  <c r="S83" i="5"/>
  <c r="S113" i="5"/>
  <c r="S140" i="5"/>
  <c r="S130" i="5"/>
  <c r="S186" i="5"/>
  <c r="S153" i="5"/>
  <c r="S180" i="5"/>
  <c r="S178" i="5"/>
  <c r="S198" i="5"/>
  <c r="S201" i="5"/>
  <c r="S222" i="5"/>
  <c r="S259" i="5"/>
  <c r="S289" i="5"/>
  <c r="S300" i="5"/>
  <c r="S330" i="5"/>
  <c r="S339" i="5"/>
  <c r="S371" i="5"/>
  <c r="S399" i="5"/>
  <c r="S412" i="5"/>
  <c r="S431" i="5"/>
  <c r="S435" i="5"/>
  <c r="S439" i="5"/>
  <c r="S459" i="5"/>
  <c r="S469" i="5"/>
  <c r="S471" i="5"/>
  <c r="S504" i="5"/>
  <c r="S518" i="5"/>
  <c r="S537" i="5"/>
  <c r="S76" i="5"/>
  <c r="S59" i="5"/>
  <c r="S97" i="5"/>
  <c r="S122" i="5"/>
  <c r="S112" i="5"/>
  <c r="S174" i="5"/>
  <c r="S156" i="5"/>
  <c r="S183" i="5"/>
  <c r="S240" i="5"/>
  <c r="S228" i="5"/>
  <c r="S283" i="5"/>
  <c r="S279" i="5"/>
  <c r="S301" i="5"/>
  <c r="S307" i="5"/>
  <c r="S355" i="5"/>
  <c r="S303" i="5"/>
  <c r="S334" i="5"/>
  <c r="S346" i="5"/>
  <c r="S351" i="5"/>
  <c r="S363" i="5"/>
  <c r="S383" i="5"/>
  <c r="S386" i="5"/>
  <c r="S424" i="5"/>
  <c r="S447" i="5"/>
  <c r="S423" i="5"/>
  <c r="S416" i="5"/>
  <c r="S440" i="5"/>
  <c r="S480" i="5"/>
  <c r="S488" i="5"/>
  <c r="S494" i="5"/>
  <c r="S516" i="5"/>
  <c r="S514" i="5"/>
  <c r="S524" i="5"/>
  <c r="S533" i="5"/>
  <c r="S557" i="5"/>
  <c r="S78" i="5"/>
  <c r="S51" i="5"/>
  <c r="S187" i="5"/>
  <c r="S185" i="5"/>
  <c r="S215" i="5"/>
  <c r="S396" i="5"/>
  <c r="S29" i="5"/>
  <c r="S27" i="5"/>
  <c r="S138" i="5"/>
  <c r="S88" i="5"/>
  <c r="S35" i="5"/>
  <c r="S136" i="5"/>
  <c r="S158" i="5"/>
  <c r="S170" i="5"/>
  <c r="S147" i="5"/>
  <c r="S199" i="5"/>
  <c r="S223" i="5"/>
  <c r="S206" i="5"/>
  <c r="S242" i="5"/>
  <c r="S271" i="5"/>
  <c r="S253" i="5"/>
  <c r="S255" i="5"/>
  <c r="S273" i="5"/>
  <c r="S359" i="5"/>
  <c r="S323" i="5"/>
  <c r="S310" i="5"/>
  <c r="S332" i="5"/>
  <c r="S315" i="5"/>
  <c r="S311" i="5"/>
  <c r="S331" i="5"/>
  <c r="S352" i="5"/>
  <c r="S385" i="5"/>
  <c r="S395" i="5"/>
  <c r="S407" i="5"/>
  <c r="S387" i="5"/>
  <c r="S453" i="5"/>
  <c r="S490" i="5"/>
  <c r="S484" i="5"/>
  <c r="S476" i="5"/>
  <c r="S495" i="5"/>
  <c r="S501" i="5"/>
  <c r="S543" i="5"/>
  <c r="S107" i="5"/>
  <c r="S99" i="5"/>
  <c r="S109" i="5"/>
  <c r="S105" i="5"/>
  <c r="S132" i="5"/>
  <c r="S207" i="5"/>
  <c r="S203" i="5"/>
  <c r="S257" i="5"/>
  <c r="S340" i="5"/>
  <c r="S444" i="5"/>
  <c r="S510" i="5"/>
  <c r="S53" i="5"/>
  <c r="S114" i="5"/>
  <c r="S247" i="5"/>
  <c r="S96" i="5"/>
  <c r="S82" i="5"/>
  <c r="S72" i="5"/>
  <c r="S110" i="5"/>
  <c r="S167" i="5"/>
  <c r="S162" i="5"/>
  <c r="S154" i="5"/>
  <c r="S169" i="5"/>
  <c r="S195" i="5"/>
  <c r="S200" i="5"/>
  <c r="S219" i="5"/>
  <c r="S239" i="5"/>
  <c r="S287" i="5"/>
  <c r="S282" i="5"/>
  <c r="S295" i="5"/>
  <c r="S318" i="5"/>
  <c r="S342" i="5"/>
  <c r="S338" i="5"/>
  <c r="S347" i="5"/>
  <c r="S362" i="5"/>
  <c r="S402" i="5"/>
  <c r="S388" i="5"/>
  <c r="S426" i="5"/>
  <c r="S443" i="5"/>
  <c r="S451" i="5"/>
  <c r="S481" i="5"/>
  <c r="S530" i="5"/>
  <c r="S539" i="5"/>
  <c r="S558" i="5"/>
  <c r="S182" i="5"/>
  <c r="S193" i="5"/>
  <c r="S251" i="5"/>
  <c r="S285" i="5"/>
  <c r="S419" i="5"/>
  <c r="S452" i="5"/>
  <c r="S472" i="5"/>
  <c r="S45" i="5"/>
  <c r="S32" i="5"/>
  <c r="S225" i="5"/>
  <c r="S214" i="5"/>
  <c r="S393" i="5"/>
  <c r="S455" i="5"/>
  <c r="S535" i="5"/>
  <c r="S465" i="5"/>
  <c r="S391" i="5"/>
  <c r="S293" i="5"/>
  <c r="S446" i="5"/>
  <c r="S538" i="5"/>
  <c r="S559" i="5"/>
  <c r="S499" i="5"/>
  <c r="S322" i="5"/>
  <c r="S304" i="5"/>
  <c r="S357" i="5"/>
  <c r="S306" i="5"/>
  <c r="S511" i="5"/>
  <c r="S290" i="5"/>
  <c r="S421" i="5"/>
  <c r="S461" i="5"/>
  <c r="B23" i="5"/>
  <c r="B142" i="3"/>
  <c r="S7" i="5"/>
  <c r="BD12" i="5"/>
  <c r="BC12" i="5"/>
  <c r="BD7" i="5"/>
  <c r="BC7" i="5"/>
  <c r="BC8" i="5"/>
  <c r="BD8" i="5"/>
  <c r="BD13" i="5"/>
  <c r="BC13" i="5"/>
  <c r="S8" i="5"/>
  <c r="S13" i="5"/>
  <c r="S12" i="5"/>
  <c r="B21" i="5"/>
  <c r="J47" i="5"/>
  <c r="B124" i="3"/>
  <c r="B14" i="3"/>
  <c r="E43" i="1"/>
  <c r="B4" i="3"/>
  <c r="B5" i="3"/>
  <c r="B11" i="3"/>
  <c r="B3" i="3"/>
  <c r="AJ468" i="5" l="1"/>
  <c r="AJ130" i="5"/>
  <c r="AK497" i="5"/>
  <c r="AJ137" i="5"/>
  <c r="AJ385" i="5"/>
  <c r="AJ366" i="5"/>
  <c r="AJ409" i="5"/>
  <c r="AJ24" i="5"/>
  <c r="AK180" i="5"/>
  <c r="AK494" i="5"/>
  <c r="AK400" i="5"/>
  <c r="AK282" i="5"/>
  <c r="AJ146" i="5"/>
  <c r="AJ509" i="5"/>
  <c r="AJ559" i="5"/>
  <c r="AJ272" i="5"/>
  <c r="AK97" i="5"/>
  <c r="AJ309" i="5"/>
  <c r="AK312" i="5"/>
  <c r="AK350" i="5"/>
  <c r="AJ129" i="5"/>
  <c r="AK68" i="5"/>
  <c r="AJ470" i="5"/>
  <c r="AJ23" i="5"/>
  <c r="AK491" i="5"/>
  <c r="AJ341" i="5"/>
  <c r="AJ520" i="5"/>
  <c r="AJ340" i="5"/>
  <c r="AK138" i="5"/>
  <c r="AK510" i="5"/>
  <c r="AJ467" i="5"/>
  <c r="AJ116" i="5"/>
  <c r="AJ89" i="5"/>
  <c r="AK386" i="5"/>
  <c r="AK507" i="5"/>
  <c r="AK410" i="5"/>
  <c r="AJ268" i="5"/>
  <c r="AJ44" i="5"/>
  <c r="AJ121" i="5"/>
  <c r="AK239" i="5"/>
  <c r="AK152" i="5"/>
  <c r="AJ548" i="5"/>
  <c r="AK287" i="5"/>
  <c r="AJ90" i="5"/>
  <c r="AK243" i="5"/>
  <c r="AJ319" i="5"/>
  <c r="AK395" i="5"/>
  <c r="AJ527" i="5"/>
  <c r="AK85" i="5"/>
  <c r="AJ401" i="5"/>
  <c r="AJ63" i="5"/>
  <c r="AK358" i="5"/>
  <c r="AJ38" i="5"/>
  <c r="AK83" i="5"/>
  <c r="AK54" i="5"/>
  <c r="AJ43" i="5"/>
  <c r="AJ517" i="5"/>
  <c r="AJ275" i="5"/>
  <c r="AJ429" i="5"/>
  <c r="AK391" i="5"/>
  <c r="AJ93" i="5"/>
  <c r="AK240" i="5"/>
  <c r="AJ28" i="5"/>
  <c r="AK264" i="5"/>
  <c r="AJ72" i="5"/>
  <c r="AJ432" i="5"/>
  <c r="AK516" i="5"/>
  <c r="AK120" i="5"/>
  <c r="AK456" i="5"/>
  <c r="AJ560" i="5"/>
  <c r="AK156" i="5"/>
  <c r="AJ492" i="5"/>
  <c r="AJ214" i="5"/>
  <c r="AK109" i="5"/>
  <c r="AJ524" i="5"/>
  <c r="AJ335" i="5"/>
  <c r="AK387" i="5"/>
  <c r="AK198" i="5"/>
  <c r="AK450" i="5"/>
  <c r="AK133" i="5"/>
  <c r="AK430" i="5"/>
  <c r="AK297" i="5"/>
  <c r="AJ476" i="5"/>
  <c r="AK108" i="5"/>
  <c r="AK276" i="5"/>
  <c r="AJ164" i="5"/>
  <c r="AJ540" i="5"/>
  <c r="AS10" i="5"/>
  <c r="AT10" i="5" s="1"/>
  <c r="AY10" i="5"/>
  <c r="BA10" i="5" s="1"/>
  <c r="AJ189" i="5"/>
  <c r="AK21" i="5"/>
  <c r="AJ484" i="5"/>
  <c r="AK36" i="5"/>
  <c r="AK505" i="5"/>
  <c r="AJ205" i="5"/>
  <c r="AK286" i="5"/>
  <c r="AJ269" i="5"/>
  <c r="AJ174" i="5"/>
  <c r="AK362" i="5"/>
  <c r="AJ349" i="5"/>
  <c r="AJ539" i="5"/>
  <c r="AJ351" i="5"/>
  <c r="AK79" i="5"/>
  <c r="AJ246" i="5"/>
  <c r="AK346" i="5"/>
  <c r="AJ8" i="5"/>
  <c r="AJ285" i="5"/>
  <c r="AJ426" i="5"/>
  <c r="AK102" i="5"/>
  <c r="AK547" i="5"/>
  <c r="AK235" i="5"/>
  <c r="AJ403" i="5"/>
  <c r="AJ13" i="5"/>
  <c r="AK378" i="5"/>
  <c r="AK416" i="5"/>
  <c r="AK124" i="5"/>
  <c r="AJ347" i="5"/>
  <c r="AK411" i="5"/>
  <c r="AJ478" i="5"/>
  <c r="AJ408" i="5"/>
  <c r="AJ224" i="5"/>
  <c r="AJ250" i="5"/>
  <c r="AJ271" i="5"/>
  <c r="AJ364" i="5"/>
  <c r="AK26" i="5"/>
  <c r="AJ463" i="5"/>
  <c r="AK167" i="5"/>
  <c r="AK48" i="5"/>
  <c r="AK352" i="5"/>
  <c r="AJ117" i="5"/>
  <c r="AK177" i="5"/>
  <c r="AK422" i="5"/>
  <c r="AJ542" i="5"/>
  <c r="AJ457" i="5"/>
  <c r="AK407" i="5"/>
  <c r="AJ143" i="5"/>
  <c r="AJ225" i="5"/>
  <c r="AK326" i="5"/>
  <c r="AJ37" i="5"/>
  <c r="AJ86" i="5"/>
  <c r="AK435" i="5"/>
  <c r="AJ325" i="5"/>
  <c r="AK87" i="5"/>
  <c r="AJ150" i="5"/>
  <c r="AK50" i="5"/>
  <c r="AJ223" i="5"/>
  <c r="AK52" i="5"/>
  <c r="AK479" i="5"/>
  <c r="AK258" i="5"/>
  <c r="AJ534" i="5"/>
  <c r="AJ427" i="5"/>
  <c r="AJ303" i="5"/>
  <c r="AJ511" i="5"/>
  <c r="AJ296" i="5"/>
  <c r="AJ423" i="5"/>
  <c r="AK317" i="5"/>
  <c r="AJ51" i="5"/>
  <c r="AJ154" i="5"/>
  <c r="AJ314" i="5"/>
  <c r="AK80" i="5"/>
  <c r="AK489" i="5"/>
  <c r="AJ237" i="5"/>
  <c r="AJ7" i="5"/>
  <c r="I82" i="2"/>
  <c r="T39" i="6" s="1"/>
  <c r="V39" i="6" s="1"/>
  <c r="AM39" i="6" s="1"/>
  <c r="B21" i="3"/>
  <c r="AS88" i="8"/>
  <c r="AS126" i="8"/>
  <c r="AS153" i="8"/>
  <c r="AS52" i="8"/>
  <c r="AS90" i="8"/>
  <c r="AS117" i="8"/>
  <c r="AS16" i="8"/>
  <c r="AS54" i="8"/>
  <c r="AS17" i="8"/>
  <c r="AS63" i="8"/>
  <c r="AS74" i="8"/>
  <c r="AS72" i="8"/>
  <c r="AS110" i="8"/>
  <c r="AS37" i="8"/>
  <c r="AS83" i="8"/>
  <c r="AS100" i="8"/>
  <c r="AS124" i="8"/>
  <c r="AS15" i="8"/>
  <c r="AS138" i="8"/>
  <c r="AS38" i="8"/>
  <c r="AS84" i="8"/>
  <c r="AS156" i="8"/>
  <c r="AS157" i="8"/>
  <c r="AS56" i="8"/>
  <c r="AS94" i="8"/>
  <c r="AS121" i="8"/>
  <c r="AS20" i="8"/>
  <c r="AS58" i="8"/>
  <c r="AS85" i="8"/>
  <c r="AS131" i="8"/>
  <c r="AS22" i="8"/>
  <c r="AS140" i="8"/>
  <c r="AS31" i="8"/>
  <c r="AS141" i="8"/>
  <c r="AS40" i="8"/>
  <c r="AS78" i="8"/>
  <c r="AS7" i="8"/>
  <c r="AS51" i="8"/>
  <c r="AS87" i="8"/>
  <c r="AS92" i="8"/>
  <c r="AS130" i="8"/>
  <c r="AS151" i="8"/>
  <c r="AS118" i="8"/>
  <c r="AS127" i="8"/>
  <c r="AS18" i="8"/>
  <c r="AS101" i="8"/>
  <c r="AS9" i="8"/>
  <c r="AS48" i="8"/>
  <c r="AS49" i="8"/>
  <c r="AS105" i="8"/>
  <c r="AS69" i="8"/>
  <c r="AS42" i="8"/>
  <c r="AS125" i="8"/>
  <c r="AS24" i="8"/>
  <c r="AS62" i="8"/>
  <c r="AS89" i="8"/>
  <c r="AS135" i="8"/>
  <c r="AS26" i="8"/>
  <c r="AS53" i="8"/>
  <c r="AS99" i="8"/>
  <c r="AS73" i="8"/>
  <c r="AS108" i="8"/>
  <c r="AS146" i="8"/>
  <c r="AS109" i="8"/>
  <c r="AS155" i="8"/>
  <c r="AS46" i="8"/>
  <c r="AS128" i="8"/>
  <c r="AS19" i="8"/>
  <c r="AS8" i="8"/>
  <c r="AS60" i="8"/>
  <c r="AS98" i="8"/>
  <c r="AS152" i="8"/>
  <c r="AS27" i="8"/>
  <c r="AS55" i="8"/>
  <c r="AS23" i="8"/>
  <c r="AS115" i="8"/>
  <c r="AS93" i="8"/>
  <c r="AS139" i="8"/>
  <c r="AS30" i="8"/>
  <c r="AS57" i="8"/>
  <c r="AS103" i="8"/>
  <c r="AS10" i="8"/>
  <c r="AS21" i="8"/>
  <c r="AS67" i="8"/>
  <c r="AS106" i="8"/>
  <c r="AS76" i="8"/>
  <c r="AS114" i="8"/>
  <c r="AS77" i="8"/>
  <c r="AS123" i="8"/>
  <c r="AS11" i="8"/>
  <c r="AS96" i="8"/>
  <c r="AS134" i="8"/>
  <c r="AS129" i="8"/>
  <c r="AS28" i="8"/>
  <c r="AS66" i="8"/>
  <c r="AS154" i="8"/>
  <c r="AS147" i="8"/>
  <c r="AS122" i="8"/>
  <c r="AS14" i="8"/>
  <c r="AS61" i="8"/>
  <c r="AS107" i="8"/>
  <c r="AS41" i="8"/>
  <c r="AS25" i="8"/>
  <c r="AS71" i="8"/>
  <c r="AS68" i="8"/>
  <c r="AS144" i="8"/>
  <c r="AS35" i="8"/>
  <c r="AS145" i="8"/>
  <c r="AS44" i="8"/>
  <c r="AS82" i="8"/>
  <c r="AS45" i="8"/>
  <c r="AS91" i="8"/>
  <c r="AS137" i="8"/>
  <c r="AS64" i="8"/>
  <c r="AS102" i="8"/>
  <c r="AS97" i="8"/>
  <c r="AS143" i="8"/>
  <c r="AS34" i="8"/>
  <c r="AS116" i="8"/>
  <c r="AS79" i="8"/>
  <c r="AS149" i="8"/>
  <c r="AS29" i="8"/>
  <c r="AS75" i="8"/>
  <c r="AS36" i="8"/>
  <c r="AS148" i="8"/>
  <c r="AS39" i="8"/>
  <c r="AS119" i="8"/>
  <c r="AS112" i="8"/>
  <c r="AS150" i="8"/>
  <c r="AS113" i="8"/>
  <c r="AS12" i="8"/>
  <c r="AS50" i="8"/>
  <c r="AS13" i="8"/>
  <c r="AS59" i="8"/>
  <c r="AS133" i="8"/>
  <c r="AS32" i="8"/>
  <c r="AS70" i="8"/>
  <c r="AS65" i="8"/>
  <c r="AS111" i="8"/>
  <c r="AS132" i="8"/>
  <c r="AS43" i="8"/>
  <c r="AS80" i="8"/>
  <c r="AS81" i="8"/>
  <c r="AS136" i="8"/>
  <c r="AS33" i="8"/>
  <c r="AS120" i="8"/>
  <c r="AS86" i="8"/>
  <c r="AS95" i="8"/>
  <c r="AS104" i="8"/>
  <c r="AS142" i="8"/>
  <c r="AS47" i="8"/>
  <c r="AK123" i="5"/>
  <c r="AK498" i="5"/>
  <c r="AK370" i="5"/>
  <c r="AK266" i="5"/>
  <c r="O12" i="8"/>
  <c r="T118" i="8" s="1"/>
  <c r="V118" i="8" s="1"/>
  <c r="AM118" i="8" s="1"/>
  <c r="T56" i="8"/>
  <c r="V56" i="8" s="1"/>
  <c r="AM56" i="8" s="1"/>
  <c r="AK292" i="5"/>
  <c r="AK307" i="5"/>
  <c r="AK308" i="5"/>
  <c r="AK221" i="5"/>
  <c r="AK249" i="5"/>
  <c r="AK201" i="5"/>
  <c r="AK449" i="5"/>
  <c r="AJ343" i="5"/>
  <c r="AJ53" i="5"/>
  <c r="AK147" i="5"/>
  <c r="AJ461" i="5"/>
  <c r="AJ371" i="5"/>
  <c r="AK295" i="5"/>
  <c r="AJ474" i="5"/>
  <c r="AK118" i="5"/>
  <c r="AJ354" i="5"/>
  <c r="AJ259" i="5"/>
  <c r="AK260" i="5"/>
  <c r="AK441" i="5"/>
  <c r="AK141" i="5"/>
  <c r="AJ334" i="5"/>
  <c r="AJ465" i="5"/>
  <c r="AK39" i="5"/>
  <c r="AJ73" i="5"/>
  <c r="AK244" i="5"/>
  <c r="AJ439" i="5"/>
  <c r="AK288" i="5"/>
  <c r="AK231" i="5"/>
  <c r="AJ550" i="5"/>
  <c r="AK345" i="5"/>
  <c r="AJ194" i="5"/>
  <c r="AK107" i="5"/>
  <c r="AJ549" i="5"/>
  <c r="AJ226" i="5"/>
  <c r="AJ47" i="5"/>
  <c r="AK35" i="5"/>
  <c r="AJ519" i="5"/>
  <c r="AJ515" i="5"/>
  <c r="AK42" i="5"/>
  <c r="AK254" i="5"/>
  <c r="AK182" i="5"/>
  <c r="AJ247" i="5"/>
  <c r="AK59" i="5"/>
  <c r="AK412" i="5"/>
  <c r="AK538" i="5"/>
  <c r="AJ199" i="5"/>
  <c r="AK556" i="5"/>
  <c r="AK140" i="5"/>
  <c r="AK195" i="5"/>
  <c r="AK197" i="5"/>
  <c r="AJ348" i="5"/>
  <c r="AJ544" i="5"/>
  <c r="AK104" i="5"/>
  <c r="AJ31" i="5"/>
  <c r="AJ390" i="5"/>
  <c r="AJ132" i="5"/>
  <c r="AJ320" i="5"/>
  <c r="AK342" i="5"/>
  <c r="AK77" i="5"/>
  <c r="AJ402" i="5"/>
  <c r="AJ415" i="5"/>
  <c r="AJ170" i="5"/>
  <c r="AJ281" i="5"/>
  <c r="AJ219" i="5"/>
  <c r="AJ126" i="5"/>
  <c r="AJ103" i="5"/>
  <c r="AK513" i="5"/>
  <c r="AJ101" i="5"/>
  <c r="AJ206" i="5"/>
  <c r="AK466" i="5"/>
  <c r="AK61" i="5"/>
  <c r="AJ279" i="5"/>
  <c r="AJ157" i="5"/>
  <c r="AJ377" i="5"/>
  <c r="AJ200" i="5"/>
  <c r="AJ455" i="5"/>
  <c r="AJ313" i="5"/>
  <c r="AJ253" i="5"/>
  <c r="AK158" i="5"/>
  <c r="AJ113" i="5"/>
  <c r="AJ216" i="5"/>
  <c r="AK514" i="5"/>
  <c r="AJ81" i="5"/>
  <c r="AJ78" i="5"/>
  <c r="AK32" i="5"/>
  <c r="AJ289" i="5"/>
  <c r="AJ12" i="5"/>
  <c r="AJ293" i="5"/>
  <c r="AK406" i="5"/>
  <c r="AJ419" i="5"/>
  <c r="AJ355" i="5"/>
  <c r="AJ526" i="5"/>
  <c r="AJ278" i="5"/>
  <c r="AK229" i="5"/>
  <c r="AJ255" i="5"/>
  <c r="AK211" i="5"/>
  <c r="AJ444" i="5"/>
  <c r="AK446" i="5"/>
  <c r="AK222" i="5"/>
  <c r="AK136" i="5"/>
  <c r="AK537" i="5"/>
  <c r="AJ469" i="5"/>
  <c r="AK482" i="5"/>
  <c r="AK495" i="5"/>
  <c r="AK242" i="5"/>
  <c r="AJ105" i="5"/>
  <c r="AK339" i="5"/>
  <c r="AJ55" i="5"/>
  <c r="AJ399" i="5"/>
  <c r="AJ183" i="5"/>
  <c r="AJ318" i="5"/>
  <c r="AJ196" i="5"/>
  <c r="AJ421" i="5"/>
  <c r="AJ185" i="5"/>
  <c r="AJ448" i="5"/>
  <c r="AJ383" i="5"/>
  <c r="AJ374" i="5"/>
  <c r="AJ227" i="5"/>
  <c r="AJ139" i="5"/>
  <c r="AK274" i="5"/>
  <c r="AK127" i="5"/>
  <c r="AJ328" i="5"/>
  <c r="AJ75" i="5"/>
  <c r="AK165" i="5"/>
  <c r="AK159" i="5"/>
  <c r="AJ30" i="5"/>
  <c r="AJ163" i="5"/>
  <c r="AK151" i="5"/>
  <c r="AJ71" i="5"/>
  <c r="AK168" i="5"/>
  <c r="AJ327" i="5"/>
  <c r="AJ532" i="5"/>
  <c r="AJ241" i="5"/>
  <c r="AK29" i="5"/>
  <c r="AK398" i="5"/>
  <c r="AJ336" i="5"/>
  <c r="AJ215" i="5"/>
  <c r="AJ464" i="5"/>
  <c r="AJ369" i="5"/>
  <c r="AK99" i="5"/>
  <c r="AJ131" i="5"/>
  <c r="AK257" i="5"/>
  <c r="AJ283" i="5"/>
  <c r="AJ217" i="5"/>
  <c r="AJ533" i="5"/>
  <c r="AK381" i="5"/>
  <c r="AJ267" i="5"/>
  <c r="AJ251" i="5"/>
  <c r="AJ311" i="5"/>
  <c r="AJ452" i="5"/>
  <c r="AK128" i="5"/>
  <c r="AK323" i="5"/>
  <c r="AK424" i="5"/>
  <c r="AJ160" i="5"/>
  <c r="AJ82" i="5"/>
  <c r="AJ91" i="5"/>
  <c r="AK236" i="5"/>
  <c r="AK322" i="5"/>
  <c r="AJ234" i="5"/>
  <c r="AJ379" i="5"/>
  <c r="AK190" i="5"/>
  <c r="AK438" i="5"/>
  <c r="AK173" i="5"/>
  <c r="AK359" i="5"/>
  <c r="AJ380" i="5"/>
  <c r="AJ112" i="5"/>
  <c r="AJ338" i="5"/>
  <c r="AK332" i="5"/>
  <c r="AK437" i="5"/>
  <c r="AK392" i="5"/>
  <c r="AJ218" i="5"/>
  <c r="AK504" i="5"/>
  <c r="AK301" i="5"/>
  <c r="AJ277" i="5"/>
  <c r="AK40" i="5"/>
  <c r="AJ384" i="5"/>
  <c r="AK66" i="5"/>
  <c r="AJ65" i="5"/>
  <c r="AJ376" i="5"/>
  <c r="AJ122" i="5"/>
  <c r="AJ353" i="5"/>
  <c r="AK360" i="5"/>
  <c r="AK414" i="5"/>
  <c r="AK95" i="5"/>
  <c r="AJ333" i="5"/>
  <c r="AJ188" i="5"/>
  <c r="AJ110" i="5"/>
  <c r="AJ528" i="5"/>
  <c r="AJ473" i="5"/>
  <c r="AJ49" i="5"/>
  <c r="AJ248" i="5"/>
  <c r="AK20" i="5"/>
  <c r="AK280" i="5"/>
  <c r="AJ96" i="5"/>
  <c r="AK262" i="5"/>
  <c r="AJ321" i="5"/>
  <c r="AJ144" i="5"/>
  <c r="AK454" i="5"/>
  <c r="AJ208" i="5"/>
  <c r="AJ232" i="5"/>
  <c r="AJ230" i="5"/>
  <c r="AK238" i="5"/>
  <c r="AK299" i="5"/>
  <c r="AJ84" i="5"/>
  <c r="AK62" i="5"/>
  <c r="AJ290" i="5"/>
  <c r="AJ210" i="5"/>
  <c r="AJ420" i="5"/>
  <c r="AJ428" i="5"/>
  <c r="AK382" i="5"/>
  <c r="AK405" i="5"/>
  <c r="AK546" i="5"/>
  <c r="AJ373" i="5"/>
  <c r="AJ425" i="5"/>
  <c r="AJ305" i="5"/>
  <c r="AK543" i="5"/>
  <c r="AK155" i="5"/>
  <c r="AJ529" i="5"/>
  <c r="AK149" i="5"/>
  <c r="AJ536" i="5"/>
  <c r="AK70" i="5"/>
  <c r="AJ302" i="5"/>
  <c r="AK541" i="5"/>
  <c r="AJ209" i="5"/>
  <c r="AJ233" i="5"/>
  <c r="AK508" i="5"/>
  <c r="AK175" i="5"/>
  <c r="AJ356" i="5"/>
  <c r="AK142" i="5"/>
  <c r="AK153" i="5"/>
  <c r="AK46" i="5"/>
  <c r="AJ502" i="5"/>
  <c r="AJ298" i="5"/>
  <c r="AK125" i="5"/>
  <c r="AJ535" i="5"/>
  <c r="AJ202" i="5"/>
  <c r="AJ442" i="5"/>
  <c r="AK404" i="5"/>
  <c r="AJ41" i="5"/>
  <c r="AJ475" i="5"/>
  <c r="AJ552" i="5"/>
  <c r="AJ134" i="5"/>
  <c r="AK512" i="5"/>
  <c r="AJ192" i="5"/>
  <c r="AJ324" i="5"/>
  <c r="AJ344" i="5"/>
  <c r="AJ60" i="5"/>
  <c r="AK56" i="5"/>
  <c r="AJ365" i="5"/>
  <c r="AJ176" i="5"/>
  <c r="AJ462" i="5"/>
  <c r="AK181" i="5"/>
  <c r="AK483" i="5"/>
  <c r="AJ436" i="5"/>
  <c r="AJ111" i="5"/>
  <c r="AK397" i="5"/>
  <c r="AJ372" i="5"/>
  <c r="AJ375" i="5"/>
  <c r="AK368" i="5"/>
  <c r="AJ477" i="5"/>
  <c r="AJ417" i="5"/>
  <c r="AJ522" i="5"/>
  <c r="AJ453" i="5"/>
  <c r="AJ361" i="5"/>
  <c r="AK388" i="5"/>
  <c r="AK337" i="5"/>
  <c r="AJ506" i="5"/>
  <c r="AJ245" i="5"/>
  <c r="AK445" i="5"/>
  <c r="AK523" i="5"/>
  <c r="S276" i="5"/>
  <c r="T276" i="5" s="1"/>
  <c r="S373" i="5"/>
  <c r="U373" i="5" s="1"/>
  <c r="S491" i="5"/>
  <c r="U491" i="5" s="1"/>
  <c r="S73" i="5"/>
  <c r="T73" i="5" s="1"/>
  <c r="S229" i="5"/>
  <c r="U229" i="5" s="1"/>
  <c r="S505" i="5"/>
  <c r="U505" i="5" s="1"/>
  <c r="S298" i="5"/>
  <c r="U298" i="5" s="1"/>
  <c r="S384" i="5"/>
  <c r="T384" i="5" s="1"/>
  <c r="S553" i="5"/>
  <c r="U553" i="5" s="1"/>
  <c r="S115" i="5"/>
  <c r="U115" i="5" s="1"/>
  <c r="S305" i="5"/>
  <c r="T305" i="5" s="1"/>
  <c r="S506" i="5"/>
  <c r="U506" i="5" s="1"/>
  <c r="S236" i="5"/>
  <c r="T236" i="5" s="1"/>
  <c r="S345" i="5"/>
  <c r="U345" i="5" s="1"/>
  <c r="S397" i="5"/>
  <c r="U397" i="5" s="1"/>
  <c r="S48" i="5"/>
  <c r="T48" i="5" s="1"/>
  <c r="S157" i="5"/>
  <c r="T157" i="5" s="1"/>
  <c r="S344" i="5"/>
  <c r="T344" i="5" s="1"/>
  <c r="S241" i="5"/>
  <c r="U241" i="5" s="1"/>
  <c r="S353" i="5"/>
  <c r="U353" i="5" s="1"/>
  <c r="S427" i="5"/>
  <c r="T427" i="5" s="1"/>
  <c r="S202" i="5"/>
  <c r="T202" i="5" s="1"/>
  <c r="S176" i="5"/>
  <c r="U176" i="5" s="1"/>
  <c r="S348" i="5"/>
  <c r="U348" i="5" s="1"/>
  <c r="S245" i="5"/>
  <c r="T245" i="5" s="1"/>
  <c r="S356" i="5"/>
  <c r="T356" i="5" s="1"/>
  <c r="S432" i="5"/>
  <c r="U432" i="5" s="1"/>
  <c r="S238" i="5"/>
  <c r="U238" i="5" s="1"/>
  <c r="S189" i="5"/>
  <c r="U189" i="5" s="1"/>
  <c r="S360" i="5"/>
  <c r="T360" i="5" s="1"/>
  <c r="S274" i="5"/>
  <c r="T274" i="5" s="1"/>
  <c r="S372" i="5"/>
  <c r="T372" i="5" s="1"/>
  <c r="S483" i="5"/>
  <c r="U483" i="5" s="1"/>
  <c r="S62" i="5"/>
  <c r="T62" i="5" s="1"/>
  <c r="S213" i="5"/>
  <c r="U213" i="5" s="1"/>
  <c r="S436" i="5"/>
  <c r="T436" i="5" s="1"/>
  <c r="S508" i="5"/>
  <c r="U508" i="5" s="1"/>
  <c r="S286" i="5"/>
  <c r="T286" i="5" s="1"/>
  <c r="S433" i="5"/>
  <c r="U433" i="5" s="1"/>
  <c r="S545" i="5"/>
  <c r="U545" i="5" s="1"/>
  <c r="S449" i="5"/>
  <c r="T449" i="5" s="1"/>
  <c r="S324" i="5"/>
  <c r="T324" i="5" s="1"/>
  <c r="S473" i="5"/>
  <c r="U473" i="5" s="1"/>
  <c r="S478" i="5"/>
  <c r="U478" i="5" s="1"/>
  <c r="AI10" i="5"/>
  <c r="AK10" i="5" s="1"/>
  <c r="C183" i="3"/>
  <c r="B183" i="3" s="1"/>
  <c r="I69" i="2" s="1"/>
  <c r="B113" i="3"/>
  <c r="B112" i="3"/>
  <c r="I57" i="2" s="1"/>
  <c r="AV10" i="5"/>
  <c r="AW10" i="5" s="1"/>
  <c r="E124" i="1"/>
  <c r="B228" i="3"/>
  <c r="B211" i="3"/>
  <c r="AS115" i="6"/>
  <c r="AS98" i="6"/>
  <c r="AS24" i="6"/>
  <c r="AS143" i="6"/>
  <c r="AS127" i="6"/>
  <c r="AS16" i="6"/>
  <c r="AS130" i="6"/>
  <c r="AS125" i="6"/>
  <c r="AS86" i="6"/>
  <c r="AS122" i="6"/>
  <c r="AS23" i="6"/>
  <c r="AS157" i="6"/>
  <c r="AS102" i="6"/>
  <c r="AS128" i="6"/>
  <c r="AS62" i="6"/>
  <c r="AS59" i="6"/>
  <c r="AS7" i="6"/>
  <c r="AS131" i="6"/>
  <c r="AS52" i="6"/>
  <c r="AS105" i="6"/>
  <c r="AS65" i="6"/>
  <c r="AS93" i="6"/>
  <c r="AS132" i="6"/>
  <c r="AS33" i="6"/>
  <c r="AS56" i="6"/>
  <c r="AS78" i="6"/>
  <c r="AS8" i="6"/>
  <c r="AS51" i="6"/>
  <c r="AS11" i="6"/>
  <c r="AS74" i="6"/>
  <c r="AS110" i="6"/>
  <c r="AS26" i="6"/>
  <c r="AS103" i="6"/>
  <c r="AS154" i="6"/>
  <c r="AS137" i="6"/>
  <c r="AS97" i="6"/>
  <c r="AS139" i="6"/>
  <c r="AS151" i="6"/>
  <c r="AS67" i="6"/>
  <c r="AS39" i="6"/>
  <c r="AS38" i="6"/>
  <c r="AS114" i="6"/>
  <c r="AS46" i="6"/>
  <c r="AS156" i="6"/>
  <c r="AS22" i="6"/>
  <c r="AS88" i="6"/>
  <c r="AS45" i="6"/>
  <c r="AS57" i="6"/>
  <c r="AS85" i="6"/>
  <c r="AS149" i="6"/>
  <c r="AS96" i="6"/>
  <c r="AS64" i="6"/>
  <c r="AS40" i="6"/>
  <c r="AS84" i="6"/>
  <c r="AS54" i="6"/>
  <c r="AS89" i="6"/>
  <c r="AS53" i="6"/>
  <c r="AS21" i="6"/>
  <c r="AS108" i="6"/>
  <c r="AS109" i="6"/>
  <c r="AS104" i="6"/>
  <c r="AS118" i="6"/>
  <c r="AS55" i="6"/>
  <c r="AS124" i="6"/>
  <c r="AS19" i="6"/>
  <c r="AS15" i="6"/>
  <c r="AS134" i="6"/>
  <c r="AS116" i="6"/>
  <c r="AS60" i="6"/>
  <c r="AS100" i="6"/>
  <c r="AS152" i="6"/>
  <c r="AS113" i="6"/>
  <c r="AS155" i="6"/>
  <c r="AS73" i="6"/>
  <c r="AS41" i="6"/>
  <c r="AS31" i="6"/>
  <c r="AS111" i="6"/>
  <c r="AS79" i="6"/>
  <c r="AS90" i="6"/>
  <c r="AS150" i="6"/>
  <c r="AS80" i="6"/>
  <c r="AS129" i="6"/>
  <c r="AS30" i="6"/>
  <c r="AS63" i="6"/>
  <c r="AS145" i="6"/>
  <c r="AS29" i="6"/>
  <c r="AS77" i="6"/>
  <c r="AS153" i="6"/>
  <c r="AS147" i="6"/>
  <c r="AS75" i="6"/>
  <c r="AS34" i="6"/>
  <c r="AS92" i="6"/>
  <c r="AS10" i="6"/>
  <c r="AS136" i="6"/>
  <c r="AS20" i="6"/>
  <c r="AS82" i="6"/>
  <c r="AS35" i="6"/>
  <c r="AS32" i="6"/>
  <c r="AS133" i="6"/>
  <c r="AS99" i="6"/>
  <c r="AS117" i="6"/>
  <c r="AS50" i="6"/>
  <c r="AS70" i="6"/>
  <c r="AS119" i="6"/>
  <c r="AS135" i="6"/>
  <c r="AS142" i="6"/>
  <c r="AS47" i="6"/>
  <c r="AS43" i="6"/>
  <c r="AS144" i="6"/>
  <c r="AS107" i="6"/>
  <c r="AS58" i="6"/>
  <c r="AS66" i="6"/>
  <c r="AS44" i="6"/>
  <c r="AS13" i="6"/>
  <c r="AS42" i="6"/>
  <c r="AS120" i="6"/>
  <c r="AS14" i="6"/>
  <c r="AS87" i="6"/>
  <c r="AS68" i="6"/>
  <c r="AS76" i="6"/>
  <c r="AS123" i="6"/>
  <c r="AS95" i="6"/>
  <c r="AS72" i="6"/>
  <c r="AS12" i="6"/>
  <c r="AS106" i="6"/>
  <c r="AS140" i="6"/>
  <c r="AS121" i="6"/>
  <c r="AS71" i="6"/>
  <c r="AS126" i="6"/>
  <c r="AS141" i="6"/>
  <c r="AS146" i="6"/>
  <c r="AS28" i="6"/>
  <c r="AS9" i="6"/>
  <c r="AS112" i="6"/>
  <c r="AS83" i="6"/>
  <c r="AS27" i="6"/>
  <c r="AS36" i="6"/>
  <c r="AS81" i="6"/>
  <c r="AS148" i="6"/>
  <c r="AS94" i="6"/>
  <c r="AS138" i="6"/>
  <c r="AS17" i="6"/>
  <c r="AS91" i="6"/>
  <c r="AS69" i="6"/>
  <c r="AS37" i="6"/>
  <c r="AS25" i="6"/>
  <c r="AS18" i="6"/>
  <c r="AS61" i="6"/>
  <c r="AS49" i="6"/>
  <c r="AS48" i="6"/>
  <c r="AS101" i="6"/>
  <c r="U285" i="5"/>
  <c r="T285" i="5"/>
  <c r="U501" i="5"/>
  <c r="T501" i="5"/>
  <c r="U363" i="5"/>
  <c r="T363" i="5"/>
  <c r="T418" i="5"/>
  <c r="U418" i="5"/>
  <c r="T502" i="5"/>
  <c r="U502" i="5"/>
  <c r="U139" i="5"/>
  <c r="T139" i="5"/>
  <c r="T448" i="5"/>
  <c r="U448" i="5"/>
  <c r="U103" i="5"/>
  <c r="T103" i="5"/>
  <c r="U266" i="5"/>
  <c r="T266" i="5"/>
  <c r="U536" i="5"/>
  <c r="T536" i="5"/>
  <c r="U290" i="5"/>
  <c r="T290" i="5"/>
  <c r="U169" i="5"/>
  <c r="T169" i="5"/>
  <c r="U199" i="5"/>
  <c r="T199" i="5"/>
  <c r="U97" i="5"/>
  <c r="T97" i="5"/>
  <c r="U69" i="5"/>
  <c r="T69" i="5"/>
  <c r="T150" i="5"/>
  <c r="U150" i="5"/>
  <c r="T226" i="5"/>
  <c r="U226" i="5"/>
  <c r="T212" i="5"/>
  <c r="U212" i="5"/>
  <c r="U422" i="5"/>
  <c r="T422" i="5"/>
  <c r="U210" i="5"/>
  <c r="T210" i="5"/>
  <c r="T100" i="5"/>
  <c r="U100" i="5"/>
  <c r="U38" i="5"/>
  <c r="T38" i="5"/>
  <c r="U322" i="5"/>
  <c r="T322" i="5"/>
  <c r="U535" i="5"/>
  <c r="T535" i="5"/>
  <c r="U452" i="5"/>
  <c r="T452" i="5"/>
  <c r="T530" i="5"/>
  <c r="U530" i="5"/>
  <c r="U347" i="5"/>
  <c r="T347" i="5"/>
  <c r="U219" i="5"/>
  <c r="T219" i="5"/>
  <c r="U72" i="5"/>
  <c r="T72" i="5"/>
  <c r="U340" i="5"/>
  <c r="T340" i="5"/>
  <c r="T107" i="5"/>
  <c r="U107" i="5"/>
  <c r="T387" i="5"/>
  <c r="U387" i="5"/>
  <c r="U332" i="5"/>
  <c r="T332" i="5"/>
  <c r="T242" i="5"/>
  <c r="U242" i="5"/>
  <c r="U35" i="5"/>
  <c r="T35" i="5"/>
  <c r="T187" i="5"/>
  <c r="U187" i="5"/>
  <c r="T494" i="5"/>
  <c r="U494" i="5"/>
  <c r="U386" i="5"/>
  <c r="T386" i="5"/>
  <c r="U307" i="5"/>
  <c r="T307" i="5"/>
  <c r="U174" i="5"/>
  <c r="T174" i="5"/>
  <c r="T504" i="5"/>
  <c r="U504" i="5"/>
  <c r="U399" i="5"/>
  <c r="T399" i="5"/>
  <c r="U201" i="5"/>
  <c r="T201" i="5"/>
  <c r="U113" i="5"/>
  <c r="T113" i="5"/>
  <c r="T548" i="5"/>
  <c r="U548" i="5"/>
  <c r="U120" i="5"/>
  <c r="T120" i="5"/>
  <c r="U531" i="5"/>
  <c r="T531" i="5"/>
  <c r="U413" i="5"/>
  <c r="T413" i="5"/>
  <c r="U354" i="5"/>
  <c r="T354" i="5"/>
  <c r="U161" i="5"/>
  <c r="T161" i="5"/>
  <c r="T75" i="5"/>
  <c r="U75" i="5"/>
  <c r="U415" i="5"/>
  <c r="T415" i="5"/>
  <c r="T485" i="5"/>
  <c r="U485" i="5"/>
  <c r="U328" i="5"/>
  <c r="T328" i="5"/>
  <c r="T104" i="5"/>
  <c r="U104" i="5"/>
  <c r="U398" i="5"/>
  <c r="T398" i="5"/>
  <c r="U94" i="5"/>
  <c r="T94" i="5"/>
  <c r="U205" i="5"/>
  <c r="T205" i="5"/>
  <c r="T278" i="5"/>
  <c r="U278" i="5"/>
  <c r="U409" i="5"/>
  <c r="T409" i="5"/>
  <c r="U517" i="5"/>
  <c r="T517" i="5"/>
  <c r="U308" i="5"/>
  <c r="T308" i="5"/>
  <c r="T56" i="5"/>
  <c r="U56" i="5"/>
  <c r="T179" i="5"/>
  <c r="U179" i="5"/>
  <c r="U317" i="5"/>
  <c r="T317" i="5"/>
  <c r="U405" i="5"/>
  <c r="T405" i="5"/>
  <c r="T541" i="5"/>
  <c r="U541" i="5"/>
  <c r="U80" i="5"/>
  <c r="T80" i="5"/>
  <c r="U160" i="5"/>
  <c r="T160" i="5"/>
  <c r="U333" i="5"/>
  <c r="T333" i="5"/>
  <c r="U65" i="5"/>
  <c r="T65" i="5"/>
  <c r="T42" i="5"/>
  <c r="U42" i="5"/>
  <c r="T133" i="5"/>
  <c r="U133" i="5"/>
  <c r="U261" i="5"/>
  <c r="T261" i="5"/>
  <c r="U341" i="5"/>
  <c r="T341" i="5"/>
  <c r="U525" i="5"/>
  <c r="T525" i="5"/>
  <c r="U63" i="5"/>
  <c r="T63" i="5"/>
  <c r="U269" i="5"/>
  <c r="T269" i="5"/>
  <c r="U420" i="5"/>
  <c r="T420" i="5"/>
  <c r="T526" i="5"/>
  <c r="U526" i="5"/>
  <c r="U246" i="5"/>
  <c r="T246" i="5"/>
  <c r="T57" i="5"/>
  <c r="U57" i="5"/>
  <c r="T319" i="5"/>
  <c r="U319" i="5"/>
  <c r="U393" i="5"/>
  <c r="T393" i="5"/>
  <c r="T203" i="5"/>
  <c r="U203" i="5"/>
  <c r="U78" i="5"/>
  <c r="T78" i="5"/>
  <c r="U339" i="5"/>
  <c r="T339" i="5"/>
  <c r="U411" i="5"/>
  <c r="T411" i="5"/>
  <c r="U190" i="5"/>
  <c r="T190" i="5"/>
  <c r="T450" i="5"/>
  <c r="U450" i="5"/>
  <c r="U425" i="5"/>
  <c r="T425" i="5"/>
  <c r="U49" i="5"/>
  <c r="T49" i="5"/>
  <c r="U291" i="5"/>
  <c r="T291" i="5"/>
  <c r="U214" i="5"/>
  <c r="T214" i="5"/>
  <c r="U247" i="5"/>
  <c r="T247" i="5"/>
  <c r="U27" i="5"/>
  <c r="T27" i="5"/>
  <c r="T330" i="5"/>
  <c r="U330" i="5"/>
  <c r="T284" i="5"/>
  <c r="U284" i="5"/>
  <c r="U77" i="5"/>
  <c r="T77" i="5"/>
  <c r="U532" i="5"/>
  <c r="T532" i="5"/>
  <c r="U430" i="5"/>
  <c r="T430" i="5"/>
  <c r="T64" i="5"/>
  <c r="U64" i="5"/>
  <c r="T302" i="5"/>
  <c r="U302" i="5"/>
  <c r="U461" i="5"/>
  <c r="T461" i="5"/>
  <c r="U499" i="5"/>
  <c r="T499" i="5"/>
  <c r="T455" i="5"/>
  <c r="U455" i="5"/>
  <c r="U419" i="5"/>
  <c r="T419" i="5"/>
  <c r="T481" i="5"/>
  <c r="U481" i="5"/>
  <c r="U338" i="5"/>
  <c r="T338" i="5"/>
  <c r="U200" i="5"/>
  <c r="T200" i="5"/>
  <c r="U82" i="5"/>
  <c r="T82" i="5"/>
  <c r="U257" i="5"/>
  <c r="T257" i="5"/>
  <c r="U543" i="5"/>
  <c r="T543" i="5"/>
  <c r="T407" i="5"/>
  <c r="U407" i="5"/>
  <c r="T310" i="5"/>
  <c r="U310" i="5"/>
  <c r="U206" i="5"/>
  <c r="T206" i="5"/>
  <c r="U88" i="5"/>
  <c r="T88" i="5"/>
  <c r="T51" i="5"/>
  <c r="U51" i="5"/>
  <c r="U488" i="5"/>
  <c r="T488" i="5"/>
  <c r="U383" i="5"/>
  <c r="T383" i="5"/>
  <c r="U301" i="5"/>
  <c r="T301" i="5"/>
  <c r="U112" i="5"/>
  <c r="T112" i="5"/>
  <c r="U471" i="5"/>
  <c r="T471" i="5"/>
  <c r="U371" i="5"/>
  <c r="T371" i="5"/>
  <c r="U198" i="5"/>
  <c r="T198" i="5"/>
  <c r="U83" i="5"/>
  <c r="T83" i="5"/>
  <c r="T522" i="5"/>
  <c r="U522" i="5"/>
  <c r="U141" i="5"/>
  <c r="T141" i="5"/>
  <c r="U513" i="5"/>
  <c r="T513" i="5"/>
  <c r="U401" i="5"/>
  <c r="T401" i="5"/>
  <c r="U297" i="5"/>
  <c r="T297" i="5"/>
  <c r="T128" i="5"/>
  <c r="U128" i="5"/>
  <c r="U74" i="5"/>
  <c r="T74" i="5"/>
  <c r="T244" i="5"/>
  <c r="U244" i="5"/>
  <c r="U460" i="5"/>
  <c r="T460" i="5"/>
  <c r="U227" i="5"/>
  <c r="T227" i="5"/>
  <c r="T124" i="5"/>
  <c r="U124" i="5"/>
  <c r="U493" i="5"/>
  <c r="T493" i="5"/>
  <c r="U126" i="5"/>
  <c r="T126" i="5"/>
  <c r="U209" i="5"/>
  <c r="T209" i="5"/>
  <c r="T280" i="5"/>
  <c r="U280" i="5"/>
  <c r="U417" i="5"/>
  <c r="T417" i="5"/>
  <c r="T523" i="5"/>
  <c r="U523" i="5"/>
  <c r="T367" i="5"/>
  <c r="U367" i="5"/>
  <c r="T66" i="5"/>
  <c r="U66" i="5"/>
  <c r="U192" i="5"/>
  <c r="T192" i="5"/>
  <c r="U320" i="5"/>
  <c r="T320" i="5"/>
  <c r="T408" i="5"/>
  <c r="U408" i="5"/>
  <c r="T544" i="5"/>
  <c r="U544" i="5"/>
  <c r="T101" i="5"/>
  <c r="U101" i="5"/>
  <c r="T191" i="5"/>
  <c r="U191" i="5"/>
  <c r="T378" i="5"/>
  <c r="U378" i="5"/>
  <c r="T95" i="5"/>
  <c r="U95" i="5"/>
  <c r="U44" i="5"/>
  <c r="T44" i="5"/>
  <c r="U168" i="5"/>
  <c r="T168" i="5"/>
  <c r="U262" i="5"/>
  <c r="T262" i="5"/>
  <c r="U358" i="5"/>
  <c r="T358" i="5"/>
  <c r="T546" i="5"/>
  <c r="U546" i="5"/>
  <c r="T71" i="5"/>
  <c r="U71" i="5"/>
  <c r="U277" i="5"/>
  <c r="T277" i="5"/>
  <c r="T441" i="5"/>
  <c r="U441" i="5"/>
  <c r="U528" i="5"/>
  <c r="T528" i="5"/>
  <c r="U312" i="5"/>
  <c r="T312" i="5"/>
  <c r="T87" i="5"/>
  <c r="U87" i="5"/>
  <c r="T451" i="5"/>
  <c r="U451" i="5"/>
  <c r="T323" i="5"/>
  <c r="U323" i="5"/>
  <c r="U480" i="5"/>
  <c r="T480" i="5"/>
  <c r="U178" i="5"/>
  <c r="T178" i="5"/>
  <c r="T335" i="5"/>
  <c r="U335" i="5"/>
  <c r="U67" i="5"/>
  <c r="T67" i="5"/>
  <c r="T529" i="5"/>
  <c r="U529" i="5"/>
  <c r="T22" i="5"/>
  <c r="U22" i="5"/>
  <c r="T173" i="5"/>
  <c r="U173" i="5"/>
  <c r="U442" i="5"/>
  <c r="T442" i="5"/>
  <c r="U538" i="5"/>
  <c r="T538" i="5"/>
  <c r="T207" i="5"/>
  <c r="U207" i="5"/>
  <c r="U557" i="5"/>
  <c r="T557" i="5"/>
  <c r="U180" i="5"/>
  <c r="T180" i="5"/>
  <c r="U116" i="5"/>
  <c r="T116" i="5"/>
  <c r="U23" i="5"/>
  <c r="T23" i="5"/>
  <c r="T467" i="5"/>
  <c r="U467" i="5"/>
  <c r="U25" i="5"/>
  <c r="T25" i="5"/>
  <c r="T181" i="5"/>
  <c r="U181" i="5"/>
  <c r="T489" i="5"/>
  <c r="U489" i="5"/>
  <c r="T511" i="5"/>
  <c r="U511" i="5"/>
  <c r="U446" i="5"/>
  <c r="T446" i="5"/>
  <c r="T225" i="5"/>
  <c r="U225" i="5"/>
  <c r="U193" i="5"/>
  <c r="T193" i="5"/>
  <c r="U426" i="5"/>
  <c r="T426" i="5"/>
  <c r="U295" i="5"/>
  <c r="T295" i="5"/>
  <c r="U154" i="5"/>
  <c r="T154" i="5"/>
  <c r="U114" i="5"/>
  <c r="T114" i="5"/>
  <c r="U132" i="5"/>
  <c r="T132" i="5"/>
  <c r="U476" i="5"/>
  <c r="T476" i="5"/>
  <c r="U352" i="5"/>
  <c r="T352" i="5"/>
  <c r="U273" i="5"/>
  <c r="T273" i="5"/>
  <c r="U147" i="5"/>
  <c r="T147" i="5"/>
  <c r="U29" i="5"/>
  <c r="T29" i="5"/>
  <c r="T533" i="5"/>
  <c r="U533" i="5"/>
  <c r="T416" i="5"/>
  <c r="U416" i="5"/>
  <c r="U346" i="5"/>
  <c r="T346" i="5"/>
  <c r="U228" i="5"/>
  <c r="T228" i="5"/>
  <c r="U59" i="5"/>
  <c r="T59" i="5"/>
  <c r="U439" i="5"/>
  <c r="T439" i="5"/>
  <c r="T300" i="5"/>
  <c r="U300" i="5"/>
  <c r="U153" i="5"/>
  <c r="T153" i="5"/>
  <c r="T211" i="5"/>
  <c r="U211" i="5"/>
  <c r="T292" i="5"/>
  <c r="U292" i="5"/>
  <c r="T79" i="5"/>
  <c r="U79" i="5"/>
  <c r="T497" i="5"/>
  <c r="U497" i="5"/>
  <c r="U379" i="5"/>
  <c r="T379" i="5"/>
  <c r="U263" i="5"/>
  <c r="T263" i="5"/>
  <c r="U137" i="5"/>
  <c r="T137" i="5"/>
  <c r="U216" i="5"/>
  <c r="T216" i="5"/>
  <c r="T549" i="5"/>
  <c r="U549" i="5"/>
  <c r="U369" i="5"/>
  <c r="T369" i="5"/>
  <c r="T145" i="5"/>
  <c r="U145" i="5"/>
  <c r="U31" i="5"/>
  <c r="T31" i="5"/>
  <c r="U47" i="5"/>
  <c r="T47" i="5"/>
  <c r="U171" i="5"/>
  <c r="T171" i="5"/>
  <c r="U233" i="5"/>
  <c r="T233" i="5"/>
  <c r="T365" i="5"/>
  <c r="U365" i="5"/>
  <c r="U458" i="5"/>
  <c r="T458" i="5"/>
  <c r="T534" i="5"/>
  <c r="U534" i="5"/>
  <c r="U498" i="5"/>
  <c r="T498" i="5"/>
  <c r="U118" i="5"/>
  <c r="T118" i="5"/>
  <c r="T232" i="5"/>
  <c r="U232" i="5"/>
  <c r="U366" i="5"/>
  <c r="T366" i="5"/>
  <c r="T454" i="5"/>
  <c r="U454" i="5"/>
  <c r="U28" i="5"/>
  <c r="T28" i="5"/>
  <c r="T125" i="5"/>
  <c r="U125" i="5"/>
  <c r="U270" i="5"/>
  <c r="T270" i="5"/>
  <c r="T434" i="5"/>
  <c r="U434" i="5"/>
  <c r="U457" i="5"/>
  <c r="T457" i="5"/>
  <c r="U91" i="5"/>
  <c r="T91" i="5"/>
  <c r="U218" i="5"/>
  <c r="T218" i="5"/>
  <c r="U294" i="5"/>
  <c r="T294" i="5"/>
  <c r="U428" i="5"/>
  <c r="T428" i="5"/>
  <c r="T329" i="5"/>
  <c r="U329" i="5"/>
  <c r="T127" i="5"/>
  <c r="U127" i="5"/>
  <c r="T337" i="5"/>
  <c r="U337" i="5"/>
  <c r="T496" i="5"/>
  <c r="U496" i="5"/>
  <c r="U560" i="5"/>
  <c r="T560" i="5"/>
  <c r="U479" i="5"/>
  <c r="T479" i="5"/>
  <c r="U152" i="5"/>
  <c r="T152" i="5"/>
  <c r="U342" i="5"/>
  <c r="T342" i="5"/>
  <c r="U395" i="5"/>
  <c r="T395" i="5"/>
  <c r="U279" i="5"/>
  <c r="T279" i="5"/>
  <c r="U90" i="5"/>
  <c r="T90" i="5"/>
  <c r="U134" i="5"/>
  <c r="T134" i="5"/>
  <c r="U550" i="5"/>
  <c r="T550" i="5"/>
  <c r="T85" i="5"/>
  <c r="U85" i="5"/>
  <c r="U221" i="5"/>
  <c r="T221" i="5"/>
  <c r="U361" i="5"/>
  <c r="T361" i="5"/>
  <c r="U375" i="5"/>
  <c r="T375" i="5"/>
  <c r="T443" i="5"/>
  <c r="U443" i="5"/>
  <c r="U385" i="5"/>
  <c r="T385" i="5"/>
  <c r="T351" i="5"/>
  <c r="U351" i="5"/>
  <c r="T264" i="5"/>
  <c r="U264" i="5"/>
  <c r="U377" i="5"/>
  <c r="T377" i="5"/>
  <c r="U217" i="5"/>
  <c r="T217" i="5"/>
  <c r="T343" i="5"/>
  <c r="U343" i="5"/>
  <c r="U349" i="5"/>
  <c r="T349" i="5"/>
  <c r="T406" i="5"/>
  <c r="U406" i="5"/>
  <c r="U111" i="5"/>
  <c r="T111" i="5"/>
  <c r="U258" i="5"/>
  <c r="T258" i="5"/>
  <c r="U194" i="5"/>
  <c r="T194" i="5"/>
  <c r="U306" i="5"/>
  <c r="T306" i="5"/>
  <c r="T293" i="5"/>
  <c r="U293" i="5"/>
  <c r="T32" i="5"/>
  <c r="U32" i="5"/>
  <c r="U182" i="5"/>
  <c r="T182" i="5"/>
  <c r="U388" i="5"/>
  <c r="T388" i="5"/>
  <c r="U282" i="5"/>
  <c r="T282" i="5"/>
  <c r="U162" i="5"/>
  <c r="T162" i="5"/>
  <c r="U53" i="5"/>
  <c r="T53" i="5"/>
  <c r="U105" i="5"/>
  <c r="T105" i="5"/>
  <c r="T484" i="5"/>
  <c r="U484" i="5"/>
  <c r="T331" i="5"/>
  <c r="U331" i="5"/>
  <c r="U255" i="5"/>
  <c r="T255" i="5"/>
  <c r="T170" i="5"/>
  <c r="U170" i="5"/>
  <c r="T396" i="5"/>
  <c r="U396" i="5"/>
  <c r="U524" i="5"/>
  <c r="T524" i="5"/>
  <c r="U423" i="5"/>
  <c r="T423" i="5"/>
  <c r="U334" i="5"/>
  <c r="T334" i="5"/>
  <c r="T240" i="5"/>
  <c r="U240" i="5"/>
  <c r="U76" i="5"/>
  <c r="T76" i="5"/>
  <c r="T435" i="5"/>
  <c r="U435" i="5"/>
  <c r="U289" i="5"/>
  <c r="T289" i="5"/>
  <c r="T186" i="5"/>
  <c r="U186" i="5"/>
  <c r="U151" i="5"/>
  <c r="T151" i="5"/>
  <c r="T256" i="5"/>
  <c r="U256" i="5"/>
  <c r="U551" i="5"/>
  <c r="T551" i="5"/>
  <c r="T477" i="5"/>
  <c r="U477" i="5"/>
  <c r="T374" i="5"/>
  <c r="U374" i="5"/>
  <c r="T231" i="5"/>
  <c r="U231" i="5"/>
  <c r="T121" i="5"/>
  <c r="U121" i="5"/>
  <c r="T61" i="5"/>
  <c r="U61" i="5"/>
  <c r="U519" i="5"/>
  <c r="T519" i="5"/>
  <c r="U364" i="5"/>
  <c r="T364" i="5"/>
  <c r="T166" i="5"/>
  <c r="U166" i="5"/>
  <c r="U70" i="5"/>
  <c r="T70" i="5"/>
  <c r="T81" i="5"/>
  <c r="U81" i="5"/>
  <c r="T175" i="5"/>
  <c r="U175" i="5"/>
  <c r="U237" i="5"/>
  <c r="T237" i="5"/>
  <c r="U368" i="5"/>
  <c r="T368" i="5"/>
  <c r="U463" i="5"/>
  <c r="T463" i="5"/>
  <c r="U36" i="5"/>
  <c r="T36" i="5"/>
  <c r="U30" i="5"/>
  <c r="T30" i="5"/>
  <c r="T143" i="5"/>
  <c r="U143" i="5"/>
  <c r="U235" i="5"/>
  <c r="T235" i="5"/>
  <c r="U390" i="5"/>
  <c r="T390" i="5"/>
  <c r="T466" i="5"/>
  <c r="U466" i="5"/>
  <c r="U46" i="5"/>
  <c r="T46" i="5"/>
  <c r="T142" i="5"/>
  <c r="U142" i="5"/>
  <c r="T275" i="5"/>
  <c r="U275" i="5"/>
  <c r="U437" i="5"/>
  <c r="T437" i="5"/>
  <c r="U482" i="5"/>
  <c r="T482" i="5"/>
  <c r="U98" i="5"/>
  <c r="T98" i="5"/>
  <c r="U249" i="5"/>
  <c r="T249" i="5"/>
  <c r="U309" i="5"/>
  <c r="T309" i="5"/>
  <c r="U445" i="5"/>
  <c r="T445" i="5"/>
  <c r="T26" i="5"/>
  <c r="U26" i="5"/>
  <c r="U135" i="5"/>
  <c r="T135" i="5"/>
  <c r="U350" i="5"/>
  <c r="T350" i="5"/>
  <c r="T500" i="5"/>
  <c r="U500" i="5"/>
  <c r="T19" i="5"/>
  <c r="U19" i="5"/>
  <c r="T547" i="5"/>
  <c r="U547" i="5"/>
  <c r="U164" i="5"/>
  <c r="T164" i="5"/>
  <c r="U73" i="5"/>
  <c r="T392" i="5"/>
  <c r="U392" i="5"/>
  <c r="U421" i="5"/>
  <c r="T421" i="5"/>
  <c r="T195" i="5"/>
  <c r="U195" i="5"/>
  <c r="U138" i="5"/>
  <c r="T138" i="5"/>
  <c r="U469" i="5"/>
  <c r="T469" i="5"/>
  <c r="T92" i="5"/>
  <c r="U92" i="5"/>
  <c r="U204" i="5"/>
  <c r="T204" i="5"/>
  <c r="T224" i="5"/>
  <c r="U224" i="5"/>
  <c r="U197" i="5"/>
  <c r="T197" i="5"/>
  <c r="U394" i="5"/>
  <c r="T394" i="5"/>
  <c r="U106" i="5"/>
  <c r="T106" i="5"/>
  <c r="U344" i="5"/>
  <c r="U251" i="5"/>
  <c r="T251" i="5"/>
  <c r="T495" i="5"/>
  <c r="U495" i="5"/>
  <c r="U440" i="5"/>
  <c r="T440" i="5"/>
  <c r="U459" i="5"/>
  <c r="T459" i="5"/>
  <c r="T507" i="5"/>
  <c r="U507" i="5"/>
  <c r="T380" i="5"/>
  <c r="U380" i="5"/>
  <c r="T456" i="5"/>
  <c r="U456" i="5"/>
  <c r="T117" i="5"/>
  <c r="U117" i="5"/>
  <c r="U288" i="5"/>
  <c r="T288" i="5"/>
  <c r="T556" i="5"/>
  <c r="U556" i="5"/>
  <c r="U475" i="5"/>
  <c r="T475" i="5"/>
  <c r="T357" i="5"/>
  <c r="U357" i="5"/>
  <c r="U391" i="5"/>
  <c r="T391" i="5"/>
  <c r="U45" i="5"/>
  <c r="T45" i="5"/>
  <c r="U558" i="5"/>
  <c r="T558" i="5"/>
  <c r="U402" i="5"/>
  <c r="T402" i="5"/>
  <c r="T287" i="5"/>
  <c r="U287" i="5"/>
  <c r="T167" i="5"/>
  <c r="U167" i="5"/>
  <c r="U510" i="5"/>
  <c r="T510" i="5"/>
  <c r="T109" i="5"/>
  <c r="U109" i="5"/>
  <c r="U490" i="5"/>
  <c r="T490" i="5"/>
  <c r="T311" i="5"/>
  <c r="U311" i="5"/>
  <c r="U253" i="5"/>
  <c r="T253" i="5"/>
  <c r="T158" i="5"/>
  <c r="U158" i="5"/>
  <c r="U215" i="5"/>
  <c r="T215" i="5"/>
  <c r="U514" i="5"/>
  <c r="T514" i="5"/>
  <c r="U447" i="5"/>
  <c r="T447" i="5"/>
  <c r="U303" i="5"/>
  <c r="T303" i="5"/>
  <c r="T183" i="5"/>
  <c r="U183" i="5"/>
  <c r="U537" i="5"/>
  <c r="T537" i="5"/>
  <c r="U431" i="5"/>
  <c r="T431" i="5"/>
  <c r="T259" i="5"/>
  <c r="U259" i="5"/>
  <c r="U130" i="5"/>
  <c r="T130" i="5"/>
  <c r="T24" i="5"/>
  <c r="U24" i="5"/>
  <c r="T220" i="5"/>
  <c r="U220" i="5"/>
  <c r="T554" i="5"/>
  <c r="U554" i="5"/>
  <c r="U438" i="5"/>
  <c r="T438" i="5"/>
  <c r="U314" i="5"/>
  <c r="T314" i="5"/>
  <c r="U188" i="5"/>
  <c r="T188" i="5"/>
  <c r="T43" i="5"/>
  <c r="U43" i="5"/>
  <c r="U21" i="5"/>
  <c r="T21" i="5"/>
  <c r="U492" i="5"/>
  <c r="T492" i="5"/>
  <c r="U281" i="5"/>
  <c r="T281" i="5"/>
  <c r="U146" i="5"/>
  <c r="T146" i="5"/>
  <c r="T119" i="5"/>
  <c r="U119" i="5"/>
  <c r="T86" i="5"/>
  <c r="U86" i="5"/>
  <c r="U184" i="5"/>
  <c r="T184" i="5"/>
  <c r="U260" i="5"/>
  <c r="T260" i="5"/>
  <c r="U382" i="5"/>
  <c r="T382" i="5"/>
  <c r="U486" i="5"/>
  <c r="T486" i="5"/>
  <c r="U84" i="5"/>
  <c r="T84" i="5"/>
  <c r="U33" i="5"/>
  <c r="T33" i="5"/>
  <c r="T159" i="5"/>
  <c r="U159" i="5"/>
  <c r="U243" i="5"/>
  <c r="T243" i="5"/>
  <c r="U400" i="5"/>
  <c r="T400" i="5"/>
  <c r="U512" i="5"/>
  <c r="T512" i="5"/>
  <c r="U55" i="5"/>
  <c r="T55" i="5"/>
  <c r="U144" i="5"/>
  <c r="T144" i="5"/>
  <c r="U299" i="5"/>
  <c r="T299" i="5"/>
  <c r="U503" i="5"/>
  <c r="T503" i="5"/>
  <c r="U552" i="5"/>
  <c r="T552" i="5"/>
  <c r="U108" i="5"/>
  <c r="T108" i="5"/>
  <c r="T252" i="5"/>
  <c r="U252" i="5"/>
  <c r="U325" i="5"/>
  <c r="T325" i="5"/>
  <c r="T468" i="5"/>
  <c r="U468" i="5"/>
  <c r="U39" i="5"/>
  <c r="T39" i="5"/>
  <c r="U149" i="5"/>
  <c r="T149" i="5"/>
  <c r="T381" i="5"/>
  <c r="U381" i="5"/>
  <c r="T509" i="5"/>
  <c r="U509" i="5"/>
  <c r="T34" i="5"/>
  <c r="U34" i="5"/>
  <c r="T50" i="5"/>
  <c r="U50" i="5"/>
  <c r="U172" i="5"/>
  <c r="T172" i="5"/>
  <c r="U559" i="5"/>
  <c r="T559" i="5"/>
  <c r="T96" i="5"/>
  <c r="U96" i="5"/>
  <c r="U223" i="5"/>
  <c r="T223" i="5"/>
  <c r="U122" i="5"/>
  <c r="T122" i="5"/>
  <c r="T521" i="5"/>
  <c r="U521" i="5"/>
  <c r="U410" i="5"/>
  <c r="T410" i="5"/>
  <c r="T327" i="5"/>
  <c r="U327" i="5"/>
  <c r="U321" i="5"/>
  <c r="T321" i="5"/>
  <c r="U250" i="5"/>
  <c r="T250" i="5"/>
  <c r="U60" i="5"/>
  <c r="T60" i="5"/>
  <c r="T89" i="5"/>
  <c r="U89" i="5"/>
  <c r="U318" i="5"/>
  <c r="T318" i="5"/>
  <c r="T359" i="5"/>
  <c r="U359" i="5"/>
  <c r="U283" i="5"/>
  <c r="T283" i="5"/>
  <c r="T429" i="5"/>
  <c r="U429" i="5"/>
  <c r="T234" i="5"/>
  <c r="U234" i="5"/>
  <c r="U165" i="5"/>
  <c r="T165" i="5"/>
  <c r="T102" i="5"/>
  <c r="U102" i="5"/>
  <c r="T268" i="5"/>
  <c r="U268" i="5"/>
  <c r="U376" i="5"/>
  <c r="T376" i="5"/>
  <c r="U462" i="5"/>
  <c r="T462" i="5"/>
  <c r="U370" i="5"/>
  <c r="T370" i="5"/>
  <c r="U304" i="5"/>
  <c r="T304" i="5"/>
  <c r="U465" i="5"/>
  <c r="T465" i="5"/>
  <c r="U472" i="5"/>
  <c r="T472" i="5"/>
  <c r="T539" i="5"/>
  <c r="U539" i="5"/>
  <c r="U362" i="5"/>
  <c r="T362" i="5"/>
  <c r="U239" i="5"/>
  <c r="T239" i="5"/>
  <c r="U110" i="5"/>
  <c r="T110" i="5"/>
  <c r="U444" i="5"/>
  <c r="T444" i="5"/>
  <c r="U99" i="5"/>
  <c r="T99" i="5"/>
  <c r="U453" i="5"/>
  <c r="T453" i="5"/>
  <c r="T315" i="5"/>
  <c r="U315" i="5"/>
  <c r="U271" i="5"/>
  <c r="T271" i="5"/>
  <c r="U136" i="5"/>
  <c r="T136" i="5"/>
  <c r="U185" i="5"/>
  <c r="T185" i="5"/>
  <c r="T516" i="5"/>
  <c r="U516" i="5"/>
  <c r="U424" i="5"/>
  <c r="T424" i="5"/>
  <c r="T355" i="5"/>
  <c r="U355" i="5"/>
  <c r="T156" i="5"/>
  <c r="U156" i="5"/>
  <c r="T518" i="5"/>
  <c r="U518" i="5"/>
  <c r="T412" i="5"/>
  <c r="U412" i="5"/>
  <c r="U222" i="5"/>
  <c r="T222" i="5"/>
  <c r="T140" i="5"/>
  <c r="U140" i="5"/>
  <c r="U37" i="5"/>
  <c r="T37" i="5"/>
  <c r="T155" i="5"/>
  <c r="U155" i="5"/>
  <c r="U542" i="5"/>
  <c r="T542" i="5"/>
  <c r="U464" i="5"/>
  <c r="T464" i="5"/>
  <c r="U326" i="5"/>
  <c r="T326" i="5"/>
  <c r="T177" i="5"/>
  <c r="U177" i="5"/>
  <c r="T40" i="5"/>
  <c r="U40" i="5"/>
  <c r="U470" i="5"/>
  <c r="T470" i="5"/>
  <c r="T474" i="5"/>
  <c r="U474" i="5"/>
  <c r="T267" i="5"/>
  <c r="U267" i="5"/>
  <c r="T129" i="5"/>
  <c r="U129" i="5"/>
  <c r="U248" i="5"/>
  <c r="T248" i="5"/>
  <c r="T93" i="5"/>
  <c r="U93" i="5"/>
  <c r="U196" i="5"/>
  <c r="T196" i="5"/>
  <c r="U272" i="5"/>
  <c r="T272" i="5"/>
  <c r="U404" i="5"/>
  <c r="T404" i="5"/>
  <c r="T487" i="5"/>
  <c r="U487" i="5"/>
  <c r="T265" i="5"/>
  <c r="U265" i="5"/>
  <c r="U41" i="5"/>
  <c r="T41" i="5"/>
  <c r="U163" i="5"/>
  <c r="T163" i="5"/>
  <c r="U296" i="5"/>
  <c r="T296" i="5"/>
  <c r="T403" i="5"/>
  <c r="U403" i="5"/>
  <c r="U527" i="5"/>
  <c r="T527" i="5"/>
  <c r="U68" i="5"/>
  <c r="T68" i="5"/>
  <c r="T148" i="5"/>
  <c r="U148" i="5"/>
  <c r="U316" i="5"/>
  <c r="T316" i="5"/>
  <c r="T540" i="5"/>
  <c r="U540" i="5"/>
  <c r="U20" i="5"/>
  <c r="T20" i="5"/>
  <c r="U131" i="5"/>
  <c r="T131" i="5"/>
  <c r="U254" i="5"/>
  <c r="T254" i="5"/>
  <c r="T336" i="5"/>
  <c r="U336" i="5"/>
  <c r="U520" i="5"/>
  <c r="T520" i="5"/>
  <c r="U54" i="5"/>
  <c r="T54" i="5"/>
  <c r="U208" i="5"/>
  <c r="T208" i="5"/>
  <c r="U414" i="5"/>
  <c r="T414" i="5"/>
  <c r="T515" i="5"/>
  <c r="U515" i="5"/>
  <c r="T58" i="5"/>
  <c r="U58" i="5"/>
  <c r="T52" i="5"/>
  <c r="U52" i="5"/>
  <c r="U230" i="5"/>
  <c r="T230" i="5"/>
  <c r="U313" i="5"/>
  <c r="T313" i="5"/>
  <c r="T389" i="5"/>
  <c r="U389" i="5"/>
  <c r="U555" i="5"/>
  <c r="T555" i="5"/>
  <c r="U123" i="5"/>
  <c r="T123" i="5"/>
  <c r="B130" i="3"/>
  <c r="B150" i="3"/>
  <c r="U7" i="5"/>
  <c r="T7" i="5"/>
  <c r="B161" i="3"/>
  <c r="I63" i="2" s="1"/>
  <c r="B43" i="5"/>
  <c r="S10" i="5"/>
  <c r="T12" i="5"/>
  <c r="U12" i="5"/>
  <c r="T13" i="5"/>
  <c r="U13" i="5"/>
  <c r="U8" i="5"/>
  <c r="T8" i="5"/>
  <c r="B10" i="5"/>
  <c r="B9" i="5"/>
  <c r="B11" i="5"/>
  <c r="E49" i="3"/>
  <c r="E47" i="3"/>
  <c r="J46" i="5"/>
  <c r="B17" i="5"/>
  <c r="B107" i="3"/>
  <c r="B105" i="3"/>
  <c r="B103" i="3"/>
  <c r="B128" i="3" s="1"/>
  <c r="B100" i="3"/>
  <c r="I52" i="2" s="1"/>
  <c r="B99" i="3"/>
  <c r="B5" i="4"/>
  <c r="E9" i="3"/>
  <c r="I8" i="4"/>
  <c r="I12" i="4"/>
  <c r="I16" i="4"/>
  <c r="I20" i="4"/>
  <c r="I24" i="4"/>
  <c r="I28" i="4"/>
  <c r="I32" i="4"/>
  <c r="I36" i="4"/>
  <c r="I40" i="4"/>
  <c r="I44" i="4"/>
  <c r="I48" i="4"/>
  <c r="I52" i="4"/>
  <c r="I56" i="4"/>
  <c r="I60" i="4"/>
  <c r="I64" i="4"/>
  <c r="I68" i="4"/>
  <c r="I72" i="4"/>
  <c r="I76" i="4"/>
  <c r="I80" i="4"/>
  <c r="I84" i="4"/>
  <c r="I88" i="4"/>
  <c r="I92" i="4"/>
  <c r="I96" i="4"/>
  <c r="I100" i="4"/>
  <c r="I104" i="4"/>
  <c r="I26" i="4"/>
  <c r="I11" i="4"/>
  <c r="I38" i="4"/>
  <c r="I65" i="4"/>
  <c r="I10" i="4"/>
  <c r="I58" i="4"/>
  <c r="I90" i="4"/>
  <c r="I27" i="4"/>
  <c r="I54" i="4"/>
  <c r="I22" i="4"/>
  <c r="I49" i="4"/>
  <c r="I70" i="4"/>
  <c r="I7" i="4"/>
  <c r="I13" i="4"/>
  <c r="I18" i="4"/>
  <c r="I23" i="4"/>
  <c r="I29" i="4"/>
  <c r="I34" i="4"/>
  <c r="I39" i="4"/>
  <c r="I45" i="4"/>
  <c r="I50" i="4"/>
  <c r="I55" i="4"/>
  <c r="I61" i="4"/>
  <c r="I66" i="4"/>
  <c r="I71" i="4"/>
  <c r="I77" i="4"/>
  <c r="I82" i="4"/>
  <c r="I87" i="4"/>
  <c r="I93" i="4"/>
  <c r="I98" i="4"/>
  <c r="I103" i="4"/>
  <c r="I9" i="4"/>
  <c r="I14" i="4"/>
  <c r="I19" i="4"/>
  <c r="I25" i="4"/>
  <c r="I30" i="4"/>
  <c r="I35" i="4"/>
  <c r="I41" i="4"/>
  <c r="I46" i="4"/>
  <c r="I51" i="4"/>
  <c r="I57" i="4"/>
  <c r="I62" i="4"/>
  <c r="I67" i="4"/>
  <c r="I73" i="4"/>
  <c r="I78" i="4"/>
  <c r="I83" i="4"/>
  <c r="I89" i="4"/>
  <c r="I94" i="4"/>
  <c r="I99" i="4"/>
  <c r="I4" i="4"/>
  <c r="I5" i="4"/>
  <c r="I15" i="4"/>
  <c r="I21" i="4"/>
  <c r="I31" i="4"/>
  <c r="I37" i="4"/>
  <c r="I42" i="4"/>
  <c r="I47" i="4"/>
  <c r="I53" i="4"/>
  <c r="I63" i="4"/>
  <c r="I69" i="4"/>
  <c r="I74" i="4"/>
  <c r="I79" i="4"/>
  <c r="I85" i="4"/>
  <c r="I95" i="4"/>
  <c r="I101" i="4"/>
  <c r="I6" i="4"/>
  <c r="I17" i="4"/>
  <c r="I33" i="4"/>
  <c r="I43" i="4"/>
  <c r="I59" i="4"/>
  <c r="I91" i="4"/>
  <c r="I97" i="4"/>
  <c r="I102" i="4"/>
  <c r="I75" i="4"/>
  <c r="I81" i="4"/>
  <c r="I86" i="4"/>
  <c r="B8" i="4"/>
  <c r="B6" i="4"/>
  <c r="B4" i="4"/>
  <c r="B27" i="3"/>
  <c r="I22" i="2" s="1"/>
  <c r="E6" i="3"/>
  <c r="B34" i="3"/>
  <c r="B35" i="3" s="1"/>
  <c r="B36" i="3" s="1"/>
  <c r="E14" i="3"/>
  <c r="E3" i="3"/>
  <c r="E5" i="3"/>
  <c r="E4" i="3"/>
  <c r="B31" i="3"/>
  <c r="B32" i="3" s="1"/>
  <c r="B33" i="3" s="1"/>
  <c r="B12" i="3"/>
  <c r="B24" i="3"/>
  <c r="I20" i="2" s="1"/>
  <c r="B26" i="3"/>
  <c r="I21" i="2" s="1"/>
  <c r="U356" i="5" l="1"/>
  <c r="AZ10" i="5"/>
  <c r="T189" i="5"/>
  <c r="T229" i="5"/>
  <c r="T127" i="8"/>
  <c r="V127" i="8" s="1"/>
  <c r="AM127" i="8" s="1"/>
  <c r="U62" i="5"/>
  <c r="T151" i="8"/>
  <c r="V151" i="8" s="1"/>
  <c r="AM151" i="8" s="1"/>
  <c r="T107" i="8"/>
  <c r="V107" i="8" s="1"/>
  <c r="AM107" i="8" s="1"/>
  <c r="T135" i="8"/>
  <c r="V135" i="8" s="1"/>
  <c r="AM135" i="8" s="1"/>
  <c r="T80" i="8"/>
  <c r="V80" i="8" s="1"/>
  <c r="AM80" i="8" s="1"/>
  <c r="T112" i="8"/>
  <c r="V112" i="8" s="1"/>
  <c r="AM112" i="8" s="1"/>
  <c r="BB10" i="5"/>
  <c r="T120" i="8"/>
  <c r="V120" i="8" s="1"/>
  <c r="AM120" i="8" s="1"/>
  <c r="T79" i="8"/>
  <c r="V79" i="8" s="1"/>
  <c r="AM79" i="8" s="1"/>
  <c r="T18" i="8"/>
  <c r="V18" i="8" s="1"/>
  <c r="AM18" i="8" s="1"/>
  <c r="U436" i="5"/>
  <c r="U427" i="5"/>
  <c r="T7" i="8"/>
  <c r="V7" i="8" s="1"/>
  <c r="AM7" i="8" s="1"/>
  <c r="T66" i="8"/>
  <c r="V66" i="8" s="1"/>
  <c r="AM66" i="8" s="1"/>
  <c r="T23" i="8"/>
  <c r="V23" i="8" s="1"/>
  <c r="AM23" i="8" s="1"/>
  <c r="T82" i="8"/>
  <c r="V82" i="8" s="1"/>
  <c r="AM82" i="8" s="1"/>
  <c r="T87" i="8"/>
  <c r="V87" i="8" s="1"/>
  <c r="AM87" i="8" s="1"/>
  <c r="T122" i="8"/>
  <c r="V122" i="8" s="1"/>
  <c r="AM122" i="8" s="1"/>
  <c r="T506" i="5"/>
  <c r="T31" i="8"/>
  <c r="V31" i="8" s="1"/>
  <c r="AM31" i="8" s="1"/>
  <c r="T11" i="8"/>
  <c r="V11" i="8" s="1"/>
  <c r="AM11" i="8" s="1"/>
  <c r="T103" i="8"/>
  <c r="V103" i="8" s="1"/>
  <c r="AM103" i="8" s="1"/>
  <c r="T39" i="8"/>
  <c r="V39" i="8" s="1"/>
  <c r="AM39" i="8" s="1"/>
  <c r="T8" i="8"/>
  <c r="V8" i="8" s="1"/>
  <c r="AM8" i="8" s="1"/>
  <c r="T136" i="8"/>
  <c r="V136" i="8" s="1"/>
  <c r="AM136" i="8" s="1"/>
  <c r="T130" i="8"/>
  <c r="V130" i="8" s="1"/>
  <c r="AM130" i="8" s="1"/>
  <c r="T55" i="8"/>
  <c r="V55" i="8" s="1"/>
  <c r="AM55" i="8" s="1"/>
  <c r="T71" i="8"/>
  <c r="V71" i="8" s="1"/>
  <c r="AM71" i="8" s="1"/>
  <c r="T16" i="8"/>
  <c r="V16" i="8" s="1"/>
  <c r="AM16" i="8" s="1"/>
  <c r="T65" i="8"/>
  <c r="V65" i="8" s="1"/>
  <c r="AM65" i="8" s="1"/>
  <c r="T146" i="8"/>
  <c r="V146" i="8" s="1"/>
  <c r="AM146" i="8" s="1"/>
  <c r="T63" i="8"/>
  <c r="V63" i="8" s="1"/>
  <c r="AM63" i="8" s="1"/>
  <c r="T15" i="8"/>
  <c r="V15" i="8" s="1"/>
  <c r="AM15" i="8" s="1"/>
  <c r="T48" i="8"/>
  <c r="V48" i="8" s="1"/>
  <c r="AM48" i="8" s="1"/>
  <c r="T145" i="8"/>
  <c r="V145" i="8" s="1"/>
  <c r="AM145" i="8" s="1"/>
  <c r="T137" i="8"/>
  <c r="V137" i="8" s="1"/>
  <c r="AM137" i="8" s="1"/>
  <c r="T47" i="8"/>
  <c r="V47" i="8" s="1"/>
  <c r="AM47" i="8" s="1"/>
  <c r="T95" i="8"/>
  <c r="V95" i="8" s="1"/>
  <c r="AM95" i="8" s="1"/>
  <c r="T72" i="8"/>
  <c r="V72" i="8" s="1"/>
  <c r="AM72" i="8" s="1"/>
  <c r="T58" i="8"/>
  <c r="V58" i="8" s="1"/>
  <c r="AM58" i="8" s="1"/>
  <c r="T99" i="8"/>
  <c r="V99" i="8" s="1"/>
  <c r="AM99" i="8" s="1"/>
  <c r="T143" i="8"/>
  <c r="V143" i="8" s="1"/>
  <c r="AM143" i="8" s="1"/>
  <c r="T64" i="8"/>
  <c r="V64" i="8" s="1"/>
  <c r="AM64" i="8" s="1"/>
  <c r="T128" i="8"/>
  <c r="V128" i="8" s="1"/>
  <c r="AM128" i="8" s="1"/>
  <c r="T10" i="8"/>
  <c r="V10" i="8" s="1"/>
  <c r="AM10" i="8" s="1"/>
  <c r="T74" i="8"/>
  <c r="V74" i="8" s="1"/>
  <c r="AM74" i="8" s="1"/>
  <c r="T138" i="8"/>
  <c r="V138" i="8" s="1"/>
  <c r="AM138" i="8" s="1"/>
  <c r="T19" i="8"/>
  <c r="V19" i="8" s="1"/>
  <c r="AM19" i="8" s="1"/>
  <c r="T147" i="8"/>
  <c r="V147" i="8" s="1"/>
  <c r="AM147" i="8" s="1"/>
  <c r="T27" i="8"/>
  <c r="V27" i="8" s="1"/>
  <c r="AM27" i="8" s="1"/>
  <c r="T155" i="8"/>
  <c r="V155" i="8" s="1"/>
  <c r="AM155" i="8" s="1"/>
  <c r="T144" i="8"/>
  <c r="V144" i="8" s="1"/>
  <c r="AM144" i="8" s="1"/>
  <c r="T26" i="8"/>
  <c r="V26" i="8" s="1"/>
  <c r="AM26" i="8" s="1"/>
  <c r="T90" i="8"/>
  <c r="V90" i="8" s="1"/>
  <c r="AM90" i="8" s="1"/>
  <c r="T154" i="8"/>
  <c r="V154" i="8" s="1"/>
  <c r="AM154" i="8" s="1"/>
  <c r="T35" i="8"/>
  <c r="V35" i="8" s="1"/>
  <c r="AM35" i="8" s="1"/>
  <c r="T33" i="8"/>
  <c r="V33" i="8" s="1"/>
  <c r="AM33" i="8" s="1"/>
  <c r="T24" i="8"/>
  <c r="V24" i="8" s="1"/>
  <c r="AM24" i="8" s="1"/>
  <c r="T88" i="8"/>
  <c r="V88" i="8" s="1"/>
  <c r="AM88" i="8" s="1"/>
  <c r="T152" i="8"/>
  <c r="V152" i="8" s="1"/>
  <c r="AM152" i="8" s="1"/>
  <c r="T34" i="8"/>
  <c r="V34" i="8" s="1"/>
  <c r="AM34" i="8" s="1"/>
  <c r="T98" i="8"/>
  <c r="V98" i="8" s="1"/>
  <c r="AM98" i="8" s="1"/>
  <c r="T17" i="8"/>
  <c r="V17" i="8" s="1"/>
  <c r="AM17" i="8" s="1"/>
  <c r="T43" i="8"/>
  <c r="V43" i="8" s="1"/>
  <c r="AM43" i="8" s="1"/>
  <c r="T73" i="8"/>
  <c r="V73" i="8" s="1"/>
  <c r="AM73" i="8" s="1"/>
  <c r="T111" i="8"/>
  <c r="V111" i="8" s="1"/>
  <c r="AM111" i="8" s="1"/>
  <c r="T32" i="8"/>
  <c r="V32" i="8" s="1"/>
  <c r="AM32" i="8" s="1"/>
  <c r="T96" i="8"/>
  <c r="V96" i="8" s="1"/>
  <c r="AM96" i="8" s="1"/>
  <c r="T153" i="8"/>
  <c r="V153" i="8" s="1"/>
  <c r="AM153" i="8" s="1"/>
  <c r="T42" i="8"/>
  <c r="V42" i="8" s="1"/>
  <c r="AM42" i="8" s="1"/>
  <c r="T106" i="8"/>
  <c r="V106" i="8" s="1"/>
  <c r="AM106" i="8" s="1"/>
  <c r="T57" i="8"/>
  <c r="V57" i="8" s="1"/>
  <c r="AM57" i="8" s="1"/>
  <c r="T83" i="8"/>
  <c r="V83" i="8" s="1"/>
  <c r="AM83" i="8" s="1"/>
  <c r="T44" i="8"/>
  <c r="V44" i="8" s="1"/>
  <c r="AM44" i="8" s="1"/>
  <c r="T119" i="8"/>
  <c r="V119" i="8" s="1"/>
  <c r="AM119" i="8" s="1"/>
  <c r="T40" i="8"/>
  <c r="V40" i="8" s="1"/>
  <c r="AM40" i="8" s="1"/>
  <c r="T104" i="8"/>
  <c r="V104" i="8" s="1"/>
  <c r="AM104" i="8" s="1"/>
  <c r="T9" i="8"/>
  <c r="V9" i="8" s="1"/>
  <c r="AM9" i="8" s="1"/>
  <c r="T50" i="8"/>
  <c r="V50" i="8" s="1"/>
  <c r="AM50" i="8" s="1"/>
  <c r="T114" i="8"/>
  <c r="V114" i="8" s="1"/>
  <c r="AM114" i="8" s="1"/>
  <c r="T97" i="8"/>
  <c r="V97" i="8" s="1"/>
  <c r="AM97" i="8" s="1"/>
  <c r="T91" i="8"/>
  <c r="V91" i="8" s="1"/>
  <c r="AM91" i="8" s="1"/>
  <c r="T52" i="8"/>
  <c r="V52" i="8" s="1"/>
  <c r="AM52" i="8" s="1"/>
  <c r="T36" i="8"/>
  <c r="V36" i="8" s="1"/>
  <c r="AM36" i="8" s="1"/>
  <c r="T100" i="8"/>
  <c r="V100" i="8" s="1"/>
  <c r="AM100" i="8" s="1"/>
  <c r="T108" i="8"/>
  <c r="V108" i="8" s="1"/>
  <c r="AM108" i="8" s="1"/>
  <c r="T116" i="8"/>
  <c r="V116" i="8" s="1"/>
  <c r="AM116" i="8" s="1"/>
  <c r="T41" i="8"/>
  <c r="V41" i="8" s="1"/>
  <c r="AM41" i="8" s="1"/>
  <c r="T81" i="8"/>
  <c r="V81" i="8" s="1"/>
  <c r="AM81" i="8" s="1"/>
  <c r="T89" i="8"/>
  <c r="V89" i="8" s="1"/>
  <c r="AM89" i="8" s="1"/>
  <c r="T105" i="8"/>
  <c r="V105" i="8" s="1"/>
  <c r="AM105" i="8" s="1"/>
  <c r="T53" i="8"/>
  <c r="V53" i="8" s="1"/>
  <c r="AM53" i="8" s="1"/>
  <c r="T61" i="8"/>
  <c r="V61" i="8" s="1"/>
  <c r="AM61" i="8" s="1"/>
  <c r="T117" i="8"/>
  <c r="V117" i="8" s="1"/>
  <c r="AM117" i="8" s="1"/>
  <c r="T125" i="8"/>
  <c r="V125" i="8" s="1"/>
  <c r="AM125" i="8" s="1"/>
  <c r="T113" i="8"/>
  <c r="V113" i="8" s="1"/>
  <c r="AM113" i="8" s="1"/>
  <c r="T69" i="8"/>
  <c r="V69" i="8" s="1"/>
  <c r="AM69" i="8" s="1"/>
  <c r="T133" i="8"/>
  <c r="V133" i="8" s="1"/>
  <c r="AM133" i="8" s="1"/>
  <c r="T121" i="8"/>
  <c r="V121" i="8" s="1"/>
  <c r="AM121" i="8" s="1"/>
  <c r="T60" i="8"/>
  <c r="V60" i="8" s="1"/>
  <c r="AM60" i="8" s="1"/>
  <c r="T124" i="8"/>
  <c r="V124" i="8" s="1"/>
  <c r="AM124" i="8" s="1"/>
  <c r="T13" i="8"/>
  <c r="V13" i="8" s="1"/>
  <c r="AM13" i="8" s="1"/>
  <c r="T77" i="8"/>
  <c r="V77" i="8" s="1"/>
  <c r="AM77" i="8" s="1"/>
  <c r="T141" i="8"/>
  <c r="V141" i="8" s="1"/>
  <c r="AM141" i="8" s="1"/>
  <c r="T14" i="8"/>
  <c r="V14" i="8" s="1"/>
  <c r="AM14" i="8" s="1"/>
  <c r="T51" i="8"/>
  <c r="V51" i="8" s="1"/>
  <c r="AM51" i="8" s="1"/>
  <c r="T115" i="8"/>
  <c r="V115" i="8" s="1"/>
  <c r="AM115" i="8" s="1"/>
  <c r="T129" i="8"/>
  <c r="V129" i="8" s="1"/>
  <c r="AM129" i="8" s="1"/>
  <c r="T68" i="8"/>
  <c r="V68" i="8" s="1"/>
  <c r="AM68" i="8" s="1"/>
  <c r="T132" i="8"/>
  <c r="V132" i="8" s="1"/>
  <c r="AM132" i="8" s="1"/>
  <c r="T21" i="8"/>
  <c r="V21" i="8" s="1"/>
  <c r="AM21" i="8" s="1"/>
  <c r="T85" i="8"/>
  <c r="V85" i="8" s="1"/>
  <c r="AM85" i="8" s="1"/>
  <c r="T149" i="8"/>
  <c r="V149" i="8" s="1"/>
  <c r="AM149" i="8" s="1"/>
  <c r="T22" i="8"/>
  <c r="V22" i="8" s="1"/>
  <c r="AM22" i="8" s="1"/>
  <c r="T59" i="8"/>
  <c r="V59" i="8" s="1"/>
  <c r="AM59" i="8" s="1"/>
  <c r="T123" i="8"/>
  <c r="V123" i="8" s="1"/>
  <c r="AM123" i="8" s="1"/>
  <c r="T12" i="8"/>
  <c r="V12" i="8" s="1"/>
  <c r="AM12" i="8" s="1"/>
  <c r="T76" i="8"/>
  <c r="V76" i="8" s="1"/>
  <c r="AM76" i="8" s="1"/>
  <c r="T140" i="8"/>
  <c r="V140" i="8" s="1"/>
  <c r="AM140" i="8" s="1"/>
  <c r="T29" i="8"/>
  <c r="V29" i="8" s="1"/>
  <c r="AM29" i="8" s="1"/>
  <c r="T93" i="8"/>
  <c r="V93" i="8" s="1"/>
  <c r="AM93" i="8" s="1"/>
  <c r="T157" i="8"/>
  <c r="V157" i="8" s="1"/>
  <c r="AM157" i="8" s="1"/>
  <c r="T30" i="8"/>
  <c r="V30" i="8" s="1"/>
  <c r="AM30" i="8" s="1"/>
  <c r="T67" i="8"/>
  <c r="V67" i="8" s="1"/>
  <c r="AM67" i="8" s="1"/>
  <c r="T131" i="8"/>
  <c r="V131" i="8" s="1"/>
  <c r="AM131" i="8" s="1"/>
  <c r="T20" i="8"/>
  <c r="V20" i="8" s="1"/>
  <c r="AM20" i="8" s="1"/>
  <c r="T84" i="8"/>
  <c r="V84" i="8" s="1"/>
  <c r="AM84" i="8" s="1"/>
  <c r="T148" i="8"/>
  <c r="V148" i="8" s="1"/>
  <c r="AM148" i="8" s="1"/>
  <c r="T37" i="8"/>
  <c r="V37" i="8" s="1"/>
  <c r="AM37" i="8" s="1"/>
  <c r="T101" i="8"/>
  <c r="V101" i="8" s="1"/>
  <c r="AM101" i="8" s="1"/>
  <c r="T25" i="8"/>
  <c r="V25" i="8" s="1"/>
  <c r="AM25" i="8" s="1"/>
  <c r="T62" i="8"/>
  <c r="V62" i="8" s="1"/>
  <c r="AM62" i="8" s="1"/>
  <c r="T75" i="8"/>
  <c r="V75" i="8" s="1"/>
  <c r="AM75" i="8" s="1"/>
  <c r="T139" i="8"/>
  <c r="V139" i="8" s="1"/>
  <c r="AM139" i="8" s="1"/>
  <c r="T28" i="8"/>
  <c r="V28" i="8" s="1"/>
  <c r="AM28" i="8" s="1"/>
  <c r="T92" i="8"/>
  <c r="V92" i="8" s="1"/>
  <c r="AM92" i="8" s="1"/>
  <c r="T156" i="8"/>
  <c r="V156" i="8" s="1"/>
  <c r="AM156" i="8" s="1"/>
  <c r="T45" i="8"/>
  <c r="V45" i="8" s="1"/>
  <c r="AM45" i="8" s="1"/>
  <c r="T109" i="8"/>
  <c r="V109" i="8" s="1"/>
  <c r="AM109" i="8" s="1"/>
  <c r="T49" i="8"/>
  <c r="V49" i="8" s="1"/>
  <c r="AM49" i="8" s="1"/>
  <c r="T150" i="8"/>
  <c r="V150" i="8" s="1"/>
  <c r="AM150" i="8" s="1"/>
  <c r="T95" i="6"/>
  <c r="V95" i="6" s="1"/>
  <c r="AM95" i="6" s="1"/>
  <c r="T71" i="6"/>
  <c r="V71" i="6" s="1"/>
  <c r="AM71" i="6" s="1"/>
  <c r="T61" i="6"/>
  <c r="V61" i="6" s="1"/>
  <c r="AM61" i="6" s="1"/>
  <c r="T113" i="6"/>
  <c r="V113" i="6" s="1"/>
  <c r="AM113" i="6" s="1"/>
  <c r="T134" i="6"/>
  <c r="V134" i="6" s="1"/>
  <c r="AM134" i="6" s="1"/>
  <c r="T147" i="6"/>
  <c r="V147" i="6" s="1"/>
  <c r="AM147" i="6" s="1"/>
  <c r="T126" i="6"/>
  <c r="V126" i="6" s="1"/>
  <c r="AM126" i="6" s="1"/>
  <c r="T97" i="6"/>
  <c r="V97" i="6" s="1"/>
  <c r="AM97" i="6" s="1"/>
  <c r="T136" i="6"/>
  <c r="V136" i="6" s="1"/>
  <c r="AM136" i="6" s="1"/>
  <c r="T45" i="6"/>
  <c r="V45" i="6" s="1"/>
  <c r="AM45" i="6" s="1"/>
  <c r="T138" i="6"/>
  <c r="V138" i="6" s="1"/>
  <c r="AM138" i="6" s="1"/>
  <c r="T120" i="6"/>
  <c r="V120" i="6" s="1"/>
  <c r="AM120" i="6" s="1"/>
  <c r="T21" i="6"/>
  <c r="V21" i="6" s="1"/>
  <c r="AM21" i="6" s="1"/>
  <c r="T122" i="6"/>
  <c r="V122" i="6" s="1"/>
  <c r="AM122" i="6" s="1"/>
  <c r="T112" i="6"/>
  <c r="V112" i="6" s="1"/>
  <c r="AM112" i="6" s="1"/>
  <c r="T68" i="6"/>
  <c r="V68" i="6" s="1"/>
  <c r="AM68" i="6" s="1"/>
  <c r="T34" i="6"/>
  <c r="V34" i="6" s="1"/>
  <c r="AM34" i="6" s="1"/>
  <c r="T8" i="6"/>
  <c r="V8" i="6" s="1"/>
  <c r="AM8" i="6" s="1"/>
  <c r="T12" i="6"/>
  <c r="V12" i="6" s="1"/>
  <c r="AM12" i="6" s="1"/>
  <c r="T93" i="6"/>
  <c r="V93" i="6" s="1"/>
  <c r="AM93" i="6" s="1"/>
  <c r="T111" i="6"/>
  <c r="V111" i="6" s="1"/>
  <c r="AM111" i="6" s="1"/>
  <c r="T118" i="6"/>
  <c r="V118" i="6" s="1"/>
  <c r="AM118" i="6" s="1"/>
  <c r="T91" i="6"/>
  <c r="V91" i="6" s="1"/>
  <c r="AM91" i="6" s="1"/>
  <c r="T49" i="6"/>
  <c r="V49" i="6" s="1"/>
  <c r="AM49" i="6" s="1"/>
  <c r="U384" i="5"/>
  <c r="U48" i="5"/>
  <c r="B127" i="3"/>
  <c r="T46" i="8"/>
  <c r="V46" i="8" s="1"/>
  <c r="AM46" i="8" s="1"/>
  <c r="T70" i="8"/>
  <c r="V70" i="8" s="1"/>
  <c r="AM70" i="8" s="1"/>
  <c r="T78" i="8"/>
  <c r="V78" i="8" s="1"/>
  <c r="AM78" i="8" s="1"/>
  <c r="T126" i="8"/>
  <c r="V126" i="8" s="1"/>
  <c r="AM126" i="8" s="1"/>
  <c r="T142" i="8"/>
  <c r="V142" i="8" s="1"/>
  <c r="AM142" i="8" s="1"/>
  <c r="B66" i="5"/>
  <c r="T142" i="6"/>
  <c r="V142" i="6" s="1"/>
  <c r="AM142" i="6" s="1"/>
  <c r="T131" i="6"/>
  <c r="V131" i="6" s="1"/>
  <c r="AM131" i="6" s="1"/>
  <c r="T114" i="6"/>
  <c r="V114" i="6" s="1"/>
  <c r="AM114" i="6" s="1"/>
  <c r="T73" i="6"/>
  <c r="V73" i="6" s="1"/>
  <c r="AM73" i="6" s="1"/>
  <c r="T48" i="6"/>
  <c r="T55" i="6"/>
  <c r="V55" i="6" s="1"/>
  <c r="AM55" i="6" s="1"/>
  <c r="B32" i="5"/>
  <c r="T78" i="6"/>
  <c r="V78" i="6" s="1"/>
  <c r="AM78" i="6" s="1"/>
  <c r="T107" i="6"/>
  <c r="V107" i="6" s="1"/>
  <c r="AM107" i="6" s="1"/>
  <c r="T50" i="6"/>
  <c r="V50" i="6" s="1"/>
  <c r="AM50" i="6" s="1"/>
  <c r="T57" i="6"/>
  <c r="V57" i="6" s="1"/>
  <c r="AM57" i="6" s="1"/>
  <c r="T32" i="6"/>
  <c r="V32" i="6" s="1"/>
  <c r="AM32" i="6" s="1"/>
  <c r="T47" i="6"/>
  <c r="U47" i="6" s="1"/>
  <c r="T54" i="6"/>
  <c r="V54" i="6" s="1"/>
  <c r="AM54" i="6" s="1"/>
  <c r="T52" i="6"/>
  <c r="V52" i="6" s="1"/>
  <c r="AM52" i="6" s="1"/>
  <c r="T83" i="6"/>
  <c r="V83" i="6" s="1"/>
  <c r="AM83" i="6" s="1"/>
  <c r="T10" i="6"/>
  <c r="V10" i="6" s="1"/>
  <c r="AM10" i="6" s="1"/>
  <c r="T125" i="6"/>
  <c r="V125" i="6" s="1"/>
  <c r="AM125" i="6" s="1"/>
  <c r="T133" i="6"/>
  <c r="V133" i="6" s="1"/>
  <c r="AM133" i="6" s="1"/>
  <c r="O9" i="8"/>
  <c r="T46" i="6"/>
  <c r="V46" i="6" s="1"/>
  <c r="T28" i="6"/>
  <c r="V28" i="6" s="1"/>
  <c r="AM28" i="6" s="1"/>
  <c r="T19" i="6"/>
  <c r="V19" i="6" s="1"/>
  <c r="AM19" i="6" s="1"/>
  <c r="T86" i="6"/>
  <c r="V86" i="6" s="1"/>
  <c r="AM86" i="6" s="1"/>
  <c r="T116" i="6"/>
  <c r="V116" i="6" s="1"/>
  <c r="AM116" i="6" s="1"/>
  <c r="T85" i="6"/>
  <c r="V85" i="6" s="1"/>
  <c r="AM85" i="6" s="1"/>
  <c r="T30" i="6"/>
  <c r="V30" i="6" s="1"/>
  <c r="AM30" i="6" s="1"/>
  <c r="T109" i="6"/>
  <c r="V109" i="6" s="1"/>
  <c r="AM109" i="6" s="1"/>
  <c r="T149" i="6"/>
  <c r="V149" i="6" s="1"/>
  <c r="T67" i="6"/>
  <c r="V67" i="6" s="1"/>
  <c r="AM67" i="6" s="1"/>
  <c r="T98" i="6"/>
  <c r="V98" i="6" s="1"/>
  <c r="AM98" i="6" s="1"/>
  <c r="T146" i="6"/>
  <c r="V146" i="6" s="1"/>
  <c r="AM146" i="6" s="1"/>
  <c r="T33" i="6"/>
  <c r="V33" i="6" s="1"/>
  <c r="AM33" i="6" s="1"/>
  <c r="T96" i="6"/>
  <c r="V96" i="6" s="1"/>
  <c r="AM96" i="6" s="1"/>
  <c r="T154" i="6"/>
  <c r="V154" i="6" s="1"/>
  <c r="AM154" i="6" s="1"/>
  <c r="T31" i="6"/>
  <c r="V31" i="6" s="1"/>
  <c r="AM31" i="6" s="1"/>
  <c r="T102" i="6"/>
  <c r="V102" i="6" s="1"/>
  <c r="T92" i="6"/>
  <c r="V92" i="6" s="1"/>
  <c r="AM92" i="6" s="1"/>
  <c r="T108" i="6"/>
  <c r="V108" i="6" s="1"/>
  <c r="AM108" i="6" s="1"/>
  <c r="T43" i="6"/>
  <c r="V43" i="6" s="1"/>
  <c r="AM43" i="6" s="1"/>
  <c r="T74" i="6"/>
  <c r="V74" i="6" s="1"/>
  <c r="AM74" i="6" s="1"/>
  <c r="T137" i="6"/>
  <c r="V137" i="6" s="1"/>
  <c r="AM137" i="6" s="1"/>
  <c r="T9" i="6"/>
  <c r="V9" i="6" s="1"/>
  <c r="AM9" i="6" s="1"/>
  <c r="T72" i="6"/>
  <c r="V72" i="6" s="1"/>
  <c r="AM72" i="6" s="1"/>
  <c r="T135" i="6"/>
  <c r="E169" i="3"/>
  <c r="B46" i="5"/>
  <c r="B49" i="5" s="1"/>
  <c r="Y52" i="5" s="1"/>
  <c r="AA52" i="5" s="1"/>
  <c r="T69" i="6"/>
  <c r="V69" i="6" s="1"/>
  <c r="AM69" i="6" s="1"/>
  <c r="T76" i="6"/>
  <c r="V76" i="6" s="1"/>
  <c r="AM76" i="6" s="1"/>
  <c r="T155" i="6"/>
  <c r="V155" i="6" s="1"/>
  <c r="AM155" i="6" s="1"/>
  <c r="T27" i="6"/>
  <c r="V27" i="6" s="1"/>
  <c r="AM27" i="6" s="1"/>
  <c r="T58" i="6"/>
  <c r="V58" i="6" s="1"/>
  <c r="AM58" i="6" s="1"/>
  <c r="T121" i="6"/>
  <c r="V121" i="6" s="1"/>
  <c r="T70" i="6"/>
  <c r="V70" i="6" s="1"/>
  <c r="AM70" i="6" s="1"/>
  <c r="T56" i="6"/>
  <c r="V56" i="6" s="1"/>
  <c r="AM56" i="6" s="1"/>
  <c r="T119" i="6"/>
  <c r="V119" i="6" s="1"/>
  <c r="AM119" i="6" s="1"/>
  <c r="B14" i="5"/>
  <c r="T22" i="6"/>
  <c r="V22" i="6" s="1"/>
  <c r="AM22" i="6" s="1"/>
  <c r="T37" i="6"/>
  <c r="V37" i="6" s="1"/>
  <c r="AM37" i="6" s="1"/>
  <c r="T124" i="6"/>
  <c r="V124" i="6" s="1"/>
  <c r="AM124" i="6" s="1"/>
  <c r="T44" i="6"/>
  <c r="T117" i="6"/>
  <c r="V117" i="6" s="1"/>
  <c r="AM117" i="6" s="1"/>
  <c r="T123" i="6"/>
  <c r="V123" i="6" s="1"/>
  <c r="AM123" i="6" s="1"/>
  <c r="T59" i="6"/>
  <c r="V59" i="6" s="1"/>
  <c r="AM59" i="6" s="1"/>
  <c r="T157" i="6"/>
  <c r="V157" i="6" s="1"/>
  <c r="AM157" i="6" s="1"/>
  <c r="T90" i="6"/>
  <c r="V90" i="6" s="1"/>
  <c r="AM90" i="6" s="1"/>
  <c r="T26" i="6"/>
  <c r="V26" i="6" s="1"/>
  <c r="AM26" i="6" s="1"/>
  <c r="T153" i="6"/>
  <c r="V153" i="6" s="1"/>
  <c r="AM153" i="6" s="1"/>
  <c r="T89" i="6"/>
  <c r="T25" i="6"/>
  <c r="V25" i="6" s="1"/>
  <c r="AM25" i="6" s="1"/>
  <c r="T152" i="6"/>
  <c r="V152" i="6" s="1"/>
  <c r="AM152" i="6" s="1"/>
  <c r="T88" i="6"/>
  <c r="V88" i="6" s="1"/>
  <c r="AM88" i="6" s="1"/>
  <c r="T24" i="6"/>
  <c r="V24" i="6" s="1"/>
  <c r="AM24" i="6" s="1"/>
  <c r="T151" i="6"/>
  <c r="V151" i="6" s="1"/>
  <c r="AM151" i="6" s="1"/>
  <c r="T87" i="6"/>
  <c r="V87" i="6" s="1"/>
  <c r="AM87" i="6" s="1"/>
  <c r="T23" i="6"/>
  <c r="V23" i="6" s="1"/>
  <c r="AM23" i="6" s="1"/>
  <c r="T14" i="6"/>
  <c r="V14" i="6" s="1"/>
  <c r="T29" i="6"/>
  <c r="V29" i="6" s="1"/>
  <c r="AM29" i="6" s="1"/>
  <c r="T100" i="6"/>
  <c r="V100" i="6" s="1"/>
  <c r="AM100" i="6" s="1"/>
  <c r="T36" i="6"/>
  <c r="V36" i="6" s="1"/>
  <c r="AM36" i="6" s="1"/>
  <c r="T148" i="6"/>
  <c r="V148" i="6" s="1"/>
  <c r="AM148" i="6" s="1"/>
  <c r="T115" i="6"/>
  <c r="V115" i="6" s="1"/>
  <c r="AM115" i="6" s="1"/>
  <c r="T51" i="6"/>
  <c r="V51" i="6" s="1"/>
  <c r="AM51" i="6" s="1"/>
  <c r="T77" i="6"/>
  <c r="V77" i="6" s="1"/>
  <c r="AM77" i="6" s="1"/>
  <c r="T82" i="6"/>
  <c r="U82" i="6" s="1"/>
  <c r="T18" i="6"/>
  <c r="V18" i="6" s="1"/>
  <c r="AM18" i="6" s="1"/>
  <c r="T145" i="6"/>
  <c r="V145" i="6" s="1"/>
  <c r="AM145" i="6" s="1"/>
  <c r="T81" i="6"/>
  <c r="V81" i="6" s="1"/>
  <c r="AM81" i="6" s="1"/>
  <c r="T17" i="6"/>
  <c r="V17" i="6" s="1"/>
  <c r="AM17" i="6" s="1"/>
  <c r="T144" i="6"/>
  <c r="V144" i="6" s="1"/>
  <c r="AM144" i="6" s="1"/>
  <c r="T80" i="6"/>
  <c r="V80" i="6" s="1"/>
  <c r="AM80" i="6" s="1"/>
  <c r="T16" i="6"/>
  <c r="V16" i="6" s="1"/>
  <c r="AM16" i="6" s="1"/>
  <c r="T143" i="6"/>
  <c r="T79" i="6"/>
  <c r="V79" i="6" s="1"/>
  <c r="AM79" i="6" s="1"/>
  <c r="T15" i="6"/>
  <c r="V15" i="6" s="1"/>
  <c r="AM15" i="6" s="1"/>
  <c r="T62" i="6"/>
  <c r="V62" i="6" s="1"/>
  <c r="AM62" i="6" s="1"/>
  <c r="T101" i="6"/>
  <c r="V101" i="6" s="1"/>
  <c r="AM101" i="6" s="1"/>
  <c r="T13" i="6"/>
  <c r="V13" i="6" s="1"/>
  <c r="AM13" i="6" s="1"/>
  <c r="T84" i="6"/>
  <c r="V84" i="6" s="1"/>
  <c r="AM84" i="6" s="1"/>
  <c r="T20" i="6"/>
  <c r="V20" i="6" s="1"/>
  <c r="AM20" i="6" s="1"/>
  <c r="O9" i="6"/>
  <c r="T99" i="6"/>
  <c r="V99" i="6" s="1"/>
  <c r="AM99" i="6" s="1"/>
  <c r="T35" i="6"/>
  <c r="V35" i="6" s="1"/>
  <c r="AM35" i="6" s="1"/>
  <c r="T130" i="6"/>
  <c r="V130" i="6" s="1"/>
  <c r="AM130" i="6" s="1"/>
  <c r="T66" i="6"/>
  <c r="V66" i="6" s="1"/>
  <c r="AM66" i="6" s="1"/>
  <c r="T150" i="6"/>
  <c r="V150" i="6" s="1"/>
  <c r="AM150" i="6" s="1"/>
  <c r="T129" i="6"/>
  <c r="V129" i="6" s="1"/>
  <c r="AM129" i="6" s="1"/>
  <c r="T65" i="6"/>
  <c r="V65" i="6" s="1"/>
  <c r="AM65" i="6" s="1"/>
  <c r="T7" i="6"/>
  <c r="T128" i="6"/>
  <c r="V128" i="6" s="1"/>
  <c r="AM128" i="6" s="1"/>
  <c r="T64" i="6"/>
  <c r="V64" i="6" s="1"/>
  <c r="AM64" i="6" s="1"/>
  <c r="T110" i="6"/>
  <c r="V110" i="6" s="1"/>
  <c r="AM110" i="6" s="1"/>
  <c r="T127" i="6"/>
  <c r="V127" i="6" s="1"/>
  <c r="AM127" i="6" s="1"/>
  <c r="T63" i="6"/>
  <c r="V63" i="6" s="1"/>
  <c r="AM63" i="6" s="1"/>
  <c r="T38" i="6"/>
  <c r="V38" i="6" s="1"/>
  <c r="AM38" i="6" s="1"/>
  <c r="T53" i="6"/>
  <c r="V53" i="6" s="1"/>
  <c r="AM53" i="6" s="1"/>
  <c r="T141" i="6"/>
  <c r="T60" i="6"/>
  <c r="V60" i="6" s="1"/>
  <c r="AM60" i="6" s="1"/>
  <c r="T94" i="6"/>
  <c r="V94" i="6" s="1"/>
  <c r="AM94" i="6" s="1"/>
  <c r="T139" i="6"/>
  <c r="V139" i="6" s="1"/>
  <c r="AM139" i="6" s="1"/>
  <c r="T75" i="6"/>
  <c r="V75" i="6" s="1"/>
  <c r="AM75" i="6" s="1"/>
  <c r="T11" i="6"/>
  <c r="V11" i="6" s="1"/>
  <c r="AM11" i="6" s="1"/>
  <c r="T106" i="6"/>
  <c r="V106" i="6" s="1"/>
  <c r="AM106" i="6" s="1"/>
  <c r="T42" i="6"/>
  <c r="V42" i="6" s="1"/>
  <c r="AM42" i="6" s="1"/>
  <c r="T132" i="6"/>
  <c r="T105" i="6"/>
  <c r="V105" i="6" s="1"/>
  <c r="AM105" i="6" s="1"/>
  <c r="T41" i="6"/>
  <c r="V41" i="6" s="1"/>
  <c r="AM41" i="6" s="1"/>
  <c r="T156" i="6"/>
  <c r="V156" i="6" s="1"/>
  <c r="AM156" i="6" s="1"/>
  <c r="T104" i="6"/>
  <c r="V104" i="6" s="1"/>
  <c r="AM104" i="6" s="1"/>
  <c r="T40" i="6"/>
  <c r="V40" i="6" s="1"/>
  <c r="AM40" i="6" s="1"/>
  <c r="T140" i="6"/>
  <c r="V140" i="6" s="1"/>
  <c r="AM140" i="6" s="1"/>
  <c r="T103" i="6"/>
  <c r="V103" i="6" s="1"/>
  <c r="AM103" i="6" s="1"/>
  <c r="T134" i="8"/>
  <c r="V134" i="8" s="1"/>
  <c r="AM134" i="8" s="1"/>
  <c r="T86" i="8"/>
  <c r="V86" i="8" s="1"/>
  <c r="AM86" i="8" s="1"/>
  <c r="T94" i="8"/>
  <c r="V94" i="8" s="1"/>
  <c r="AM94" i="8" s="1"/>
  <c r="T110" i="8"/>
  <c r="V110" i="8" s="1"/>
  <c r="AM110" i="8" s="1"/>
  <c r="T38" i="8"/>
  <c r="V38" i="8" s="1"/>
  <c r="AM38" i="8" s="1"/>
  <c r="T102" i="8"/>
  <c r="V102" i="8" s="1"/>
  <c r="AM102" i="8" s="1"/>
  <c r="T54" i="8"/>
  <c r="V54" i="8" s="1"/>
  <c r="AM54" i="8" s="1"/>
  <c r="W43" i="8"/>
  <c r="U31" i="8"/>
  <c r="W116" i="8"/>
  <c r="Y116" i="8" s="1"/>
  <c r="AR116" i="8" s="1"/>
  <c r="W122" i="8"/>
  <c r="Y122" i="8" s="1"/>
  <c r="AR122" i="8" s="1"/>
  <c r="U122" i="8"/>
  <c r="U305" i="5"/>
  <c r="U44" i="8"/>
  <c r="W44" i="8"/>
  <c r="Y44" i="8" s="1"/>
  <c r="AR44" i="8" s="1"/>
  <c r="U40" i="8"/>
  <c r="W118" i="8"/>
  <c r="Y118" i="8" s="1"/>
  <c r="AR118" i="8" s="1"/>
  <c r="AT118" i="8"/>
  <c r="U118" i="8"/>
  <c r="U139" i="8"/>
  <c r="U120" i="8"/>
  <c r="W130" i="8"/>
  <c r="Y130" i="8" s="1"/>
  <c r="AR130" i="8" s="1"/>
  <c r="U130" i="8"/>
  <c r="W157" i="8"/>
  <c r="W151" i="8"/>
  <c r="U151" i="8"/>
  <c r="U236" i="5"/>
  <c r="AT36" i="8"/>
  <c r="W26" i="8"/>
  <c r="Y26" i="8" s="1"/>
  <c r="AR26" i="8" s="1"/>
  <c r="U63" i="8"/>
  <c r="W66" i="8"/>
  <c r="Y66" i="8" s="1"/>
  <c r="AR66" i="8" s="1"/>
  <c r="U66" i="8"/>
  <c r="U82" i="8"/>
  <c r="AT7" i="8"/>
  <c r="U7" i="8"/>
  <c r="W7" i="8"/>
  <c r="Y7" i="8" s="1"/>
  <c r="AR7" i="8" s="1"/>
  <c r="U47" i="8"/>
  <c r="U58" i="8"/>
  <c r="W99" i="8"/>
  <c r="Y99" i="8" s="1"/>
  <c r="AR99" i="8" s="1"/>
  <c r="T241" i="5"/>
  <c r="U53" i="8"/>
  <c r="W55" i="8"/>
  <c r="Y55" i="8" s="1"/>
  <c r="AR55" i="8" s="1"/>
  <c r="U55" i="8"/>
  <c r="W112" i="8"/>
  <c r="Y112" i="8" s="1"/>
  <c r="AR112" i="8" s="1"/>
  <c r="U90" i="8"/>
  <c r="W135" i="8"/>
  <c r="U135" i="8"/>
  <c r="U8" i="8"/>
  <c r="U42" i="8"/>
  <c r="W56" i="8"/>
  <c r="U56" i="8"/>
  <c r="AT119" i="8"/>
  <c r="U119" i="8"/>
  <c r="W119" i="8"/>
  <c r="W155" i="8"/>
  <c r="Y155" i="8" s="1"/>
  <c r="AR155" i="8" s="1"/>
  <c r="U155" i="8"/>
  <c r="U98" i="8"/>
  <c r="W98" i="8"/>
  <c r="AT114" i="8"/>
  <c r="U114" i="8"/>
  <c r="W136" i="8"/>
  <c r="U136" i="8"/>
  <c r="T508" i="5"/>
  <c r="W50" i="8"/>
  <c r="Y50" i="8" s="1"/>
  <c r="AR50" i="8" s="1"/>
  <c r="W72" i="8"/>
  <c r="U72" i="8"/>
  <c r="U127" i="8"/>
  <c r="AT95" i="8"/>
  <c r="W95" i="8"/>
  <c r="Y95" i="8" s="1"/>
  <c r="AR95" i="8" s="1"/>
  <c r="U95" i="8"/>
  <c r="W146" i="8"/>
  <c r="AT27" i="8"/>
  <c r="W27" i="8"/>
  <c r="Y27" i="8" s="1"/>
  <c r="AR27" i="8" s="1"/>
  <c r="U27" i="8"/>
  <c r="U45" i="8"/>
  <c r="U64" i="8"/>
  <c r="W23" i="8"/>
  <c r="Y23" i="8" s="1"/>
  <c r="AR23" i="8" s="1"/>
  <c r="U23" i="8"/>
  <c r="W67" i="8"/>
  <c r="Y67" i="8" s="1"/>
  <c r="AR67" i="8" s="1"/>
  <c r="W107" i="8"/>
  <c r="U107" i="8"/>
  <c r="U108" i="8"/>
  <c r="U128" i="8"/>
  <c r="U324" i="5"/>
  <c r="T115" i="5"/>
  <c r="T373" i="5"/>
  <c r="U360" i="5"/>
  <c r="U202" i="5"/>
  <c r="U54" i="6"/>
  <c r="U69" i="6"/>
  <c r="U91" i="6"/>
  <c r="U70" i="6"/>
  <c r="U134" i="6"/>
  <c r="W147" i="6"/>
  <c r="X147" i="6" s="1"/>
  <c r="U147" i="6"/>
  <c r="U83" i="6"/>
  <c r="W113" i="6"/>
  <c r="X113" i="6" s="1"/>
  <c r="W111" i="6"/>
  <c r="X111" i="6" s="1"/>
  <c r="U53" i="6"/>
  <c r="W39" i="6"/>
  <c r="X39" i="6" s="1"/>
  <c r="U39" i="6"/>
  <c r="AT109" i="6"/>
  <c r="U109" i="6"/>
  <c r="U67" i="6"/>
  <c r="U32" i="6"/>
  <c r="U95" i="6"/>
  <c r="W31" i="6"/>
  <c r="Y31" i="6" s="1"/>
  <c r="AR31" i="6" s="1"/>
  <c r="W124" i="6"/>
  <c r="X124" i="6" s="1"/>
  <c r="W153" i="6"/>
  <c r="X153" i="6" s="1"/>
  <c r="AT23" i="6"/>
  <c r="W77" i="6"/>
  <c r="X77" i="6" s="1"/>
  <c r="U77" i="6"/>
  <c r="U16" i="6"/>
  <c r="U92" i="6"/>
  <c r="U28" i="6"/>
  <c r="U138" i="6"/>
  <c r="AT73" i="6"/>
  <c r="U73" i="6"/>
  <c r="W136" i="6"/>
  <c r="X136" i="6" s="1"/>
  <c r="U136" i="6"/>
  <c r="U72" i="6"/>
  <c r="U135" i="6"/>
  <c r="U71" i="6"/>
  <c r="U65" i="6"/>
  <c r="T348" i="5"/>
  <c r="T545" i="5"/>
  <c r="U372" i="5"/>
  <c r="T433" i="5"/>
  <c r="U274" i="5"/>
  <c r="U449" i="5"/>
  <c r="T345" i="5"/>
  <c r="T505" i="5"/>
  <c r="U286" i="5"/>
  <c r="AX10" i="5"/>
  <c r="T483" i="5"/>
  <c r="U276" i="5"/>
  <c r="U245" i="5"/>
  <c r="U157" i="5"/>
  <c r="T553" i="5"/>
  <c r="T298" i="5"/>
  <c r="T176" i="5"/>
  <c r="T397" i="5"/>
  <c r="T491" i="5"/>
  <c r="T213" i="5"/>
  <c r="T473" i="5"/>
  <c r="T432" i="5"/>
  <c r="T238" i="5"/>
  <c r="T478" i="5"/>
  <c r="T353" i="5"/>
  <c r="E48" i="3"/>
  <c r="B214" i="3"/>
  <c r="B215" i="3" s="1"/>
  <c r="B121" i="3"/>
  <c r="B122" i="3" s="1"/>
  <c r="B167" i="3" s="1"/>
  <c r="I79" i="2" s="1"/>
  <c r="B144" i="3"/>
  <c r="V7" i="5" s="1"/>
  <c r="B125" i="3"/>
  <c r="B36" i="5" s="1"/>
  <c r="P557" i="5" s="1"/>
  <c r="B232" i="3"/>
  <c r="B233" i="3" s="1"/>
  <c r="AJ10" i="5"/>
  <c r="AU10" i="5"/>
  <c r="B41" i="3"/>
  <c r="I26" i="2" s="1"/>
  <c r="U10" i="5"/>
  <c r="T10" i="5"/>
  <c r="B46" i="3"/>
  <c r="B18" i="5"/>
  <c r="C184" i="3"/>
  <c r="B184" i="3" s="1"/>
  <c r="I68" i="2" s="1"/>
  <c r="I51" i="2"/>
  <c r="E101" i="3"/>
  <c r="B47" i="3"/>
  <c r="B51" i="3" s="1"/>
  <c r="B45" i="3"/>
  <c r="B49" i="3" s="1"/>
  <c r="I15" i="2"/>
  <c r="J4" i="4"/>
  <c r="J8" i="4"/>
  <c r="J12" i="4"/>
  <c r="J16" i="4"/>
  <c r="J20" i="4"/>
  <c r="J24" i="4"/>
  <c r="J28" i="4"/>
  <c r="J32" i="4"/>
  <c r="J36" i="4"/>
  <c r="J40" i="4"/>
  <c r="J44" i="4"/>
  <c r="J48" i="4"/>
  <c r="J52" i="4"/>
  <c r="J56" i="4"/>
  <c r="J60" i="4"/>
  <c r="J64" i="4"/>
  <c r="J68" i="4"/>
  <c r="J72" i="4"/>
  <c r="J76" i="4"/>
  <c r="J80" i="4"/>
  <c r="J84" i="4"/>
  <c r="J88" i="4"/>
  <c r="J92" i="4"/>
  <c r="J96" i="4"/>
  <c r="J100" i="4"/>
  <c r="J104" i="4"/>
  <c r="J74" i="4"/>
  <c r="J101" i="4"/>
  <c r="J37" i="4"/>
  <c r="J69" i="4"/>
  <c r="J90" i="4"/>
  <c r="J5" i="4"/>
  <c r="J10" i="4"/>
  <c r="J15" i="4"/>
  <c r="J21" i="4"/>
  <c r="J26" i="4"/>
  <c r="J42" i="4"/>
  <c r="J58" i="4"/>
  <c r="J85" i="4"/>
  <c r="J6" i="4"/>
  <c r="J11" i="4"/>
  <c r="J17" i="4"/>
  <c r="J22" i="4"/>
  <c r="J27" i="4"/>
  <c r="J33" i="4"/>
  <c r="J38" i="4"/>
  <c r="J43" i="4"/>
  <c r="J49" i="4"/>
  <c r="J54" i="4"/>
  <c r="J59" i="4"/>
  <c r="J65" i="4"/>
  <c r="J70" i="4"/>
  <c r="J75" i="4"/>
  <c r="J81" i="4"/>
  <c r="J86" i="4"/>
  <c r="J91" i="4"/>
  <c r="J97" i="4"/>
  <c r="J102" i="4"/>
  <c r="J7" i="4"/>
  <c r="J13" i="4"/>
  <c r="J18" i="4"/>
  <c r="J23" i="4"/>
  <c r="J29" i="4"/>
  <c r="J34" i="4"/>
  <c r="J39" i="4"/>
  <c r="J45" i="4"/>
  <c r="J50" i="4"/>
  <c r="J55" i="4"/>
  <c r="J61" i="4"/>
  <c r="J66" i="4"/>
  <c r="J71" i="4"/>
  <c r="J77" i="4"/>
  <c r="J82" i="4"/>
  <c r="J87" i="4"/>
  <c r="J93" i="4"/>
  <c r="J98" i="4"/>
  <c r="J103" i="4"/>
  <c r="J9" i="4"/>
  <c r="J14" i="4"/>
  <c r="J19" i="4"/>
  <c r="J25" i="4"/>
  <c r="J30" i="4"/>
  <c r="J35" i="4"/>
  <c r="J41" i="4"/>
  <c r="J46" i="4"/>
  <c r="J51" i="4"/>
  <c r="J57" i="4"/>
  <c r="J62" i="4"/>
  <c r="J67" i="4"/>
  <c r="J73" i="4"/>
  <c r="J78" i="4"/>
  <c r="J83" i="4"/>
  <c r="J89" i="4"/>
  <c r="J94" i="4"/>
  <c r="J99" i="4"/>
  <c r="J31" i="4"/>
  <c r="J47" i="4"/>
  <c r="J53" i="4"/>
  <c r="J63" i="4"/>
  <c r="J79" i="4"/>
  <c r="J95" i="4"/>
  <c r="G88" i="4"/>
  <c r="G71" i="4"/>
  <c r="G54" i="4"/>
  <c r="G15" i="4"/>
  <c r="G64" i="4"/>
  <c r="G69" i="4"/>
  <c r="G5" i="4"/>
  <c r="G44" i="4"/>
  <c r="G75" i="4"/>
  <c r="G11" i="4"/>
  <c r="G42" i="4"/>
  <c r="G81" i="4"/>
  <c r="G17" i="4"/>
  <c r="G55" i="4"/>
  <c r="G94" i="4"/>
  <c r="G72" i="4"/>
  <c r="G38" i="4"/>
  <c r="G46" i="4"/>
  <c r="G61" i="4"/>
  <c r="G100" i="4"/>
  <c r="G36" i="4"/>
  <c r="G67" i="4"/>
  <c r="G98" i="4"/>
  <c r="G34" i="4"/>
  <c r="G73" i="4"/>
  <c r="G16" i="4"/>
  <c r="G32" i="4"/>
  <c r="G95" i="4"/>
  <c r="G56" i="4"/>
  <c r="G23" i="4"/>
  <c r="G53" i="4"/>
  <c r="G92" i="4"/>
  <c r="G28" i="4"/>
  <c r="G59" i="4"/>
  <c r="G90" i="4"/>
  <c r="G26" i="4"/>
  <c r="G65" i="4"/>
  <c r="G103" i="4"/>
  <c r="G78" i="4"/>
  <c r="G14" i="4"/>
  <c r="G79" i="4"/>
  <c r="G9" i="4"/>
  <c r="G45" i="4"/>
  <c r="G84" i="4"/>
  <c r="G20" i="4"/>
  <c r="G51" i="4"/>
  <c r="G82" i="4"/>
  <c r="G18" i="4"/>
  <c r="G57" i="4"/>
  <c r="G6" i="4"/>
  <c r="G40" i="4"/>
  <c r="G39" i="4"/>
  <c r="G96" i="4"/>
  <c r="G102" i="4"/>
  <c r="G101" i="4"/>
  <c r="G37" i="4"/>
  <c r="G76" i="4"/>
  <c r="G12" i="4"/>
  <c r="G43" i="4"/>
  <c r="G74" i="4"/>
  <c r="G10" i="4"/>
  <c r="G49" i="4"/>
  <c r="G24" i="4"/>
  <c r="G7" i="4"/>
  <c r="G63" i="4"/>
  <c r="G62" i="4"/>
  <c r="G80" i="4"/>
  <c r="G93" i="4"/>
  <c r="G29" i="4"/>
  <c r="G68" i="4"/>
  <c r="G99" i="4"/>
  <c r="G35" i="4"/>
  <c r="G66" i="4"/>
  <c r="G4" i="4"/>
  <c r="G41" i="4"/>
  <c r="G47" i="4"/>
  <c r="G30" i="4"/>
  <c r="G8" i="4"/>
  <c r="G22" i="4"/>
  <c r="G86" i="4"/>
  <c r="G85" i="4"/>
  <c r="G21" i="4"/>
  <c r="G60" i="4"/>
  <c r="G91" i="4"/>
  <c r="G27" i="4"/>
  <c r="G58" i="4"/>
  <c r="G97" i="4"/>
  <c r="G33" i="4"/>
  <c r="G70" i="4"/>
  <c r="G48" i="4"/>
  <c r="G31" i="4"/>
  <c r="G104" i="4"/>
  <c r="G87" i="4"/>
  <c r="G77" i="4"/>
  <c r="G13" i="4"/>
  <c r="G52" i="4"/>
  <c r="G83" i="4"/>
  <c r="G19" i="4"/>
  <c r="G50" i="4"/>
  <c r="G89" i="4"/>
  <c r="G25" i="4"/>
  <c r="D108" i="1"/>
  <c r="D107" i="1"/>
  <c r="E103" i="1"/>
  <c r="D103" i="1"/>
  <c r="D99" i="1"/>
  <c r="C99" i="1"/>
  <c r="D94" i="1"/>
  <c r="D93" i="1"/>
  <c r="D86" i="1"/>
  <c r="D85" i="1"/>
  <c r="D84" i="1"/>
  <c r="E83" i="1"/>
  <c r="D83" i="1"/>
  <c r="C83" i="1"/>
  <c r="E75" i="1"/>
  <c r="D75" i="1"/>
  <c r="C75" i="1"/>
  <c r="D76" i="1"/>
  <c r="D74" i="1"/>
  <c r="D73" i="1"/>
  <c r="E71" i="1"/>
  <c r="C71" i="1"/>
  <c r="D71" i="1"/>
  <c r="E69" i="1"/>
  <c r="D69" i="1"/>
  <c r="C69" i="1"/>
  <c r="D70" i="1"/>
  <c r="E68" i="1"/>
  <c r="D68" i="1"/>
  <c r="B85" i="3" s="1"/>
  <c r="C68" i="1"/>
  <c r="D64" i="1"/>
  <c r="D63" i="1"/>
  <c r="D62" i="1"/>
  <c r="E62" i="1"/>
  <c r="E61" i="1"/>
  <c r="B23" i="3" s="1"/>
  <c r="E23" i="3" s="1"/>
  <c r="D61" i="1"/>
  <c r="E58" i="1"/>
  <c r="D58" i="1"/>
  <c r="C58" i="1"/>
  <c r="C47" i="1"/>
  <c r="E42" i="1"/>
  <c r="C42" i="1"/>
  <c r="D42" i="1"/>
  <c r="E41" i="1"/>
  <c r="D41" i="1"/>
  <c r="C41" i="1"/>
  <c r="D38" i="1"/>
  <c r="D33" i="1"/>
  <c r="D30" i="1"/>
  <c r="E27" i="1"/>
  <c r="D27" i="1"/>
  <c r="C27" i="1"/>
  <c r="C21" i="1"/>
  <c r="D21" i="1"/>
  <c r="E21" i="1"/>
  <c r="E15" i="1"/>
  <c r="D15" i="1"/>
  <c r="E14" i="1"/>
  <c r="D14" i="1"/>
  <c r="C13" i="1"/>
  <c r="D13" i="1"/>
  <c r="E6" i="1"/>
  <c r="D6" i="1"/>
  <c r="E5" i="1"/>
  <c r="D5" i="1"/>
  <c r="P520" i="5" l="1"/>
  <c r="W125" i="6"/>
  <c r="X125" i="6" s="1"/>
  <c r="W138" i="6"/>
  <c r="X138" i="6" s="1"/>
  <c r="W96" i="8"/>
  <c r="P453" i="5"/>
  <c r="W127" i="8"/>
  <c r="Y127" i="8" s="1"/>
  <c r="AR127" i="8" s="1"/>
  <c r="W57" i="8"/>
  <c r="W95" i="6"/>
  <c r="X95" i="6" s="1"/>
  <c r="P362" i="5"/>
  <c r="P235" i="5"/>
  <c r="Q235" i="5" s="1"/>
  <c r="W20" i="6"/>
  <c r="Y20" i="6" s="1"/>
  <c r="AR20" i="6" s="1"/>
  <c r="W21" i="6"/>
  <c r="Y21" i="6" s="1"/>
  <c r="AR21" i="6" s="1"/>
  <c r="W53" i="8"/>
  <c r="W109" i="6"/>
  <c r="X109" i="6" s="1"/>
  <c r="W103" i="8"/>
  <c r="Y103" i="8" s="1"/>
  <c r="AR103" i="8" s="1"/>
  <c r="W141" i="8"/>
  <c r="Y141" i="8" s="1"/>
  <c r="AR141" i="8" s="1"/>
  <c r="W122" i="6"/>
  <c r="X122" i="6" s="1"/>
  <c r="W128" i="8"/>
  <c r="W120" i="8"/>
  <c r="Y120" i="8" s="1"/>
  <c r="AR120" i="8" s="1"/>
  <c r="W114" i="8"/>
  <c r="W63" i="8"/>
  <c r="Y63" i="8" s="1"/>
  <c r="AR63" i="8" s="1"/>
  <c r="W42" i="6"/>
  <c r="X42" i="6" s="1"/>
  <c r="W91" i="6"/>
  <c r="X91" i="6" s="1"/>
  <c r="W49" i="8"/>
  <c r="Y49" i="8" s="1"/>
  <c r="AR49" i="8" s="1"/>
  <c r="W79" i="8"/>
  <c r="W18" i="8"/>
  <c r="Y18" i="8" s="1"/>
  <c r="AR18" i="8" s="1"/>
  <c r="AT135" i="8"/>
  <c r="U9" i="8"/>
  <c r="U96" i="8"/>
  <c r="U15" i="8"/>
  <c r="U65" i="8"/>
  <c r="U148" i="8"/>
  <c r="W15" i="8"/>
  <c r="Y15" i="8" s="1"/>
  <c r="AR15" i="8" s="1"/>
  <c r="W90" i="8"/>
  <c r="Y90" i="8" s="1"/>
  <c r="AR90" i="8" s="1"/>
  <c r="W82" i="8"/>
  <c r="W31" i="8"/>
  <c r="Y31" i="8" s="1"/>
  <c r="AR31" i="8" s="1"/>
  <c r="W60" i="8"/>
  <c r="X60" i="8" s="1"/>
  <c r="AT112" i="8"/>
  <c r="W58" i="8"/>
  <c r="Y58" i="8" s="1"/>
  <c r="AR58" i="8" s="1"/>
  <c r="W40" i="8"/>
  <c r="Y40" i="8" s="1"/>
  <c r="AR40" i="8" s="1"/>
  <c r="W11" i="8"/>
  <c r="W61" i="8"/>
  <c r="U71" i="8"/>
  <c r="U41" i="8"/>
  <c r="U35" i="8"/>
  <c r="U11" i="8"/>
  <c r="W148" i="8"/>
  <c r="U123" i="8"/>
  <c r="W71" i="8"/>
  <c r="Y71" i="8" s="1"/>
  <c r="AR71" i="8" s="1"/>
  <c r="W48" i="8"/>
  <c r="Y48" i="8" s="1"/>
  <c r="AR48" i="8" s="1"/>
  <c r="U85" i="8"/>
  <c r="W35" i="8"/>
  <c r="Y35" i="8" s="1"/>
  <c r="AR35" i="8" s="1"/>
  <c r="U141" i="8"/>
  <c r="W123" i="8"/>
  <c r="Y123" i="8" s="1"/>
  <c r="AR123" i="8" s="1"/>
  <c r="U79" i="8"/>
  <c r="U103" i="8"/>
  <c r="W39" i="8"/>
  <c r="U142" i="8"/>
  <c r="U87" i="8"/>
  <c r="W9" i="8"/>
  <c r="Y9" i="8" s="1"/>
  <c r="AR9" i="8" s="1"/>
  <c r="AT122" i="8"/>
  <c r="U39" i="8"/>
  <c r="U106" i="8"/>
  <c r="U24" i="8"/>
  <c r="W87" i="8"/>
  <c r="U20" i="8"/>
  <c r="AT39" i="8"/>
  <c r="W106" i="8"/>
  <c r="Y106" i="8" s="1"/>
  <c r="AR106" i="8" s="1"/>
  <c r="W24" i="8"/>
  <c r="Y24" i="8" s="1"/>
  <c r="AR24" i="8" s="1"/>
  <c r="U99" i="8"/>
  <c r="AE99" i="8" s="1"/>
  <c r="W51" i="8"/>
  <c r="W125" i="8"/>
  <c r="Y125" i="8" s="1"/>
  <c r="AR125" i="8" s="1"/>
  <c r="W45" i="8"/>
  <c r="AE45" i="8" s="1"/>
  <c r="U117" i="8"/>
  <c r="W74" i="8"/>
  <c r="W88" i="8"/>
  <c r="W138" i="8"/>
  <c r="Y138" i="8" s="1"/>
  <c r="AR138" i="8" s="1"/>
  <c r="W16" i="8"/>
  <c r="U91" i="8"/>
  <c r="W65" i="8"/>
  <c r="W117" i="8"/>
  <c r="Y117" i="8" s="1"/>
  <c r="AR117" i="8" s="1"/>
  <c r="U74" i="8"/>
  <c r="U22" i="8"/>
  <c r="U138" i="8"/>
  <c r="AE138" i="8" s="1"/>
  <c r="W91" i="8"/>
  <c r="Y91" i="8" s="1"/>
  <c r="AR91" i="8" s="1"/>
  <c r="U143" i="8"/>
  <c r="U111" i="8"/>
  <c r="U13" i="8"/>
  <c r="U101" i="8"/>
  <c r="U52" i="8"/>
  <c r="U145" i="8"/>
  <c r="AE145" i="8" s="1"/>
  <c r="U80" i="8"/>
  <c r="U88" i="8"/>
  <c r="W143" i="8"/>
  <c r="Y143" i="8" s="1"/>
  <c r="AR143" i="8" s="1"/>
  <c r="W111" i="8"/>
  <c r="Y111" i="8" s="1"/>
  <c r="AR111" i="8" s="1"/>
  <c r="W13" i="8"/>
  <c r="Y13" i="8" s="1"/>
  <c r="AR13" i="8" s="1"/>
  <c r="W52" i="8"/>
  <c r="Y52" i="8" s="1"/>
  <c r="AR52" i="8" s="1"/>
  <c r="W145" i="8"/>
  <c r="W80" i="8"/>
  <c r="U144" i="8"/>
  <c r="AT143" i="8"/>
  <c r="U60" i="8"/>
  <c r="W42" i="8"/>
  <c r="X42" i="8" s="1"/>
  <c r="U112" i="8"/>
  <c r="U18" i="8"/>
  <c r="U48" i="8"/>
  <c r="U49" i="8"/>
  <c r="W76" i="8"/>
  <c r="Y76" i="8" s="1"/>
  <c r="AR76" i="8" s="1"/>
  <c r="W144" i="8"/>
  <c r="Y144" i="8" s="1"/>
  <c r="AR144" i="8" s="1"/>
  <c r="P438" i="5"/>
  <c r="P443" i="5"/>
  <c r="P304" i="5"/>
  <c r="Q304" i="5" s="1"/>
  <c r="P137" i="5"/>
  <c r="AT20" i="6"/>
  <c r="AT31" i="6"/>
  <c r="AT67" i="6"/>
  <c r="AT111" i="6"/>
  <c r="AT134" i="6"/>
  <c r="AT23" i="8"/>
  <c r="U137" i="8"/>
  <c r="Z137" i="8" s="1"/>
  <c r="AN137" i="8" s="1"/>
  <c r="AT50" i="8"/>
  <c r="AT81" i="8"/>
  <c r="AT8" i="8"/>
  <c r="U152" i="8"/>
  <c r="AT145" i="8"/>
  <c r="AT31" i="8"/>
  <c r="P421" i="5"/>
  <c r="R421" i="5" s="1"/>
  <c r="P351" i="5"/>
  <c r="P264" i="5"/>
  <c r="P107" i="5"/>
  <c r="R107" i="5" s="1"/>
  <c r="U84" i="6"/>
  <c r="AT131" i="6"/>
  <c r="U112" i="6"/>
  <c r="U61" i="6"/>
  <c r="AT128" i="8"/>
  <c r="W137" i="8"/>
  <c r="Y137" i="8" s="1"/>
  <c r="AR137" i="8" s="1"/>
  <c r="U62" i="8"/>
  <c r="AT153" i="8"/>
  <c r="AT90" i="8"/>
  <c r="AT18" i="8"/>
  <c r="AT99" i="8"/>
  <c r="AT152" i="8"/>
  <c r="AT82" i="8"/>
  <c r="U126" i="8"/>
  <c r="AT40" i="8"/>
  <c r="AT144" i="8"/>
  <c r="U32" i="8"/>
  <c r="P252" i="5"/>
  <c r="R252" i="5" s="1"/>
  <c r="P380" i="5"/>
  <c r="P185" i="5"/>
  <c r="R185" i="5" s="1"/>
  <c r="AT112" i="6"/>
  <c r="AT65" i="8"/>
  <c r="AT137" i="8"/>
  <c r="AT127" i="8"/>
  <c r="AT62" i="8"/>
  <c r="AT136" i="8"/>
  <c r="AT98" i="8"/>
  <c r="AT94" i="8"/>
  <c r="AT71" i="8"/>
  <c r="AT48" i="8"/>
  <c r="W152" i="8"/>
  <c r="Y152" i="8" s="1"/>
  <c r="AR152" i="8" s="1"/>
  <c r="AT86" i="8"/>
  <c r="AT63" i="8"/>
  <c r="AT126" i="8"/>
  <c r="W32" i="8"/>
  <c r="Y32" i="8" s="1"/>
  <c r="AR32" i="8" s="1"/>
  <c r="P318" i="5"/>
  <c r="Q318" i="5" s="1"/>
  <c r="U55" i="6"/>
  <c r="P12" i="5"/>
  <c r="Q12" i="5" s="1"/>
  <c r="P526" i="5"/>
  <c r="Q526" i="5" s="1"/>
  <c r="P555" i="5"/>
  <c r="P340" i="5"/>
  <c r="P251" i="5"/>
  <c r="R251" i="5" s="1"/>
  <c r="AT71" i="6"/>
  <c r="AT28" i="6"/>
  <c r="AT77" i="6"/>
  <c r="AT95" i="6"/>
  <c r="U125" i="6"/>
  <c r="AT55" i="6"/>
  <c r="AT156" i="8"/>
  <c r="U67" i="8"/>
  <c r="AE67" i="8" s="1"/>
  <c r="AT24" i="8"/>
  <c r="U146" i="8"/>
  <c r="U57" i="8"/>
  <c r="W62" i="8"/>
  <c r="X62" i="8" s="1"/>
  <c r="AT132" i="8"/>
  <c r="AT56" i="8"/>
  <c r="AT88" i="8"/>
  <c r="AT151" i="8"/>
  <c r="AT91" i="8"/>
  <c r="AT51" i="8"/>
  <c r="AT32" i="8"/>
  <c r="P275" i="5"/>
  <c r="R275" i="5" s="1"/>
  <c r="P531" i="5"/>
  <c r="Q531" i="5" s="1"/>
  <c r="P470" i="5"/>
  <c r="P159" i="5"/>
  <c r="P205" i="5"/>
  <c r="R205" i="5" s="1"/>
  <c r="AT128" i="6"/>
  <c r="AT92" i="6"/>
  <c r="AT25" i="6"/>
  <c r="AT32" i="6"/>
  <c r="AT58" i="6"/>
  <c r="AT108" i="8"/>
  <c r="AT67" i="8"/>
  <c r="W64" i="8"/>
  <c r="X64" i="8" s="1"/>
  <c r="AT146" i="8"/>
  <c r="AT57" i="8"/>
  <c r="AT123" i="8"/>
  <c r="AT87" i="8"/>
  <c r="U129" i="8"/>
  <c r="AT74" i="8"/>
  <c r="AT55" i="8"/>
  <c r="AT9" i="8"/>
  <c r="AT79" i="8"/>
  <c r="AT138" i="8"/>
  <c r="AT66" i="8"/>
  <c r="AT52" i="8"/>
  <c r="W41" i="8"/>
  <c r="Y41" i="8" s="1"/>
  <c r="AR41" i="8" s="1"/>
  <c r="AT130" i="8"/>
  <c r="U43" i="8"/>
  <c r="P200" i="5"/>
  <c r="Q200" i="5" s="1"/>
  <c r="P504" i="5"/>
  <c r="P312" i="5"/>
  <c r="R312" i="5" s="1"/>
  <c r="P167" i="5"/>
  <c r="Q167" i="5" s="1"/>
  <c r="P541" i="5"/>
  <c r="AT72" i="6"/>
  <c r="AT96" i="6"/>
  <c r="AT113" i="6"/>
  <c r="AT64" i="8"/>
  <c r="AT15" i="8"/>
  <c r="AT42" i="8"/>
  <c r="W129" i="8"/>
  <c r="AT105" i="8"/>
  <c r="AT41" i="8"/>
  <c r="AT80" i="8"/>
  <c r="AT35" i="8"/>
  <c r="AT43" i="8"/>
  <c r="U29" i="8"/>
  <c r="AT133" i="8"/>
  <c r="AT20" i="8"/>
  <c r="AT85" i="8"/>
  <c r="AT125" i="8"/>
  <c r="P13" i="5"/>
  <c r="P478" i="5"/>
  <c r="B37" i="5"/>
  <c r="P77" i="5"/>
  <c r="AT65" i="6"/>
  <c r="AT39" i="6"/>
  <c r="U19" i="8"/>
  <c r="AT129" i="8"/>
  <c r="AT111" i="8"/>
  <c r="AT120" i="8"/>
  <c r="P548" i="5"/>
  <c r="Q548" i="5" s="1"/>
  <c r="P343" i="5"/>
  <c r="R343" i="5" s="1"/>
  <c r="P24" i="5"/>
  <c r="P124" i="5"/>
  <c r="AT130" i="6"/>
  <c r="AT118" i="6"/>
  <c r="AT117" i="6"/>
  <c r="U126" i="6"/>
  <c r="AT103" i="6"/>
  <c r="AT106" i="8"/>
  <c r="AT60" i="8"/>
  <c r="AT148" i="8"/>
  <c r="AT72" i="8"/>
  <c r="W19" i="8"/>
  <c r="Y19" i="8" s="1"/>
  <c r="AR19" i="8" s="1"/>
  <c r="AT155" i="8"/>
  <c r="W29" i="8"/>
  <c r="U113" i="8"/>
  <c r="AT53" i="8"/>
  <c r="U154" i="8"/>
  <c r="U92" i="8"/>
  <c r="AT70" i="8"/>
  <c r="W85" i="8"/>
  <c r="AE85" i="8" s="1"/>
  <c r="AT83" i="8"/>
  <c r="AT11" i="8"/>
  <c r="AT89" i="6"/>
  <c r="P519" i="5"/>
  <c r="R519" i="5" s="1"/>
  <c r="P284" i="5"/>
  <c r="P538" i="5"/>
  <c r="P293" i="5"/>
  <c r="Q293" i="5" s="1"/>
  <c r="P287" i="5"/>
  <c r="P36" i="5"/>
  <c r="Q36" i="5" s="1"/>
  <c r="U99" i="6"/>
  <c r="AT136" i="6"/>
  <c r="U79" i="6"/>
  <c r="W126" i="6"/>
  <c r="X126" i="6" s="1"/>
  <c r="AT91" i="6"/>
  <c r="AT89" i="8"/>
  <c r="AT19" i="8"/>
  <c r="AT29" i="8"/>
  <c r="AT113" i="8"/>
  <c r="W154" i="8"/>
  <c r="AE154" i="8" s="1"/>
  <c r="W92" i="8"/>
  <c r="Y92" i="8" s="1"/>
  <c r="AR92" i="8" s="1"/>
  <c r="W36" i="8"/>
  <c r="AT157" i="8"/>
  <c r="AT44" i="8"/>
  <c r="AT69" i="8"/>
  <c r="P408" i="5"/>
  <c r="Q408" i="5" s="1"/>
  <c r="AT21" i="6"/>
  <c r="AT153" i="6"/>
  <c r="AT34" i="6"/>
  <c r="AT141" i="8"/>
  <c r="AT58" i="8"/>
  <c r="P530" i="5"/>
  <c r="R530" i="5" s="1"/>
  <c r="P373" i="5"/>
  <c r="P72" i="5"/>
  <c r="Q72" i="5" s="1"/>
  <c r="P43" i="5"/>
  <c r="R43" i="5" s="1"/>
  <c r="AT99" i="6"/>
  <c r="AT79" i="6"/>
  <c r="AT124" i="6"/>
  <c r="AT126" i="6"/>
  <c r="AT147" i="6"/>
  <c r="AT12" i="6"/>
  <c r="AT107" i="8"/>
  <c r="U50" i="8"/>
  <c r="W8" i="8"/>
  <c r="Y8" i="8" s="1"/>
  <c r="AR8" i="8" s="1"/>
  <c r="W113" i="8"/>
  <c r="Y113" i="8" s="1"/>
  <c r="AR113" i="8" s="1"/>
  <c r="AT154" i="8"/>
  <c r="AT92" i="8"/>
  <c r="AT96" i="8"/>
  <c r="AT103" i="8"/>
  <c r="U36" i="8"/>
  <c r="U61" i="8"/>
  <c r="U150" i="8"/>
  <c r="AA150" i="8" s="1"/>
  <c r="U124" i="8"/>
  <c r="AE124" i="8" s="1"/>
  <c r="AT47" i="8"/>
  <c r="AT26" i="8"/>
  <c r="AT16" i="8"/>
  <c r="W75" i="8"/>
  <c r="Y75" i="8" s="1"/>
  <c r="AR75" i="8" s="1"/>
  <c r="U17" i="8"/>
  <c r="U75" i="8"/>
  <c r="AT61" i="8"/>
  <c r="W150" i="8"/>
  <c r="Y150" i="8" s="1"/>
  <c r="AR150" i="8" s="1"/>
  <c r="U131" i="8"/>
  <c r="AE131" i="8" s="1"/>
  <c r="W124" i="8"/>
  <c r="W104" i="8"/>
  <c r="X104" i="8" s="1"/>
  <c r="W47" i="8"/>
  <c r="X47" i="8" s="1"/>
  <c r="U77" i="8"/>
  <c r="AT75" i="8"/>
  <c r="W17" i="8"/>
  <c r="X17" i="8" s="1"/>
  <c r="AT150" i="8"/>
  <c r="W131" i="8"/>
  <c r="Y131" i="8" s="1"/>
  <c r="AR131" i="8" s="1"/>
  <c r="AT124" i="8"/>
  <c r="U104" i="8"/>
  <c r="U34" i="8"/>
  <c r="W12" i="8"/>
  <c r="Y12" i="8" s="1"/>
  <c r="AR12" i="8" s="1"/>
  <c r="U116" i="8"/>
  <c r="W68" i="8"/>
  <c r="Y68" i="8" s="1"/>
  <c r="AR68" i="8" s="1"/>
  <c r="AT17" i="8"/>
  <c r="U100" i="8"/>
  <c r="AT104" i="8"/>
  <c r="U12" i="8"/>
  <c r="AT131" i="8"/>
  <c r="W34" i="8"/>
  <c r="Y34" i="8" s="1"/>
  <c r="AR34" i="8" s="1"/>
  <c r="W100" i="8"/>
  <c r="Y100" i="8" s="1"/>
  <c r="AR100" i="8" s="1"/>
  <c r="AT34" i="8"/>
  <c r="W10" i="8"/>
  <c r="Y10" i="8" s="1"/>
  <c r="AR10" i="8" s="1"/>
  <c r="AT12" i="8"/>
  <c r="AT10" i="8"/>
  <c r="AT100" i="8"/>
  <c r="W153" i="8"/>
  <c r="X153" i="8" s="1"/>
  <c r="U153" i="8"/>
  <c r="U26" i="8"/>
  <c r="U10" i="8"/>
  <c r="Z10" i="8" s="1"/>
  <c r="AN10" i="8" s="1"/>
  <c r="U16" i="8"/>
  <c r="U97" i="8"/>
  <c r="U73" i="8"/>
  <c r="W97" i="8"/>
  <c r="U147" i="8"/>
  <c r="W73" i="8"/>
  <c r="W37" i="8"/>
  <c r="Y37" i="8" s="1"/>
  <c r="AR37" i="8" s="1"/>
  <c r="AT97" i="8"/>
  <c r="W14" i="8"/>
  <c r="Y14" i="8" s="1"/>
  <c r="AR14" i="8" s="1"/>
  <c r="W147" i="8"/>
  <c r="Y147" i="8" s="1"/>
  <c r="AR147" i="8" s="1"/>
  <c r="AT73" i="8"/>
  <c r="AT37" i="8"/>
  <c r="AT147" i="8"/>
  <c r="U33" i="8"/>
  <c r="W33" i="8"/>
  <c r="Y33" i="8" s="1"/>
  <c r="AR33" i="8" s="1"/>
  <c r="W83" i="8"/>
  <c r="U156" i="8"/>
  <c r="W46" i="8"/>
  <c r="Y46" i="8" s="1"/>
  <c r="AR46" i="8" s="1"/>
  <c r="AT33" i="8"/>
  <c r="U83" i="8"/>
  <c r="AE83" i="8" s="1"/>
  <c r="BD10" i="5"/>
  <c r="W156" i="8"/>
  <c r="X156" i="8" s="1"/>
  <c r="U37" i="8"/>
  <c r="U46" i="8"/>
  <c r="AT14" i="8"/>
  <c r="AT109" i="8"/>
  <c r="W69" i="8"/>
  <c r="Y69" i="8" s="1"/>
  <c r="AR69" i="8" s="1"/>
  <c r="U93" i="8"/>
  <c r="AT46" i="8"/>
  <c r="U149" i="8"/>
  <c r="AT93" i="8"/>
  <c r="U54" i="8"/>
  <c r="W149" i="8"/>
  <c r="Y149" i="8" s="1"/>
  <c r="AR149" i="8" s="1"/>
  <c r="W93" i="8"/>
  <c r="Y93" i="8" s="1"/>
  <c r="AR93" i="8" s="1"/>
  <c r="AT54" i="8"/>
  <c r="U81" i="8"/>
  <c r="W81" i="8"/>
  <c r="U14" i="8"/>
  <c r="U103" i="6"/>
  <c r="AT97" i="6"/>
  <c r="U49" i="6"/>
  <c r="AT49" i="6"/>
  <c r="U97" i="6"/>
  <c r="U68" i="6"/>
  <c r="AT68" i="6"/>
  <c r="U132" i="8"/>
  <c r="AT117" i="8"/>
  <c r="AT13" i="8"/>
  <c r="U133" i="8"/>
  <c r="W70" i="8"/>
  <c r="W101" i="8"/>
  <c r="Y101" i="8" s="1"/>
  <c r="AR101" i="8" s="1"/>
  <c r="U76" i="8"/>
  <c r="U28" i="8"/>
  <c r="W108" i="8"/>
  <c r="AE108" i="8" s="1"/>
  <c r="W132" i="8"/>
  <c r="X132" i="8" s="1"/>
  <c r="W133" i="8"/>
  <c r="Y133" i="8" s="1"/>
  <c r="AR133" i="8" s="1"/>
  <c r="U70" i="8"/>
  <c r="AT101" i="8"/>
  <c r="AT76" i="8"/>
  <c r="AT45" i="8"/>
  <c r="U89" i="8"/>
  <c r="W22" i="8"/>
  <c r="U105" i="8"/>
  <c r="W139" i="8"/>
  <c r="W78" i="8"/>
  <c r="Y78" i="8" s="1"/>
  <c r="AR78" i="8" s="1"/>
  <c r="AT116" i="8"/>
  <c r="W89" i="8"/>
  <c r="Y89" i="8" s="1"/>
  <c r="AR89" i="8" s="1"/>
  <c r="AT22" i="8"/>
  <c r="W105" i="8"/>
  <c r="Y105" i="8" s="1"/>
  <c r="AR105" i="8" s="1"/>
  <c r="U157" i="8"/>
  <c r="AT139" i="8"/>
  <c r="U51" i="8"/>
  <c r="AE51" i="8" s="1"/>
  <c r="U125" i="8"/>
  <c r="U30" i="8"/>
  <c r="U86" i="8"/>
  <c r="AT78" i="8"/>
  <c r="AT149" i="8"/>
  <c r="U68" i="8"/>
  <c r="W30" i="8"/>
  <c r="W121" i="8"/>
  <c r="X121" i="8" s="1"/>
  <c r="AT30" i="8"/>
  <c r="U121" i="8"/>
  <c r="AT68" i="8"/>
  <c r="U59" i="8"/>
  <c r="AT142" i="8"/>
  <c r="W20" i="8"/>
  <c r="Y20" i="8" s="1"/>
  <c r="AR20" i="8" s="1"/>
  <c r="AT121" i="8"/>
  <c r="AT49" i="8"/>
  <c r="U69" i="8"/>
  <c r="W59" i="8"/>
  <c r="Y59" i="8" s="1"/>
  <c r="AR59" i="8" s="1"/>
  <c r="U115" i="8"/>
  <c r="U134" i="8"/>
  <c r="U25" i="8"/>
  <c r="AT59" i="8"/>
  <c r="U109" i="8"/>
  <c r="AT115" i="8"/>
  <c r="W25" i="8"/>
  <c r="Y25" i="8" s="1"/>
  <c r="AR25" i="8" s="1"/>
  <c r="W109" i="8"/>
  <c r="Y109" i="8" s="1"/>
  <c r="AR109" i="8" s="1"/>
  <c r="W115" i="8"/>
  <c r="X115" i="8" s="1"/>
  <c r="U78" i="8"/>
  <c r="W110" i="8"/>
  <c r="X110" i="8" s="1"/>
  <c r="AT25" i="8"/>
  <c r="O15" i="5"/>
  <c r="W71" i="6"/>
  <c r="X71" i="6" s="1"/>
  <c r="U23" i="6"/>
  <c r="U124" i="6"/>
  <c r="AT45" i="6"/>
  <c r="AT42" i="6"/>
  <c r="AT53" i="6"/>
  <c r="W16" i="6"/>
  <c r="Y16" i="6" s="1"/>
  <c r="AR16" i="6" s="1"/>
  <c r="U128" i="6"/>
  <c r="U20" i="6"/>
  <c r="AE20" i="6" s="1"/>
  <c r="U8" i="6"/>
  <c r="U74" i="6"/>
  <c r="U21" i="6"/>
  <c r="AT16" i="6"/>
  <c r="U153" i="6"/>
  <c r="AE153" i="6" s="1"/>
  <c r="U31" i="6"/>
  <c r="U111" i="6"/>
  <c r="W134" i="6"/>
  <c r="X134" i="6" s="1"/>
  <c r="U58" i="6"/>
  <c r="W65" i="6"/>
  <c r="X65" i="6" s="1"/>
  <c r="AT107" i="6"/>
  <c r="AT157" i="6"/>
  <c r="U42" i="6"/>
  <c r="U84" i="8"/>
  <c r="AT77" i="8"/>
  <c r="W28" i="8"/>
  <c r="W84" i="8"/>
  <c r="Y84" i="8" s="1"/>
  <c r="AR84" i="8" s="1"/>
  <c r="W77" i="8"/>
  <c r="Y77" i="8" s="1"/>
  <c r="AR77" i="8" s="1"/>
  <c r="AT28" i="8"/>
  <c r="AT84" i="8"/>
  <c r="AT38" i="8"/>
  <c r="U140" i="8"/>
  <c r="W140" i="8"/>
  <c r="Y140" i="8" s="1"/>
  <c r="AR140" i="8" s="1"/>
  <c r="U21" i="8"/>
  <c r="AT140" i="8"/>
  <c r="W21" i="8"/>
  <c r="Y21" i="8" s="1"/>
  <c r="AR21" i="8" s="1"/>
  <c r="AT21" i="8"/>
  <c r="P30" i="5"/>
  <c r="R30" i="5" s="1"/>
  <c r="P244" i="5"/>
  <c r="Q244" i="5" s="1"/>
  <c r="P84" i="5"/>
  <c r="P115" i="5"/>
  <c r="W53" i="6"/>
  <c r="X53" i="6" s="1"/>
  <c r="AJ53" i="6" s="1"/>
  <c r="W103" i="6"/>
  <c r="X103" i="6" s="1"/>
  <c r="W73" i="6"/>
  <c r="X73" i="6" s="1"/>
  <c r="W23" i="6"/>
  <c r="Y23" i="6" s="1"/>
  <c r="AR23" i="6" s="1"/>
  <c r="W58" i="6"/>
  <c r="X58" i="6" s="1"/>
  <c r="W72" i="6"/>
  <c r="X72" i="6" s="1"/>
  <c r="AJ72" i="6" s="1"/>
  <c r="W32" i="6"/>
  <c r="Y32" i="6" s="1"/>
  <c r="W112" i="6"/>
  <c r="X112" i="6" s="1"/>
  <c r="P484" i="5"/>
  <c r="R484" i="5" s="1"/>
  <c r="P489" i="5"/>
  <c r="R489" i="5" s="1"/>
  <c r="P444" i="5"/>
  <c r="Q444" i="5" s="1"/>
  <c r="P298" i="5"/>
  <c r="Q298" i="5" s="1"/>
  <c r="P260" i="5"/>
  <c r="Q260" i="5" s="1"/>
  <c r="P70" i="5"/>
  <c r="P93" i="5"/>
  <c r="R93" i="5" s="1"/>
  <c r="P308" i="5"/>
  <c r="Q308" i="5" s="1"/>
  <c r="P485" i="5"/>
  <c r="R485" i="5" s="1"/>
  <c r="P191" i="5"/>
  <c r="P46" i="5"/>
  <c r="R46" i="5" s="1"/>
  <c r="P236" i="5"/>
  <c r="R236" i="5" s="1"/>
  <c r="P59" i="5"/>
  <c r="Q59" i="5" s="1"/>
  <c r="P95" i="5"/>
  <c r="R95" i="5" s="1"/>
  <c r="W54" i="8"/>
  <c r="Y54" i="8" s="1"/>
  <c r="AR54" i="8" s="1"/>
  <c r="P164" i="5"/>
  <c r="R164" i="5" s="1"/>
  <c r="P64" i="5"/>
  <c r="R64" i="5" s="1"/>
  <c r="P441" i="5"/>
  <c r="W68" i="6"/>
  <c r="X68" i="6" s="1"/>
  <c r="W97" i="6"/>
  <c r="X97" i="6" s="1"/>
  <c r="AJ97" i="6" s="1"/>
  <c r="W49" i="6"/>
  <c r="X49" i="6" s="1"/>
  <c r="W142" i="8"/>
  <c r="Y142" i="8" s="1"/>
  <c r="AR142" i="8" s="1"/>
  <c r="U50" i="6"/>
  <c r="U85" i="6"/>
  <c r="W61" i="6"/>
  <c r="X61" i="6" s="1"/>
  <c r="AJ61" i="6" s="1"/>
  <c r="U115" i="6"/>
  <c r="U131" i="6"/>
  <c r="U113" i="6"/>
  <c r="AE113" i="6" s="1"/>
  <c r="AT61" i="6"/>
  <c r="W137" i="6"/>
  <c r="X137" i="6" s="1"/>
  <c r="W131" i="6"/>
  <c r="X131" i="6" s="1"/>
  <c r="AT125" i="6"/>
  <c r="AT57" i="6"/>
  <c r="U12" i="6"/>
  <c r="AT138" i="6"/>
  <c r="W12" i="6"/>
  <c r="Y12" i="6" s="1"/>
  <c r="AR12" i="6" s="1"/>
  <c r="W66" i="6"/>
  <c r="X66" i="6" s="1"/>
  <c r="W8" i="6"/>
  <c r="Y8" i="6" s="1"/>
  <c r="AR8" i="6" s="1"/>
  <c r="W74" i="6"/>
  <c r="X74" i="6" s="1"/>
  <c r="U116" i="6"/>
  <c r="U142" i="6"/>
  <c r="AT66" i="6"/>
  <c r="AT74" i="6"/>
  <c r="AT142" i="6"/>
  <c r="AT8" i="6"/>
  <c r="W127" i="6"/>
  <c r="X127" i="6" s="1"/>
  <c r="W101" i="6"/>
  <c r="X101" i="6" s="1"/>
  <c r="AT116" i="6"/>
  <c r="U24" i="6"/>
  <c r="Z24" i="6" s="1"/>
  <c r="W116" i="6"/>
  <c r="X116" i="6" s="1"/>
  <c r="U33" i="6"/>
  <c r="U101" i="6"/>
  <c r="U10" i="6"/>
  <c r="U148" i="6"/>
  <c r="B31" i="5"/>
  <c r="W33" i="6"/>
  <c r="Y33" i="6" s="1"/>
  <c r="AR33" i="6" s="1"/>
  <c r="W10" i="6"/>
  <c r="Y10" i="6" s="1"/>
  <c r="AR10" i="6" s="1"/>
  <c r="U107" i="6"/>
  <c r="U17" i="6"/>
  <c r="AT148" i="6"/>
  <c r="AT33" i="6"/>
  <c r="U45" i="6"/>
  <c r="AT10" i="6"/>
  <c r="W107" i="6"/>
  <c r="X107" i="6" s="1"/>
  <c r="AT17" i="6"/>
  <c r="U157" i="6"/>
  <c r="W45" i="6"/>
  <c r="X45" i="6" s="1"/>
  <c r="U75" i="6"/>
  <c r="W104" i="6"/>
  <c r="X104" i="6" s="1"/>
  <c r="AT75" i="6"/>
  <c r="U76" i="6"/>
  <c r="AT101" i="6"/>
  <c r="W157" i="6"/>
  <c r="X157" i="6" s="1"/>
  <c r="U104" i="6"/>
  <c r="AT76" i="6"/>
  <c r="AT24" i="6"/>
  <c r="W142" i="6"/>
  <c r="X142" i="6" s="1"/>
  <c r="AJ142" i="6" s="1"/>
  <c r="U127" i="6"/>
  <c r="U66" i="6"/>
  <c r="W17" i="6"/>
  <c r="Y17" i="6" s="1"/>
  <c r="AR17" i="6" s="1"/>
  <c r="W148" i="6"/>
  <c r="X148" i="6" s="1"/>
  <c r="AT127" i="6"/>
  <c r="W75" i="6"/>
  <c r="X75" i="6" s="1"/>
  <c r="W114" i="6"/>
  <c r="X114" i="6" s="1"/>
  <c r="U133" i="6"/>
  <c r="U27" i="6"/>
  <c r="U26" i="6"/>
  <c r="AT51" i="6"/>
  <c r="U87" i="6"/>
  <c r="U57" i="6"/>
  <c r="W84" i="6"/>
  <c r="X84" i="6" s="1"/>
  <c r="U9" i="6"/>
  <c r="AT38" i="6"/>
  <c r="AT84" i="6"/>
  <c r="AT114" i="6"/>
  <c r="W57" i="6"/>
  <c r="X57" i="6" s="1"/>
  <c r="AT122" i="6"/>
  <c r="U129" i="6"/>
  <c r="W9" i="6"/>
  <c r="Y9" i="6" s="1"/>
  <c r="AR9" i="6" s="1"/>
  <c r="W26" i="6"/>
  <c r="Y26" i="6" s="1"/>
  <c r="AR26" i="6" s="1"/>
  <c r="AT106" i="6"/>
  <c r="U93" i="6"/>
  <c r="W133" i="6"/>
  <c r="X133" i="6" s="1"/>
  <c r="AT121" i="6"/>
  <c r="W27" i="6"/>
  <c r="Y27" i="6" s="1"/>
  <c r="AR27" i="6" s="1"/>
  <c r="W129" i="6"/>
  <c r="X129" i="6" s="1"/>
  <c r="AT9" i="6"/>
  <c r="U102" i="6"/>
  <c r="AT26" i="6"/>
  <c r="U37" i="6"/>
  <c r="W93" i="6"/>
  <c r="X93" i="6" s="1"/>
  <c r="AT133" i="6"/>
  <c r="AT129" i="6"/>
  <c r="AT102" i="6"/>
  <c r="U14" i="6"/>
  <c r="W37" i="6"/>
  <c r="X37" i="6" s="1"/>
  <c r="AT93" i="6"/>
  <c r="U120" i="6"/>
  <c r="U118" i="6"/>
  <c r="AT80" i="6"/>
  <c r="U51" i="6"/>
  <c r="AT14" i="6"/>
  <c r="AT37" i="6"/>
  <c r="U149" i="6"/>
  <c r="U30" i="6"/>
  <c r="W120" i="6"/>
  <c r="X120" i="6" s="1"/>
  <c r="AJ120" i="6" s="1"/>
  <c r="W118" i="6"/>
  <c r="X118" i="6" s="1"/>
  <c r="W51" i="6"/>
  <c r="X51" i="6" s="1"/>
  <c r="AT154" i="6"/>
  <c r="AT149" i="6"/>
  <c r="W30" i="6"/>
  <c r="Y30" i="6" s="1"/>
  <c r="AR30" i="6" s="1"/>
  <c r="U114" i="6"/>
  <c r="AE114" i="6" s="1"/>
  <c r="AT46" i="6"/>
  <c r="U122" i="6"/>
  <c r="AT29" i="6"/>
  <c r="W24" i="6"/>
  <c r="Y24" i="6" s="1"/>
  <c r="AR24" i="6" s="1"/>
  <c r="W38" i="6"/>
  <c r="X38" i="6" s="1"/>
  <c r="AT54" i="6"/>
  <c r="AT104" i="6"/>
  <c r="W83" i="6"/>
  <c r="X83" i="6" s="1"/>
  <c r="AJ83" i="6" s="1"/>
  <c r="U86" i="6"/>
  <c r="AT69" i="6"/>
  <c r="U110" i="6"/>
  <c r="W110" i="6"/>
  <c r="X110" i="6" s="1"/>
  <c r="U140" i="6"/>
  <c r="AT86" i="6"/>
  <c r="U80" i="6"/>
  <c r="W87" i="6"/>
  <c r="X87" i="6" s="1"/>
  <c r="U59" i="6"/>
  <c r="U154" i="6"/>
  <c r="U146" i="6"/>
  <c r="AT30" i="6"/>
  <c r="W140" i="6"/>
  <c r="X140" i="6" s="1"/>
  <c r="U106" i="6"/>
  <c r="W50" i="6"/>
  <c r="X50" i="6" s="1"/>
  <c r="AJ50" i="6" s="1"/>
  <c r="U78" i="6"/>
  <c r="AT120" i="6"/>
  <c r="AT27" i="6"/>
  <c r="W76" i="6"/>
  <c r="X76" i="6" s="1"/>
  <c r="U62" i="6"/>
  <c r="U43" i="6"/>
  <c r="W80" i="6"/>
  <c r="X80" i="6" s="1"/>
  <c r="AT87" i="6"/>
  <c r="W154" i="6"/>
  <c r="X154" i="6" s="1"/>
  <c r="W146" i="6"/>
  <c r="X146" i="6" s="1"/>
  <c r="AT140" i="6"/>
  <c r="W106" i="6"/>
  <c r="X106" i="6" s="1"/>
  <c r="U38" i="6"/>
  <c r="AT50" i="6"/>
  <c r="W78" i="6"/>
  <c r="X78" i="6" s="1"/>
  <c r="W119" i="6"/>
  <c r="X119" i="6" s="1"/>
  <c r="W62" i="6"/>
  <c r="X62" i="6" s="1"/>
  <c r="W43" i="6"/>
  <c r="X43" i="6" s="1"/>
  <c r="AT146" i="6"/>
  <c r="AT78" i="6"/>
  <c r="AT119" i="6"/>
  <c r="U130" i="6"/>
  <c r="AT62" i="6"/>
  <c r="AT43" i="6"/>
  <c r="U34" i="6"/>
  <c r="W130" i="6"/>
  <c r="X130" i="6" s="1"/>
  <c r="W34" i="6"/>
  <c r="Y34" i="6" s="1"/>
  <c r="AR34" i="6" s="1"/>
  <c r="AT81" i="6"/>
  <c r="U46" i="6"/>
  <c r="U121" i="6"/>
  <c r="U156" i="6"/>
  <c r="W139" i="6"/>
  <c r="X139" i="6" s="1"/>
  <c r="U36" i="6"/>
  <c r="U88" i="6"/>
  <c r="W59" i="6"/>
  <c r="X59" i="6" s="1"/>
  <c r="W156" i="6"/>
  <c r="X156" i="6" s="1"/>
  <c r="AT110" i="6"/>
  <c r="W13" i="6"/>
  <c r="Y13" i="6" s="1"/>
  <c r="AR13" i="6" s="1"/>
  <c r="W36" i="6"/>
  <c r="Y36" i="6" s="1"/>
  <c r="AR36" i="6" s="1"/>
  <c r="W88" i="6"/>
  <c r="X88" i="6" s="1"/>
  <c r="AT59" i="6"/>
  <c r="U22" i="6"/>
  <c r="AT156" i="6"/>
  <c r="AT85" i="6"/>
  <c r="AT83" i="6"/>
  <c r="Y262" i="5"/>
  <c r="Z262" i="5" s="1"/>
  <c r="W150" i="6"/>
  <c r="X150" i="6" s="1"/>
  <c r="U81" i="6"/>
  <c r="AT36" i="6"/>
  <c r="AT88" i="6"/>
  <c r="W63" i="6"/>
  <c r="X63" i="6" s="1"/>
  <c r="W81" i="6"/>
  <c r="X81" i="6" s="1"/>
  <c r="U100" i="6"/>
  <c r="U90" i="6"/>
  <c r="U139" i="6"/>
  <c r="AT139" i="6"/>
  <c r="U119" i="6"/>
  <c r="W86" i="6"/>
  <c r="X86" i="6" s="1"/>
  <c r="AJ86" i="6" s="1"/>
  <c r="W69" i="6"/>
  <c r="X69" i="6" s="1"/>
  <c r="AJ69" i="6" s="1"/>
  <c r="B169" i="3"/>
  <c r="B170" i="3" s="1"/>
  <c r="B171" i="3" s="1"/>
  <c r="B175" i="3" s="1"/>
  <c r="U18" i="6"/>
  <c r="U60" i="6"/>
  <c r="AT18" i="6"/>
  <c r="U29" i="6"/>
  <c r="U25" i="6"/>
  <c r="U117" i="6"/>
  <c r="AT60" i="6"/>
  <c r="U105" i="6"/>
  <c r="AT105" i="6"/>
  <c r="AT70" i="6"/>
  <c r="Y283" i="5"/>
  <c r="Z283" i="5" s="1"/>
  <c r="W18" i="6"/>
  <c r="Y18" i="6" s="1"/>
  <c r="AR18" i="6" s="1"/>
  <c r="W128" i="6"/>
  <c r="X128" i="6" s="1"/>
  <c r="W99" i="6"/>
  <c r="X99" i="6" s="1"/>
  <c r="W92" i="6"/>
  <c r="X92" i="6" s="1"/>
  <c r="W60" i="6"/>
  <c r="X60" i="6" s="1"/>
  <c r="W55" i="6"/>
  <c r="X55" i="6" s="1"/>
  <c r="W67" i="6"/>
  <c r="X67" i="6" s="1"/>
  <c r="AJ67" i="6" s="1"/>
  <c r="W105" i="6"/>
  <c r="X105" i="6" s="1"/>
  <c r="P516" i="5"/>
  <c r="Q516" i="5" s="1"/>
  <c r="P211" i="5"/>
  <c r="R211" i="5" s="1"/>
  <c r="P355" i="5"/>
  <c r="R355" i="5" s="1"/>
  <c r="P400" i="5"/>
  <c r="P68" i="5"/>
  <c r="Q68" i="5" s="1"/>
  <c r="P162" i="5"/>
  <c r="Q162" i="5" s="1"/>
  <c r="P135" i="5"/>
  <c r="Q135" i="5" s="1"/>
  <c r="P506" i="5"/>
  <c r="R506" i="5" s="1"/>
  <c r="W79" i="6"/>
  <c r="X79" i="6" s="1"/>
  <c r="W29" i="6"/>
  <c r="Y29" i="6" s="1"/>
  <c r="AR29" i="6" s="1"/>
  <c r="W70" i="6"/>
  <c r="X70" i="6" s="1"/>
  <c r="AJ70" i="6" s="1"/>
  <c r="W126" i="8"/>
  <c r="X126" i="8" s="1"/>
  <c r="W28" i="6"/>
  <c r="Y28" i="6" s="1"/>
  <c r="AR28" i="6" s="1"/>
  <c r="W25" i="6"/>
  <c r="Y25" i="6" s="1"/>
  <c r="AR25" i="6" s="1"/>
  <c r="P411" i="5"/>
  <c r="Q411" i="5" s="1"/>
  <c r="P125" i="5"/>
  <c r="R125" i="5" s="1"/>
  <c r="P126" i="5"/>
  <c r="Q126" i="5" s="1"/>
  <c r="P217" i="5"/>
  <c r="R217" i="5" s="1"/>
  <c r="P118" i="5"/>
  <c r="Q118" i="5" s="1"/>
  <c r="P90" i="5"/>
  <c r="Q90" i="5" s="1"/>
  <c r="P457" i="5"/>
  <c r="P341" i="5"/>
  <c r="Q341" i="5" s="1"/>
  <c r="W117" i="6"/>
  <c r="X117" i="6" s="1"/>
  <c r="W54" i="6"/>
  <c r="X54" i="6" s="1"/>
  <c r="AJ54" i="6" s="1"/>
  <c r="AT134" i="8"/>
  <c r="U110" i="8"/>
  <c r="AT110" i="8"/>
  <c r="U94" i="8"/>
  <c r="Y331" i="5"/>
  <c r="AA331" i="5" s="1"/>
  <c r="Y106" i="5"/>
  <c r="Z106" i="5" s="1"/>
  <c r="Y522" i="5"/>
  <c r="AA522" i="5" s="1"/>
  <c r="Y131" i="5"/>
  <c r="Z131" i="5" s="1"/>
  <c r="Y8" i="5"/>
  <c r="AA8" i="5" s="1"/>
  <c r="Y493" i="5"/>
  <c r="AA493" i="5" s="1"/>
  <c r="Y452" i="5"/>
  <c r="Z452" i="5" s="1"/>
  <c r="Y107" i="5"/>
  <c r="Z107" i="5" s="1"/>
  <c r="Y232" i="5"/>
  <c r="Z232" i="5" s="1"/>
  <c r="Y248" i="5"/>
  <c r="Y240" i="5"/>
  <c r="Z240" i="5" s="1"/>
  <c r="Y491" i="5"/>
  <c r="AA491" i="5" s="1"/>
  <c r="Y170" i="5"/>
  <c r="AA170" i="5" s="1"/>
  <c r="Y142" i="5"/>
  <c r="Z142" i="5" s="1"/>
  <c r="Y547" i="5"/>
  <c r="AA547" i="5" s="1"/>
  <c r="Y500" i="5"/>
  <c r="AA500" i="5" s="1"/>
  <c r="W94" i="8"/>
  <c r="P543" i="5"/>
  <c r="Q543" i="5" s="1"/>
  <c r="P424" i="5"/>
  <c r="Q424" i="5" s="1"/>
  <c r="P386" i="5"/>
  <c r="R386" i="5" s="1"/>
  <c r="P255" i="5"/>
  <c r="Q255" i="5" s="1"/>
  <c r="P363" i="5"/>
  <c r="R363" i="5" s="1"/>
  <c r="P402" i="5"/>
  <c r="R402" i="5" s="1"/>
  <c r="P75" i="5"/>
  <c r="R75" i="5" s="1"/>
  <c r="P204" i="5"/>
  <c r="R204" i="5" s="1"/>
  <c r="P29" i="5"/>
  <c r="R29" i="5" s="1"/>
  <c r="P89" i="5"/>
  <c r="Q89" i="5" s="1"/>
  <c r="P277" i="5"/>
  <c r="R277" i="5" s="1"/>
  <c r="P79" i="5"/>
  <c r="Q79" i="5" s="1"/>
  <c r="P254" i="5"/>
  <c r="R254" i="5" s="1"/>
  <c r="P514" i="5"/>
  <c r="Q514" i="5" s="1"/>
  <c r="P559" i="5"/>
  <c r="R559" i="5" s="1"/>
  <c r="P332" i="5"/>
  <c r="Q332" i="5" s="1"/>
  <c r="P282" i="5"/>
  <c r="R282" i="5" s="1"/>
  <c r="P269" i="5"/>
  <c r="Q269" i="5" s="1"/>
  <c r="P374" i="5"/>
  <c r="Q374" i="5" s="1"/>
  <c r="P199" i="5"/>
  <c r="R199" i="5" s="1"/>
  <c r="P242" i="5"/>
  <c r="R242" i="5" s="1"/>
  <c r="P116" i="5"/>
  <c r="Q116" i="5" s="1"/>
  <c r="P22" i="5"/>
  <c r="R22" i="5" s="1"/>
  <c r="P80" i="5"/>
  <c r="P262" i="5"/>
  <c r="P56" i="5"/>
  <c r="Q56" i="5" s="1"/>
  <c r="P128" i="5"/>
  <c r="R128" i="5" s="1"/>
  <c r="P549" i="5"/>
  <c r="R549" i="5" s="1"/>
  <c r="P130" i="5"/>
  <c r="Q130" i="5" s="1"/>
  <c r="P87" i="5"/>
  <c r="R87" i="5" s="1"/>
  <c r="P139" i="5"/>
  <c r="R139" i="5" s="1"/>
  <c r="P140" i="5"/>
  <c r="Q140" i="5" s="1"/>
  <c r="P368" i="5"/>
  <c r="R368" i="5" s="1"/>
  <c r="P560" i="5"/>
  <c r="R560" i="5" s="1"/>
  <c r="P534" i="5"/>
  <c r="R534" i="5" s="1"/>
  <c r="P100" i="5"/>
  <c r="Q100" i="5" s="1"/>
  <c r="P297" i="5"/>
  <c r="Q297" i="5" s="1"/>
  <c r="P240" i="5"/>
  <c r="R240" i="5" s="1"/>
  <c r="P53" i="5"/>
  <c r="Q53" i="5" s="1"/>
  <c r="P114" i="5"/>
  <c r="Q114" i="5" s="1"/>
  <c r="P27" i="5"/>
  <c r="R27" i="5" s="1"/>
  <c r="P207" i="5"/>
  <c r="Q207" i="5" s="1"/>
  <c r="P113" i="5"/>
  <c r="Q113" i="5" s="1"/>
  <c r="P34" i="5"/>
  <c r="R34" i="5" s="1"/>
  <c r="P157" i="5"/>
  <c r="R157" i="5" s="1"/>
  <c r="P194" i="5"/>
  <c r="R194" i="5" s="1"/>
  <c r="P361" i="5"/>
  <c r="Q361" i="5" s="1"/>
  <c r="U144" i="6"/>
  <c r="W155" i="6"/>
  <c r="X155" i="6" s="1"/>
  <c r="U151" i="6"/>
  <c r="W85" i="6"/>
  <c r="X85" i="6" s="1"/>
  <c r="AT64" i="6"/>
  <c r="Y362" i="5"/>
  <c r="AA362" i="5" s="1"/>
  <c r="Y509" i="5"/>
  <c r="AA509" i="5" s="1"/>
  <c r="Y79" i="5"/>
  <c r="Z79" i="5" s="1"/>
  <c r="Y512" i="5"/>
  <c r="Z512" i="5" s="1"/>
  <c r="Y250" i="5"/>
  <c r="Z250" i="5" s="1"/>
  <c r="Y226" i="5"/>
  <c r="AA226" i="5" s="1"/>
  <c r="Y215" i="5"/>
  <c r="Z215" i="5" s="1"/>
  <c r="Y20" i="5"/>
  <c r="AA20" i="5" s="1"/>
  <c r="Y261" i="5"/>
  <c r="AA261" i="5" s="1"/>
  <c r="Y375" i="5"/>
  <c r="Z375" i="5" s="1"/>
  <c r="Y229" i="5"/>
  <c r="AA229" i="5" s="1"/>
  <c r="Y281" i="5"/>
  <c r="Z281" i="5" s="1"/>
  <c r="Y96" i="5"/>
  <c r="Z96" i="5" s="1"/>
  <c r="Y379" i="5"/>
  <c r="AA379" i="5" s="1"/>
  <c r="Y45" i="5"/>
  <c r="AA45" i="5" s="1"/>
  <c r="Y560" i="5"/>
  <c r="AA560" i="5" s="1"/>
  <c r="Y306" i="5"/>
  <c r="AA306" i="5" s="1"/>
  <c r="AT41" i="6"/>
  <c r="Y314" i="5"/>
  <c r="Z314" i="5" s="1"/>
  <c r="Y556" i="5"/>
  <c r="Z556" i="5" s="1"/>
  <c r="Y510" i="5"/>
  <c r="Y292" i="5"/>
  <c r="AA292" i="5" s="1"/>
  <c r="Y177" i="5"/>
  <c r="AA177" i="5" s="1"/>
  <c r="Y296" i="5"/>
  <c r="AA296" i="5" s="1"/>
  <c r="Y167" i="5"/>
  <c r="AA167" i="5" s="1"/>
  <c r="Y246" i="5"/>
  <c r="Y282" i="5"/>
  <c r="Y24" i="5"/>
  <c r="Y197" i="5"/>
  <c r="Y315" i="5"/>
  <c r="Y236" i="5"/>
  <c r="AA236" i="5" s="1"/>
  <c r="Y163" i="5"/>
  <c r="Y528" i="5"/>
  <c r="Y441" i="5"/>
  <c r="Y403" i="5"/>
  <c r="Z52" i="5"/>
  <c r="U152" i="6"/>
  <c r="Y479" i="5"/>
  <c r="Z479" i="5" s="1"/>
  <c r="Y205" i="5"/>
  <c r="Z205" i="5" s="1"/>
  <c r="Y428" i="5"/>
  <c r="AA428" i="5" s="1"/>
  <c r="Y553" i="5"/>
  <c r="Z553" i="5" s="1"/>
  <c r="Y171" i="5"/>
  <c r="Z171" i="5" s="1"/>
  <c r="Y537" i="5"/>
  <c r="AA537" i="5" s="1"/>
  <c r="Y316" i="5"/>
  <c r="Z316" i="5" s="1"/>
  <c r="Y456" i="5"/>
  <c r="Z456" i="5" s="1"/>
  <c r="Y551" i="5"/>
  <c r="AA551" i="5" s="1"/>
  <c r="Y396" i="5"/>
  <c r="Z396" i="5" s="1"/>
  <c r="Y63" i="5"/>
  <c r="Z63" i="5" s="1"/>
  <c r="Y471" i="5"/>
  <c r="AA471" i="5" s="1"/>
  <c r="Y274" i="5"/>
  <c r="AA274" i="5" s="1"/>
  <c r="Y555" i="5"/>
  <c r="Z555" i="5" s="1"/>
  <c r="Y147" i="5"/>
  <c r="AA147" i="5" s="1"/>
  <c r="Y439" i="5"/>
  <c r="AA439" i="5" s="1"/>
  <c r="Y477" i="5"/>
  <c r="AA477" i="5" s="1"/>
  <c r="AT152" i="6"/>
  <c r="Y554" i="5"/>
  <c r="AA554" i="5" s="1"/>
  <c r="Y140" i="5"/>
  <c r="Y431" i="5"/>
  <c r="Z431" i="5" s="1"/>
  <c r="Y230" i="5"/>
  <c r="Y463" i="5"/>
  <c r="AA463" i="5" s="1"/>
  <c r="Y345" i="5"/>
  <c r="Z345" i="5" s="1"/>
  <c r="Y231" i="5"/>
  <c r="Y65" i="5"/>
  <c r="AA65" i="5" s="1"/>
  <c r="Y552" i="5"/>
  <c r="Z552" i="5" s="1"/>
  <c r="Y253" i="5"/>
  <c r="Z253" i="5" s="1"/>
  <c r="Y88" i="5"/>
  <c r="Y407" i="5"/>
  <c r="Z407" i="5" s="1"/>
  <c r="Y485" i="5"/>
  <c r="Y290" i="5"/>
  <c r="Y178" i="5"/>
  <c r="Y50" i="5"/>
  <c r="Y360" i="5"/>
  <c r="Y10" i="5"/>
  <c r="AA10" i="5" s="1"/>
  <c r="U108" i="6"/>
  <c r="Y181" i="5"/>
  <c r="Z181" i="5" s="1"/>
  <c r="Y325" i="5"/>
  <c r="Z325" i="5" s="1"/>
  <c r="Y445" i="5"/>
  <c r="Z445" i="5" s="1"/>
  <c r="Y270" i="5"/>
  <c r="Z270" i="5" s="1"/>
  <c r="Y399" i="5"/>
  <c r="AA399" i="5" s="1"/>
  <c r="Y546" i="5"/>
  <c r="AA546" i="5" s="1"/>
  <c r="Y263" i="5"/>
  <c r="Z263" i="5" s="1"/>
  <c r="Y300" i="5"/>
  <c r="Z300" i="5" s="1"/>
  <c r="Y243" i="5"/>
  <c r="Z243" i="5" s="1"/>
  <c r="Y256" i="5"/>
  <c r="AA256" i="5" s="1"/>
  <c r="Y110" i="5"/>
  <c r="AA110" i="5" s="1"/>
  <c r="Y184" i="5"/>
  <c r="Z184" i="5" s="1"/>
  <c r="Y367" i="5"/>
  <c r="AA367" i="5" s="1"/>
  <c r="Y543" i="5"/>
  <c r="AA543" i="5" s="1"/>
  <c r="Y287" i="5"/>
  <c r="AA287" i="5" s="1"/>
  <c r="Y195" i="5"/>
  <c r="AA195" i="5" s="1"/>
  <c r="Y13" i="5"/>
  <c r="AA13" i="5" s="1"/>
  <c r="W108" i="6"/>
  <c r="X108" i="6" s="1"/>
  <c r="AT15" i="6"/>
  <c r="AT123" i="6"/>
  <c r="Y149" i="5"/>
  <c r="AA149" i="5" s="1"/>
  <c r="Y137" i="5"/>
  <c r="Z137" i="5" s="1"/>
  <c r="Y498" i="5"/>
  <c r="Z498" i="5" s="1"/>
  <c r="Y515" i="5"/>
  <c r="Z515" i="5" s="1"/>
  <c r="Y353" i="5"/>
  <c r="Z353" i="5" s="1"/>
  <c r="Y422" i="5"/>
  <c r="AA422" i="5" s="1"/>
  <c r="Y251" i="5"/>
  <c r="AA251" i="5" s="1"/>
  <c r="Y444" i="5"/>
  <c r="Z444" i="5" s="1"/>
  <c r="Y216" i="5"/>
  <c r="Z216" i="5" s="1"/>
  <c r="Y203" i="5"/>
  <c r="AA203" i="5" s="1"/>
  <c r="Y364" i="5"/>
  <c r="AA364" i="5" s="1"/>
  <c r="Y100" i="5"/>
  <c r="AA100" i="5" s="1"/>
  <c r="Y188" i="5"/>
  <c r="Z188" i="5" s="1"/>
  <c r="Y201" i="5"/>
  <c r="AA201" i="5" s="1"/>
  <c r="Y549" i="5"/>
  <c r="Z549" i="5" s="1"/>
  <c r="Y311" i="5"/>
  <c r="Y57" i="5"/>
  <c r="AA57" i="5" s="1"/>
  <c r="Y12" i="5"/>
  <c r="AA12" i="5" s="1"/>
  <c r="AA131" i="5"/>
  <c r="AT108" i="6"/>
  <c r="Y258" i="5"/>
  <c r="Z258" i="5" s="1"/>
  <c r="Y323" i="5"/>
  <c r="Z323" i="5" s="1"/>
  <c r="Y275" i="5"/>
  <c r="Z275" i="5" s="1"/>
  <c r="Y145" i="5"/>
  <c r="AA145" i="5" s="1"/>
  <c r="Y297" i="5"/>
  <c r="Z297" i="5" s="1"/>
  <c r="Y144" i="5"/>
  <c r="AA144" i="5" s="1"/>
  <c r="Y397" i="5"/>
  <c r="Z397" i="5" s="1"/>
  <c r="Y524" i="5"/>
  <c r="AA524" i="5" s="1"/>
  <c r="Y343" i="5"/>
  <c r="AA343" i="5" s="1"/>
  <c r="Y557" i="5"/>
  <c r="Z557" i="5" s="1"/>
  <c r="Y486" i="5"/>
  <c r="AA486" i="5" s="1"/>
  <c r="Y365" i="5"/>
  <c r="Z365" i="5" s="1"/>
  <c r="Y94" i="5"/>
  <c r="Z94" i="5" s="1"/>
  <c r="Y132" i="5"/>
  <c r="AA132" i="5" s="1"/>
  <c r="Y89" i="5"/>
  <c r="Z89" i="5" s="1"/>
  <c r="Y413" i="5"/>
  <c r="AA413" i="5" s="1"/>
  <c r="Y507" i="5"/>
  <c r="AA507" i="5" s="1"/>
  <c r="V132" i="6"/>
  <c r="AT132" i="6"/>
  <c r="U132" i="6"/>
  <c r="V141" i="6"/>
  <c r="AT141" i="6"/>
  <c r="U141" i="6"/>
  <c r="V7" i="6"/>
  <c r="AT7" i="6"/>
  <c r="U7" i="6"/>
  <c r="V143" i="6"/>
  <c r="AT143" i="6"/>
  <c r="U143" i="6"/>
  <c r="V82" i="6"/>
  <c r="AT82" i="6"/>
  <c r="AM14" i="6"/>
  <c r="W14" i="6"/>
  <c r="Y14" i="6" s="1"/>
  <c r="AR14" i="6" s="1"/>
  <c r="V89" i="6"/>
  <c r="U89" i="6"/>
  <c r="V44" i="6"/>
  <c r="AT44" i="6"/>
  <c r="U44" i="6"/>
  <c r="AM121" i="6"/>
  <c r="W121" i="6"/>
  <c r="X121" i="6" s="1"/>
  <c r="V135" i="6"/>
  <c r="AT135" i="6"/>
  <c r="AM102" i="6"/>
  <c r="W102" i="6"/>
  <c r="X102" i="6" s="1"/>
  <c r="AM149" i="6"/>
  <c r="W149" i="6"/>
  <c r="X149" i="6" s="1"/>
  <c r="AM46" i="6"/>
  <c r="W46" i="6"/>
  <c r="X46" i="6" s="1"/>
  <c r="V47" i="6"/>
  <c r="AT47" i="6"/>
  <c r="V48" i="6"/>
  <c r="AT48" i="6"/>
  <c r="U48" i="6"/>
  <c r="W152" i="6"/>
  <c r="X152" i="6" s="1"/>
  <c r="Y68" i="5"/>
  <c r="AA68" i="5" s="1"/>
  <c r="Y468" i="5"/>
  <c r="Z468" i="5" s="1"/>
  <c r="Y550" i="5"/>
  <c r="AA550" i="5" s="1"/>
  <c r="Y267" i="5"/>
  <c r="AA267" i="5" s="1"/>
  <c r="Y417" i="5"/>
  <c r="AA417" i="5" s="1"/>
  <c r="Y487" i="5"/>
  <c r="Z487" i="5" s="1"/>
  <c r="Y390" i="5"/>
  <c r="AA390" i="5" s="1"/>
  <c r="Y425" i="5"/>
  <c r="AA425" i="5" s="1"/>
  <c r="Y511" i="5"/>
  <c r="AA511" i="5" s="1"/>
  <c r="Y206" i="5"/>
  <c r="Z206" i="5" s="1"/>
  <c r="Y327" i="5"/>
  <c r="AA327" i="5" s="1"/>
  <c r="Y276" i="5"/>
  <c r="Z276" i="5" s="1"/>
  <c r="Y86" i="5"/>
  <c r="AA86" i="5" s="1"/>
  <c r="Y384" i="5"/>
  <c r="AA384" i="5" s="1"/>
  <c r="Y558" i="5"/>
  <c r="Z558" i="5" s="1"/>
  <c r="Y443" i="5"/>
  <c r="AA443" i="5" s="1"/>
  <c r="Y410" i="5"/>
  <c r="AA410" i="5" s="1"/>
  <c r="Y73" i="5"/>
  <c r="AA73" i="5" s="1"/>
  <c r="Y286" i="5"/>
  <c r="Z286" i="5" s="1"/>
  <c r="Y330" i="5"/>
  <c r="AA330" i="5" s="1"/>
  <c r="Y254" i="5"/>
  <c r="Z254" i="5" s="1"/>
  <c r="Y173" i="5"/>
  <c r="Z173" i="5" s="1"/>
  <c r="Y400" i="5"/>
  <c r="Z400" i="5" s="1"/>
  <c r="Y85" i="5"/>
  <c r="AA85" i="5" s="1"/>
  <c r="Y59" i="5"/>
  <c r="AA59" i="5" s="1"/>
  <c r="Y211" i="5"/>
  <c r="AA211" i="5" s="1"/>
  <c r="Y273" i="5"/>
  <c r="AA273" i="5" s="1"/>
  <c r="Y482" i="5"/>
  <c r="AA482" i="5" s="1"/>
  <c r="Y542" i="5"/>
  <c r="Z542" i="5" s="1"/>
  <c r="Y66" i="5"/>
  <c r="Z66" i="5" s="1"/>
  <c r="Y77" i="5"/>
  <c r="AA77" i="5" s="1"/>
  <c r="Y49" i="5"/>
  <c r="Z49" i="5" s="1"/>
  <c r="Y335" i="5"/>
  <c r="Z335" i="5" s="1"/>
  <c r="Y496" i="5"/>
  <c r="AA496" i="5" s="1"/>
  <c r="Y473" i="5"/>
  <c r="Z473" i="5" s="1"/>
  <c r="Y266" i="5"/>
  <c r="AA266" i="5" s="1"/>
  <c r="Y56" i="5"/>
  <c r="AA56" i="5" s="1"/>
  <c r="Y334" i="5"/>
  <c r="Z334" i="5" s="1"/>
  <c r="Y279" i="5"/>
  <c r="AA279" i="5" s="1"/>
  <c r="Y531" i="5"/>
  <c r="AA531" i="5" s="1"/>
  <c r="Y516" i="5"/>
  <c r="AA516" i="5" s="1"/>
  <c r="Y234" i="5"/>
  <c r="Z234" i="5" s="1"/>
  <c r="Y162" i="5"/>
  <c r="Z162" i="5" s="1"/>
  <c r="Y74" i="5"/>
  <c r="Z74" i="5" s="1"/>
  <c r="Y355" i="5"/>
  <c r="AA355" i="5" s="1"/>
  <c r="Y530" i="5"/>
  <c r="AA530" i="5" s="1"/>
  <c r="Y340" i="5"/>
  <c r="AA340" i="5" s="1"/>
  <c r="Y44" i="5"/>
  <c r="Z44" i="5" s="1"/>
  <c r="Y277" i="5"/>
  <c r="Z277" i="5" s="1"/>
  <c r="Y220" i="5"/>
  <c r="AA220" i="5" s="1"/>
  <c r="Y136" i="5"/>
  <c r="Y433" i="5"/>
  <c r="Z433" i="5" s="1"/>
  <c r="Y121" i="5"/>
  <c r="AA121" i="5" s="1"/>
  <c r="Y359" i="5"/>
  <c r="AA359" i="5" s="1"/>
  <c r="Y381" i="5"/>
  <c r="Y462" i="5"/>
  <c r="AA462" i="5" s="1"/>
  <c r="Y272" i="5"/>
  <c r="AA272" i="5" s="1"/>
  <c r="Y405" i="5"/>
  <c r="Z405" i="5" s="1"/>
  <c r="Y154" i="5"/>
  <c r="Z154" i="5" s="1"/>
  <c r="Y383" i="5"/>
  <c r="Z383" i="5" s="1"/>
  <c r="Y426" i="5"/>
  <c r="AA426" i="5" s="1"/>
  <c r="Y326" i="5"/>
  <c r="AA326" i="5" s="1"/>
  <c r="Y114" i="5"/>
  <c r="AA114" i="5" s="1"/>
  <c r="Y357" i="5"/>
  <c r="Z357" i="5" s="1"/>
  <c r="Y200" i="5"/>
  <c r="Z200" i="5" s="1"/>
  <c r="Y539" i="5"/>
  <c r="AA539" i="5" s="1"/>
  <c r="Y237" i="5"/>
  <c r="AA237" i="5" s="1"/>
  <c r="Y222" i="5"/>
  <c r="W100" i="6"/>
  <c r="X100" i="6" s="1"/>
  <c r="U52" i="6"/>
  <c r="U94" i="6"/>
  <c r="U19" i="6"/>
  <c r="Y450" i="5"/>
  <c r="Z450" i="5" s="1"/>
  <c r="Y179" i="5"/>
  <c r="AA179" i="5" s="1"/>
  <c r="Y437" i="5"/>
  <c r="AA437" i="5" s="1"/>
  <c r="Y160" i="5"/>
  <c r="Z160" i="5" s="1"/>
  <c r="Y128" i="5"/>
  <c r="AA128" i="5" s="1"/>
  <c r="Y333" i="5"/>
  <c r="Z333" i="5" s="1"/>
  <c r="Y544" i="5"/>
  <c r="AA544" i="5" s="1"/>
  <c r="Y174" i="5"/>
  <c r="AA174" i="5" s="1"/>
  <c r="Y341" i="5"/>
  <c r="Z341" i="5" s="1"/>
  <c r="Y525" i="5"/>
  <c r="Z525" i="5" s="1"/>
  <c r="Y141" i="5"/>
  <c r="AA141" i="5" s="1"/>
  <c r="Y501" i="5"/>
  <c r="AA501" i="5" s="1"/>
  <c r="Y538" i="5"/>
  <c r="Z538" i="5" s="1"/>
  <c r="Y438" i="5"/>
  <c r="AA438" i="5" s="1"/>
  <c r="Y406" i="5"/>
  <c r="AA406" i="5" s="1"/>
  <c r="Y119" i="5"/>
  <c r="AA119" i="5" s="1"/>
  <c r="Y517" i="5"/>
  <c r="AA517" i="5" s="1"/>
  <c r="Y481" i="5"/>
  <c r="AA481" i="5" s="1"/>
  <c r="Y363" i="5"/>
  <c r="AA363" i="5" s="1"/>
  <c r="Y361" i="5"/>
  <c r="AA361" i="5" s="1"/>
  <c r="Y337" i="5"/>
  <c r="Z337" i="5" s="1"/>
  <c r="Y192" i="5"/>
  <c r="AA192" i="5" s="1"/>
  <c r="Y475" i="5"/>
  <c r="Z475" i="5" s="1"/>
  <c r="Y434" i="5"/>
  <c r="Z434" i="5" s="1"/>
  <c r="Y125" i="5"/>
  <c r="AA125" i="5" s="1"/>
  <c r="Y75" i="5"/>
  <c r="Z75" i="5" s="1"/>
  <c r="Y198" i="5"/>
  <c r="Z198" i="5" s="1"/>
  <c r="Y324" i="5"/>
  <c r="Z324" i="5" s="1"/>
  <c r="Y411" i="5"/>
  <c r="AA411" i="5" s="1"/>
  <c r="Y548" i="5"/>
  <c r="AA548" i="5" s="1"/>
  <c r="Y115" i="5"/>
  <c r="Z115" i="5" s="1"/>
  <c r="Y92" i="5"/>
  <c r="AA92" i="5" s="1"/>
  <c r="Y196" i="5"/>
  <c r="AA196" i="5" s="1"/>
  <c r="Y342" i="5"/>
  <c r="Z342" i="5" s="1"/>
  <c r="Y453" i="5"/>
  <c r="AA453" i="5" s="1"/>
  <c r="Y461" i="5"/>
  <c r="Z461" i="5" s="1"/>
  <c r="Y111" i="5"/>
  <c r="AA111" i="5" s="1"/>
  <c r="Y102" i="5"/>
  <c r="Z102" i="5" s="1"/>
  <c r="Y225" i="5"/>
  <c r="AA225" i="5" s="1"/>
  <c r="Y369" i="5"/>
  <c r="AA369" i="5" s="1"/>
  <c r="Y490" i="5"/>
  <c r="AA490" i="5" s="1"/>
  <c r="Y472" i="5"/>
  <c r="Z472" i="5" s="1"/>
  <c r="Y84" i="5"/>
  <c r="Z84" i="5" s="1"/>
  <c r="Y43" i="5"/>
  <c r="AA43" i="5" s="1"/>
  <c r="Y446" i="5"/>
  <c r="AA446" i="5" s="1"/>
  <c r="Y370" i="5"/>
  <c r="AA370" i="5" s="1"/>
  <c r="Y470" i="5"/>
  <c r="AA470" i="5" s="1"/>
  <c r="Y219" i="5"/>
  <c r="AA219" i="5" s="1"/>
  <c r="Y53" i="5"/>
  <c r="AA53" i="5" s="1"/>
  <c r="Y93" i="5"/>
  <c r="AA93" i="5" s="1"/>
  <c r="Y402" i="5"/>
  <c r="AA402" i="5" s="1"/>
  <c r="Y99" i="5"/>
  <c r="AA99" i="5" s="1"/>
  <c r="Y457" i="5"/>
  <c r="AA457" i="5" s="1"/>
  <c r="Y118" i="5"/>
  <c r="Z118" i="5" s="1"/>
  <c r="Y301" i="5"/>
  <c r="Z301" i="5" s="1"/>
  <c r="Y304" i="5"/>
  <c r="AA304" i="5" s="1"/>
  <c r="Y513" i="5"/>
  <c r="Z513" i="5" s="1"/>
  <c r="Y382" i="5"/>
  <c r="Z382" i="5" s="1"/>
  <c r="Y448" i="5"/>
  <c r="AA448" i="5" s="1"/>
  <c r="Y126" i="5"/>
  <c r="Z126" i="5" s="1"/>
  <c r="Y244" i="5"/>
  <c r="Z244" i="5" s="1"/>
  <c r="Y378" i="5"/>
  <c r="AA378" i="5" s="1"/>
  <c r="Y152" i="5"/>
  <c r="Y41" i="5"/>
  <c r="Y293" i="5"/>
  <c r="Y388" i="5"/>
  <c r="Y278" i="5"/>
  <c r="Y488" i="5"/>
  <c r="U35" i="6"/>
  <c r="U145" i="6"/>
  <c r="AT100" i="6"/>
  <c r="U98" i="6"/>
  <c r="W52" i="6"/>
  <c r="X52" i="6" s="1"/>
  <c r="W94" i="6"/>
  <c r="X94" i="6" s="1"/>
  <c r="W19" i="6"/>
  <c r="Y19" i="6" s="1"/>
  <c r="AR19" i="6" s="1"/>
  <c r="U56" i="6"/>
  <c r="Y153" i="5"/>
  <c r="Z153" i="5" s="1"/>
  <c r="Y302" i="5"/>
  <c r="Z302" i="5" s="1"/>
  <c r="Y347" i="5"/>
  <c r="Z347" i="5" s="1"/>
  <c r="Y127" i="5"/>
  <c r="Z127" i="5" s="1"/>
  <c r="Y185" i="5"/>
  <c r="AA185" i="5" s="1"/>
  <c r="Y440" i="5"/>
  <c r="AA440" i="5" s="1"/>
  <c r="Y224" i="5"/>
  <c r="AA224" i="5" s="1"/>
  <c r="Y193" i="5"/>
  <c r="Z193" i="5" s="1"/>
  <c r="Y459" i="5"/>
  <c r="Z459" i="5" s="1"/>
  <c r="Y227" i="5"/>
  <c r="AA227" i="5" s="1"/>
  <c r="Y58" i="5"/>
  <c r="AA58" i="5" s="1"/>
  <c r="Y377" i="5"/>
  <c r="AA377" i="5" s="1"/>
  <c r="Y540" i="5"/>
  <c r="AA540" i="5" s="1"/>
  <c r="Y321" i="5"/>
  <c r="Z321" i="5" s="1"/>
  <c r="Y309" i="5"/>
  <c r="AA309" i="5" s="1"/>
  <c r="Y218" i="5"/>
  <c r="Z218" i="5" s="1"/>
  <c r="Y339" i="5"/>
  <c r="Z339" i="5" s="1"/>
  <c r="Y401" i="5"/>
  <c r="AA401" i="5" s="1"/>
  <c r="Y120" i="5"/>
  <c r="AA120" i="5" s="1"/>
  <c r="Y288" i="5"/>
  <c r="AA288" i="5" s="1"/>
  <c r="Y489" i="5"/>
  <c r="Z489" i="5" s="1"/>
  <c r="Y398" i="5"/>
  <c r="AA398" i="5" s="1"/>
  <c r="Y372" i="5"/>
  <c r="AA372" i="5" s="1"/>
  <c r="Y366" i="5"/>
  <c r="AA366" i="5" s="1"/>
  <c r="Y214" i="5"/>
  <c r="AA214" i="5" s="1"/>
  <c r="Y505" i="5"/>
  <c r="AA505" i="5" s="1"/>
  <c r="Y172" i="5"/>
  <c r="Z172" i="5" s="1"/>
  <c r="Y252" i="5"/>
  <c r="Z252" i="5" s="1"/>
  <c r="Y408" i="5"/>
  <c r="AA408" i="5" s="1"/>
  <c r="Y499" i="5"/>
  <c r="Z499" i="5" s="1"/>
  <c r="Y194" i="5"/>
  <c r="Z194" i="5" s="1"/>
  <c r="Y55" i="5"/>
  <c r="AA55" i="5" s="1"/>
  <c r="Y180" i="5"/>
  <c r="Z180" i="5" s="1"/>
  <c r="Y271" i="5"/>
  <c r="Z271" i="5" s="1"/>
  <c r="Y447" i="5"/>
  <c r="Z447" i="5" s="1"/>
  <c r="Y476" i="5"/>
  <c r="Z476" i="5" s="1"/>
  <c r="Y87" i="5"/>
  <c r="AA87" i="5" s="1"/>
  <c r="Y182" i="5"/>
  <c r="Z182" i="5" s="1"/>
  <c r="Y209" i="5"/>
  <c r="AA209" i="5" s="1"/>
  <c r="Y259" i="5"/>
  <c r="AA259" i="5" s="1"/>
  <c r="Y416" i="5"/>
  <c r="Z416" i="5" s="1"/>
  <c r="Y415" i="5"/>
  <c r="AA415" i="5" s="1"/>
  <c r="Y39" i="5"/>
  <c r="Z39" i="5" s="1"/>
  <c r="Y427" i="5"/>
  <c r="AA427" i="5" s="1"/>
  <c r="Y223" i="5"/>
  <c r="Z223" i="5" s="1"/>
  <c r="Y285" i="5"/>
  <c r="Z285" i="5" s="1"/>
  <c r="Y412" i="5"/>
  <c r="Z412" i="5" s="1"/>
  <c r="Y483" i="5"/>
  <c r="Z483" i="5" s="1"/>
  <c r="Y25" i="5"/>
  <c r="AA25" i="5" s="1"/>
  <c r="Y122" i="5"/>
  <c r="AA122" i="5" s="1"/>
  <c r="Y320" i="5"/>
  <c r="AA320" i="5" s="1"/>
  <c r="Y81" i="5"/>
  <c r="AA81" i="5" s="1"/>
  <c r="Y33" i="5"/>
  <c r="AA33" i="5" s="1"/>
  <c r="Y150" i="5"/>
  <c r="Z150" i="5" s="1"/>
  <c r="Y319" i="5"/>
  <c r="AA319" i="5" s="1"/>
  <c r="Y432" i="5"/>
  <c r="AA432" i="5" s="1"/>
  <c r="Y217" i="5"/>
  <c r="Z217" i="5" s="1"/>
  <c r="Y36" i="5"/>
  <c r="AA36" i="5" s="1"/>
  <c r="Y349" i="5"/>
  <c r="Z349" i="5" s="1"/>
  <c r="Y164" i="5"/>
  <c r="Z164" i="5" s="1"/>
  <c r="Y295" i="5"/>
  <c r="AA295" i="5" s="1"/>
  <c r="Y303" i="5"/>
  <c r="AA303" i="5" s="1"/>
  <c r="Y38" i="5"/>
  <c r="Z38" i="5" s="1"/>
  <c r="Y35" i="5"/>
  <c r="AA35" i="5" s="1"/>
  <c r="Y241" i="5"/>
  <c r="AA241" i="5" s="1"/>
  <c r="Y117" i="5"/>
  <c r="AA117" i="5" s="1"/>
  <c r="Y64" i="5"/>
  <c r="AA64" i="5" s="1"/>
  <c r="W35" i="6"/>
  <c r="Y35" i="6" s="1"/>
  <c r="AR35" i="6" s="1"/>
  <c r="W145" i="6"/>
  <c r="X145" i="6" s="1"/>
  <c r="W98" i="6"/>
  <c r="X98" i="6" s="1"/>
  <c r="AT52" i="6"/>
  <c r="AT94" i="6"/>
  <c r="AT19" i="6"/>
  <c r="W56" i="6"/>
  <c r="X56" i="6" s="1"/>
  <c r="Y208" i="5"/>
  <c r="AA208" i="5" s="1"/>
  <c r="Y506" i="5"/>
  <c r="Z506" i="5" s="1"/>
  <c r="Y469" i="5"/>
  <c r="Z469" i="5" s="1"/>
  <c r="Y157" i="5"/>
  <c r="AA157" i="5" s="1"/>
  <c r="Y348" i="5"/>
  <c r="Z348" i="5" s="1"/>
  <c r="Y374" i="5"/>
  <c r="AA374" i="5" s="1"/>
  <c r="Y161" i="5"/>
  <c r="AA161" i="5" s="1"/>
  <c r="Y350" i="5"/>
  <c r="Z350" i="5" s="1"/>
  <c r="Y376" i="5"/>
  <c r="AA376" i="5" s="1"/>
  <c r="Y268" i="5"/>
  <c r="Z268" i="5" s="1"/>
  <c r="Y233" i="5"/>
  <c r="AA233" i="5" s="1"/>
  <c r="Y291" i="5"/>
  <c r="Z291" i="5" s="1"/>
  <c r="Y97" i="5"/>
  <c r="Z97" i="5" s="1"/>
  <c r="Y502" i="5"/>
  <c r="Z502" i="5" s="1"/>
  <c r="Y454" i="5"/>
  <c r="AA454" i="5" s="1"/>
  <c r="Y28" i="5"/>
  <c r="AA28" i="5" s="1"/>
  <c r="Y451" i="5"/>
  <c r="Z451" i="5" s="1"/>
  <c r="Y519" i="5"/>
  <c r="AA519" i="5" s="1"/>
  <c r="Y238" i="5"/>
  <c r="Z238" i="5" s="1"/>
  <c r="Y346" i="5"/>
  <c r="AA346" i="5" s="1"/>
  <c r="Y420" i="5"/>
  <c r="AA420" i="5" s="1"/>
  <c r="Y148" i="5"/>
  <c r="Z148" i="5" s="1"/>
  <c r="Y294" i="5"/>
  <c r="AA294" i="5" s="1"/>
  <c r="Y492" i="5"/>
  <c r="Z492" i="5" s="1"/>
  <c r="Y60" i="5"/>
  <c r="Z60" i="5" s="1"/>
  <c r="Y455" i="5"/>
  <c r="AA455" i="5" s="1"/>
  <c r="Y212" i="5"/>
  <c r="Z212" i="5" s="1"/>
  <c r="Y67" i="5"/>
  <c r="Z67" i="5" s="1"/>
  <c r="Y386" i="5"/>
  <c r="AA386" i="5" s="1"/>
  <c r="Y351" i="5"/>
  <c r="AA351" i="5" s="1"/>
  <c r="Y322" i="5"/>
  <c r="AA322" i="5" s="1"/>
  <c r="Y78" i="5"/>
  <c r="AA78" i="5" s="1"/>
  <c r="Y190" i="5"/>
  <c r="AA190" i="5" s="1"/>
  <c r="Y257" i="5"/>
  <c r="Z257" i="5" s="1"/>
  <c r="Y395" i="5"/>
  <c r="Z395" i="5" s="1"/>
  <c r="Y523" i="5"/>
  <c r="Z523" i="5" s="1"/>
  <c r="Y317" i="5"/>
  <c r="Y21" i="5"/>
  <c r="Z21" i="5" s="1"/>
  <c r="Y449" i="5"/>
  <c r="Z449" i="5" s="1"/>
  <c r="Y289" i="5"/>
  <c r="AA289" i="5" s="1"/>
  <c r="Y424" i="5"/>
  <c r="Y308" i="5"/>
  <c r="AA308" i="5" s="1"/>
  <c r="Y305" i="5"/>
  <c r="Z305" i="5" s="1"/>
  <c r="Y37" i="5"/>
  <c r="AA37" i="5" s="1"/>
  <c r="Y69" i="5"/>
  <c r="AA69" i="5" s="1"/>
  <c r="Y312" i="5"/>
  <c r="Y393" i="5"/>
  <c r="AA393" i="5" s="1"/>
  <c r="Y158" i="5"/>
  <c r="Z158" i="5" s="1"/>
  <c r="Y245" i="5"/>
  <c r="Z245" i="5" s="1"/>
  <c r="Y133" i="5"/>
  <c r="Z133" i="5" s="1"/>
  <c r="Y284" i="5"/>
  <c r="Y135" i="5"/>
  <c r="AA135" i="5" s="1"/>
  <c r="Y534" i="5"/>
  <c r="Y71" i="5"/>
  <c r="Z71" i="5" s="1"/>
  <c r="Y249" i="5"/>
  <c r="AA249" i="5" s="1"/>
  <c r="Y421" i="5"/>
  <c r="Z421" i="5" s="1"/>
  <c r="Y465" i="5"/>
  <c r="AA465" i="5" s="1"/>
  <c r="Y123" i="5"/>
  <c r="Z123" i="5" s="1"/>
  <c r="Y143" i="5"/>
  <c r="Y175" i="5"/>
  <c r="AA175" i="5" s="1"/>
  <c r="Y336" i="5"/>
  <c r="Z336" i="5" s="1"/>
  <c r="Y460" i="5"/>
  <c r="AA460" i="5" s="1"/>
  <c r="Y124" i="5"/>
  <c r="Y130" i="5"/>
  <c r="Y101" i="5"/>
  <c r="Y109" i="5"/>
  <c r="Y129" i="5"/>
  <c r="U64" i="6"/>
  <c r="AT35" i="6"/>
  <c r="U15" i="6"/>
  <c r="AT145" i="6"/>
  <c r="U123" i="6"/>
  <c r="AT98" i="6"/>
  <c r="U41" i="6"/>
  <c r="AT56" i="6"/>
  <c r="Y155" i="5"/>
  <c r="Z155" i="5" s="1"/>
  <c r="Y392" i="5"/>
  <c r="Z392" i="5" s="1"/>
  <c r="Y368" i="5"/>
  <c r="AA368" i="5" s="1"/>
  <c r="Y210" i="5"/>
  <c r="AA210" i="5" s="1"/>
  <c r="Y541" i="5"/>
  <c r="Z541" i="5" s="1"/>
  <c r="Y494" i="5"/>
  <c r="Z494" i="5" s="1"/>
  <c r="Y213" i="5"/>
  <c r="AA213" i="5" s="1"/>
  <c r="Y280" i="5"/>
  <c r="AA280" i="5" s="1"/>
  <c r="Y504" i="5"/>
  <c r="Z504" i="5" s="1"/>
  <c r="Y165" i="5"/>
  <c r="AA165" i="5" s="1"/>
  <c r="Y387" i="5"/>
  <c r="AA387" i="5" s="1"/>
  <c r="Y404" i="5"/>
  <c r="Z404" i="5" s="1"/>
  <c r="Y207" i="5"/>
  <c r="AA207" i="5" s="1"/>
  <c r="Y338" i="5"/>
  <c r="AA338" i="5" s="1"/>
  <c r="Y329" i="5"/>
  <c r="Z329" i="5" s="1"/>
  <c r="Y189" i="5"/>
  <c r="Z189" i="5" s="1"/>
  <c r="Y518" i="5"/>
  <c r="AA518" i="5" s="1"/>
  <c r="Y19" i="5"/>
  <c r="Z19" i="5" s="1"/>
  <c r="Y34" i="5"/>
  <c r="Z34" i="5" s="1"/>
  <c r="Y458" i="5"/>
  <c r="AA458" i="5" s="1"/>
  <c r="Y526" i="5"/>
  <c r="AA526" i="5" s="1"/>
  <c r="Y255" i="5"/>
  <c r="Z255" i="5" s="1"/>
  <c r="Y358" i="5"/>
  <c r="AA358" i="5" s="1"/>
  <c r="Y435" i="5"/>
  <c r="Z435" i="5" s="1"/>
  <c r="Y112" i="5"/>
  <c r="AA112" i="5" s="1"/>
  <c r="Y48" i="5"/>
  <c r="Z48" i="5" s="1"/>
  <c r="Y187" i="5"/>
  <c r="AA187" i="5" s="1"/>
  <c r="Y344" i="5"/>
  <c r="AA344" i="5" s="1"/>
  <c r="Y474" i="5"/>
  <c r="AA474" i="5" s="1"/>
  <c r="Y533" i="5"/>
  <c r="AA533" i="5" s="1"/>
  <c r="Y108" i="5"/>
  <c r="AA108" i="5" s="1"/>
  <c r="Y480" i="5"/>
  <c r="Z480" i="5" s="1"/>
  <c r="Y166" i="5"/>
  <c r="AA166" i="5" s="1"/>
  <c r="Y356" i="5"/>
  <c r="AA356" i="5" s="1"/>
  <c r="Y90" i="5"/>
  <c r="Z90" i="5" s="1"/>
  <c r="Y535" i="5"/>
  <c r="AA535" i="5" s="1"/>
  <c r="Y105" i="5"/>
  <c r="AA105" i="5" s="1"/>
  <c r="Y467" i="5"/>
  <c r="AA467" i="5" s="1"/>
  <c r="Y183" i="5"/>
  <c r="AA183" i="5" s="1"/>
  <c r="Y61" i="5"/>
  <c r="AA61" i="5" s="1"/>
  <c r="Y228" i="5"/>
  <c r="AA228" i="5" s="1"/>
  <c r="Y247" i="5"/>
  <c r="AA247" i="5" s="1"/>
  <c r="Y95" i="5"/>
  <c r="AA95" i="5" s="1"/>
  <c r="Y389" i="5"/>
  <c r="Z389" i="5" s="1"/>
  <c r="Y186" i="5"/>
  <c r="AA186" i="5" s="1"/>
  <c r="Y138" i="5"/>
  <c r="AA138" i="5" s="1"/>
  <c r="Y380" i="5"/>
  <c r="Z380" i="5" s="1"/>
  <c r="Y82" i="5"/>
  <c r="AA82" i="5" s="1"/>
  <c r="Y80" i="5"/>
  <c r="Z80" i="5" s="1"/>
  <c r="Y47" i="5"/>
  <c r="Z47" i="5" s="1"/>
  <c r="Y169" i="5"/>
  <c r="AA169" i="5" s="1"/>
  <c r="Y156" i="5"/>
  <c r="Z156" i="5" s="1"/>
  <c r="Y151" i="5"/>
  <c r="AA151" i="5" s="1"/>
  <c r="Y264" i="5"/>
  <c r="Z264" i="5" s="1"/>
  <c r="Y371" i="5"/>
  <c r="Z371" i="5" s="1"/>
  <c r="Y508" i="5"/>
  <c r="AA508" i="5" s="1"/>
  <c r="Y495" i="5"/>
  <c r="AA495" i="5" s="1"/>
  <c r="Y103" i="5"/>
  <c r="AA103" i="5" s="1"/>
  <c r="Y83" i="5"/>
  <c r="AA83" i="5" s="1"/>
  <c r="Y113" i="5"/>
  <c r="AA113" i="5" s="1"/>
  <c r="Y260" i="5"/>
  <c r="AA260" i="5" s="1"/>
  <c r="Y418" i="5"/>
  <c r="AA418" i="5" s="1"/>
  <c r="Y328" i="5"/>
  <c r="Z328" i="5" s="1"/>
  <c r="Y545" i="5"/>
  <c r="Z545" i="5" s="1"/>
  <c r="Y27" i="5"/>
  <c r="Z27" i="5" s="1"/>
  <c r="Y134" i="5"/>
  <c r="Z134" i="5" s="1"/>
  <c r="Y352" i="5"/>
  <c r="AA352" i="5" s="1"/>
  <c r="W64" i="6"/>
  <c r="X64" i="6" s="1"/>
  <c r="W15" i="6"/>
  <c r="Y15" i="6" s="1"/>
  <c r="AR15" i="6" s="1"/>
  <c r="W123" i="6"/>
  <c r="X123" i="6" s="1"/>
  <c r="W41" i="6"/>
  <c r="X41" i="6" s="1"/>
  <c r="AJ41" i="6" s="1"/>
  <c r="Y176" i="5"/>
  <c r="AA176" i="5" s="1"/>
  <c r="Y313" i="5"/>
  <c r="Z313" i="5" s="1"/>
  <c r="Y503" i="5"/>
  <c r="Z503" i="5" s="1"/>
  <c r="Y191" i="5"/>
  <c r="AA191" i="5" s="1"/>
  <c r="Y409" i="5"/>
  <c r="AA409" i="5" s="1"/>
  <c r="Y423" i="5"/>
  <c r="AA423" i="5" s="1"/>
  <c r="Y23" i="5"/>
  <c r="AA23" i="5" s="1"/>
  <c r="Y414" i="5"/>
  <c r="AA414" i="5" s="1"/>
  <c r="Y430" i="5"/>
  <c r="AA430" i="5" s="1"/>
  <c r="Y221" i="5"/>
  <c r="AA221" i="5" s="1"/>
  <c r="Y299" i="5"/>
  <c r="AA299" i="5" s="1"/>
  <c r="Y536" i="5"/>
  <c r="Z536" i="5" s="1"/>
  <c r="Y26" i="5"/>
  <c r="Z26" i="5" s="1"/>
  <c r="Y442" i="5"/>
  <c r="Z442" i="5" s="1"/>
  <c r="Y527" i="5"/>
  <c r="AA527" i="5" s="1"/>
  <c r="Y98" i="5"/>
  <c r="AA98" i="5" s="1"/>
  <c r="Y394" i="5"/>
  <c r="Z394" i="5" s="1"/>
  <c r="Y139" i="5"/>
  <c r="Z139" i="5" s="1"/>
  <c r="Y202" i="5"/>
  <c r="Z202" i="5" s="1"/>
  <c r="Y521" i="5"/>
  <c r="Z521" i="5" s="1"/>
  <c r="Y529" i="5"/>
  <c r="Z529" i="5" s="1"/>
  <c r="Y42" i="5"/>
  <c r="AA42" i="5" s="1"/>
  <c r="Y466" i="5"/>
  <c r="AA466" i="5" s="1"/>
  <c r="Y532" i="5"/>
  <c r="Z532" i="5" s="1"/>
  <c r="Y76" i="5"/>
  <c r="AA76" i="5" s="1"/>
  <c r="Y91" i="5"/>
  <c r="AA91" i="5" s="1"/>
  <c r="Y116" i="5"/>
  <c r="AA116" i="5" s="1"/>
  <c r="Y269" i="5"/>
  <c r="Z269" i="5" s="1"/>
  <c r="Y436" i="5"/>
  <c r="Z436" i="5" s="1"/>
  <c r="Y497" i="5"/>
  <c r="AA497" i="5" s="1"/>
  <c r="Y62" i="5"/>
  <c r="Z62" i="5" s="1"/>
  <c r="Y29" i="5"/>
  <c r="Z29" i="5" s="1"/>
  <c r="Y159" i="5"/>
  <c r="AA159" i="5" s="1"/>
  <c r="Y354" i="5"/>
  <c r="Z354" i="5" s="1"/>
  <c r="Y464" i="5"/>
  <c r="AA464" i="5" s="1"/>
  <c r="Y484" i="5"/>
  <c r="AA484" i="5" s="1"/>
  <c r="Y72" i="5"/>
  <c r="AA72" i="5" s="1"/>
  <c r="Y32" i="5"/>
  <c r="AA32" i="5" s="1"/>
  <c r="Y204" i="5"/>
  <c r="AA204" i="5" s="1"/>
  <c r="Y307" i="5"/>
  <c r="AA307" i="5" s="1"/>
  <c r="Y298" i="5"/>
  <c r="AA298" i="5" s="1"/>
  <c r="Y385" i="5"/>
  <c r="AA385" i="5" s="1"/>
  <c r="Y70" i="5"/>
  <c r="AA70" i="5" s="1"/>
  <c r="Y51" i="5"/>
  <c r="AA51" i="5" s="1"/>
  <c r="Y199" i="5"/>
  <c r="AA199" i="5" s="1"/>
  <c r="Y332" i="5"/>
  <c r="AA332" i="5" s="1"/>
  <c r="Y373" i="5"/>
  <c r="Z373" i="5" s="1"/>
  <c r="Y31" i="5"/>
  <c r="AA31" i="5" s="1"/>
  <c r="Y46" i="5"/>
  <c r="AA46" i="5" s="1"/>
  <c r="Y235" i="5"/>
  <c r="AA235" i="5" s="1"/>
  <c r="Y104" i="5"/>
  <c r="Z104" i="5" s="1"/>
  <c r="Y40" i="5"/>
  <c r="AA40" i="5" s="1"/>
  <c r="Y146" i="5"/>
  <c r="Z146" i="5" s="1"/>
  <c r="Y265" i="5"/>
  <c r="Z265" i="5" s="1"/>
  <c r="Y391" i="5"/>
  <c r="Z391" i="5" s="1"/>
  <c r="Y478" i="5"/>
  <c r="AA478" i="5" s="1"/>
  <c r="Y168" i="5"/>
  <c r="AA168" i="5" s="1"/>
  <c r="Y514" i="5"/>
  <c r="AA514" i="5" s="1"/>
  <c r="Y30" i="5"/>
  <c r="Z30" i="5" s="1"/>
  <c r="Y318" i="5"/>
  <c r="Z318" i="5" s="1"/>
  <c r="Y242" i="5"/>
  <c r="AA242" i="5" s="1"/>
  <c r="Y520" i="5"/>
  <c r="AA520" i="5" s="1"/>
  <c r="Y419" i="5"/>
  <c r="AA419" i="5" s="1"/>
  <c r="Y310" i="5"/>
  <c r="AA310" i="5" s="1"/>
  <c r="Y239" i="5"/>
  <c r="AA239" i="5" s="1"/>
  <c r="Y429" i="5"/>
  <c r="AA429" i="5" s="1"/>
  <c r="Y559" i="5"/>
  <c r="AA559" i="5" s="1"/>
  <c r="U13" i="6"/>
  <c r="AT137" i="6"/>
  <c r="U40" i="6"/>
  <c r="U11" i="6"/>
  <c r="U155" i="6"/>
  <c r="AT13" i="6"/>
  <c r="W144" i="6"/>
  <c r="X144" i="6" s="1"/>
  <c r="W115" i="6"/>
  <c r="X115" i="6" s="1"/>
  <c r="W151" i="6"/>
  <c r="X151" i="6" s="1"/>
  <c r="W90" i="6"/>
  <c r="X90" i="6" s="1"/>
  <c r="W22" i="6"/>
  <c r="Y22" i="6" s="1"/>
  <c r="AR22" i="6" s="1"/>
  <c r="U96" i="6"/>
  <c r="AT40" i="6"/>
  <c r="AT11" i="6"/>
  <c r="AT155" i="6"/>
  <c r="W40" i="6"/>
  <c r="X40" i="6" s="1"/>
  <c r="W11" i="6"/>
  <c r="Y11" i="6" s="1"/>
  <c r="AR11" i="6" s="1"/>
  <c r="U63" i="6"/>
  <c r="U150" i="6"/>
  <c r="AT144" i="6"/>
  <c r="AT115" i="6"/>
  <c r="AT151" i="6"/>
  <c r="AT90" i="6"/>
  <c r="AT22" i="6"/>
  <c r="W96" i="6"/>
  <c r="X96" i="6" s="1"/>
  <c r="Y54" i="5"/>
  <c r="Z54" i="5" s="1"/>
  <c r="Y22" i="5"/>
  <c r="AT63" i="6"/>
  <c r="AT150" i="6"/>
  <c r="U137" i="6"/>
  <c r="AE137" i="6" s="1"/>
  <c r="W86" i="8"/>
  <c r="Y86" i="8" s="1"/>
  <c r="AR86" i="8" s="1"/>
  <c r="W134" i="8"/>
  <c r="Y134" i="8" s="1"/>
  <c r="AR134" i="8" s="1"/>
  <c r="P50" i="5"/>
  <c r="Q50" i="5" s="1"/>
  <c r="P313" i="5"/>
  <c r="Q313" i="5" s="1"/>
  <c r="P136" i="5"/>
  <c r="Q136" i="5" s="1"/>
  <c r="P143" i="5"/>
  <c r="Q143" i="5" s="1"/>
  <c r="P462" i="5"/>
  <c r="R462" i="5" s="1"/>
  <c r="P401" i="5"/>
  <c r="Q401" i="5" s="1"/>
  <c r="P58" i="5"/>
  <c r="Q58" i="5" s="1"/>
  <c r="P329" i="5"/>
  <c r="R329" i="5" s="1"/>
  <c r="P149" i="5"/>
  <c r="Q149" i="5" s="1"/>
  <c r="P229" i="5"/>
  <c r="Q229" i="5" s="1"/>
  <c r="P483" i="5"/>
  <c r="Q483" i="5" s="1"/>
  <c r="P458" i="5"/>
  <c r="R458" i="5" s="1"/>
  <c r="P305" i="5"/>
  <c r="R305" i="5" s="1"/>
  <c r="P108" i="5"/>
  <c r="R108" i="5" s="1"/>
  <c r="P165" i="5"/>
  <c r="P197" i="5"/>
  <c r="Q197" i="5" s="1"/>
  <c r="P182" i="5"/>
  <c r="R182" i="5" s="1"/>
  <c r="P412" i="5"/>
  <c r="R412" i="5" s="1"/>
  <c r="P389" i="5"/>
  <c r="Q389" i="5" s="1"/>
  <c r="P110" i="5"/>
  <c r="Q110" i="5" s="1"/>
  <c r="P31" i="5"/>
  <c r="R31" i="5" s="1"/>
  <c r="P230" i="5"/>
  <c r="Q230" i="5" s="1"/>
  <c r="P306" i="5"/>
  <c r="P321" i="5"/>
  <c r="R321" i="5" s="1"/>
  <c r="P502" i="5"/>
  <c r="R502" i="5" s="1"/>
  <c r="P479" i="5"/>
  <c r="R479" i="5" s="1"/>
  <c r="P48" i="5"/>
  <c r="R48" i="5" s="1"/>
  <c r="P234" i="5"/>
  <c r="R234" i="5" s="1"/>
  <c r="P174" i="5"/>
  <c r="R174" i="5" s="1"/>
  <c r="P358" i="5"/>
  <c r="Q358" i="5" s="1"/>
  <c r="P524" i="5"/>
  <c r="Q524" i="5" s="1"/>
  <c r="P377" i="5"/>
  <c r="R377" i="5" s="1"/>
  <c r="P379" i="5"/>
  <c r="Q379" i="5" s="1"/>
  <c r="P327" i="5"/>
  <c r="R327" i="5" s="1"/>
  <c r="P352" i="5"/>
  <c r="Q352" i="5" s="1"/>
  <c r="P21" i="5"/>
  <c r="Q21" i="5" s="1"/>
  <c r="P383" i="5"/>
  <c r="R383" i="5" s="1"/>
  <c r="P315" i="5"/>
  <c r="R315" i="5" s="1"/>
  <c r="P296" i="5"/>
  <c r="P307" i="5"/>
  <c r="R307" i="5" s="1"/>
  <c r="P392" i="5"/>
  <c r="Q392" i="5" s="1"/>
  <c r="P370" i="5"/>
  <c r="R370" i="5" s="1"/>
  <c r="P141" i="5"/>
  <c r="R141" i="5" s="1"/>
  <c r="P179" i="5"/>
  <c r="R179" i="5" s="1"/>
  <c r="P239" i="5"/>
  <c r="R239" i="5" s="1"/>
  <c r="P354" i="5"/>
  <c r="R354" i="5" s="1"/>
  <c r="P146" i="5"/>
  <c r="P220" i="5"/>
  <c r="Q220" i="5" s="1"/>
  <c r="P83" i="5"/>
  <c r="Q83" i="5" s="1"/>
  <c r="P263" i="5"/>
  <c r="R263" i="5" s="1"/>
  <c r="P215" i="5"/>
  <c r="P28" i="5"/>
  <c r="Q28" i="5" s="1"/>
  <c r="P528" i="5"/>
  <c r="R528" i="5" s="1"/>
  <c r="P57" i="5"/>
  <c r="Q57" i="5" s="1"/>
  <c r="P86" i="5"/>
  <c r="R86" i="5" s="1"/>
  <c r="P270" i="5"/>
  <c r="R270" i="5" s="1"/>
  <c r="P273" i="5"/>
  <c r="Q273" i="5" s="1"/>
  <c r="P98" i="5"/>
  <c r="R98" i="5" s="1"/>
  <c r="P177" i="5"/>
  <c r="R177" i="5" s="1"/>
  <c r="P366" i="5"/>
  <c r="R366" i="5" s="1"/>
  <c r="P241" i="5"/>
  <c r="Q241" i="5" s="1"/>
  <c r="P413" i="5"/>
  <c r="R413" i="5" s="1"/>
  <c r="P316" i="5"/>
  <c r="P245" i="5"/>
  <c r="Q245" i="5" s="1"/>
  <c r="P250" i="5"/>
  <c r="R250" i="5" s="1"/>
  <c r="P409" i="5"/>
  <c r="Q409" i="5" s="1"/>
  <c r="P415" i="5"/>
  <c r="R415" i="5" s="1"/>
  <c r="P508" i="5"/>
  <c r="R508" i="5" s="1"/>
  <c r="P422" i="5"/>
  <c r="R422" i="5" s="1"/>
  <c r="P406" i="5"/>
  <c r="R406" i="5" s="1"/>
  <c r="P382" i="5"/>
  <c r="P517" i="5"/>
  <c r="R517" i="5" s="1"/>
  <c r="P454" i="5"/>
  <c r="R454" i="5" s="1"/>
  <c r="P385" i="5"/>
  <c r="R385" i="5" s="1"/>
  <c r="P39" i="5"/>
  <c r="R39" i="5" s="1"/>
  <c r="P23" i="5"/>
  <c r="R23" i="5" s="1"/>
  <c r="P303" i="5"/>
  <c r="R303" i="5" s="1"/>
  <c r="P168" i="5"/>
  <c r="Q168" i="5" s="1"/>
  <c r="P203" i="5"/>
  <c r="Q203" i="5" s="1"/>
  <c r="P446" i="5"/>
  <c r="R446" i="5" s="1"/>
  <c r="P268" i="5"/>
  <c r="R268" i="5" s="1"/>
  <c r="P521" i="5"/>
  <c r="R521" i="5" s="1"/>
  <c r="P546" i="5"/>
  <c r="P295" i="5"/>
  <c r="R295" i="5" s="1"/>
  <c r="P289" i="5"/>
  <c r="R289" i="5" s="1"/>
  <c r="P442" i="5"/>
  <c r="R442" i="5" s="1"/>
  <c r="P418" i="5"/>
  <c r="P523" i="5"/>
  <c r="R523" i="5" s="1"/>
  <c r="P471" i="5"/>
  <c r="Q471" i="5" s="1"/>
  <c r="P417" i="5"/>
  <c r="R417" i="5" s="1"/>
  <c r="P390" i="5"/>
  <c r="Q390" i="5" s="1"/>
  <c r="P532" i="5"/>
  <c r="R532" i="5" s="1"/>
  <c r="P469" i="5"/>
  <c r="R469" i="5" s="1"/>
  <c r="P428" i="5"/>
  <c r="R428" i="5" s="1"/>
  <c r="P542" i="5"/>
  <c r="P347" i="5"/>
  <c r="Q347" i="5" s="1"/>
  <c r="P545" i="5"/>
  <c r="R545" i="5" s="1"/>
  <c r="P540" i="5"/>
  <c r="Q540" i="5" s="1"/>
  <c r="P253" i="5"/>
  <c r="Q253" i="5" s="1"/>
  <c r="P554" i="5"/>
  <c r="R554" i="5" s="1"/>
  <c r="P481" i="5"/>
  <c r="R481" i="5" s="1"/>
  <c r="P272" i="5"/>
  <c r="Q272" i="5" s="1"/>
  <c r="P331" i="5"/>
  <c r="Q331" i="5" s="1"/>
  <c r="P326" i="5"/>
  <c r="Q326" i="5" s="1"/>
  <c r="P92" i="5"/>
  <c r="Q92" i="5" s="1"/>
  <c r="P371" i="5"/>
  <c r="Q371" i="5" s="1"/>
  <c r="P183" i="5"/>
  <c r="R183" i="5" s="1"/>
  <c r="P54" i="5"/>
  <c r="R54" i="5" s="1"/>
  <c r="P121" i="5"/>
  <c r="Q121" i="5" s="1"/>
  <c r="P133" i="5"/>
  <c r="Q133" i="5" s="1"/>
  <c r="P186" i="5"/>
  <c r="P224" i="5"/>
  <c r="R224" i="5" s="1"/>
  <c r="P175" i="5"/>
  <c r="Q175" i="5" s="1"/>
  <c r="P32" i="5"/>
  <c r="R32" i="5" s="1"/>
  <c r="P237" i="5"/>
  <c r="R237" i="5" s="1"/>
  <c r="P85" i="5"/>
  <c r="R85" i="5" s="1"/>
  <c r="P82" i="5"/>
  <c r="R82" i="5" s="1"/>
  <c r="P42" i="5"/>
  <c r="Q42" i="5" s="1"/>
  <c r="P49" i="5"/>
  <c r="P214" i="5"/>
  <c r="R214" i="5" s="1"/>
  <c r="P222" i="5"/>
  <c r="Q222" i="5" s="1"/>
  <c r="P496" i="5"/>
  <c r="Q496" i="5" s="1"/>
  <c r="P279" i="5"/>
  <c r="Q279" i="5" s="1"/>
  <c r="P184" i="5"/>
  <c r="Q184" i="5" s="1"/>
  <c r="P119" i="5"/>
  <c r="R119" i="5" s="1"/>
  <c r="P310" i="5"/>
  <c r="R310" i="5" s="1"/>
  <c r="P299" i="5"/>
  <c r="Q299" i="5" s="1"/>
  <c r="P503" i="5"/>
  <c r="Q503" i="5" s="1"/>
  <c r="P425" i="5"/>
  <c r="Q425" i="5" s="1"/>
  <c r="P525" i="5"/>
  <c r="R525" i="5" s="1"/>
  <c r="P491" i="5"/>
  <c r="R491" i="5" s="1"/>
  <c r="P430" i="5"/>
  <c r="Q430" i="5" s="1"/>
  <c r="P397" i="5"/>
  <c r="Q397" i="5" s="1"/>
  <c r="P19" i="5"/>
  <c r="Q19" i="5" s="1"/>
  <c r="P475" i="5"/>
  <c r="P449" i="5"/>
  <c r="Q449" i="5" s="1"/>
  <c r="P547" i="5"/>
  <c r="R547" i="5" s="1"/>
  <c r="P243" i="5"/>
  <c r="R243" i="5" s="1"/>
  <c r="P169" i="5"/>
  <c r="R169" i="5" s="1"/>
  <c r="P152" i="5"/>
  <c r="Q152" i="5" s="1"/>
  <c r="P344" i="5"/>
  <c r="R344" i="5" s="1"/>
  <c r="P535" i="5"/>
  <c r="Q535" i="5" s="1"/>
  <c r="P466" i="5"/>
  <c r="P330" i="5"/>
  <c r="R330" i="5" s="1"/>
  <c r="P510" i="5"/>
  <c r="Q510" i="5" s="1"/>
  <c r="P505" i="5"/>
  <c r="Q505" i="5" s="1"/>
  <c r="P426" i="5"/>
  <c r="Q426" i="5" s="1"/>
  <c r="P349" i="5"/>
  <c r="Q349" i="5" s="1"/>
  <c r="P507" i="5"/>
  <c r="Q507" i="5" s="1"/>
  <c r="P518" i="5"/>
  <c r="Q518" i="5" s="1"/>
  <c r="P153" i="5"/>
  <c r="R153" i="5" s="1"/>
  <c r="P246" i="5"/>
  <c r="R246" i="5" s="1"/>
  <c r="P180" i="5"/>
  <c r="R180" i="5" s="1"/>
  <c r="P160" i="5"/>
  <c r="Q160" i="5" s="1"/>
  <c r="P342" i="5"/>
  <c r="R342" i="5" s="1"/>
  <c r="P336" i="5"/>
  <c r="R336" i="5" s="1"/>
  <c r="P473" i="5"/>
  <c r="R473" i="5" s="1"/>
  <c r="P367" i="5"/>
  <c r="Q367" i="5" s="1"/>
  <c r="P515" i="5"/>
  <c r="P356" i="5"/>
  <c r="Q356" i="5" s="1"/>
  <c r="P451" i="5"/>
  <c r="Q451" i="5" s="1"/>
  <c r="P350" i="5"/>
  <c r="Q350" i="5" s="1"/>
  <c r="P346" i="5"/>
  <c r="Q346" i="5" s="1"/>
  <c r="P536" i="5"/>
  <c r="R536" i="5" s="1"/>
  <c r="P8" i="5"/>
  <c r="R8" i="5" s="1"/>
  <c r="N11" i="5"/>
  <c r="P533" i="5"/>
  <c r="P395" i="5"/>
  <c r="R395" i="5" s="1"/>
  <c r="P378" i="5"/>
  <c r="Q378" i="5" s="1"/>
  <c r="P328" i="5"/>
  <c r="Q328" i="5" s="1"/>
  <c r="P452" i="5"/>
  <c r="R452" i="5" s="1"/>
  <c r="P472" i="5"/>
  <c r="R472" i="5" s="1"/>
  <c r="P403" i="5"/>
  <c r="Q403" i="5" s="1"/>
  <c r="P381" i="5"/>
  <c r="Q381" i="5" s="1"/>
  <c r="P69" i="5"/>
  <c r="Q69" i="5" s="1"/>
  <c r="P429" i="5"/>
  <c r="R429" i="5" s="1"/>
  <c r="P201" i="5"/>
  <c r="Q201" i="5" s="1"/>
  <c r="P247" i="5"/>
  <c r="R247" i="5" s="1"/>
  <c r="P285" i="5"/>
  <c r="Q285" i="5" s="1"/>
  <c r="P396" i="5"/>
  <c r="R396" i="5" s="1"/>
  <c r="P147" i="5"/>
  <c r="R147" i="5" s="1"/>
  <c r="P195" i="5"/>
  <c r="Q195" i="5" s="1"/>
  <c r="P37" i="5"/>
  <c r="P61" i="5"/>
  <c r="Q61" i="5" s="1"/>
  <c r="P248" i="5"/>
  <c r="R248" i="5" s="1"/>
  <c r="P44" i="5"/>
  <c r="R44" i="5" s="1"/>
  <c r="P202" i="5"/>
  <c r="R202" i="5" s="1"/>
  <c r="P320" i="5"/>
  <c r="Q320" i="5" s="1"/>
  <c r="P291" i="5"/>
  <c r="Q291" i="5" s="1"/>
  <c r="P65" i="5"/>
  <c r="Q65" i="5" s="1"/>
  <c r="P210" i="5"/>
  <c r="P81" i="5"/>
  <c r="R81" i="5" s="1"/>
  <c r="P172" i="5"/>
  <c r="R172" i="5" s="1"/>
  <c r="P309" i="5"/>
  <c r="R309" i="5" s="1"/>
  <c r="P219" i="5"/>
  <c r="R219" i="5" s="1"/>
  <c r="P294" i="5"/>
  <c r="Q294" i="5" s="1"/>
  <c r="P267" i="5"/>
  <c r="Q267" i="5" s="1"/>
  <c r="P238" i="5"/>
  <c r="Q238" i="5" s="1"/>
  <c r="P213" i="5"/>
  <c r="Q213" i="5" s="1"/>
  <c r="P365" i="5"/>
  <c r="R365" i="5" s="1"/>
  <c r="P405" i="5"/>
  <c r="Q405" i="5" s="1"/>
  <c r="P487" i="5"/>
  <c r="R487" i="5" s="1"/>
  <c r="P414" i="5"/>
  <c r="R414" i="5" s="1"/>
  <c r="P398" i="5"/>
  <c r="R398" i="5" s="1"/>
  <c r="P372" i="5"/>
  <c r="Q372" i="5" s="1"/>
  <c r="P509" i="5"/>
  <c r="Q509" i="5" s="1"/>
  <c r="P432" i="5"/>
  <c r="P384" i="5"/>
  <c r="Q384" i="5" s="1"/>
  <c r="P556" i="5"/>
  <c r="R556" i="5" s="1"/>
  <c r="U38" i="8"/>
  <c r="W38" i="8"/>
  <c r="X38" i="8" s="1"/>
  <c r="U102" i="8"/>
  <c r="W102" i="8"/>
  <c r="Y102" i="8" s="1"/>
  <c r="AR102" i="8" s="1"/>
  <c r="AT102" i="8"/>
  <c r="Z331" i="5"/>
  <c r="B234" i="3"/>
  <c r="B114" i="3"/>
  <c r="AA431" i="5"/>
  <c r="AE128" i="8"/>
  <c r="X108" i="8"/>
  <c r="AE107" i="8"/>
  <c r="AE23" i="8"/>
  <c r="Z23" i="8"/>
  <c r="AN23" i="8" s="1"/>
  <c r="AA23" i="8"/>
  <c r="AE95" i="8"/>
  <c r="AA95" i="8"/>
  <c r="Z95" i="8"/>
  <c r="AN95" i="8" s="1"/>
  <c r="AE127" i="8"/>
  <c r="AA127" i="8"/>
  <c r="Z127" i="8"/>
  <c r="AN127" i="8" s="1"/>
  <c r="AE100" i="8"/>
  <c r="AE62" i="8"/>
  <c r="AE15" i="8"/>
  <c r="AA15" i="8"/>
  <c r="Z15" i="8"/>
  <c r="AN15" i="8" s="1"/>
  <c r="X96" i="8"/>
  <c r="X157" i="8"/>
  <c r="X39" i="8"/>
  <c r="AE44" i="8"/>
  <c r="AA44" i="8"/>
  <c r="Z44" i="8"/>
  <c r="AN44" i="8" s="1"/>
  <c r="AE122" i="8"/>
  <c r="Z122" i="8"/>
  <c r="AN122" i="8" s="1"/>
  <c r="AA122" i="8"/>
  <c r="X83" i="8"/>
  <c r="AE32" i="8"/>
  <c r="AA32" i="8"/>
  <c r="Z32" i="8"/>
  <c r="AN32" i="8" s="1"/>
  <c r="X43" i="8"/>
  <c r="X65" i="8"/>
  <c r="X23" i="8"/>
  <c r="X131" i="8"/>
  <c r="X95" i="8"/>
  <c r="X127" i="8"/>
  <c r="X15" i="8"/>
  <c r="AE117" i="8"/>
  <c r="AA117" i="8"/>
  <c r="Z117" i="8"/>
  <c r="AN117" i="8" s="1"/>
  <c r="AE97" i="8"/>
  <c r="AE87" i="8"/>
  <c r="X119" i="8"/>
  <c r="AE56" i="8"/>
  <c r="AE135" i="8"/>
  <c r="AE111" i="8"/>
  <c r="AA111" i="8"/>
  <c r="Z111" i="8"/>
  <c r="AN111" i="8" s="1"/>
  <c r="X53" i="8"/>
  <c r="AE18" i="8"/>
  <c r="Z18" i="8"/>
  <c r="AN18" i="8" s="1"/>
  <c r="AA18" i="8"/>
  <c r="X85" i="8"/>
  <c r="Y157" i="8"/>
  <c r="AR157" i="8" s="1"/>
  <c r="X118" i="8"/>
  <c r="X75" i="8"/>
  <c r="X32" i="8"/>
  <c r="AE43" i="8"/>
  <c r="X128" i="8"/>
  <c r="X107" i="8"/>
  <c r="X97" i="8"/>
  <c r="X87" i="8"/>
  <c r="AE119" i="8"/>
  <c r="X56" i="8"/>
  <c r="X29" i="8"/>
  <c r="AA8" i="8"/>
  <c r="X135" i="8"/>
  <c r="X94" i="8"/>
  <c r="AE53" i="8"/>
  <c r="AE47" i="8"/>
  <c r="X70" i="8"/>
  <c r="Z152" i="8"/>
  <c r="AN152" i="8" s="1"/>
  <c r="X82" i="8"/>
  <c r="AE66" i="8"/>
  <c r="Z66" i="8"/>
  <c r="AN66" i="8" s="1"/>
  <c r="AA66" i="8"/>
  <c r="AE103" i="8"/>
  <c r="AA103" i="8"/>
  <c r="Z103" i="8"/>
  <c r="AN103" i="8" s="1"/>
  <c r="AE26" i="8"/>
  <c r="Z26" i="8"/>
  <c r="AN26" i="8" s="1"/>
  <c r="AA26" i="8"/>
  <c r="X36" i="8"/>
  <c r="Y39" i="8"/>
  <c r="AR39" i="8" s="1"/>
  <c r="X122" i="8"/>
  <c r="Y83" i="8"/>
  <c r="AR83" i="8" s="1"/>
  <c r="Y43" i="8"/>
  <c r="AR43" i="8" s="1"/>
  <c r="P10" i="5"/>
  <c r="Q10" i="5" s="1"/>
  <c r="P552" i="5"/>
  <c r="R552" i="5" s="1"/>
  <c r="P511" i="5"/>
  <c r="Q511" i="5" s="1"/>
  <c r="P280" i="5"/>
  <c r="R280" i="5" s="1"/>
  <c r="P493" i="5"/>
  <c r="R493" i="5" s="1"/>
  <c r="P513" i="5"/>
  <c r="Q513" i="5" s="1"/>
  <c r="P208" i="5"/>
  <c r="R208" i="5" s="1"/>
  <c r="P492" i="5"/>
  <c r="R492" i="5" s="1"/>
  <c r="P314" i="5"/>
  <c r="Q314" i="5" s="1"/>
  <c r="P499" i="5"/>
  <c r="R499" i="5" s="1"/>
  <c r="P500" i="5"/>
  <c r="Q500" i="5" s="1"/>
  <c r="P539" i="5"/>
  <c r="Q539" i="5" s="1"/>
  <c r="P138" i="5"/>
  <c r="Q138" i="5" s="1"/>
  <c r="P301" i="5"/>
  <c r="Q301" i="5" s="1"/>
  <c r="P410" i="5"/>
  <c r="R410" i="5" s="1"/>
  <c r="P170" i="5"/>
  <c r="R170" i="5" s="1"/>
  <c r="P339" i="5"/>
  <c r="R339" i="5" s="1"/>
  <c r="P249" i="5"/>
  <c r="R249" i="5" s="1"/>
  <c r="P311" i="5"/>
  <c r="Q311" i="5" s="1"/>
  <c r="P150" i="5"/>
  <c r="R150" i="5" s="1"/>
  <c r="P288" i="5"/>
  <c r="Q288" i="5" s="1"/>
  <c r="P187" i="5"/>
  <c r="Q187" i="5" s="1"/>
  <c r="P319" i="5"/>
  <c r="R319" i="5" s="1"/>
  <c r="P232" i="5"/>
  <c r="R232" i="5" s="1"/>
  <c r="P122" i="5"/>
  <c r="Q122" i="5" s="1"/>
  <c r="P209" i="5"/>
  <c r="R209" i="5" s="1"/>
  <c r="P52" i="5"/>
  <c r="R52" i="5" s="1"/>
  <c r="P228" i="5"/>
  <c r="R228" i="5" s="1"/>
  <c r="P91" i="5"/>
  <c r="Q91" i="5" s="1"/>
  <c r="P190" i="5"/>
  <c r="R190" i="5" s="1"/>
  <c r="P216" i="5"/>
  <c r="Q216" i="5" s="1"/>
  <c r="P106" i="5"/>
  <c r="Q106" i="5" s="1"/>
  <c r="P38" i="5"/>
  <c r="R38" i="5" s="1"/>
  <c r="P189" i="5"/>
  <c r="R189" i="5" s="1"/>
  <c r="P529" i="5"/>
  <c r="R529" i="5" s="1"/>
  <c r="P131" i="5"/>
  <c r="R131" i="5" s="1"/>
  <c r="P192" i="5"/>
  <c r="R192" i="5" s="1"/>
  <c r="P99" i="5"/>
  <c r="Q99" i="5" s="1"/>
  <c r="P151" i="5"/>
  <c r="Q151" i="5" s="1"/>
  <c r="P66" i="5"/>
  <c r="R66" i="5" s="1"/>
  <c r="P26" i="5"/>
  <c r="R26" i="5" s="1"/>
  <c r="P76" i="5"/>
  <c r="R76" i="5" s="1"/>
  <c r="P322" i="5"/>
  <c r="R322" i="5" s="1"/>
  <c r="P181" i="5"/>
  <c r="R181" i="5" s="1"/>
  <c r="P257" i="5"/>
  <c r="Q257" i="5" s="1"/>
  <c r="P134" i="5"/>
  <c r="Q134" i="5" s="1"/>
  <c r="P227" i="5"/>
  <c r="Q227" i="5" s="1"/>
  <c r="P123" i="5"/>
  <c r="R123" i="5" s="1"/>
  <c r="P127" i="5"/>
  <c r="Q127" i="5" s="1"/>
  <c r="P266" i="5"/>
  <c r="R266" i="5" s="1"/>
  <c r="P144" i="5"/>
  <c r="R144" i="5" s="1"/>
  <c r="P258" i="5"/>
  <c r="R258" i="5" s="1"/>
  <c r="P176" i="5"/>
  <c r="Q176" i="5" s="1"/>
  <c r="P300" i="5"/>
  <c r="R300" i="5" s="1"/>
  <c r="P404" i="5"/>
  <c r="Q404" i="5" s="1"/>
  <c r="P333" i="5"/>
  <c r="R333" i="5" s="1"/>
  <c r="P423" i="5"/>
  <c r="R423" i="5" s="1"/>
  <c r="P486" i="5"/>
  <c r="Q486" i="5" s="1"/>
  <c r="P553" i="5"/>
  <c r="R553" i="5" s="1"/>
  <c r="P456" i="5"/>
  <c r="Q456" i="5" s="1"/>
  <c r="P522" i="5"/>
  <c r="Q522" i="5" s="1"/>
  <c r="P435" i="5"/>
  <c r="R435" i="5" s="1"/>
  <c r="P376" i="5"/>
  <c r="Q376" i="5" s="1"/>
  <c r="P440" i="5"/>
  <c r="R440" i="5" s="1"/>
  <c r="P537" i="5"/>
  <c r="R537" i="5" s="1"/>
  <c r="P420" i="5"/>
  <c r="Q420" i="5" s="1"/>
  <c r="P495" i="5"/>
  <c r="Q495" i="5" s="1"/>
  <c r="P407" i="5"/>
  <c r="R407" i="5" s="1"/>
  <c r="P544" i="5"/>
  <c r="R544" i="5" s="1"/>
  <c r="Y128" i="8"/>
  <c r="AR128" i="8" s="1"/>
  <c r="Y107" i="8"/>
  <c r="AR107" i="8" s="1"/>
  <c r="Y65" i="8"/>
  <c r="AR65" i="8" s="1"/>
  <c r="X117" i="8"/>
  <c r="Y97" i="8"/>
  <c r="AR97" i="8" s="1"/>
  <c r="Y119" i="8"/>
  <c r="AR119" i="8" s="1"/>
  <c r="Y135" i="8"/>
  <c r="AR135" i="8" s="1"/>
  <c r="X113" i="8"/>
  <c r="Y53" i="8"/>
  <c r="AR53" i="8" s="1"/>
  <c r="X18" i="8"/>
  <c r="X79" i="8"/>
  <c r="AE82" i="8"/>
  <c r="X66" i="8"/>
  <c r="X26" i="8"/>
  <c r="AE151" i="8"/>
  <c r="AE16" i="8"/>
  <c r="AE130" i="8"/>
  <c r="Z130" i="8"/>
  <c r="AN130" i="8" s="1"/>
  <c r="AA130" i="8"/>
  <c r="AE139" i="8"/>
  <c r="AE80" i="8"/>
  <c r="AA106" i="8"/>
  <c r="AE106" i="8"/>
  <c r="Z106" i="8"/>
  <c r="AN106" i="8" s="1"/>
  <c r="X61" i="8"/>
  <c r="AE27" i="8"/>
  <c r="Z27" i="8"/>
  <c r="AN27" i="8" s="1"/>
  <c r="AA27" i="8"/>
  <c r="AE146" i="8"/>
  <c r="AE148" i="8"/>
  <c r="AE57" i="8"/>
  <c r="AE72" i="8"/>
  <c r="AE50" i="8"/>
  <c r="AA50" i="8"/>
  <c r="Z50" i="8"/>
  <c r="AN50" i="8" s="1"/>
  <c r="AE30" i="8"/>
  <c r="Y132" i="8"/>
  <c r="AR132" i="8" s="1"/>
  <c r="Y87" i="8"/>
  <c r="AR87" i="8" s="1"/>
  <c r="Y56" i="8"/>
  <c r="AR56" i="8" s="1"/>
  <c r="Y29" i="8"/>
  <c r="AR29" i="8" s="1"/>
  <c r="Y94" i="8"/>
  <c r="AR94" i="8" s="1"/>
  <c r="X111" i="8"/>
  <c r="X88" i="8"/>
  <c r="X151" i="8"/>
  <c r="X16" i="8"/>
  <c r="X145" i="8"/>
  <c r="X139" i="8"/>
  <c r="X80" i="8"/>
  <c r="X51" i="8"/>
  <c r="AE116" i="8"/>
  <c r="AA116" i="8"/>
  <c r="Z116" i="8"/>
  <c r="AN116" i="8" s="1"/>
  <c r="X11" i="8"/>
  <c r="P439" i="5"/>
  <c r="R439" i="5" s="1"/>
  <c r="P465" i="5"/>
  <c r="R465" i="5" s="1"/>
  <c r="P231" i="5"/>
  <c r="R231" i="5" s="1"/>
  <c r="P460" i="5"/>
  <c r="Q460" i="5" s="1"/>
  <c r="P477" i="5"/>
  <c r="R477" i="5" s="1"/>
  <c r="P467" i="5"/>
  <c r="R467" i="5" s="1"/>
  <c r="P490" i="5"/>
  <c r="Q490" i="5" s="1"/>
  <c r="P117" i="5"/>
  <c r="P436" i="5"/>
  <c r="Q436" i="5" s="1"/>
  <c r="P488" i="5"/>
  <c r="Q488" i="5" s="1"/>
  <c r="P480" i="5"/>
  <c r="R480" i="5" s="1"/>
  <c r="P51" i="5"/>
  <c r="R51" i="5" s="1"/>
  <c r="P259" i="5"/>
  <c r="Q259" i="5" s="1"/>
  <c r="P419" i="5"/>
  <c r="R419" i="5" s="1"/>
  <c r="P74" i="5"/>
  <c r="R74" i="5" s="1"/>
  <c r="P324" i="5"/>
  <c r="R324" i="5" s="1"/>
  <c r="P178" i="5"/>
  <c r="Q178" i="5" s="1"/>
  <c r="P290" i="5"/>
  <c r="R290" i="5" s="1"/>
  <c r="P388" i="5"/>
  <c r="R388" i="5" s="1"/>
  <c r="P281" i="5"/>
  <c r="P78" i="5"/>
  <c r="R78" i="5" s="1"/>
  <c r="P265" i="5"/>
  <c r="Q265" i="5" s="1"/>
  <c r="P163" i="5"/>
  <c r="Q163" i="5" s="1"/>
  <c r="P105" i="5"/>
  <c r="R105" i="5" s="1"/>
  <c r="P223" i="5"/>
  <c r="R223" i="5" s="1"/>
  <c r="P20" i="5"/>
  <c r="R20" i="5" s="1"/>
  <c r="P196" i="5"/>
  <c r="Q196" i="5" s="1"/>
  <c r="P35" i="5"/>
  <c r="R35" i="5" s="1"/>
  <c r="P156" i="5"/>
  <c r="R156" i="5" s="1"/>
  <c r="P212" i="5"/>
  <c r="Q212" i="5" s="1"/>
  <c r="P102" i="5"/>
  <c r="R102" i="5" s="1"/>
  <c r="P109" i="5"/>
  <c r="R109" i="5" s="1"/>
  <c r="P278" i="5"/>
  <c r="Q278" i="5" s="1"/>
  <c r="P40" i="5"/>
  <c r="Q40" i="5" s="1"/>
  <c r="P55" i="5"/>
  <c r="R55" i="5" s="1"/>
  <c r="P41" i="5"/>
  <c r="R41" i="5" s="1"/>
  <c r="P111" i="5"/>
  <c r="Q111" i="5" s="1"/>
  <c r="P47" i="5"/>
  <c r="R47" i="5" s="1"/>
  <c r="P104" i="5"/>
  <c r="Q104" i="5" s="1"/>
  <c r="P73" i="5"/>
  <c r="Q73" i="5" s="1"/>
  <c r="P94" i="5"/>
  <c r="Q94" i="5" s="1"/>
  <c r="P132" i="5"/>
  <c r="R132" i="5" s="1"/>
  <c r="P218" i="5"/>
  <c r="Q218" i="5" s="1"/>
  <c r="P286" i="5"/>
  <c r="P145" i="5"/>
  <c r="Q145" i="5" s="1"/>
  <c r="P261" i="5"/>
  <c r="R261" i="5" s="1"/>
  <c r="P161" i="5"/>
  <c r="R161" i="5" s="1"/>
  <c r="P188" i="5"/>
  <c r="Q188" i="5" s="1"/>
  <c r="P292" i="5"/>
  <c r="R292" i="5" s="1"/>
  <c r="P173" i="5"/>
  <c r="Q173" i="5" s="1"/>
  <c r="P302" i="5"/>
  <c r="Q302" i="5" s="1"/>
  <c r="P193" i="5"/>
  <c r="Q193" i="5" s="1"/>
  <c r="P325" i="5"/>
  <c r="R325" i="5" s="1"/>
  <c r="P431" i="5"/>
  <c r="R431" i="5" s="1"/>
  <c r="P337" i="5"/>
  <c r="R337" i="5" s="1"/>
  <c r="P437" i="5"/>
  <c r="R437" i="5" s="1"/>
  <c r="P498" i="5"/>
  <c r="Q498" i="5" s="1"/>
  <c r="P338" i="5"/>
  <c r="Q338" i="5" s="1"/>
  <c r="P476" i="5"/>
  <c r="Q476" i="5" s="1"/>
  <c r="P551" i="5"/>
  <c r="R551" i="5" s="1"/>
  <c r="P497" i="5"/>
  <c r="Q497" i="5" s="1"/>
  <c r="P387" i="5"/>
  <c r="Q387" i="5" s="1"/>
  <c r="P455" i="5"/>
  <c r="R455" i="5" s="1"/>
  <c r="P334" i="5"/>
  <c r="Q334" i="5" s="1"/>
  <c r="P445" i="5"/>
  <c r="R445" i="5" s="1"/>
  <c r="P527" i="5"/>
  <c r="R527" i="5" s="1"/>
  <c r="P434" i="5"/>
  <c r="R434" i="5" s="1"/>
  <c r="P550" i="5"/>
  <c r="R550" i="5" s="1"/>
  <c r="X106" i="8"/>
  <c r="AE61" i="8"/>
  <c r="X24" i="8"/>
  <c r="X27" i="8"/>
  <c r="X146" i="8"/>
  <c r="X148" i="8"/>
  <c r="X57" i="8"/>
  <c r="X124" i="8"/>
  <c r="X72" i="8"/>
  <c r="X50" i="8"/>
  <c r="X30" i="8"/>
  <c r="AE136" i="8"/>
  <c r="X114" i="8"/>
  <c r="X98" i="8"/>
  <c r="AE155" i="8"/>
  <c r="Z155" i="8"/>
  <c r="AN155" i="8" s="1"/>
  <c r="AA155" i="8"/>
  <c r="X54" i="8"/>
  <c r="AE129" i="8"/>
  <c r="AE109" i="8"/>
  <c r="AA109" i="8"/>
  <c r="Z109" i="8"/>
  <c r="AN109" i="8" s="1"/>
  <c r="AE90" i="8"/>
  <c r="X74" i="8"/>
  <c r="Z112" i="8"/>
  <c r="AN112" i="8" s="1"/>
  <c r="AE112" i="8"/>
  <c r="AA112" i="8"/>
  <c r="AE55" i="8"/>
  <c r="AA55" i="8"/>
  <c r="Z55" i="8"/>
  <c r="AN55" i="8" s="1"/>
  <c r="Y79" i="8"/>
  <c r="AR79" i="8" s="1"/>
  <c r="Y70" i="8"/>
  <c r="AR70" i="8" s="1"/>
  <c r="X152" i="8"/>
  <c r="Y82" i="8"/>
  <c r="AR82" i="8" s="1"/>
  <c r="X103" i="8"/>
  <c r="Y36" i="8"/>
  <c r="AR36" i="8" s="1"/>
  <c r="Y151" i="8"/>
  <c r="AR151" i="8" s="1"/>
  <c r="Y16" i="8"/>
  <c r="AR16" i="8" s="1"/>
  <c r="X130" i="8"/>
  <c r="Y51" i="8"/>
  <c r="AR51" i="8" s="1"/>
  <c r="X116" i="8"/>
  <c r="X67" i="8"/>
  <c r="Y61" i="8"/>
  <c r="AR61" i="8" s="1"/>
  <c r="X136" i="8"/>
  <c r="AE114" i="8"/>
  <c r="AE98" i="8"/>
  <c r="X155" i="8"/>
  <c r="X81" i="8"/>
  <c r="X129" i="8"/>
  <c r="AE74" i="8"/>
  <c r="X112" i="8"/>
  <c r="X55" i="8"/>
  <c r="Z147" i="8"/>
  <c r="AN147" i="8" s="1"/>
  <c r="AE58" i="8"/>
  <c r="Z58" i="8"/>
  <c r="AN58" i="8" s="1"/>
  <c r="AA58" i="8"/>
  <c r="X7" i="8"/>
  <c r="X138" i="8"/>
  <c r="AE96" i="8"/>
  <c r="AE63" i="8"/>
  <c r="AA63" i="8"/>
  <c r="Z63" i="8"/>
  <c r="AN63" i="8" s="1"/>
  <c r="X10" i="8"/>
  <c r="Y145" i="8"/>
  <c r="AR145" i="8" s="1"/>
  <c r="Y139" i="8"/>
  <c r="AR139" i="8" s="1"/>
  <c r="Y80" i="8"/>
  <c r="AR80" i="8" s="1"/>
  <c r="B126" i="3"/>
  <c r="P335" i="5"/>
  <c r="R335" i="5" s="1"/>
  <c r="P416" i="5"/>
  <c r="R416" i="5" s="1"/>
  <c r="P274" i="5"/>
  <c r="Q274" i="5" s="1"/>
  <c r="P501" i="5"/>
  <c r="R501" i="5" s="1"/>
  <c r="P357" i="5"/>
  <c r="R357" i="5" s="1"/>
  <c r="P558" i="5"/>
  <c r="Q558" i="5" s="1"/>
  <c r="P459" i="5"/>
  <c r="R459" i="5" s="1"/>
  <c r="P323" i="5"/>
  <c r="R323" i="5" s="1"/>
  <c r="P364" i="5"/>
  <c r="Q364" i="5" s="1"/>
  <c r="P427" i="5"/>
  <c r="R427" i="5" s="1"/>
  <c r="P464" i="5"/>
  <c r="R464" i="5" s="1"/>
  <c r="P369" i="5"/>
  <c r="R369" i="5" s="1"/>
  <c r="P171" i="5"/>
  <c r="Q171" i="5" s="1"/>
  <c r="P360" i="5"/>
  <c r="Q360" i="5" s="1"/>
  <c r="P45" i="5"/>
  <c r="R45" i="5" s="1"/>
  <c r="P359" i="5"/>
  <c r="Q359" i="5" s="1"/>
  <c r="P71" i="5"/>
  <c r="R71" i="5" s="1"/>
  <c r="P271" i="5"/>
  <c r="Q271" i="5" s="1"/>
  <c r="P391" i="5"/>
  <c r="Q391" i="5" s="1"/>
  <c r="P283" i="5"/>
  <c r="R283" i="5" s="1"/>
  <c r="P447" i="5"/>
  <c r="R447" i="5" s="1"/>
  <c r="P88" i="5"/>
  <c r="Q88" i="5" s="1"/>
  <c r="P166" i="5"/>
  <c r="Q166" i="5" s="1"/>
  <c r="P62" i="5"/>
  <c r="R62" i="5" s="1"/>
  <c r="P129" i="5"/>
  <c r="Q129" i="5" s="1"/>
  <c r="P67" i="5"/>
  <c r="R67" i="5" s="1"/>
  <c r="P154" i="5"/>
  <c r="R154" i="5" s="1"/>
  <c r="P256" i="5"/>
  <c r="Q256" i="5" s="1"/>
  <c r="P97" i="5"/>
  <c r="Q97" i="5" s="1"/>
  <c r="P155" i="5"/>
  <c r="R155" i="5" s="1"/>
  <c r="P60" i="5"/>
  <c r="R60" i="5" s="1"/>
  <c r="P96" i="5"/>
  <c r="R96" i="5" s="1"/>
  <c r="P103" i="5"/>
  <c r="Q103" i="5" s="1"/>
  <c r="P206" i="5"/>
  <c r="R206" i="5" s="1"/>
  <c r="P101" i="5"/>
  <c r="R101" i="5" s="1"/>
  <c r="P63" i="5"/>
  <c r="Q63" i="5" s="1"/>
  <c r="P142" i="5"/>
  <c r="Q142" i="5" s="1"/>
  <c r="P25" i="5"/>
  <c r="Q25" i="5" s="1"/>
  <c r="P112" i="5"/>
  <c r="R112" i="5" s="1"/>
  <c r="P33" i="5"/>
  <c r="Q33" i="5" s="1"/>
  <c r="P120" i="5"/>
  <c r="R120" i="5" s="1"/>
  <c r="P148" i="5"/>
  <c r="Q148" i="5" s="1"/>
  <c r="P226" i="5"/>
  <c r="Q226" i="5" s="1"/>
  <c r="P317" i="5"/>
  <c r="R317" i="5" s="1"/>
  <c r="P158" i="5"/>
  <c r="R158" i="5" s="1"/>
  <c r="P276" i="5"/>
  <c r="Q276" i="5" s="1"/>
  <c r="P233" i="5"/>
  <c r="R233" i="5" s="1"/>
  <c r="P221" i="5"/>
  <c r="Q221" i="5" s="1"/>
  <c r="P468" i="5"/>
  <c r="Q468" i="5" s="1"/>
  <c r="P198" i="5"/>
  <c r="Q198" i="5" s="1"/>
  <c r="P433" i="5"/>
  <c r="R433" i="5" s="1"/>
  <c r="P225" i="5"/>
  <c r="R225" i="5" s="1"/>
  <c r="P448" i="5"/>
  <c r="Q448" i="5" s="1"/>
  <c r="P474" i="5"/>
  <c r="R474" i="5" s="1"/>
  <c r="P393" i="5"/>
  <c r="R393" i="5" s="1"/>
  <c r="P463" i="5"/>
  <c r="R463" i="5" s="1"/>
  <c r="P512" i="5"/>
  <c r="Q512" i="5" s="1"/>
  <c r="P375" i="5"/>
  <c r="Q375" i="5" s="1"/>
  <c r="P494" i="5"/>
  <c r="Q494" i="5" s="1"/>
  <c r="P399" i="5"/>
  <c r="Q399" i="5" s="1"/>
  <c r="P348" i="5"/>
  <c r="R348" i="5" s="1"/>
  <c r="P394" i="5"/>
  <c r="Q394" i="5" s="1"/>
  <c r="P482" i="5"/>
  <c r="R482" i="5" s="1"/>
  <c r="P345" i="5"/>
  <c r="R345" i="5" s="1"/>
  <c r="P461" i="5"/>
  <c r="R461" i="5" s="1"/>
  <c r="P353" i="5"/>
  <c r="R353" i="5" s="1"/>
  <c r="P450" i="5"/>
  <c r="R450" i="5" s="1"/>
  <c r="Y156" i="8"/>
  <c r="AR156" i="8" s="1"/>
  <c r="X93" i="8"/>
  <c r="Y146" i="8"/>
  <c r="AR146" i="8" s="1"/>
  <c r="Y148" i="8"/>
  <c r="AR148" i="8" s="1"/>
  <c r="Y57" i="8"/>
  <c r="AR57" i="8" s="1"/>
  <c r="Y124" i="8"/>
  <c r="AR124" i="8" s="1"/>
  <c r="Y72" i="8"/>
  <c r="AR72" i="8" s="1"/>
  <c r="Y30" i="8"/>
  <c r="AR30" i="8" s="1"/>
  <c r="Y136" i="8"/>
  <c r="AR136" i="8" s="1"/>
  <c r="X123" i="8"/>
  <c r="Y114" i="8"/>
  <c r="AR114" i="8" s="1"/>
  <c r="Y98" i="8"/>
  <c r="AR98" i="8" s="1"/>
  <c r="Y81" i="8"/>
  <c r="AR81" i="8" s="1"/>
  <c r="Y129" i="8"/>
  <c r="AR129" i="8" s="1"/>
  <c r="X109" i="8"/>
  <c r="Y74" i="8"/>
  <c r="AR74" i="8" s="1"/>
  <c r="X147" i="8"/>
  <c r="X99" i="8"/>
  <c r="X58" i="8"/>
  <c r="X92" i="8"/>
  <c r="X48" i="8"/>
  <c r="AE7" i="8"/>
  <c r="AA7" i="8"/>
  <c r="Z7" i="8"/>
  <c r="AN7" i="8" s="1"/>
  <c r="Y96" i="8"/>
  <c r="AR96" i="8" s="1"/>
  <c r="X63" i="8"/>
  <c r="AE157" i="8"/>
  <c r="AE120" i="8"/>
  <c r="AE118" i="8"/>
  <c r="AA118" i="8"/>
  <c r="Z118" i="8"/>
  <c r="AN118" i="8" s="1"/>
  <c r="AE39" i="8"/>
  <c r="X44" i="8"/>
  <c r="Y11" i="8"/>
  <c r="AR11" i="8" s="1"/>
  <c r="B216" i="3"/>
  <c r="AH64" i="8" s="1"/>
  <c r="AA515" i="5"/>
  <c r="Z491" i="5"/>
  <c r="AA232" i="5"/>
  <c r="Z56" i="5"/>
  <c r="AA542" i="5"/>
  <c r="Z195" i="5"/>
  <c r="Z121" i="5"/>
  <c r="AA345" i="5"/>
  <c r="AA283" i="5"/>
  <c r="AA96" i="5"/>
  <c r="Z524" i="5"/>
  <c r="Z413" i="5"/>
  <c r="AA323" i="5"/>
  <c r="AA557" i="5"/>
  <c r="AA375" i="5"/>
  <c r="AA250" i="5"/>
  <c r="AA300" i="5"/>
  <c r="AJ39" i="6"/>
  <c r="AJ125" i="6"/>
  <c r="AJ147" i="6"/>
  <c r="Z509" i="5"/>
  <c r="AA538" i="5"/>
  <c r="Y65" i="6"/>
  <c r="AR65" i="6" s="1"/>
  <c r="AJ95" i="6"/>
  <c r="AJ111" i="6"/>
  <c r="AJ109" i="6"/>
  <c r="Z128" i="5"/>
  <c r="Y63" i="6"/>
  <c r="AR63" i="6" s="1"/>
  <c r="AA28" i="6"/>
  <c r="AQ28" i="6" s="1"/>
  <c r="AJ45" i="6"/>
  <c r="AA27" i="6"/>
  <c r="AC27" i="6" s="1"/>
  <c r="AD27" i="6" s="1"/>
  <c r="AR32" i="6"/>
  <c r="AA32" i="6"/>
  <c r="AQ32" i="6" s="1"/>
  <c r="Y109" i="6"/>
  <c r="AR109" i="6" s="1"/>
  <c r="Y103" i="6"/>
  <c r="AR103" i="6" s="1"/>
  <c r="Y156" i="6"/>
  <c r="AR156" i="6" s="1"/>
  <c r="Y42" i="6"/>
  <c r="AR42" i="6" s="1"/>
  <c r="Y60" i="6"/>
  <c r="AR60" i="6" s="1"/>
  <c r="Y93" i="6"/>
  <c r="AR93" i="6" s="1"/>
  <c r="Y76" i="6"/>
  <c r="AR76" i="6" s="1"/>
  <c r="Y69" i="6"/>
  <c r="AR69" i="6" s="1"/>
  <c r="Y101" i="6"/>
  <c r="AR101" i="6" s="1"/>
  <c r="Y136" i="6"/>
  <c r="AR136" i="6" s="1"/>
  <c r="Y138" i="6"/>
  <c r="AR138" i="6" s="1"/>
  <c r="Y107" i="6"/>
  <c r="AR107" i="6" s="1"/>
  <c r="Y118" i="6"/>
  <c r="AR118" i="6" s="1"/>
  <c r="Y81" i="6"/>
  <c r="AR81" i="6" s="1"/>
  <c r="Y77" i="6"/>
  <c r="AR77" i="6" s="1"/>
  <c r="Y153" i="6"/>
  <c r="AR153" i="6" s="1"/>
  <c r="Y59" i="6"/>
  <c r="AR59" i="6" s="1"/>
  <c r="Y124" i="6"/>
  <c r="AR124" i="6" s="1"/>
  <c r="Z86" i="5"/>
  <c r="Z417" i="5"/>
  <c r="Y95" i="6"/>
  <c r="AR95" i="6" s="1"/>
  <c r="Y126" i="6"/>
  <c r="AR126" i="6" s="1"/>
  <c r="Y131" i="6"/>
  <c r="AR131" i="6" s="1"/>
  <c r="Y45" i="6"/>
  <c r="AR45" i="6" s="1"/>
  <c r="Y39" i="6"/>
  <c r="AR39" i="6" s="1"/>
  <c r="Y106" i="6"/>
  <c r="AR106" i="6" s="1"/>
  <c r="Y75" i="6"/>
  <c r="AR75" i="6" s="1"/>
  <c r="Y111" i="6"/>
  <c r="AR111" i="6" s="1"/>
  <c r="Y125" i="6"/>
  <c r="AR125" i="6" s="1"/>
  <c r="Y113" i="6"/>
  <c r="AR113" i="6" s="1"/>
  <c r="Y147" i="6"/>
  <c r="AR147" i="6" s="1"/>
  <c r="Y133" i="6"/>
  <c r="AR133" i="6" s="1"/>
  <c r="Y120" i="6"/>
  <c r="AR120" i="6" s="1"/>
  <c r="Y122" i="6"/>
  <c r="AR122" i="6" s="1"/>
  <c r="Y91" i="6"/>
  <c r="AR91" i="6" s="1"/>
  <c r="Y72" i="6"/>
  <c r="AR72" i="6" s="1"/>
  <c r="Y74" i="6"/>
  <c r="AR74" i="6" s="1"/>
  <c r="Y92" i="6"/>
  <c r="AR92" i="6" s="1"/>
  <c r="Y80" i="6"/>
  <c r="AR80" i="6" s="1"/>
  <c r="Y148" i="6"/>
  <c r="AR148" i="6" s="1"/>
  <c r="AJ127" i="6"/>
  <c r="AJ74" i="6"/>
  <c r="AJ92" i="6"/>
  <c r="AE31" i="6"/>
  <c r="Z31" i="6"/>
  <c r="AE109" i="6"/>
  <c r="AE42" i="6"/>
  <c r="AE53" i="6"/>
  <c r="AE76" i="6"/>
  <c r="AE69" i="6"/>
  <c r="AE65" i="6"/>
  <c r="AE84" i="6"/>
  <c r="AE136" i="6"/>
  <c r="AE73" i="6"/>
  <c r="AE138" i="6"/>
  <c r="AE28" i="6"/>
  <c r="Z28" i="6"/>
  <c r="AE118" i="6"/>
  <c r="AE16" i="6"/>
  <c r="Z16" i="6"/>
  <c r="AE77" i="6"/>
  <c r="AE124" i="6"/>
  <c r="AJ112" i="6"/>
  <c r="AJ93" i="6"/>
  <c r="AJ134" i="6"/>
  <c r="AJ76" i="6"/>
  <c r="AA31" i="6"/>
  <c r="AQ31" i="6" s="1"/>
  <c r="AJ65" i="6"/>
  <c r="AJ84" i="6"/>
  <c r="AJ71" i="6"/>
  <c r="AJ136" i="6"/>
  <c r="AJ73" i="6"/>
  <c r="AJ138" i="6"/>
  <c r="AJ118" i="6"/>
  <c r="AJ77" i="6"/>
  <c r="AJ124" i="6"/>
  <c r="AE95" i="6"/>
  <c r="AE32" i="6"/>
  <c r="Z32" i="6"/>
  <c r="AE126" i="6"/>
  <c r="AE131" i="6"/>
  <c r="AE39" i="6"/>
  <c r="AE111" i="6"/>
  <c r="AE125" i="6"/>
  <c r="AE50" i="6"/>
  <c r="AE147" i="6"/>
  <c r="AE55" i="6"/>
  <c r="AE122" i="6"/>
  <c r="AE91" i="6"/>
  <c r="AE127" i="6"/>
  <c r="AE129" i="6"/>
  <c r="Z20" i="6"/>
  <c r="AE74" i="6"/>
  <c r="AE92" i="6"/>
  <c r="AJ55" i="6"/>
  <c r="AJ122" i="6"/>
  <c r="AJ91" i="6"/>
  <c r="B145" i="3"/>
  <c r="B147" i="3" s="1"/>
  <c r="BC10" i="5"/>
  <c r="B15" i="5"/>
  <c r="B35" i="5" s="1"/>
  <c r="B68" i="5"/>
  <c r="AF507" i="5" s="1"/>
  <c r="B149" i="3"/>
  <c r="B153" i="3" s="1"/>
  <c r="Y7" i="5" s="1"/>
  <c r="AA7" i="5" s="1"/>
  <c r="B131" i="3"/>
  <c r="B132" i="3" s="1"/>
  <c r="R304" i="5"/>
  <c r="Q478" i="5"/>
  <c r="R478" i="5"/>
  <c r="Q340" i="5"/>
  <c r="R340" i="5"/>
  <c r="R191" i="5"/>
  <c r="Q191" i="5"/>
  <c r="R284" i="5"/>
  <c r="Q284" i="5"/>
  <c r="R207" i="5"/>
  <c r="Q215" i="5"/>
  <c r="R215" i="5"/>
  <c r="R262" i="5"/>
  <c r="Q262" i="5"/>
  <c r="Q49" i="5"/>
  <c r="R49" i="5"/>
  <c r="R136" i="5"/>
  <c r="R425" i="5"/>
  <c r="R441" i="5"/>
  <c r="Q441" i="5"/>
  <c r="Q382" i="5"/>
  <c r="R382" i="5"/>
  <c r="Q432" i="5"/>
  <c r="R432" i="5"/>
  <c r="R504" i="5"/>
  <c r="Q504" i="5"/>
  <c r="R159" i="5"/>
  <c r="Q159" i="5"/>
  <c r="R533" i="5"/>
  <c r="Q533" i="5"/>
  <c r="Q485" i="5"/>
  <c r="Q453" i="5"/>
  <c r="R453" i="5"/>
  <c r="R351" i="5"/>
  <c r="Q351" i="5"/>
  <c r="R543" i="5"/>
  <c r="R296" i="5"/>
  <c r="Q296" i="5"/>
  <c r="Q287" i="5"/>
  <c r="R287" i="5"/>
  <c r="Q362" i="5"/>
  <c r="R362" i="5"/>
  <c r="R269" i="5"/>
  <c r="Q70" i="5"/>
  <c r="R70" i="5"/>
  <c r="Q164" i="5"/>
  <c r="R418" i="5"/>
  <c r="Q418" i="5"/>
  <c r="R541" i="5"/>
  <c r="Q541" i="5"/>
  <c r="Q515" i="5"/>
  <c r="R515" i="5"/>
  <c r="Q170" i="5"/>
  <c r="Q66" i="5"/>
  <c r="Q440" i="5"/>
  <c r="Q117" i="5"/>
  <c r="R117" i="5"/>
  <c r="R281" i="5"/>
  <c r="Q281" i="5"/>
  <c r="Q109" i="5"/>
  <c r="R286" i="5"/>
  <c r="Q286" i="5"/>
  <c r="Q261" i="5"/>
  <c r="Q437" i="5"/>
  <c r="Q550" i="5"/>
  <c r="R379" i="5"/>
  <c r="Q438" i="5"/>
  <c r="R438" i="5"/>
  <c r="R408" i="5"/>
  <c r="R373" i="5"/>
  <c r="Q373" i="5"/>
  <c r="Q443" i="5"/>
  <c r="R443" i="5"/>
  <c r="Q380" i="5"/>
  <c r="R380" i="5"/>
  <c r="R470" i="5"/>
  <c r="Q470" i="5"/>
  <c r="R264" i="5"/>
  <c r="Q264" i="5"/>
  <c r="R77" i="5"/>
  <c r="Q77" i="5"/>
  <c r="R186" i="5"/>
  <c r="Q186" i="5"/>
  <c r="R137" i="5"/>
  <c r="Q137" i="5"/>
  <c r="R115" i="5"/>
  <c r="Q115" i="5"/>
  <c r="R149" i="5"/>
  <c r="Q205" i="5"/>
  <c r="Q316" i="5"/>
  <c r="R316" i="5"/>
  <c r="Q180" i="5"/>
  <c r="R341" i="5"/>
  <c r="Q557" i="5"/>
  <c r="R557" i="5"/>
  <c r="Q538" i="5"/>
  <c r="R538" i="5"/>
  <c r="R352" i="5"/>
  <c r="R411" i="5"/>
  <c r="R444" i="5"/>
  <c r="Q400" i="5"/>
  <c r="R400" i="5"/>
  <c r="R124" i="5"/>
  <c r="Q124" i="5"/>
  <c r="Q80" i="5"/>
  <c r="R80" i="5"/>
  <c r="R42" i="5"/>
  <c r="R210" i="5"/>
  <c r="Q210" i="5"/>
  <c r="Q48" i="5"/>
  <c r="R165" i="5"/>
  <c r="Q165" i="5"/>
  <c r="R546" i="5"/>
  <c r="Q546" i="5"/>
  <c r="R466" i="5"/>
  <c r="Q466" i="5"/>
  <c r="Q542" i="5"/>
  <c r="R542" i="5"/>
  <c r="R293" i="5"/>
  <c r="R520" i="5"/>
  <c r="Q520" i="5"/>
  <c r="Q555" i="5"/>
  <c r="R555" i="5"/>
  <c r="R24" i="5"/>
  <c r="Q24" i="5"/>
  <c r="R146" i="5"/>
  <c r="Q146" i="5"/>
  <c r="Q37" i="5"/>
  <c r="R37" i="5"/>
  <c r="R84" i="5"/>
  <c r="Q84" i="5"/>
  <c r="Q457" i="5"/>
  <c r="R457" i="5"/>
  <c r="R273" i="5"/>
  <c r="R306" i="5"/>
  <c r="Q306" i="5"/>
  <c r="R475" i="5"/>
  <c r="Q475" i="5"/>
  <c r="I16" i="2"/>
  <c r="I14" i="2"/>
  <c r="X7" i="5"/>
  <c r="W7" i="5"/>
  <c r="R13" i="5"/>
  <c r="Q13" i="5"/>
  <c r="I32" i="2"/>
  <c r="B50" i="3"/>
  <c r="B54" i="3" s="1"/>
  <c r="B58" i="3" s="1"/>
  <c r="B90" i="3"/>
  <c r="B89" i="3"/>
  <c r="I43" i="2" s="1"/>
  <c r="B91" i="3"/>
  <c r="E33" i="3"/>
  <c r="B55" i="3"/>
  <c r="I35" i="2"/>
  <c r="B53" i="3"/>
  <c r="I29" i="2"/>
  <c r="H54" i="4"/>
  <c r="K54" i="4" s="1"/>
  <c r="L54" i="4" s="1"/>
  <c r="M54" i="4" s="1"/>
  <c r="N54" i="4" s="1"/>
  <c r="H75" i="4"/>
  <c r="K75" i="4" s="1"/>
  <c r="L75" i="4" s="1"/>
  <c r="M75" i="4" s="1"/>
  <c r="N75" i="4" s="1"/>
  <c r="H59" i="4"/>
  <c r="K59" i="4" s="1"/>
  <c r="L59" i="4" s="1"/>
  <c r="M59" i="4" s="1"/>
  <c r="N59" i="4" s="1"/>
  <c r="H60" i="4"/>
  <c r="K60" i="4" s="1"/>
  <c r="L60" i="4" s="1"/>
  <c r="M60" i="4" s="1"/>
  <c r="N60" i="4" s="1"/>
  <c r="H103" i="4"/>
  <c r="K103" i="4" s="1"/>
  <c r="L103" i="4" s="1"/>
  <c r="M103" i="4" s="1"/>
  <c r="N103" i="4" s="1"/>
  <c r="H20" i="4"/>
  <c r="K20" i="4" s="1"/>
  <c r="L20" i="4" s="1"/>
  <c r="M20" i="4" s="1"/>
  <c r="N20" i="4" s="1"/>
  <c r="H55" i="4"/>
  <c r="K55" i="4" s="1"/>
  <c r="L55" i="4" s="1"/>
  <c r="M55" i="4" s="1"/>
  <c r="N55" i="4" s="1"/>
  <c r="H27" i="4"/>
  <c r="K27" i="4" s="1"/>
  <c r="L27" i="4" s="1"/>
  <c r="M27" i="4" s="1"/>
  <c r="N27" i="4" s="1"/>
  <c r="H87" i="4"/>
  <c r="K87" i="4" s="1"/>
  <c r="L87" i="4" s="1"/>
  <c r="M87" i="4" s="1"/>
  <c r="N87" i="4" s="1"/>
  <c r="H65" i="4"/>
  <c r="K65" i="4" s="1"/>
  <c r="L65" i="4" s="1"/>
  <c r="M65" i="4" s="1"/>
  <c r="N65" i="4" s="1"/>
  <c r="H15" i="4"/>
  <c r="K15" i="4" s="1"/>
  <c r="L15" i="4" s="1"/>
  <c r="M15" i="4" s="1"/>
  <c r="N15" i="4" s="1"/>
  <c r="H47" i="4"/>
  <c r="K47" i="4" s="1"/>
  <c r="L47" i="4" s="1"/>
  <c r="M47" i="4" s="1"/>
  <c r="N47" i="4" s="1"/>
  <c r="H97" i="4"/>
  <c r="K97" i="4" s="1"/>
  <c r="L97" i="4" s="1"/>
  <c r="M97" i="4" s="1"/>
  <c r="N97" i="4" s="1"/>
  <c r="H11" i="4"/>
  <c r="K11" i="4" s="1"/>
  <c r="L11" i="4" s="1"/>
  <c r="M11" i="4" s="1"/>
  <c r="N11" i="4" s="1"/>
  <c r="H4" i="4"/>
  <c r="K4" i="4" s="1"/>
  <c r="L4" i="4" s="1"/>
  <c r="M4" i="4" s="1"/>
  <c r="N4" i="4" s="1"/>
  <c r="H62" i="4"/>
  <c r="K62" i="4" s="1"/>
  <c r="L62" i="4" s="1"/>
  <c r="M62" i="4" s="1"/>
  <c r="N62" i="4" s="1"/>
  <c r="H19" i="4"/>
  <c r="K19" i="4" s="1"/>
  <c r="L19" i="4" s="1"/>
  <c r="M19" i="4" s="1"/>
  <c r="N19" i="4" s="1"/>
  <c r="H77" i="4"/>
  <c r="K77" i="4" s="1"/>
  <c r="L77" i="4" s="1"/>
  <c r="M77" i="4" s="1"/>
  <c r="N77" i="4" s="1"/>
  <c r="H6" i="4"/>
  <c r="K6" i="4" s="1"/>
  <c r="L6" i="4" s="1"/>
  <c r="M6" i="4" s="1"/>
  <c r="N6" i="4" s="1"/>
  <c r="H64" i="4"/>
  <c r="K64" i="4" s="1"/>
  <c r="L64" i="4" s="1"/>
  <c r="M64" i="4" s="1"/>
  <c r="N64" i="4" s="1"/>
  <c r="H32" i="4"/>
  <c r="K32" i="4" s="1"/>
  <c r="L32" i="4" s="1"/>
  <c r="M32" i="4" s="1"/>
  <c r="N32" i="4" s="1"/>
  <c r="H94" i="4"/>
  <c r="K94" i="4" s="1"/>
  <c r="L94" i="4" s="1"/>
  <c r="M94" i="4" s="1"/>
  <c r="N94" i="4" s="1"/>
  <c r="H51" i="4"/>
  <c r="K51" i="4" s="1"/>
  <c r="L51" i="4" s="1"/>
  <c r="M51" i="4" s="1"/>
  <c r="N51" i="4" s="1"/>
  <c r="H23" i="4"/>
  <c r="K23" i="4" s="1"/>
  <c r="L23" i="4" s="1"/>
  <c r="M23" i="4" s="1"/>
  <c r="N23" i="4" s="1"/>
  <c r="H58" i="4"/>
  <c r="K58" i="4" s="1"/>
  <c r="L58" i="4" s="1"/>
  <c r="M58" i="4" s="1"/>
  <c r="N58" i="4" s="1"/>
  <c r="H69" i="4"/>
  <c r="K69" i="4" s="1"/>
  <c r="L69" i="4" s="1"/>
  <c r="M69" i="4" s="1"/>
  <c r="N69" i="4" s="1"/>
  <c r="H56" i="4"/>
  <c r="K56" i="4" s="1"/>
  <c r="L56" i="4" s="1"/>
  <c r="M56" i="4" s="1"/>
  <c r="N56" i="4" s="1"/>
  <c r="H31" i="4"/>
  <c r="K31" i="4" s="1"/>
  <c r="L31" i="4" s="1"/>
  <c r="M31" i="4" s="1"/>
  <c r="N31" i="4" s="1"/>
  <c r="H34" i="4"/>
  <c r="K34" i="4" s="1"/>
  <c r="L34" i="4" s="1"/>
  <c r="M34" i="4" s="1"/>
  <c r="N34" i="4" s="1"/>
  <c r="H95" i="4"/>
  <c r="K95" i="4" s="1"/>
  <c r="L95" i="4" s="1"/>
  <c r="M95" i="4" s="1"/>
  <c r="N95" i="4" s="1"/>
  <c r="H89" i="4"/>
  <c r="K89" i="4" s="1"/>
  <c r="L89" i="4" s="1"/>
  <c r="M89" i="4" s="1"/>
  <c r="N89" i="4" s="1"/>
  <c r="H46" i="4"/>
  <c r="K46" i="4" s="1"/>
  <c r="L46" i="4" s="1"/>
  <c r="M46" i="4" s="1"/>
  <c r="H61" i="4"/>
  <c r="K61" i="4" s="1"/>
  <c r="L61" i="4" s="1"/>
  <c r="M61" i="4" s="1"/>
  <c r="N61" i="4" s="1"/>
  <c r="H42" i="4"/>
  <c r="K42" i="4" s="1"/>
  <c r="L42" i="4" s="1"/>
  <c r="M42" i="4" s="1"/>
  <c r="H84" i="4"/>
  <c r="K84" i="4" s="1"/>
  <c r="L84" i="4" s="1"/>
  <c r="M84" i="4" s="1"/>
  <c r="N84" i="4" s="1"/>
  <c r="H83" i="4"/>
  <c r="K83" i="4" s="1"/>
  <c r="L83" i="4" s="1"/>
  <c r="M83" i="4" s="1"/>
  <c r="N83" i="4" s="1"/>
  <c r="H41" i="4"/>
  <c r="K41" i="4" s="1"/>
  <c r="L41" i="4" s="1"/>
  <c r="M41" i="4" s="1"/>
  <c r="N41" i="4" s="1"/>
  <c r="H98" i="4"/>
  <c r="K98" i="4" s="1"/>
  <c r="L98" i="4" s="1"/>
  <c r="M98" i="4" s="1"/>
  <c r="N98" i="4" s="1"/>
  <c r="H13" i="4"/>
  <c r="K13" i="4" s="1"/>
  <c r="L13" i="4" s="1"/>
  <c r="M13" i="4" s="1"/>
  <c r="H26" i="4"/>
  <c r="H80" i="4"/>
  <c r="H48" i="4"/>
  <c r="K48" i="4" s="1"/>
  <c r="L48" i="4" s="1"/>
  <c r="M48" i="4" s="1"/>
  <c r="H16" i="4"/>
  <c r="K16" i="4" s="1"/>
  <c r="L16" i="4" s="1"/>
  <c r="M16" i="4" s="1"/>
  <c r="N16" i="4" s="1"/>
  <c r="H93" i="4"/>
  <c r="K93" i="4" s="1"/>
  <c r="L93" i="4" s="1"/>
  <c r="M93" i="4" s="1"/>
  <c r="N93" i="4" s="1"/>
  <c r="H50" i="4"/>
  <c r="K50" i="4" s="1"/>
  <c r="L50" i="4" s="1"/>
  <c r="M50" i="4" s="1"/>
  <c r="N50" i="4" s="1"/>
  <c r="H22" i="4"/>
  <c r="K22" i="4" s="1"/>
  <c r="L22" i="4" s="1"/>
  <c r="M22" i="4" s="1"/>
  <c r="N22" i="4" s="1"/>
  <c r="H21" i="4"/>
  <c r="K21" i="4" s="1"/>
  <c r="L21" i="4" s="1"/>
  <c r="M21" i="4" s="1"/>
  <c r="H74" i="4"/>
  <c r="K74" i="4" s="1"/>
  <c r="L74" i="4" s="1"/>
  <c r="M74" i="4" s="1"/>
  <c r="N74" i="4" s="1"/>
  <c r="H12" i="4"/>
  <c r="K12" i="4" s="1"/>
  <c r="L12" i="4" s="1"/>
  <c r="M12" i="4" s="1"/>
  <c r="N12" i="4" s="1"/>
  <c r="H53" i="4"/>
  <c r="K53" i="4" s="1"/>
  <c r="L53" i="4" s="1"/>
  <c r="M53" i="4" s="1"/>
  <c r="H45" i="4"/>
  <c r="K45" i="4" s="1"/>
  <c r="L45" i="4" s="1"/>
  <c r="M45" i="4" s="1"/>
  <c r="N45" i="4" s="1"/>
  <c r="H104" i="4"/>
  <c r="K104" i="4" s="1"/>
  <c r="L104" i="4" s="1"/>
  <c r="M104" i="4" s="1"/>
  <c r="N104" i="4" s="1"/>
  <c r="H40" i="4"/>
  <c r="K40" i="4" s="1"/>
  <c r="L40" i="4" s="1"/>
  <c r="M40" i="4" s="1"/>
  <c r="N40" i="4" s="1"/>
  <c r="H71" i="4"/>
  <c r="K71" i="4" s="1"/>
  <c r="L71" i="4" s="1"/>
  <c r="M71" i="4" s="1"/>
  <c r="N71" i="4" s="1"/>
  <c r="H43" i="4"/>
  <c r="K43" i="4" s="1"/>
  <c r="L43" i="4" s="1"/>
  <c r="M43" i="4" s="1"/>
  <c r="N43" i="4" s="1"/>
  <c r="H85" i="4"/>
  <c r="K85" i="4" s="1"/>
  <c r="L85" i="4" s="1"/>
  <c r="M85" i="4" s="1"/>
  <c r="H9" i="4"/>
  <c r="K9" i="4" s="1"/>
  <c r="L9" i="4" s="1"/>
  <c r="M9" i="4" s="1"/>
  <c r="N9" i="4" s="1"/>
  <c r="H81" i="4"/>
  <c r="K81" i="4" s="1"/>
  <c r="L81" i="4" s="1"/>
  <c r="M81" i="4" s="1"/>
  <c r="N81" i="4" s="1"/>
  <c r="H24" i="4"/>
  <c r="K24" i="4" s="1"/>
  <c r="L24" i="4" s="1"/>
  <c r="M24" i="4" s="1"/>
  <c r="N24" i="4" s="1"/>
  <c r="H78" i="4"/>
  <c r="K78" i="4" s="1"/>
  <c r="L78" i="4" s="1"/>
  <c r="M78" i="4" s="1"/>
  <c r="H35" i="4"/>
  <c r="H7" i="4"/>
  <c r="H30" i="4"/>
  <c r="H102" i="4"/>
  <c r="K102" i="4" s="1"/>
  <c r="L102" i="4" s="1"/>
  <c r="M102" i="4" s="1"/>
  <c r="H17" i="4"/>
  <c r="H72" i="4"/>
  <c r="H8" i="4"/>
  <c r="H67" i="4"/>
  <c r="K67" i="4" s="1"/>
  <c r="L67" i="4" s="1"/>
  <c r="M67" i="4" s="1"/>
  <c r="H25" i="4"/>
  <c r="K25" i="4" s="1"/>
  <c r="L25" i="4" s="1"/>
  <c r="M25" i="4" s="1"/>
  <c r="H82" i="4"/>
  <c r="H39" i="4"/>
  <c r="H10" i="4"/>
  <c r="H100" i="4"/>
  <c r="H68" i="4"/>
  <c r="H91" i="4"/>
  <c r="H49" i="4"/>
  <c r="H5" i="4"/>
  <c r="H99" i="4"/>
  <c r="H57" i="4"/>
  <c r="H14" i="4"/>
  <c r="H29" i="4"/>
  <c r="H86" i="4"/>
  <c r="K86" i="4" s="1"/>
  <c r="L86" i="4" s="1"/>
  <c r="M86" i="4" s="1"/>
  <c r="H90" i="4"/>
  <c r="H92" i="4"/>
  <c r="H28" i="4"/>
  <c r="H66" i="4"/>
  <c r="H38" i="4"/>
  <c r="H79" i="4"/>
  <c r="K79" i="4" s="1"/>
  <c r="L79" i="4" s="1"/>
  <c r="M79" i="4" s="1"/>
  <c r="H18" i="4"/>
  <c r="H33" i="4"/>
  <c r="H37" i="4"/>
  <c r="H52" i="4"/>
  <c r="H73" i="4"/>
  <c r="K73" i="4" s="1"/>
  <c r="L73" i="4" s="1"/>
  <c r="M73" i="4" s="1"/>
  <c r="H88" i="4"/>
  <c r="H70" i="4"/>
  <c r="H101" i="4"/>
  <c r="K101" i="4" s="1"/>
  <c r="L101" i="4" s="1"/>
  <c r="M101" i="4" s="1"/>
  <c r="H96" i="4"/>
  <c r="K96" i="4" s="1"/>
  <c r="L96" i="4" s="1"/>
  <c r="M96" i="4" s="1"/>
  <c r="H36" i="4"/>
  <c r="H63" i="4"/>
  <c r="H76" i="4"/>
  <c r="H44" i="4"/>
  <c r="Q312" i="5" l="1"/>
  <c r="R72" i="5"/>
  <c r="R332" i="5"/>
  <c r="R135" i="5"/>
  <c r="R63" i="5"/>
  <c r="R36" i="5"/>
  <c r="R387" i="5"/>
  <c r="R50" i="5"/>
  <c r="Q549" i="5"/>
  <c r="Q93" i="5"/>
  <c r="Q442" i="5"/>
  <c r="R140" i="5"/>
  <c r="R175" i="5"/>
  <c r="R25" i="5"/>
  <c r="R195" i="5"/>
  <c r="Q479" i="5"/>
  <c r="R360" i="5"/>
  <c r="Q123" i="5"/>
  <c r="R235" i="5"/>
  <c r="Q107" i="5"/>
  <c r="R133" i="5"/>
  <c r="R114" i="5"/>
  <c r="Q185" i="5"/>
  <c r="R265" i="5"/>
  <c r="R19" i="5"/>
  <c r="Q282" i="5"/>
  <c r="Q343" i="5"/>
  <c r="R364" i="5"/>
  <c r="Q141" i="5"/>
  <c r="Q47" i="5"/>
  <c r="R90" i="5"/>
  <c r="Q489" i="5"/>
  <c r="R203" i="5"/>
  <c r="R526" i="5"/>
  <c r="Q95" i="5"/>
  <c r="R531" i="5"/>
  <c r="R89" i="5"/>
  <c r="R213" i="5"/>
  <c r="R69" i="5"/>
  <c r="R68" i="5"/>
  <c r="R272" i="5"/>
  <c r="R126" i="5"/>
  <c r="Q519" i="5"/>
  <c r="Q419" i="5"/>
  <c r="Q46" i="5"/>
  <c r="R244" i="5"/>
  <c r="Q86" i="5"/>
  <c r="R299" i="5"/>
  <c r="R10" i="5"/>
  <c r="Q204" i="5"/>
  <c r="R331" i="5"/>
  <c r="G85" i="2"/>
  <c r="Q484" i="5"/>
  <c r="Z67" i="8"/>
  <c r="AN67" i="8" s="1"/>
  <c r="AE112" i="6"/>
  <c r="R460" i="5"/>
  <c r="AE21" i="6"/>
  <c r="AA138" i="8"/>
  <c r="X76" i="8"/>
  <c r="Z13" i="6"/>
  <c r="Z21" i="6"/>
  <c r="AN21" i="6" s="1"/>
  <c r="R401" i="5"/>
  <c r="R12" i="5"/>
  <c r="R358" i="5"/>
  <c r="R276" i="5"/>
  <c r="R212" i="5"/>
  <c r="R57" i="5"/>
  <c r="Q30" i="5"/>
  <c r="Z49" i="8"/>
  <c r="AN49" i="8" s="1"/>
  <c r="AE9" i="8"/>
  <c r="AJ42" i="6"/>
  <c r="R238" i="5"/>
  <c r="Q560" i="5"/>
  <c r="Q317" i="5"/>
  <c r="Q35" i="5"/>
  <c r="AA49" i="8"/>
  <c r="AC49" i="8" s="1"/>
  <c r="AD49" i="8" s="1"/>
  <c r="X13" i="8"/>
  <c r="AJ49" i="6"/>
  <c r="R168" i="5"/>
  <c r="Q44" i="5"/>
  <c r="Y71" i="6"/>
  <c r="AR71" i="6" s="1"/>
  <c r="AE49" i="8"/>
  <c r="Z12" i="8"/>
  <c r="AN12" i="8" s="1"/>
  <c r="AJ51" i="6"/>
  <c r="AJ103" i="6"/>
  <c r="AE75" i="8"/>
  <c r="AE92" i="8"/>
  <c r="AJ126" i="6"/>
  <c r="AE79" i="8"/>
  <c r="AE65" i="8"/>
  <c r="Y61" i="6"/>
  <c r="AR61" i="6" s="1"/>
  <c r="Q431" i="5"/>
  <c r="AE61" i="6"/>
  <c r="AE71" i="6"/>
  <c r="Q243" i="5"/>
  <c r="Q199" i="5"/>
  <c r="R193" i="5"/>
  <c r="Q275" i="5"/>
  <c r="Y157" i="6"/>
  <c r="AR157" i="6" s="1"/>
  <c r="AE59" i="8"/>
  <c r="AE113" i="8"/>
  <c r="AE152" i="8"/>
  <c r="AE88" i="8"/>
  <c r="AE24" i="8"/>
  <c r="AA9" i="8"/>
  <c r="Q324" i="5"/>
  <c r="AE157" i="6"/>
  <c r="X49" i="8"/>
  <c r="AA254" i="5"/>
  <c r="Y67" i="6"/>
  <c r="AR67" i="6" s="1"/>
  <c r="Z120" i="8"/>
  <c r="AN120" i="8" s="1"/>
  <c r="X120" i="8"/>
  <c r="AJ120" i="8" s="1"/>
  <c r="AA101" i="8"/>
  <c r="Z100" i="8"/>
  <c r="AN100" i="8" s="1"/>
  <c r="R200" i="5"/>
  <c r="Q333" i="5"/>
  <c r="Q530" i="5"/>
  <c r="R510" i="5"/>
  <c r="AE103" i="6"/>
  <c r="Y51" i="6"/>
  <c r="AR51" i="6" s="1"/>
  <c r="AA120" i="8"/>
  <c r="AQ120" i="8" s="1"/>
  <c r="Y42" i="8"/>
  <c r="AR42" i="8" s="1"/>
  <c r="AE101" i="8"/>
  <c r="Z8" i="8"/>
  <c r="AN8" i="8" s="1"/>
  <c r="AA100" i="8"/>
  <c r="AE93" i="6"/>
  <c r="Q421" i="5"/>
  <c r="R378" i="5"/>
  <c r="Q354" i="5"/>
  <c r="Z33" i="6"/>
  <c r="AA456" i="5"/>
  <c r="Z140" i="8"/>
  <c r="AN140" i="8" s="1"/>
  <c r="AA152" i="8"/>
  <c r="AQ152" i="8" s="1"/>
  <c r="AE8" i="8"/>
  <c r="Z113" i="8"/>
  <c r="AN113" i="8" s="1"/>
  <c r="X33" i="8"/>
  <c r="AJ33" i="8" s="1"/>
  <c r="R106" i="5"/>
  <c r="AE33" i="6"/>
  <c r="Y38" i="6"/>
  <c r="AR38" i="6" s="1"/>
  <c r="Y134" i="6"/>
  <c r="AR134" i="6" s="1"/>
  <c r="X140" i="8"/>
  <c r="AJ140" i="8" s="1"/>
  <c r="AA140" i="8"/>
  <c r="AE35" i="8"/>
  <c r="AA113" i="8"/>
  <c r="Z75" i="8"/>
  <c r="AN75" i="8" s="1"/>
  <c r="R308" i="5"/>
  <c r="R558" i="5"/>
  <c r="R222" i="5"/>
  <c r="R160" i="5"/>
  <c r="Z17" i="6"/>
  <c r="Z535" i="5"/>
  <c r="AE140" i="8"/>
  <c r="Y62" i="8"/>
  <c r="AR62" i="8" s="1"/>
  <c r="AE42" i="8"/>
  <c r="X100" i="8"/>
  <c r="AA75" i="8"/>
  <c r="Q454" i="5"/>
  <c r="Q27" i="5"/>
  <c r="Q51" i="5"/>
  <c r="Q251" i="5"/>
  <c r="AE17" i="6"/>
  <c r="Y142" i="6"/>
  <c r="AR142" i="6" s="1"/>
  <c r="Y53" i="6"/>
  <c r="AR53" i="6" s="1"/>
  <c r="Y17" i="8"/>
  <c r="AR17" i="8" s="1"/>
  <c r="X35" i="8"/>
  <c r="AJ35" i="8" s="1"/>
  <c r="AE40" i="8"/>
  <c r="X101" i="8"/>
  <c r="AJ99" i="6"/>
  <c r="AE68" i="6"/>
  <c r="AE54" i="8"/>
  <c r="AE137" i="8"/>
  <c r="AE13" i="8"/>
  <c r="Z123" i="8"/>
  <c r="AN123" i="8" s="1"/>
  <c r="R230" i="5"/>
  <c r="Q172" i="5"/>
  <c r="Q492" i="5"/>
  <c r="R83" i="5"/>
  <c r="X8" i="8"/>
  <c r="AA141" i="8"/>
  <c r="AJ128" i="6"/>
  <c r="AE78" i="6"/>
  <c r="Q64" i="5"/>
  <c r="Q545" i="5"/>
  <c r="Q252" i="5"/>
  <c r="Z92" i="8"/>
  <c r="AN92" i="8" s="1"/>
  <c r="Y88" i="8"/>
  <c r="AR88" i="8" s="1"/>
  <c r="X40" i="8"/>
  <c r="Z24" i="8"/>
  <c r="AN24" i="8" s="1"/>
  <c r="X154" i="8"/>
  <c r="AJ154" i="8" s="1"/>
  <c r="Z141" i="8"/>
  <c r="AN141" i="8" s="1"/>
  <c r="Z84" i="8"/>
  <c r="AN84" i="8" s="1"/>
  <c r="Z131" i="8"/>
  <c r="AN131" i="8" s="1"/>
  <c r="AE36" i="8"/>
  <c r="AE48" i="8"/>
  <c r="AE11" i="8"/>
  <c r="AE38" i="6"/>
  <c r="R56" i="5"/>
  <c r="R424" i="5"/>
  <c r="Q502" i="5"/>
  <c r="Q43" i="5"/>
  <c r="R468" i="5"/>
  <c r="R167" i="5"/>
  <c r="Q467" i="5"/>
  <c r="Z446" i="5"/>
  <c r="AA92" i="8"/>
  <c r="AP92" i="8" s="1"/>
  <c r="Y154" i="8"/>
  <c r="AR154" i="8" s="1"/>
  <c r="AA24" i="8"/>
  <c r="AC24" i="8" s="1"/>
  <c r="AD24" i="8" s="1"/>
  <c r="X141" i="8"/>
  <c r="AK141" i="8" s="1"/>
  <c r="AL141" i="8" s="1"/>
  <c r="AO141" i="8" s="1"/>
  <c r="X137" i="8"/>
  <c r="AE141" i="8"/>
  <c r="Q41" i="5"/>
  <c r="AE134" i="6"/>
  <c r="Z256" i="5"/>
  <c r="AJ140" i="6"/>
  <c r="AJ148" i="6"/>
  <c r="AJ58" i="6"/>
  <c r="AA84" i="8"/>
  <c r="AP84" i="8" s="1"/>
  <c r="Z138" i="8"/>
  <c r="AN138" i="8" s="1"/>
  <c r="X91" i="8"/>
  <c r="AJ91" i="8" s="1"/>
  <c r="AA67" i="8"/>
  <c r="AC67" i="8" s="1"/>
  <c r="AD67" i="8" s="1"/>
  <c r="AA137" i="8"/>
  <c r="Z99" i="8"/>
  <c r="AN99" i="8" s="1"/>
  <c r="X90" i="8"/>
  <c r="X31" i="8"/>
  <c r="AA123" i="8"/>
  <c r="AP123" i="8" s="1"/>
  <c r="X45" i="8"/>
  <c r="X125" i="8"/>
  <c r="AE37" i="8"/>
  <c r="X37" i="8"/>
  <c r="AJ37" i="8" s="1"/>
  <c r="X52" i="8"/>
  <c r="AE71" i="8"/>
  <c r="Y153" i="8"/>
  <c r="AR153" i="8" s="1"/>
  <c r="Y45" i="8"/>
  <c r="AR45" i="8" s="1"/>
  <c r="AA99" i="8"/>
  <c r="AE123" i="8"/>
  <c r="Z19" i="8"/>
  <c r="AN19" i="8" s="1"/>
  <c r="X144" i="8"/>
  <c r="AJ144" i="8" s="1"/>
  <c r="X41" i="8"/>
  <c r="AE64" i="8"/>
  <c r="AA76" i="8"/>
  <c r="AC76" i="8" s="1"/>
  <c r="AD76" i="8" s="1"/>
  <c r="X46" i="8"/>
  <c r="AJ46" i="8" s="1"/>
  <c r="Z46" i="8"/>
  <c r="AN46" i="8" s="1"/>
  <c r="AE31" i="8"/>
  <c r="AA19" i="8"/>
  <c r="AP19" i="8" s="1"/>
  <c r="Y64" i="8"/>
  <c r="AR64" i="8" s="1"/>
  <c r="Z52" i="8"/>
  <c r="AN52" i="8" s="1"/>
  <c r="AE60" i="8"/>
  <c r="AE84" i="8"/>
  <c r="Z48" i="8"/>
  <c r="AN48" i="8" s="1"/>
  <c r="Y47" i="8"/>
  <c r="AR47" i="8" s="1"/>
  <c r="AA46" i="8"/>
  <c r="AP46" i="8" s="1"/>
  <c r="X19" i="8"/>
  <c r="AJ19" i="8" s="1"/>
  <c r="AE19" i="8"/>
  <c r="Z143" i="8"/>
  <c r="AN143" i="8" s="1"/>
  <c r="X133" i="8"/>
  <c r="AJ133" i="8" s="1"/>
  <c r="AA52" i="8"/>
  <c r="AP52" i="8" s="1"/>
  <c r="X71" i="8"/>
  <c r="Z144" i="8"/>
  <c r="AN144" i="8" s="1"/>
  <c r="AE22" i="8"/>
  <c r="AE41" i="8"/>
  <c r="AA48" i="8"/>
  <c r="AC48" i="8" s="1"/>
  <c r="AD48" i="8" s="1"/>
  <c r="AE46" i="8"/>
  <c r="X143" i="8"/>
  <c r="AJ143" i="8" s="1"/>
  <c r="X84" i="8"/>
  <c r="AA143" i="8"/>
  <c r="AQ143" i="8" s="1"/>
  <c r="AE52" i="8"/>
  <c r="AA144" i="8"/>
  <c r="AC144" i="8" s="1"/>
  <c r="AD144" i="8" s="1"/>
  <c r="AE125" i="8"/>
  <c r="AE91" i="8"/>
  <c r="X21" i="8"/>
  <c r="AE143" i="8"/>
  <c r="Y60" i="8"/>
  <c r="AR60" i="8" s="1"/>
  <c r="AE144" i="8"/>
  <c r="Z90" i="8"/>
  <c r="AN90" i="8" s="1"/>
  <c r="AA131" i="8"/>
  <c r="AP131" i="8" s="1"/>
  <c r="X9" i="8"/>
  <c r="Z9" i="8"/>
  <c r="AN9" i="8" s="1"/>
  <c r="AA90" i="8"/>
  <c r="X59" i="8"/>
  <c r="AK59" i="8" s="1"/>
  <c r="AL59" i="8" s="1"/>
  <c r="AO59" i="8" s="1"/>
  <c r="AE132" i="8"/>
  <c r="AE153" i="8"/>
  <c r="AE77" i="8"/>
  <c r="AE121" i="8"/>
  <c r="AA54" i="8"/>
  <c r="AE104" i="8"/>
  <c r="AA147" i="8"/>
  <c r="AE29" i="8"/>
  <c r="Q413" i="5"/>
  <c r="Q237" i="5"/>
  <c r="R92" i="5"/>
  <c r="Q556" i="5"/>
  <c r="Q315" i="5"/>
  <c r="R313" i="5"/>
  <c r="R318" i="5"/>
  <c r="R524" i="5"/>
  <c r="AE110" i="6"/>
  <c r="AE147" i="8"/>
  <c r="Z54" i="8"/>
  <c r="AN54" i="8" s="1"/>
  <c r="Y104" i="8"/>
  <c r="AR104" i="8" s="1"/>
  <c r="Q250" i="5"/>
  <c r="Q29" i="5"/>
  <c r="R346" i="5"/>
  <c r="Q248" i="5"/>
  <c r="Y112" i="6"/>
  <c r="AR112" i="6" s="1"/>
  <c r="Z111" i="5"/>
  <c r="AE78" i="8"/>
  <c r="Y85" i="8"/>
  <c r="AR85" i="8" s="1"/>
  <c r="X68" i="8"/>
  <c r="AA10" i="8"/>
  <c r="AQ10" i="8" s="1"/>
  <c r="AJ129" i="6"/>
  <c r="AE68" i="8"/>
  <c r="AA149" i="8"/>
  <c r="AC149" i="8" s="1"/>
  <c r="AD149" i="8" s="1"/>
  <c r="AE73" i="8"/>
  <c r="R188" i="5"/>
  <c r="R548" i="5"/>
  <c r="Z150" i="8"/>
  <c r="AN150" i="8" s="1"/>
  <c r="AE10" i="8"/>
  <c r="Q155" i="5"/>
  <c r="R58" i="5"/>
  <c r="Q105" i="5"/>
  <c r="Q182" i="5"/>
  <c r="R201" i="5"/>
  <c r="Y110" i="6"/>
  <c r="AR110" i="6" s="1"/>
  <c r="Y121" i="8"/>
  <c r="AR121" i="8" s="1"/>
  <c r="AE150" i="8"/>
  <c r="R540" i="5"/>
  <c r="R394" i="5"/>
  <c r="R88" i="5"/>
  <c r="R367" i="5"/>
  <c r="Q268" i="5"/>
  <c r="R334" i="5"/>
  <c r="Q232" i="5"/>
  <c r="Q153" i="5"/>
  <c r="Z422" i="5"/>
  <c r="AE33" i="8"/>
  <c r="AE17" i="8"/>
  <c r="Q474" i="5"/>
  <c r="Q368" i="5"/>
  <c r="R162" i="5"/>
  <c r="Q544" i="5"/>
  <c r="AE148" i="6"/>
  <c r="Z10" i="6"/>
  <c r="Y11" i="5"/>
  <c r="AS11" i="5"/>
  <c r="AU11" i="5" s="1"/>
  <c r="AY11" i="5"/>
  <c r="BA11" i="5" s="1"/>
  <c r="AE10" i="6"/>
  <c r="AE133" i="8"/>
  <c r="Q551" i="5"/>
  <c r="R73" i="5"/>
  <c r="X150" i="8"/>
  <c r="AJ150" i="8" s="1"/>
  <c r="AJ79" i="6"/>
  <c r="AJ131" i="6"/>
  <c r="AE27" i="6"/>
  <c r="Q547" i="5"/>
  <c r="AA325" i="5"/>
  <c r="Z426" i="5"/>
  <c r="Y110" i="8"/>
  <c r="AR110" i="8" s="1"/>
  <c r="X78" i="8"/>
  <c r="AE34" i="8"/>
  <c r="Y22" i="8"/>
  <c r="AR22" i="8" s="1"/>
  <c r="X22" i="8"/>
  <c r="AJ22" i="8" s="1"/>
  <c r="AA12" i="8"/>
  <c r="AC12" i="8" s="1"/>
  <c r="AD12" i="8" s="1"/>
  <c r="X73" i="8"/>
  <c r="AJ73" i="8" s="1"/>
  <c r="AE12" i="8"/>
  <c r="Z59" i="8"/>
  <c r="AN59" i="8" s="1"/>
  <c r="Y73" i="8"/>
  <c r="AR73" i="8" s="1"/>
  <c r="X34" i="8"/>
  <c r="Z68" i="8"/>
  <c r="AN68" i="8" s="1"/>
  <c r="Y108" i="8"/>
  <c r="AR108" i="8" s="1"/>
  <c r="Z20" i="8"/>
  <c r="AN20" i="8" s="1"/>
  <c r="AA68" i="8"/>
  <c r="AQ68" i="8" s="1"/>
  <c r="Z77" i="8"/>
  <c r="AN77" i="8" s="1"/>
  <c r="AE70" i="8"/>
  <c r="AE156" i="8"/>
  <c r="X12" i="8"/>
  <c r="AJ12" i="8" s="1"/>
  <c r="X86" i="8"/>
  <c r="AJ86" i="8" s="1"/>
  <c r="X20" i="8"/>
  <c r="AA20" i="8"/>
  <c r="AE20" i="8"/>
  <c r="AE149" i="8"/>
  <c r="Z14" i="8"/>
  <c r="AN14" i="8" s="1"/>
  <c r="X14" i="8"/>
  <c r="AA14" i="8"/>
  <c r="AC14" i="8" s="1"/>
  <c r="AD14" i="8" s="1"/>
  <c r="AE14" i="8"/>
  <c r="AA25" i="8"/>
  <c r="AP25" i="8" s="1"/>
  <c r="AE81" i="8"/>
  <c r="AE93" i="8"/>
  <c r="X149" i="8"/>
  <c r="AJ149" i="8" s="1"/>
  <c r="AE115" i="8"/>
  <c r="AE86" i="8"/>
  <c r="Z149" i="8"/>
  <c r="AN149" i="8" s="1"/>
  <c r="B173" i="3"/>
  <c r="AE76" i="8"/>
  <c r="X77" i="8"/>
  <c r="AA77" i="8"/>
  <c r="AQ77" i="8" s="1"/>
  <c r="Z101" i="8"/>
  <c r="AN101" i="8" s="1"/>
  <c r="X69" i="8"/>
  <c r="AK69" i="8" s="1"/>
  <c r="AL69" i="8" s="1"/>
  <c r="AO69" i="8" s="1"/>
  <c r="AA59" i="8"/>
  <c r="AC59" i="8" s="1"/>
  <c r="AD59" i="8" s="1"/>
  <c r="AE89" i="8"/>
  <c r="Y115" i="8"/>
  <c r="AR115" i="8" s="1"/>
  <c r="AA93" i="8"/>
  <c r="AC93" i="8" s="1"/>
  <c r="AD93" i="8" s="1"/>
  <c r="Z93" i="8"/>
  <c r="AN93" i="8" s="1"/>
  <c r="AE69" i="8"/>
  <c r="X89" i="8"/>
  <c r="AJ89" i="8" s="1"/>
  <c r="Z21" i="8"/>
  <c r="AN21" i="8" s="1"/>
  <c r="Z76" i="8"/>
  <c r="AN76" i="8" s="1"/>
  <c r="AA86" i="8"/>
  <c r="AC86" i="8" s="1"/>
  <c r="AD86" i="8" s="1"/>
  <c r="Z86" i="8"/>
  <c r="AN86" i="8" s="1"/>
  <c r="AE97" i="6"/>
  <c r="AE120" i="6"/>
  <c r="AJ68" i="6"/>
  <c r="AJ38" i="6"/>
  <c r="Z89" i="8"/>
  <c r="AN89" i="8" s="1"/>
  <c r="AE110" i="8"/>
  <c r="AA105" i="8"/>
  <c r="AA89" i="8"/>
  <c r="AQ89" i="8" s="1"/>
  <c r="Z105" i="8"/>
  <c r="AN105" i="8" s="1"/>
  <c r="AE105" i="8"/>
  <c r="AA21" i="8"/>
  <c r="AQ21" i="8" s="1"/>
  <c r="AE28" i="8"/>
  <c r="X105" i="8"/>
  <c r="AE21" i="8"/>
  <c r="AE25" i="8"/>
  <c r="X28" i="8"/>
  <c r="AJ28" i="8" s="1"/>
  <c r="AA69" i="8"/>
  <c r="AP69" i="8" s="1"/>
  <c r="Z69" i="8"/>
  <c r="AN69" i="8" s="1"/>
  <c r="X25" i="8"/>
  <c r="Z25" i="8"/>
  <c r="AN25" i="8" s="1"/>
  <c r="Y28" i="8"/>
  <c r="AR28" i="8" s="1"/>
  <c r="Z8" i="6"/>
  <c r="Z27" i="6"/>
  <c r="AN27" i="6" s="1"/>
  <c r="Z287" i="5"/>
  <c r="AE72" i="6"/>
  <c r="AJ153" i="6"/>
  <c r="AE8" i="6"/>
  <c r="Y137" i="6"/>
  <c r="AR137" i="6" s="1"/>
  <c r="AE34" i="6"/>
  <c r="AJ37" i="6"/>
  <c r="Y127" i="6"/>
  <c r="AR127" i="6" s="1"/>
  <c r="Z471" i="5"/>
  <c r="AA553" i="5"/>
  <c r="AE63" i="6"/>
  <c r="Z142" i="8"/>
  <c r="AN142" i="8" s="1"/>
  <c r="X142" i="8"/>
  <c r="AJ142" i="8" s="1"/>
  <c r="AA142" i="8"/>
  <c r="AC142" i="8" s="1"/>
  <c r="AD142" i="8" s="1"/>
  <c r="AE142" i="8"/>
  <c r="Y126" i="8"/>
  <c r="AR126" i="8" s="1"/>
  <c r="Z23" i="6"/>
  <c r="AF23" i="6" s="1"/>
  <c r="AG23" i="6" s="1"/>
  <c r="Q242" i="5"/>
  <c r="R255" i="5"/>
  <c r="R298" i="5"/>
  <c r="Q52" i="5"/>
  <c r="R389" i="5"/>
  <c r="R483" i="5"/>
  <c r="Q219" i="5"/>
  <c r="Q183" i="5"/>
  <c r="R253" i="5"/>
  <c r="Q34" i="5"/>
  <c r="Y83" i="6"/>
  <c r="AR83" i="6" s="1"/>
  <c r="AJ156" i="6"/>
  <c r="Q236" i="5"/>
  <c r="AE83" i="6"/>
  <c r="Q414" i="5"/>
  <c r="R130" i="5"/>
  <c r="R279" i="5"/>
  <c r="Q169" i="5"/>
  <c r="Y62" i="6"/>
  <c r="AR62" i="6" s="1"/>
  <c r="Y68" i="6"/>
  <c r="AR68" i="6" s="1"/>
  <c r="Y73" i="6"/>
  <c r="AR73" i="6" s="1"/>
  <c r="Y84" i="6"/>
  <c r="AR84" i="6" s="1"/>
  <c r="Z192" i="5"/>
  <c r="R426" i="5"/>
  <c r="Q217" i="5"/>
  <c r="Q342" i="5"/>
  <c r="Q452" i="5"/>
  <c r="Q202" i="5"/>
  <c r="P11" i="5"/>
  <c r="R11" i="5" s="1"/>
  <c r="R518" i="5"/>
  <c r="Q415" i="5"/>
  <c r="Q39" i="5"/>
  <c r="R100" i="5"/>
  <c r="R390" i="5"/>
  <c r="R285" i="5"/>
  <c r="R381" i="5"/>
  <c r="R65" i="5"/>
  <c r="AE26" i="6"/>
  <c r="AE45" i="6"/>
  <c r="Q177" i="5"/>
  <c r="Q491" i="5"/>
  <c r="R509" i="5"/>
  <c r="R99" i="5"/>
  <c r="R79" i="5"/>
  <c r="AE133" i="6"/>
  <c r="AJ66" i="6"/>
  <c r="Q463" i="5"/>
  <c r="Q508" i="5"/>
  <c r="Q211" i="5"/>
  <c r="R59" i="5"/>
  <c r="AE66" i="6"/>
  <c r="Y49" i="6"/>
  <c r="AR49" i="6" s="1"/>
  <c r="AJ113" i="6"/>
  <c r="Q363" i="5"/>
  <c r="AE49" i="6"/>
  <c r="Y97" i="6"/>
  <c r="AR97" i="6" s="1"/>
  <c r="AJ104" i="6"/>
  <c r="Q254" i="5"/>
  <c r="AJ78" i="6"/>
  <c r="R152" i="5"/>
  <c r="R118" i="5"/>
  <c r="R260" i="5"/>
  <c r="R116" i="5"/>
  <c r="Q96" i="5"/>
  <c r="R178" i="5"/>
  <c r="AJ133" i="6"/>
  <c r="Z132" i="5"/>
  <c r="AE142" i="6"/>
  <c r="Q157" i="5"/>
  <c r="R297" i="5"/>
  <c r="AE23" i="6"/>
  <c r="AE58" i="6"/>
  <c r="Y66" i="6"/>
  <c r="AR66" i="6" s="1"/>
  <c r="Y104" i="6"/>
  <c r="AR104" i="6" s="1"/>
  <c r="Y58" i="6"/>
  <c r="AR58" i="6" s="1"/>
  <c r="AA63" i="5"/>
  <c r="Z547" i="5"/>
  <c r="R359" i="5"/>
  <c r="R291" i="5"/>
  <c r="R94" i="5"/>
  <c r="R430" i="5"/>
  <c r="Q396" i="5"/>
  <c r="Y128" i="6"/>
  <c r="AR128" i="6" s="1"/>
  <c r="AE134" i="8"/>
  <c r="Z229" i="5"/>
  <c r="AA79" i="5"/>
  <c r="AE18" i="6"/>
  <c r="AE62" i="6"/>
  <c r="AJ110" i="6"/>
  <c r="AE139" i="6"/>
  <c r="AE12" i="6"/>
  <c r="Q434" i="5"/>
  <c r="R476" i="5"/>
  <c r="R302" i="5"/>
  <c r="R218" i="5"/>
  <c r="R486" i="5"/>
  <c r="Q410" i="5"/>
  <c r="AE24" i="6"/>
  <c r="Y57" i="6"/>
  <c r="AR57" i="6" s="1"/>
  <c r="X134" i="8"/>
  <c r="AJ134" i="8" s="1"/>
  <c r="AJ46" i="6"/>
  <c r="Q98" i="5"/>
  <c r="R371" i="5"/>
  <c r="Q55" i="5"/>
  <c r="R196" i="5"/>
  <c r="Q388" i="5"/>
  <c r="Q499" i="5"/>
  <c r="Z14" i="6"/>
  <c r="AF14" i="6" s="1"/>
  <c r="AG14" i="6" s="1"/>
  <c r="AA314" i="5"/>
  <c r="Z157" i="8"/>
  <c r="AN157" i="8" s="1"/>
  <c r="R33" i="5"/>
  <c r="Q231" i="5"/>
  <c r="Q480" i="5"/>
  <c r="Q523" i="5"/>
  <c r="R448" i="5"/>
  <c r="Q62" i="5"/>
  <c r="R171" i="5"/>
  <c r="R404" i="5"/>
  <c r="Q487" i="5"/>
  <c r="AE51" i="6"/>
  <c r="Y55" i="6"/>
  <c r="AR55" i="6" s="1"/>
  <c r="Z537" i="5"/>
  <c r="AA555" i="5"/>
  <c r="AJ85" i="6"/>
  <c r="AJ62" i="6"/>
  <c r="Q345" i="5"/>
  <c r="Q552" i="5"/>
  <c r="R221" i="5"/>
  <c r="Q323" i="5"/>
  <c r="AJ100" i="6"/>
  <c r="AE57" i="6"/>
  <c r="AE107" i="6"/>
  <c r="AJ116" i="6"/>
  <c r="R420" i="5"/>
  <c r="AA33" i="6"/>
  <c r="AP33" i="6" s="1"/>
  <c r="Z26" i="6"/>
  <c r="AF26" i="6" s="1"/>
  <c r="AG26" i="6" s="1"/>
  <c r="AJ101" i="6"/>
  <c r="AJ106" i="6"/>
  <c r="AJ157" i="6"/>
  <c r="R496" i="5"/>
  <c r="AE156" i="6"/>
  <c r="R350" i="5"/>
  <c r="Q370" i="5"/>
  <c r="Q309" i="5"/>
  <c r="Q32" i="5"/>
  <c r="Y150" i="6"/>
  <c r="AR150" i="6" s="1"/>
  <c r="AJ115" i="6"/>
  <c r="Q525" i="5"/>
  <c r="Q412" i="5"/>
  <c r="Q327" i="5"/>
  <c r="Z12" i="6"/>
  <c r="AN12" i="6" s="1"/>
  <c r="AJ107" i="6"/>
  <c r="AE106" i="6"/>
  <c r="AE116" i="6"/>
  <c r="Y78" i="6"/>
  <c r="AR78" i="6" s="1"/>
  <c r="Q247" i="5"/>
  <c r="R229" i="5"/>
  <c r="R505" i="5"/>
  <c r="Q521" i="5"/>
  <c r="R409" i="5"/>
  <c r="AJ57" i="6"/>
  <c r="AE104" i="6"/>
  <c r="Q417" i="5"/>
  <c r="Y100" i="6"/>
  <c r="AR100" i="6" s="1"/>
  <c r="AE155" i="6"/>
  <c r="AJ152" i="6"/>
  <c r="Q263" i="5"/>
  <c r="Q385" i="5"/>
  <c r="R328" i="5"/>
  <c r="Z36" i="6"/>
  <c r="AF36" i="6" s="1"/>
  <c r="AG36" i="6" s="1"/>
  <c r="AE25" i="6"/>
  <c r="AJ139" i="6"/>
  <c r="Y129" i="6"/>
  <c r="AR129" i="6" s="1"/>
  <c r="Y116" i="6"/>
  <c r="AR116" i="6" s="1"/>
  <c r="AJ150" i="6"/>
  <c r="AE9" i="6"/>
  <c r="AA36" i="6"/>
  <c r="AQ36" i="6" s="1"/>
  <c r="Z34" i="6"/>
  <c r="AN34" i="6" s="1"/>
  <c r="AJ154" i="6"/>
  <c r="AJ87" i="6"/>
  <c r="AJ114" i="6"/>
  <c r="AJ75" i="6"/>
  <c r="AJ43" i="6"/>
  <c r="AE36" i="6"/>
  <c r="Y87" i="6"/>
  <c r="AR87" i="6" s="1"/>
  <c r="AJ102" i="6"/>
  <c r="AE87" i="6"/>
  <c r="Z9" i="6"/>
  <c r="AN9" i="6" s="1"/>
  <c r="Z25" i="6"/>
  <c r="AF25" i="6" s="1"/>
  <c r="AG25" i="6" s="1"/>
  <c r="Y114" i="6"/>
  <c r="AR114" i="6" s="1"/>
  <c r="AA34" i="6"/>
  <c r="AC34" i="6" s="1"/>
  <c r="AD34" i="6" s="1"/>
  <c r="AE101" i="6"/>
  <c r="AE37" i="6"/>
  <c r="AE75" i="6"/>
  <c r="AE85" i="6"/>
  <c r="AE128" i="6"/>
  <c r="AE154" i="6"/>
  <c r="Y37" i="6"/>
  <c r="AR37" i="6" s="1"/>
  <c r="Y85" i="6"/>
  <c r="AR85" i="6" s="1"/>
  <c r="Y154" i="6"/>
  <c r="AR154" i="6" s="1"/>
  <c r="AJ149" i="6"/>
  <c r="AJ130" i="6"/>
  <c r="AE59" i="6"/>
  <c r="Z214" i="5"/>
  <c r="AA180" i="5"/>
  <c r="Z161" i="5"/>
  <c r="AA134" i="5"/>
  <c r="Z364" i="5"/>
  <c r="Z439" i="5"/>
  <c r="AE117" i="6"/>
  <c r="AJ146" i="6"/>
  <c r="AE86" i="6"/>
  <c r="AE30" i="6"/>
  <c r="AA106" i="5"/>
  <c r="AA407" i="5"/>
  <c r="AE99" i="6"/>
  <c r="AA30" i="6"/>
  <c r="AP30" i="6" s="1"/>
  <c r="Z149" i="5"/>
  <c r="Z296" i="5"/>
  <c r="AJ59" i="6"/>
  <c r="AE130" i="6"/>
  <c r="Z30" i="6"/>
  <c r="AN30" i="6" s="1"/>
  <c r="Z554" i="5"/>
  <c r="AA552" i="5"/>
  <c r="AE70" i="6"/>
  <c r="Y43" i="6"/>
  <c r="AR43" i="6" s="1"/>
  <c r="Y130" i="6"/>
  <c r="AR130" i="6" s="1"/>
  <c r="Z399" i="5"/>
  <c r="AE43" i="6"/>
  <c r="Y99" i="6"/>
  <c r="AR99" i="6" s="1"/>
  <c r="Z560" i="5"/>
  <c r="AE146" i="6"/>
  <c r="AJ137" i="6"/>
  <c r="Z428" i="5"/>
  <c r="AA452" i="5"/>
  <c r="Y86" i="6"/>
  <c r="AR86" i="6" s="1"/>
  <c r="Y70" i="6"/>
  <c r="AR70" i="6" s="1"/>
  <c r="Y146" i="6"/>
  <c r="AR146" i="6" s="1"/>
  <c r="AA472" i="5"/>
  <c r="Z20" i="5"/>
  <c r="Z367" i="5"/>
  <c r="AA94" i="5"/>
  <c r="Z12" i="5"/>
  <c r="AE115" i="6"/>
  <c r="Z550" i="5"/>
  <c r="AA84" i="5"/>
  <c r="Z420" i="5"/>
  <c r="Z144" i="5"/>
  <c r="Z273" i="5"/>
  <c r="AE149" i="6"/>
  <c r="Z327" i="5"/>
  <c r="Z141" i="5"/>
  <c r="Z402" i="5"/>
  <c r="Z386" i="5"/>
  <c r="AA253" i="5"/>
  <c r="Z543" i="5"/>
  <c r="AA48" i="5"/>
  <c r="Z546" i="5"/>
  <c r="Z10" i="5"/>
  <c r="AA198" i="5"/>
  <c r="AA97" i="5"/>
  <c r="Z309" i="5"/>
  <c r="AA137" i="5"/>
  <c r="AA286" i="5"/>
  <c r="Y149" i="6"/>
  <c r="AR149" i="6" s="1"/>
  <c r="AA38" i="5"/>
  <c r="Z306" i="5"/>
  <c r="Z167" i="5"/>
  <c r="AA473" i="5"/>
  <c r="AE140" i="6"/>
  <c r="Z261" i="5"/>
  <c r="Z362" i="5"/>
  <c r="AA156" i="5"/>
  <c r="Z203" i="5"/>
  <c r="AA263" i="5"/>
  <c r="Z274" i="5"/>
  <c r="AE13" i="6"/>
  <c r="Y140" i="6"/>
  <c r="AR140" i="6" s="1"/>
  <c r="Z29" i="6"/>
  <c r="AF29" i="6" s="1"/>
  <c r="AG29" i="6" s="1"/>
  <c r="AJ119" i="6"/>
  <c r="AJ80" i="6"/>
  <c r="AE14" i="6"/>
  <c r="AA461" i="5"/>
  <c r="AA66" i="5"/>
  <c r="Z530" i="5"/>
  <c r="AJ121" i="6"/>
  <c r="Z474" i="5"/>
  <c r="AA89" i="5"/>
  <c r="AA397" i="5"/>
  <c r="AA492" i="5"/>
  <c r="AE67" i="6"/>
  <c r="Y115" i="6"/>
  <c r="AR115" i="6" s="1"/>
  <c r="AA71" i="5"/>
  <c r="AA171" i="5"/>
  <c r="AA498" i="5"/>
  <c r="Z548" i="5"/>
  <c r="Z174" i="5"/>
  <c r="AJ105" i="6"/>
  <c r="Y119" i="6"/>
  <c r="AR119" i="6" s="1"/>
  <c r="AE60" i="6"/>
  <c r="AA127" i="5"/>
  <c r="Z531" i="5"/>
  <c r="Y50" i="6"/>
  <c r="AR50" i="6" s="1"/>
  <c r="Y139" i="6"/>
  <c r="AR139" i="6" s="1"/>
  <c r="Z92" i="5"/>
  <c r="AA329" i="5"/>
  <c r="Z119" i="5"/>
  <c r="Z443" i="5"/>
  <c r="AE119" i="6"/>
  <c r="Z113" i="5"/>
  <c r="AE80" i="6"/>
  <c r="AA182" i="5"/>
  <c r="Z303" i="5"/>
  <c r="AA107" i="5"/>
  <c r="Z500" i="5"/>
  <c r="AJ117" i="6"/>
  <c r="AA382" i="5"/>
  <c r="AA139" i="5"/>
  <c r="Z43" i="5"/>
  <c r="Z374" i="5"/>
  <c r="AA193" i="5"/>
  <c r="AA74" i="5"/>
  <c r="AJ60" i="6"/>
  <c r="AE46" i="6"/>
  <c r="AA126" i="5"/>
  <c r="AA502" i="5"/>
  <c r="Z187" i="5"/>
  <c r="AA148" i="5"/>
  <c r="AA383" i="5"/>
  <c r="AJ144" i="6"/>
  <c r="AA218" i="5"/>
  <c r="Z501" i="5"/>
  <c r="Z361" i="5"/>
  <c r="AA324" i="5"/>
  <c r="Z351" i="5"/>
  <c r="AA483" i="5"/>
  <c r="Z55" i="5"/>
  <c r="AA269" i="5"/>
  <c r="Z95" i="5"/>
  <c r="AA262" i="5"/>
  <c r="AA160" i="5"/>
  <c r="AA276" i="5"/>
  <c r="Z169" i="5"/>
  <c r="AA21" i="5"/>
  <c r="Z460" i="5"/>
  <c r="Z330" i="5"/>
  <c r="Z266" i="5"/>
  <c r="Z267" i="5"/>
  <c r="Z259" i="5"/>
  <c r="Z35" i="5"/>
  <c r="AA433" i="5"/>
  <c r="AJ56" i="6"/>
  <c r="AA29" i="6"/>
  <c r="AC29" i="6" s="1"/>
  <c r="AD29" i="6" s="1"/>
  <c r="AJ81" i="6"/>
  <c r="AJ88" i="6"/>
  <c r="Z99" i="5"/>
  <c r="AA90" i="5"/>
  <c r="Z368" i="5"/>
  <c r="Z432" i="5"/>
  <c r="Z366" i="5"/>
  <c r="Z352" i="5"/>
  <c r="Z13" i="5"/>
  <c r="Y117" i="6"/>
  <c r="AR117" i="6" s="1"/>
  <c r="Z191" i="5"/>
  <c r="Z387" i="5"/>
  <c r="AA34" i="5"/>
  <c r="AA181" i="5"/>
  <c r="Z482" i="5"/>
  <c r="AJ90" i="6"/>
  <c r="Z207" i="5"/>
  <c r="AA158" i="5"/>
  <c r="Z227" i="5"/>
  <c r="AA442" i="5"/>
  <c r="Z78" i="5"/>
  <c r="AA35" i="6"/>
  <c r="AQ35" i="6" s="1"/>
  <c r="AE29" i="6"/>
  <c r="AA173" i="5"/>
  <c r="Z526" i="5"/>
  <c r="Z122" i="5"/>
  <c r="AA350" i="5"/>
  <c r="Z42" i="5"/>
  <c r="Z359" i="5"/>
  <c r="AJ151" i="6"/>
  <c r="AE81" i="6"/>
  <c r="Z15" i="6"/>
  <c r="AF15" i="6" s="1"/>
  <c r="AG15" i="6" s="1"/>
  <c r="Z289" i="5"/>
  <c r="Z415" i="5"/>
  <c r="AE15" i="6"/>
  <c r="Y88" i="6"/>
  <c r="AR88" i="6" s="1"/>
  <c r="Z186" i="5"/>
  <c r="AA302" i="5"/>
  <c r="Z505" i="5"/>
  <c r="Z326" i="5"/>
  <c r="Z22" i="6"/>
  <c r="AN22" i="6" s="1"/>
  <c r="AA487" i="5"/>
  <c r="Y56" i="6"/>
  <c r="AR56" i="6" s="1"/>
  <c r="Z378" i="5"/>
  <c r="Z28" i="5"/>
  <c r="Z401" i="5"/>
  <c r="AA271" i="5"/>
  <c r="Z117" i="5"/>
  <c r="AA334" i="5"/>
  <c r="AJ145" i="6"/>
  <c r="AJ52" i="6"/>
  <c r="AE88" i="6"/>
  <c r="Z151" i="5"/>
  <c r="AA102" i="5"/>
  <c r="AA118" i="5"/>
  <c r="Z105" i="5"/>
  <c r="AA333" i="5"/>
  <c r="AA421" i="5"/>
  <c r="Z423" i="5"/>
  <c r="Z32" i="5"/>
  <c r="Z18" i="6"/>
  <c r="AF18" i="6" s="1"/>
  <c r="AG18" i="6" s="1"/>
  <c r="AE56" i="6"/>
  <c r="Z384" i="5"/>
  <c r="Z370" i="5"/>
  <c r="Z438" i="5"/>
  <c r="AA541" i="5"/>
  <c r="Z260" i="5"/>
  <c r="Z36" i="5"/>
  <c r="Y40" i="6"/>
  <c r="AR40" i="6" s="1"/>
  <c r="Z363" i="5"/>
  <c r="AA392" i="5"/>
  <c r="Z108" i="5"/>
  <c r="Z69" i="5"/>
  <c r="Z224" i="5"/>
  <c r="AA336" i="5"/>
  <c r="Z372" i="5"/>
  <c r="AA412" i="5"/>
  <c r="Z241" i="5"/>
  <c r="AA297" i="5"/>
  <c r="Z201" i="5"/>
  <c r="AA389" i="5"/>
  <c r="AA339" i="5"/>
  <c r="AE100" i="6"/>
  <c r="AE102" i="6"/>
  <c r="Z437" i="5"/>
  <c r="Z448" i="5"/>
  <c r="Z393" i="5"/>
  <c r="AA153" i="5"/>
  <c r="Z209" i="5"/>
  <c r="Z72" i="5"/>
  <c r="Z344" i="5"/>
  <c r="AJ108" i="6"/>
  <c r="AE152" i="6"/>
  <c r="AJ155" i="6"/>
  <c r="AA459" i="5"/>
  <c r="Z453" i="5"/>
  <c r="Z411" i="5"/>
  <c r="Z165" i="5"/>
  <c r="Z322" i="5"/>
  <c r="Z409" i="5"/>
  <c r="AA194" i="5"/>
  <c r="Z25" i="5"/>
  <c r="AA19" i="5"/>
  <c r="Z458" i="5"/>
  <c r="AA216" i="5"/>
  <c r="AE41" i="6"/>
  <c r="AE19" i="6"/>
  <c r="Z294" i="5"/>
  <c r="AA404" i="5"/>
  <c r="Y102" i="6"/>
  <c r="AR102" i="6" s="1"/>
  <c r="AA337" i="5"/>
  <c r="Z457" i="5"/>
  <c r="Z249" i="5"/>
  <c r="AA348" i="5"/>
  <c r="Z454" i="5"/>
  <c r="Z319" i="5"/>
  <c r="AA26" i="5"/>
  <c r="Z237" i="5"/>
  <c r="AA154" i="5"/>
  <c r="AA162" i="5"/>
  <c r="AJ123" i="6"/>
  <c r="Z210" i="5"/>
  <c r="Y64" i="6"/>
  <c r="AR64" i="6" s="1"/>
  <c r="Y90" i="6"/>
  <c r="AR90" i="6" s="1"/>
  <c r="AA244" i="5"/>
  <c r="AA449" i="5"/>
  <c r="AA416" i="5"/>
  <c r="AA217" i="5"/>
  <c r="Z356" i="5"/>
  <c r="Z355" i="5"/>
  <c r="B174" i="3"/>
  <c r="AA258" i="5"/>
  <c r="Z522" i="5"/>
  <c r="Z343" i="5"/>
  <c r="AA243" i="5"/>
  <c r="AA556" i="5"/>
  <c r="Z463" i="5"/>
  <c r="Z147" i="5"/>
  <c r="AA240" i="5"/>
  <c r="Z497" i="5"/>
  <c r="AA512" i="5"/>
  <c r="AA316" i="5"/>
  <c r="Z332" i="5"/>
  <c r="Z57" i="5"/>
  <c r="Z507" i="5"/>
  <c r="AA353" i="5"/>
  <c r="AA146" i="5"/>
  <c r="AA281" i="5"/>
  <c r="Z114" i="5"/>
  <c r="AA265" i="5"/>
  <c r="R539" i="5"/>
  <c r="Q481" i="5"/>
  <c r="Q258" i="5"/>
  <c r="R267" i="5"/>
  <c r="Q119" i="5"/>
  <c r="R113" i="5"/>
  <c r="R372" i="5"/>
  <c r="Q277" i="5"/>
  <c r="Q8" i="5"/>
  <c r="Q506" i="5"/>
  <c r="R397" i="5"/>
  <c r="Q131" i="5"/>
  <c r="Q303" i="5"/>
  <c r="Z19" i="6"/>
  <c r="AF19" i="6" s="1"/>
  <c r="AG19" i="6" s="1"/>
  <c r="Y41" i="6"/>
  <c r="AR41" i="6" s="1"/>
  <c r="Q383" i="5"/>
  <c r="Q147" i="5"/>
  <c r="R456" i="5"/>
  <c r="Q150" i="5"/>
  <c r="Q31" i="5"/>
  <c r="Q528" i="5"/>
  <c r="Q386" i="5"/>
  <c r="Q325" i="5"/>
  <c r="R507" i="5"/>
  <c r="R241" i="5"/>
  <c r="Q125" i="5"/>
  <c r="AH61" i="6"/>
  <c r="AE108" i="6"/>
  <c r="AE54" i="6"/>
  <c r="Y152" i="6"/>
  <c r="AR152" i="6" s="1"/>
  <c r="Y108" i="6"/>
  <c r="AR108" i="6" s="1"/>
  <c r="Q289" i="5"/>
  <c r="R374" i="5"/>
  <c r="Q344" i="5"/>
  <c r="Q181" i="5"/>
  <c r="Q280" i="5"/>
  <c r="Q422" i="5"/>
  <c r="AH59" i="6"/>
  <c r="AA78" i="8"/>
  <c r="AQ78" i="8" s="1"/>
  <c r="AE94" i="8"/>
  <c r="Q473" i="5"/>
  <c r="Q78" i="5"/>
  <c r="Q407" i="5"/>
  <c r="Q228" i="5"/>
  <c r="R121" i="5"/>
  <c r="AH107" i="6"/>
  <c r="AE105" i="6"/>
  <c r="R403" i="5"/>
  <c r="Q469" i="5"/>
  <c r="Q128" i="5"/>
  <c r="Q239" i="5"/>
  <c r="Q82" i="5"/>
  <c r="Q534" i="5"/>
  <c r="Q305" i="5"/>
  <c r="AH68" i="6"/>
  <c r="Z35" i="6"/>
  <c r="AN35" i="6" s="1"/>
  <c r="Y54" i="6"/>
  <c r="AR54" i="6" s="1"/>
  <c r="Y155" i="6"/>
  <c r="AR155" i="6" s="1"/>
  <c r="R148" i="5"/>
  <c r="Q416" i="5"/>
  <c r="Q462" i="5"/>
  <c r="Q174" i="5"/>
  <c r="Q477" i="5"/>
  <c r="AH74" i="6"/>
  <c r="AE35" i="6"/>
  <c r="Y105" i="6"/>
  <c r="AR105" i="6" s="1"/>
  <c r="Z310" i="5"/>
  <c r="Z170" i="5"/>
  <c r="AA200" i="5"/>
  <c r="Z308" i="5"/>
  <c r="Z8" i="5"/>
  <c r="Z59" i="5"/>
  <c r="Z477" i="5"/>
  <c r="Z377" i="5"/>
  <c r="Z307" i="5"/>
  <c r="Z410" i="5"/>
  <c r="AA450" i="5"/>
  <c r="Z540" i="5"/>
  <c r="Z408" i="5"/>
  <c r="Z304" i="5"/>
  <c r="Z68" i="5"/>
  <c r="AA341" i="5"/>
  <c r="Z53" i="5"/>
  <c r="Z233" i="5"/>
  <c r="AA275" i="5"/>
  <c r="Z272" i="5"/>
  <c r="Z110" i="5"/>
  <c r="Z125" i="5"/>
  <c r="Z516" i="5"/>
  <c r="Z379" i="5"/>
  <c r="AA305" i="5"/>
  <c r="AA489" i="5"/>
  <c r="Z226" i="5"/>
  <c r="AA545" i="5"/>
  <c r="Z517" i="5"/>
  <c r="AA212" i="5"/>
  <c r="Z33" i="5"/>
  <c r="Z185" i="5"/>
  <c r="Z87" i="5"/>
  <c r="AA529" i="5"/>
  <c r="AA436" i="5"/>
  <c r="AA469" i="5"/>
  <c r="Z486" i="5"/>
  <c r="Z196" i="5"/>
  <c r="AA395" i="5"/>
  <c r="AA238" i="5"/>
  <c r="AA335" i="5"/>
  <c r="AA277" i="5"/>
  <c r="Z511" i="5"/>
  <c r="Z490" i="5"/>
  <c r="AA223" i="5"/>
  <c r="AA479" i="5"/>
  <c r="Z292" i="5"/>
  <c r="AA513" i="5"/>
  <c r="Z295" i="5"/>
  <c r="Z551" i="5"/>
  <c r="AA445" i="5"/>
  <c r="Q194" i="5"/>
  <c r="Q225" i="5"/>
  <c r="Q501" i="5"/>
  <c r="R134" i="5"/>
  <c r="Q321" i="5"/>
  <c r="Q329" i="5"/>
  <c r="R513" i="5"/>
  <c r="R197" i="5"/>
  <c r="Q402" i="5"/>
  <c r="R514" i="5"/>
  <c r="R356" i="5"/>
  <c r="R399" i="5"/>
  <c r="Q283" i="5"/>
  <c r="Q369" i="5"/>
  <c r="Q435" i="5"/>
  <c r="Q300" i="5"/>
  <c r="R301" i="5"/>
  <c r="R384" i="5"/>
  <c r="Q377" i="5"/>
  <c r="R187" i="5"/>
  <c r="Q365" i="5"/>
  <c r="Q214" i="5"/>
  <c r="R256" i="5"/>
  <c r="R449" i="5"/>
  <c r="Q190" i="5"/>
  <c r="Q240" i="5"/>
  <c r="R347" i="5"/>
  <c r="Q87" i="5"/>
  <c r="Q355" i="5"/>
  <c r="Q395" i="5"/>
  <c r="Q307" i="5"/>
  <c r="Y46" i="6"/>
  <c r="AR46" i="6" s="1"/>
  <c r="AI11" i="5"/>
  <c r="AJ11" i="5" s="1"/>
  <c r="R497" i="5"/>
  <c r="R259" i="5"/>
  <c r="R257" i="5"/>
  <c r="AE79" i="6"/>
  <c r="AE126" i="8"/>
  <c r="AV11" i="5"/>
  <c r="AX11" i="5" s="1"/>
  <c r="Q406" i="5"/>
  <c r="R145" i="5"/>
  <c r="Q266" i="5"/>
  <c r="Q428" i="5"/>
  <c r="R451" i="5"/>
  <c r="R471" i="5"/>
  <c r="AA157" i="8"/>
  <c r="AC157" i="8" s="1"/>
  <c r="AD157" i="8" s="1"/>
  <c r="R405" i="5"/>
  <c r="Q67" i="5"/>
  <c r="R271" i="5"/>
  <c r="Q76" i="5"/>
  <c r="Q189" i="5"/>
  <c r="AE121" i="6"/>
  <c r="Y121" i="6"/>
  <c r="AR121" i="6" s="1"/>
  <c r="S11" i="5"/>
  <c r="U11" i="5" s="1"/>
  <c r="Q353" i="5"/>
  <c r="R375" i="5"/>
  <c r="Q427" i="5"/>
  <c r="Q310" i="5"/>
  <c r="Q108" i="5"/>
  <c r="R111" i="5"/>
  <c r="Q209" i="5"/>
  <c r="Q249" i="5"/>
  <c r="R535" i="5"/>
  <c r="R516" i="5"/>
  <c r="R392" i="5"/>
  <c r="Y79" i="6"/>
  <c r="AR79" i="6" s="1"/>
  <c r="Y96" i="6"/>
  <c r="AR96" i="6" s="1"/>
  <c r="AF141" i="8"/>
  <c r="AG141" i="8" s="1"/>
  <c r="R198" i="5"/>
  <c r="Q156" i="5"/>
  <c r="AH9" i="6"/>
  <c r="AH114" i="6"/>
  <c r="AH91" i="6"/>
  <c r="AH83" i="6"/>
  <c r="AH21" i="6"/>
  <c r="AH51" i="6"/>
  <c r="AH85" i="6"/>
  <c r="AH27" i="6"/>
  <c r="AH116" i="6"/>
  <c r="AH109" i="6"/>
  <c r="AH37" i="6"/>
  <c r="AH35" i="6"/>
  <c r="AH126" i="6"/>
  <c r="AH122" i="6"/>
  <c r="AH17" i="6"/>
  <c r="AH78" i="6"/>
  <c r="AH142" i="6"/>
  <c r="AH71" i="6"/>
  <c r="AH47" i="6"/>
  <c r="Y38" i="8"/>
  <c r="AR38" i="8" s="1"/>
  <c r="AH120" i="6"/>
  <c r="AH46" i="6"/>
  <c r="AH95" i="6"/>
  <c r="AH121" i="6"/>
  <c r="AH148" i="6"/>
  <c r="AH104" i="6"/>
  <c r="AH70" i="6"/>
  <c r="AH82" i="6"/>
  <c r="AH20" i="6"/>
  <c r="AH133" i="6"/>
  <c r="AH45" i="6"/>
  <c r="AH19" i="6"/>
  <c r="AH48" i="6"/>
  <c r="AH39" i="6"/>
  <c r="AH138" i="6"/>
  <c r="AH60" i="6"/>
  <c r="AH25" i="6"/>
  <c r="AH67" i="6"/>
  <c r="X102" i="8"/>
  <c r="AJ102" i="8" s="1"/>
  <c r="AE102" i="8"/>
  <c r="AF44" i="8"/>
  <c r="AG44" i="8" s="1"/>
  <c r="Z81" i="5"/>
  <c r="AA434" i="5"/>
  <c r="Z369" i="5"/>
  <c r="AA476" i="5"/>
  <c r="AA164" i="5"/>
  <c r="Z31" i="5"/>
  <c r="Z98" i="5"/>
  <c r="AA357" i="5"/>
  <c r="AA252" i="5"/>
  <c r="AA29" i="5"/>
  <c r="Z519" i="5"/>
  <c r="AA257" i="5"/>
  <c r="Z427" i="5"/>
  <c r="Z199" i="5"/>
  <c r="Z85" i="5"/>
  <c r="AA133" i="5"/>
  <c r="Z219" i="5"/>
  <c r="Z288" i="5"/>
  <c r="AA380" i="5"/>
  <c r="AA365" i="5"/>
  <c r="Z358" i="5"/>
  <c r="AA268" i="5"/>
  <c r="AA44" i="5"/>
  <c r="Z425" i="5"/>
  <c r="AA506" i="5"/>
  <c r="AA371" i="5"/>
  <c r="Z414" i="5"/>
  <c r="Z213" i="5"/>
  <c r="Z242" i="5"/>
  <c r="AA49" i="5"/>
  <c r="Z462" i="5"/>
  <c r="AA188" i="5"/>
  <c r="AA123" i="5"/>
  <c r="Z455" i="5"/>
  <c r="Z183" i="5"/>
  <c r="AA202" i="5"/>
  <c r="AA39" i="5"/>
  <c r="AA521" i="5"/>
  <c r="AA532" i="5"/>
  <c r="Z51" i="5"/>
  <c r="AA104" i="5"/>
  <c r="Z83" i="5"/>
  <c r="Z103" i="5"/>
  <c r="Z478" i="5"/>
  <c r="AA503" i="5"/>
  <c r="Z70" i="5"/>
  <c r="Z493" i="5"/>
  <c r="AA30" i="5"/>
  <c r="Z77" i="5"/>
  <c r="AA47" i="5"/>
  <c r="Z484" i="5"/>
  <c r="AA536" i="5"/>
  <c r="Z520" i="5"/>
  <c r="Z299" i="5"/>
  <c r="AA328" i="5"/>
  <c r="Z464" i="5"/>
  <c r="Z251" i="5"/>
  <c r="AA184" i="5"/>
  <c r="AA142" i="5"/>
  <c r="AA248" i="5"/>
  <c r="Z248" i="5"/>
  <c r="Z116" i="5"/>
  <c r="Z247" i="5"/>
  <c r="Z559" i="5"/>
  <c r="AH96" i="6"/>
  <c r="AH89" i="6"/>
  <c r="AF55" i="8"/>
  <c r="AG55" i="8" s="1"/>
  <c r="AJ98" i="6"/>
  <c r="AJ94" i="6"/>
  <c r="Q366" i="5"/>
  <c r="Q75" i="5"/>
  <c r="Q398" i="5"/>
  <c r="Q527" i="5"/>
  <c r="Q20" i="5"/>
  <c r="Q192" i="5"/>
  <c r="R138" i="5"/>
  <c r="Q536" i="5"/>
  <c r="Q532" i="5"/>
  <c r="AH12" i="6"/>
  <c r="AH77" i="6"/>
  <c r="AH149" i="6"/>
  <c r="AH58" i="6"/>
  <c r="AH117" i="6"/>
  <c r="AH112" i="6"/>
  <c r="AH66" i="6"/>
  <c r="AH84" i="6"/>
  <c r="AH75" i="6"/>
  <c r="AH32" i="6"/>
  <c r="AH33" i="6"/>
  <c r="AH55" i="6"/>
  <c r="AH73" i="6"/>
  <c r="AH16" i="6"/>
  <c r="AH7" i="6"/>
  <c r="R28" i="5"/>
  <c r="Q158" i="5"/>
  <c r="R522" i="5"/>
  <c r="R184" i="5"/>
  <c r="Q139" i="5"/>
  <c r="R143" i="5"/>
  <c r="R361" i="5"/>
  <c r="Q234" i="5"/>
  <c r="R294" i="5"/>
  <c r="Q357" i="5"/>
  <c r="Q458" i="5"/>
  <c r="Q85" i="5"/>
  <c r="R53" i="5"/>
  <c r="R91" i="5"/>
  <c r="Q493" i="5"/>
  <c r="AH103" i="6"/>
  <c r="AH136" i="6"/>
  <c r="AH115" i="6"/>
  <c r="AH79" i="6"/>
  <c r="AH69" i="6"/>
  <c r="AH132" i="6"/>
  <c r="AH98" i="6"/>
  <c r="AH156" i="6"/>
  <c r="AH56" i="6"/>
  <c r="AH119" i="6"/>
  <c r="AH90" i="6"/>
  <c r="AH29" i="6"/>
  <c r="AH81" i="6"/>
  <c r="AF12" i="8"/>
  <c r="AG12" i="8" s="1"/>
  <c r="R320" i="5"/>
  <c r="R142" i="5"/>
  <c r="Q295" i="5"/>
  <c r="R110" i="5"/>
  <c r="AE52" i="6"/>
  <c r="Y145" i="6"/>
  <c r="AR145" i="6" s="1"/>
  <c r="Y52" i="6"/>
  <c r="AR52" i="6" s="1"/>
  <c r="Q559" i="5"/>
  <c r="R349" i="5"/>
  <c r="Q54" i="5"/>
  <c r="R97" i="5"/>
  <c r="Q23" i="5"/>
  <c r="R488" i="5"/>
  <c r="R176" i="5"/>
  <c r="Q336" i="5"/>
  <c r="AH151" i="6"/>
  <c r="AH80" i="6"/>
  <c r="AH135" i="6"/>
  <c r="AH28" i="6"/>
  <c r="AH94" i="6"/>
  <c r="AH44" i="6"/>
  <c r="AH125" i="6"/>
  <c r="AH50" i="6"/>
  <c r="AH18" i="6"/>
  <c r="AH123" i="6"/>
  <c r="AH145" i="6"/>
  <c r="AH26" i="6"/>
  <c r="AH99" i="6"/>
  <c r="AH34" i="6"/>
  <c r="R173" i="5"/>
  <c r="Q22" i="5"/>
  <c r="Q554" i="5"/>
  <c r="Q348" i="5"/>
  <c r="Q447" i="5"/>
  <c r="R288" i="5"/>
  <c r="Q179" i="5"/>
  <c r="Q472" i="5"/>
  <c r="R21" i="5"/>
  <c r="AH92" i="6"/>
  <c r="AH105" i="6"/>
  <c r="AH23" i="6"/>
  <c r="AH49" i="6"/>
  <c r="AH108" i="6"/>
  <c r="AH53" i="6"/>
  <c r="AH36" i="6"/>
  <c r="AH97" i="6"/>
  <c r="AH8" i="6"/>
  <c r="AH129" i="6"/>
  <c r="AH157" i="6"/>
  <c r="AH86" i="6"/>
  <c r="AH144" i="6"/>
  <c r="AA39" i="8"/>
  <c r="AC39" i="8" s="1"/>
  <c r="AD39" i="8" s="1"/>
  <c r="AH57" i="6"/>
  <c r="AH106" i="6"/>
  <c r="AH38" i="6"/>
  <c r="AH65" i="6"/>
  <c r="AH15" i="6"/>
  <c r="AH42" i="6"/>
  <c r="AH153" i="6"/>
  <c r="AH54" i="6"/>
  <c r="AH11" i="6"/>
  <c r="AH10" i="6"/>
  <c r="AH24" i="6"/>
  <c r="AH88" i="6"/>
  <c r="AH128" i="6"/>
  <c r="AH118" i="6"/>
  <c r="AE145" i="6"/>
  <c r="Z39" i="8"/>
  <c r="AN39" i="8" s="1"/>
  <c r="AJ96" i="6"/>
  <c r="AA318" i="5"/>
  <c r="AH63" i="6"/>
  <c r="AE90" i="6"/>
  <c r="AA54" i="5"/>
  <c r="Z11" i="6"/>
  <c r="AF11" i="6" s="1"/>
  <c r="AG11" i="6" s="1"/>
  <c r="Z40" i="5"/>
  <c r="Z418" i="5"/>
  <c r="Z100" i="5"/>
  <c r="AA549" i="5"/>
  <c r="AE64" i="6"/>
  <c r="Z37" i="5"/>
  <c r="Z135" i="5"/>
  <c r="Z235" i="5"/>
  <c r="AA444" i="5"/>
  <c r="AA178" i="5"/>
  <c r="Z178" i="5"/>
  <c r="Z231" i="5"/>
  <c r="AA231" i="5"/>
  <c r="AA315" i="5"/>
  <c r="Z315" i="5"/>
  <c r="Z481" i="5"/>
  <c r="Z228" i="5"/>
  <c r="AJ64" i="6"/>
  <c r="Z179" i="5"/>
  <c r="AA155" i="5"/>
  <c r="Z518" i="5"/>
  <c r="AA205" i="5"/>
  <c r="AA480" i="5"/>
  <c r="AA321" i="5"/>
  <c r="Z91" i="5"/>
  <c r="Z76" i="5"/>
  <c r="Z45" i="5"/>
  <c r="AA67" i="5"/>
  <c r="AA354" i="5"/>
  <c r="Z290" i="5"/>
  <c r="AA290" i="5"/>
  <c r="AA197" i="5"/>
  <c r="Z197" i="5"/>
  <c r="AA510" i="5"/>
  <c r="Z510" i="5"/>
  <c r="Z311" i="5"/>
  <c r="AA311" i="5"/>
  <c r="AA291" i="5"/>
  <c r="Z112" i="5"/>
  <c r="AE150" i="6"/>
  <c r="AE96" i="6"/>
  <c r="AA468" i="5"/>
  <c r="Z280" i="5"/>
  <c r="AA435" i="5"/>
  <c r="AA270" i="5"/>
  <c r="Z65" i="5"/>
  <c r="Z73" i="5"/>
  <c r="AE94" i="6"/>
  <c r="AA485" i="5"/>
  <c r="Z485" i="5"/>
  <c r="Z24" i="5"/>
  <c r="AA24" i="5"/>
  <c r="Z50" i="5"/>
  <c r="AA50" i="5"/>
  <c r="AA396" i="5"/>
  <c r="AA75" i="5"/>
  <c r="Z61" i="5"/>
  <c r="Z440" i="5"/>
  <c r="Z430" i="5"/>
  <c r="AA234" i="5"/>
  <c r="Z220" i="5"/>
  <c r="Z211" i="5"/>
  <c r="AA215" i="5"/>
  <c r="Z539" i="5"/>
  <c r="AE40" i="6"/>
  <c r="Z236" i="5"/>
  <c r="AA230" i="5"/>
  <c r="Z230" i="5"/>
  <c r="AA403" i="5"/>
  <c r="Z403" i="5"/>
  <c r="Z282" i="5"/>
  <c r="AA282" i="5"/>
  <c r="AA342" i="5"/>
  <c r="AA525" i="5"/>
  <c r="Z495" i="5"/>
  <c r="AA150" i="5"/>
  <c r="AA313" i="5"/>
  <c r="Z298" i="5"/>
  <c r="Z508" i="5"/>
  <c r="Z166" i="5"/>
  <c r="AA405" i="5"/>
  <c r="Z177" i="5"/>
  <c r="Z496" i="5"/>
  <c r="Z88" i="5"/>
  <c r="AA88" i="5"/>
  <c r="Z441" i="5"/>
  <c r="AA441" i="5"/>
  <c r="AA246" i="5"/>
  <c r="Z246" i="5"/>
  <c r="Z93" i="5"/>
  <c r="AH64" i="6"/>
  <c r="AE98" i="6"/>
  <c r="Y94" i="6"/>
  <c r="AR94" i="6" s="1"/>
  <c r="Y98" i="6"/>
  <c r="AR98" i="6" s="1"/>
  <c r="AA189" i="5"/>
  <c r="AA523" i="5"/>
  <c r="AA285" i="5"/>
  <c r="AA499" i="5"/>
  <c r="Z157" i="5"/>
  <c r="Z221" i="5"/>
  <c r="Z82" i="5"/>
  <c r="Z145" i="5"/>
  <c r="AA140" i="5"/>
  <c r="Z140" i="5"/>
  <c r="AA528" i="5"/>
  <c r="Z528" i="5"/>
  <c r="AA206" i="5"/>
  <c r="AA80" i="5"/>
  <c r="Z175" i="5"/>
  <c r="Z346" i="5"/>
  <c r="Z398" i="5"/>
  <c r="Z176" i="5"/>
  <c r="AA394" i="5"/>
  <c r="AA504" i="5"/>
  <c r="AA27" i="5"/>
  <c r="Z385" i="5"/>
  <c r="AA360" i="5"/>
  <c r="Z360" i="5"/>
  <c r="AA163" i="5"/>
  <c r="Z163" i="5"/>
  <c r="AM132" i="6"/>
  <c r="W132" i="6"/>
  <c r="AA475" i="5"/>
  <c r="Z465" i="5"/>
  <c r="Z138" i="5"/>
  <c r="Z190" i="5"/>
  <c r="AA347" i="5"/>
  <c r="AA349" i="5"/>
  <c r="Z239" i="5"/>
  <c r="AA264" i="5"/>
  <c r="AA373" i="5"/>
  <c r="AA130" i="5"/>
  <c r="Z130" i="5"/>
  <c r="AM47" i="6"/>
  <c r="W47" i="6"/>
  <c r="AM135" i="6"/>
  <c r="W135" i="6"/>
  <c r="AA101" i="5"/>
  <c r="Z101" i="5"/>
  <c r="AA381" i="5"/>
  <c r="Z381" i="5"/>
  <c r="AE123" i="6"/>
  <c r="AE144" i="6"/>
  <c r="AE11" i="6"/>
  <c r="AA115" i="5"/>
  <c r="AA62" i="5"/>
  <c r="Z204" i="5"/>
  <c r="Z338" i="5"/>
  <c r="AA124" i="5"/>
  <c r="Z124" i="5"/>
  <c r="AM7" i="6"/>
  <c r="W7" i="6"/>
  <c r="Y7" i="6" s="1"/>
  <c r="AR7" i="6" s="1"/>
  <c r="Z152" i="5"/>
  <c r="AA152" i="5"/>
  <c r="AM89" i="6"/>
  <c r="W89" i="6"/>
  <c r="AH40" i="6"/>
  <c r="Z544" i="5"/>
  <c r="AA245" i="5"/>
  <c r="AA447" i="5"/>
  <c r="Z159" i="5"/>
  <c r="AA255" i="5"/>
  <c r="AA391" i="5"/>
  <c r="Z514" i="5"/>
  <c r="AA312" i="5"/>
  <c r="Z312" i="5"/>
  <c r="Z488" i="5"/>
  <c r="AA488" i="5"/>
  <c r="AA222" i="5"/>
  <c r="Z222" i="5"/>
  <c r="AA558" i="5"/>
  <c r="AJ40" i="6"/>
  <c r="Z470" i="5"/>
  <c r="AA172" i="5"/>
  <c r="Z466" i="5"/>
  <c r="Z279" i="5"/>
  <c r="Z46" i="5"/>
  <c r="Z429" i="5"/>
  <c r="AA534" i="5"/>
  <c r="Z534" i="5"/>
  <c r="Z317" i="5"/>
  <c r="AA317" i="5"/>
  <c r="Z278" i="5"/>
  <c r="AA278" i="5"/>
  <c r="AA136" i="5"/>
  <c r="Z136" i="5"/>
  <c r="AM82" i="6"/>
  <c r="W82" i="6"/>
  <c r="Z424" i="5"/>
  <c r="AA424" i="5"/>
  <c r="Y123" i="6"/>
  <c r="AR123" i="6" s="1"/>
  <c r="AA400" i="5"/>
  <c r="Z376" i="5"/>
  <c r="AA60" i="5"/>
  <c r="Z58" i="5"/>
  <c r="Z168" i="5"/>
  <c r="Z419" i="5"/>
  <c r="Z467" i="5"/>
  <c r="Z340" i="5"/>
  <c r="AA388" i="5"/>
  <c r="Z388" i="5"/>
  <c r="AM141" i="6"/>
  <c r="W141" i="6"/>
  <c r="Y144" i="6"/>
  <c r="AR144" i="6" s="1"/>
  <c r="AA301" i="5"/>
  <c r="Z225" i="5"/>
  <c r="Z320" i="5"/>
  <c r="Z527" i="5"/>
  <c r="AA494" i="5"/>
  <c r="AA451" i="5"/>
  <c r="AA129" i="5"/>
  <c r="Z129" i="5"/>
  <c r="Z143" i="5"/>
  <c r="AA143" i="5"/>
  <c r="AA284" i="5"/>
  <c r="Z284" i="5"/>
  <c r="AA293" i="5"/>
  <c r="Z293" i="5"/>
  <c r="AM44" i="6"/>
  <c r="W44" i="6"/>
  <c r="Z390" i="5"/>
  <c r="Z406" i="5"/>
  <c r="Z208" i="5"/>
  <c r="Z120" i="5"/>
  <c r="Z23" i="5"/>
  <c r="Z64" i="5"/>
  <c r="Z533" i="5"/>
  <c r="AA109" i="5"/>
  <c r="Z109" i="5"/>
  <c r="Z41" i="5"/>
  <c r="AA41" i="5"/>
  <c r="AM48" i="6"/>
  <c r="W48" i="6"/>
  <c r="AM143" i="6"/>
  <c r="W143" i="6"/>
  <c r="AJ63" i="6"/>
  <c r="AE22" i="6"/>
  <c r="AE151" i="6"/>
  <c r="Y151" i="6"/>
  <c r="AR151" i="6" s="1"/>
  <c r="AA22" i="5"/>
  <c r="Z22" i="5"/>
  <c r="AE38" i="8"/>
  <c r="AF103" i="8"/>
  <c r="AG103" i="8" s="1"/>
  <c r="AF66" i="8"/>
  <c r="AG66" i="8" s="1"/>
  <c r="AH134" i="6"/>
  <c r="AH147" i="6"/>
  <c r="AH111" i="6"/>
  <c r="AH150" i="6"/>
  <c r="AH13" i="6"/>
  <c r="AH110" i="6"/>
  <c r="AH154" i="6"/>
  <c r="AH131" i="6"/>
  <c r="AH31" i="6"/>
  <c r="AH124" i="6"/>
  <c r="AH43" i="6"/>
  <c r="AH141" i="6"/>
  <c r="AH140" i="6"/>
  <c r="AH139" i="6"/>
  <c r="AH146" i="6"/>
  <c r="AH87" i="6"/>
  <c r="AH130" i="6"/>
  <c r="AH152" i="6"/>
  <c r="AH52" i="6"/>
  <c r="AH41" i="6"/>
  <c r="AH102" i="6"/>
  <c r="AH113" i="6"/>
  <c r="AH76" i="6"/>
  <c r="AH127" i="6"/>
  <c r="AH14" i="6"/>
  <c r="AH137" i="6"/>
  <c r="AH62" i="6"/>
  <c r="AH30" i="6"/>
  <c r="AH93" i="6"/>
  <c r="AH72" i="6"/>
  <c r="AH155" i="6"/>
  <c r="AH22" i="6"/>
  <c r="AH143" i="6"/>
  <c r="AH100" i="6"/>
  <c r="AH101" i="6"/>
  <c r="AF99" i="8"/>
  <c r="AG99" i="8" s="1"/>
  <c r="AF32" i="8"/>
  <c r="AG32" i="8" s="1"/>
  <c r="AF137" i="8"/>
  <c r="AG137" i="8" s="1"/>
  <c r="R511" i="5"/>
  <c r="Q246" i="5"/>
  <c r="Q446" i="5"/>
  <c r="Q429" i="5"/>
  <c r="Q233" i="5"/>
  <c r="Q224" i="5"/>
  <c r="R326" i="5"/>
  <c r="Q330" i="5"/>
  <c r="Q270" i="5"/>
  <c r="R220" i="5"/>
  <c r="AF27" i="8"/>
  <c r="AG27" i="8" s="1"/>
  <c r="Q517" i="5"/>
  <c r="R503" i="5"/>
  <c r="Q459" i="5"/>
  <c r="R495" i="5"/>
  <c r="Q81" i="5"/>
  <c r="AF69" i="8"/>
  <c r="AG69" i="8" s="1"/>
  <c r="R61" i="5"/>
  <c r="AH33" i="8"/>
  <c r="R500" i="5"/>
  <c r="R245" i="5"/>
  <c r="AF130" i="8"/>
  <c r="AG130" i="8" s="1"/>
  <c r="R103" i="5"/>
  <c r="R40" i="5"/>
  <c r="R151" i="5"/>
  <c r="AF9" i="8"/>
  <c r="AG9" i="8" s="1"/>
  <c r="AF59" i="8"/>
  <c r="AG59" i="8" s="1"/>
  <c r="AF84" i="8"/>
  <c r="AG84" i="8" s="1"/>
  <c r="Q461" i="5"/>
  <c r="R129" i="5"/>
  <c r="Q132" i="5"/>
  <c r="R216" i="5"/>
  <c r="Q465" i="5"/>
  <c r="AF15" i="8"/>
  <c r="AG15" i="8" s="1"/>
  <c r="Q290" i="5"/>
  <c r="R227" i="5"/>
  <c r="Q120" i="5"/>
  <c r="R512" i="5"/>
  <c r="Q206" i="5"/>
  <c r="Q71" i="5"/>
  <c r="R338" i="5"/>
  <c r="Q208" i="5"/>
  <c r="AF144" i="8"/>
  <c r="AG144" i="8" s="1"/>
  <c r="Q335" i="5"/>
  <c r="R376" i="5"/>
  <c r="Q319" i="5"/>
  <c r="AH120" i="8"/>
  <c r="AH46" i="8"/>
  <c r="AH146" i="8"/>
  <c r="AH82" i="8"/>
  <c r="AH61" i="8"/>
  <c r="AH39" i="8"/>
  <c r="AH86" i="8"/>
  <c r="AH81" i="8"/>
  <c r="AH44" i="8"/>
  <c r="AH88" i="8"/>
  <c r="AH76" i="8"/>
  <c r="AH117" i="8"/>
  <c r="Q112" i="5"/>
  <c r="R278" i="5"/>
  <c r="Q322" i="5"/>
  <c r="R311" i="5"/>
  <c r="AH105" i="8"/>
  <c r="AH31" i="8"/>
  <c r="AH107" i="8"/>
  <c r="Q482" i="5"/>
  <c r="R166" i="5"/>
  <c r="R498" i="5"/>
  <c r="AH41" i="8"/>
  <c r="AH52" i="8"/>
  <c r="AH53" i="8"/>
  <c r="AH18" i="8"/>
  <c r="AH32" i="8"/>
  <c r="Q60" i="5"/>
  <c r="Q445" i="5"/>
  <c r="Q439" i="5"/>
  <c r="Q144" i="5"/>
  <c r="AH118" i="8"/>
  <c r="AH126" i="8"/>
  <c r="AH11" i="8"/>
  <c r="AH99" i="8"/>
  <c r="AH122" i="8"/>
  <c r="AH15" i="8"/>
  <c r="AH128" i="8"/>
  <c r="AH92" i="8"/>
  <c r="AH155" i="8"/>
  <c r="AH149" i="8"/>
  <c r="AH28" i="8"/>
  <c r="AH127" i="8"/>
  <c r="AH23" i="8"/>
  <c r="Q393" i="5"/>
  <c r="Q223" i="5"/>
  <c r="Q45" i="5"/>
  <c r="Q292" i="5"/>
  <c r="Q529" i="5"/>
  <c r="AH140" i="8"/>
  <c r="AH112" i="8"/>
  <c r="AH121" i="8"/>
  <c r="AH47" i="8"/>
  <c r="AH115" i="8"/>
  <c r="AH22" i="8"/>
  <c r="R436" i="5"/>
  <c r="Q553" i="5"/>
  <c r="AH157" i="8"/>
  <c r="AH7" i="8"/>
  <c r="AH63" i="8"/>
  <c r="AH20" i="8"/>
  <c r="AF67" i="8"/>
  <c r="AG67" i="8" s="1"/>
  <c r="AH9" i="8"/>
  <c r="AH83" i="8"/>
  <c r="AH59" i="8"/>
  <c r="AH8" i="8"/>
  <c r="AH87" i="8"/>
  <c r="AF111" i="8"/>
  <c r="AG111" i="8" s="1"/>
  <c r="AF143" i="8"/>
  <c r="AG143" i="8" s="1"/>
  <c r="AF92" i="8"/>
  <c r="AG92" i="8" s="1"/>
  <c r="AF24" i="8"/>
  <c r="AG24" i="8" s="1"/>
  <c r="AF63" i="8"/>
  <c r="AG63" i="8" s="1"/>
  <c r="AF52" i="8"/>
  <c r="AG52" i="8" s="1"/>
  <c r="AF152" i="8"/>
  <c r="AG152" i="8" s="1"/>
  <c r="AF140" i="8"/>
  <c r="AG140" i="8" s="1"/>
  <c r="AF23" i="8"/>
  <c r="AG23" i="8" s="1"/>
  <c r="Z78" i="8"/>
  <c r="AN78" i="8" s="1"/>
  <c r="AA56" i="8"/>
  <c r="AQ56" i="8" s="1"/>
  <c r="AF19" i="8"/>
  <c r="AG19" i="8" s="1"/>
  <c r="AF10" i="8"/>
  <c r="AG10" i="8" s="1"/>
  <c r="AA34" i="8"/>
  <c r="AQ34" i="8" s="1"/>
  <c r="Z17" i="8"/>
  <c r="AN17" i="8" s="1"/>
  <c r="Z96" i="8"/>
  <c r="AN96" i="8" s="1"/>
  <c r="AF54" i="8"/>
  <c r="AG54" i="8" s="1"/>
  <c r="AF116" i="8"/>
  <c r="AG116" i="8" s="1"/>
  <c r="AF18" i="8"/>
  <c r="AG18" i="8" s="1"/>
  <c r="AF106" i="8"/>
  <c r="AG106" i="8" s="1"/>
  <c r="AF20" i="8"/>
  <c r="AG20" i="8" s="1"/>
  <c r="AA114" i="8"/>
  <c r="AQ114" i="8" s="1"/>
  <c r="Z102" i="8"/>
  <c r="AN102" i="8" s="1"/>
  <c r="Z91" i="8"/>
  <c r="AN91" i="8" s="1"/>
  <c r="Z16" i="8"/>
  <c r="AN16" i="8" s="1"/>
  <c r="Z135" i="8"/>
  <c r="AN135" i="8" s="1"/>
  <c r="AF100" i="8"/>
  <c r="AG100" i="8" s="1"/>
  <c r="AF131" i="8"/>
  <c r="AG131" i="8" s="1"/>
  <c r="AA156" i="8"/>
  <c r="AQ156" i="8" s="1"/>
  <c r="Z51" i="8"/>
  <c r="AN51" i="8" s="1"/>
  <c r="AA42" i="8"/>
  <c r="AQ42" i="8" s="1"/>
  <c r="AA128" i="8"/>
  <c r="AC128" i="8" s="1"/>
  <c r="AD128" i="8" s="1"/>
  <c r="Z41" i="8"/>
  <c r="AK41" i="8" s="1"/>
  <c r="AL41" i="8" s="1"/>
  <c r="AA134" i="8"/>
  <c r="AP134" i="8" s="1"/>
  <c r="Z87" i="8"/>
  <c r="AN87" i="8" s="1"/>
  <c r="AA41" i="8"/>
  <c r="AQ41" i="8" s="1"/>
  <c r="AF76" i="8"/>
  <c r="AG76" i="8" s="1"/>
  <c r="AF75" i="8"/>
  <c r="AG75" i="8" s="1"/>
  <c r="AA85" i="8"/>
  <c r="AQ85" i="8" s="1"/>
  <c r="AF117" i="8"/>
  <c r="AG117" i="8" s="1"/>
  <c r="AF127" i="8"/>
  <c r="AG127" i="8" s="1"/>
  <c r="Z85" i="8"/>
  <c r="AN85" i="8" s="1"/>
  <c r="AA124" i="8"/>
  <c r="AP124" i="8" s="1"/>
  <c r="AA88" i="8"/>
  <c r="AP88" i="8" s="1"/>
  <c r="AQ7" i="8"/>
  <c r="AP7" i="8"/>
  <c r="AC7" i="8"/>
  <c r="AD7" i="8" s="1"/>
  <c r="AJ90" i="8"/>
  <c r="AK90" i="8"/>
  <c r="AL90" i="8" s="1"/>
  <c r="AO90" i="8" s="1"/>
  <c r="AQ19" i="8"/>
  <c r="AQ106" i="8"/>
  <c r="AP106" i="8"/>
  <c r="AC106" i="8"/>
  <c r="AD106" i="8" s="1"/>
  <c r="AA16" i="8"/>
  <c r="Z36" i="8"/>
  <c r="AK36" i="8" s="1"/>
  <c r="AL36" i="8" s="1"/>
  <c r="AJ79" i="8"/>
  <c r="AJ94" i="8"/>
  <c r="AJ87" i="8"/>
  <c r="AJ131" i="8"/>
  <c r="AK131" i="8"/>
  <c r="AL131" i="8" s="1"/>
  <c r="AO131" i="8" s="1"/>
  <c r="AC23" i="8"/>
  <c r="AD23" i="8" s="1"/>
  <c r="AP23" i="8"/>
  <c r="AQ23" i="8"/>
  <c r="AF49" i="8"/>
  <c r="AG49" i="8" s="1"/>
  <c r="AJ105" i="8"/>
  <c r="AF58" i="8"/>
  <c r="AG58" i="8" s="1"/>
  <c r="AQ9" i="8"/>
  <c r="AP9" i="8"/>
  <c r="AC9" i="8"/>
  <c r="AD9" i="8" s="1"/>
  <c r="AQ46" i="8"/>
  <c r="AJ72" i="8"/>
  <c r="AJ148" i="8"/>
  <c r="AJ24" i="8"/>
  <c r="AK24" i="8"/>
  <c r="AL24" i="8" s="1"/>
  <c r="AO24" i="8" s="1"/>
  <c r="AJ156" i="8"/>
  <c r="AJ145" i="8"/>
  <c r="AP27" i="8"/>
  <c r="AC27" i="8"/>
  <c r="AD27" i="8" s="1"/>
  <c r="AQ27" i="8"/>
  <c r="AC130" i="8"/>
  <c r="AD130" i="8" s="1"/>
  <c r="AQ130" i="8"/>
  <c r="AP130" i="8"/>
  <c r="AQ103" i="8"/>
  <c r="AP103" i="8"/>
  <c r="AC103" i="8"/>
  <c r="AD103" i="8" s="1"/>
  <c r="AA47" i="8"/>
  <c r="AA43" i="8"/>
  <c r="AJ85" i="8"/>
  <c r="AA60" i="8"/>
  <c r="AC75" i="8"/>
  <c r="AD75" i="8" s="1"/>
  <c r="AQ75" i="8"/>
  <c r="AP75" i="8"/>
  <c r="AQ100" i="8"/>
  <c r="AP100" i="8"/>
  <c r="AC100" i="8"/>
  <c r="AD100" i="8" s="1"/>
  <c r="AK12" i="8"/>
  <c r="AL12" i="8" s="1"/>
  <c r="AO12" i="8" s="1"/>
  <c r="AH78" i="8"/>
  <c r="AK49" i="8"/>
  <c r="AL49" i="8" s="1"/>
  <c r="AO49" i="8" s="1"/>
  <c r="AJ49" i="8"/>
  <c r="AJ58" i="8"/>
  <c r="AK58" i="8"/>
  <c r="AL58" i="8" s="1"/>
  <c r="AO58" i="8" s="1"/>
  <c r="AJ110" i="8"/>
  <c r="AH49" i="8"/>
  <c r="AH85" i="8"/>
  <c r="AH96" i="8"/>
  <c r="AF138" i="8"/>
  <c r="AG138" i="8" s="1"/>
  <c r="AC58" i="8"/>
  <c r="AD58" i="8" s="1"/>
  <c r="AQ58" i="8"/>
  <c r="AP58" i="8"/>
  <c r="AQ147" i="8"/>
  <c r="AP147" i="8"/>
  <c r="AC147" i="8"/>
  <c r="AD147" i="8" s="1"/>
  <c r="AF112" i="8"/>
  <c r="AG112" i="8" s="1"/>
  <c r="AF46" i="8"/>
  <c r="AG46" i="8" s="1"/>
  <c r="AF155" i="8"/>
  <c r="AG155" i="8" s="1"/>
  <c r="AH114" i="8"/>
  <c r="AK67" i="8"/>
  <c r="AL67" i="8" s="1"/>
  <c r="AO67" i="8" s="1"/>
  <c r="AJ67" i="8"/>
  <c r="Z34" i="8"/>
  <c r="AK34" i="8" s="1"/>
  <c r="AL34" i="8" s="1"/>
  <c r="AH109" i="8"/>
  <c r="AJ153" i="8"/>
  <c r="AQ155" i="8"/>
  <c r="AP155" i="8"/>
  <c r="AC155" i="8"/>
  <c r="AD155" i="8" s="1"/>
  <c r="AH123" i="8"/>
  <c r="AA61" i="8"/>
  <c r="AA17" i="8"/>
  <c r="Z31" i="8"/>
  <c r="AK31" i="8" s="1"/>
  <c r="AL31" i="8" s="1"/>
  <c r="AP149" i="8"/>
  <c r="AK111" i="8"/>
  <c r="AL111" i="8" s="1"/>
  <c r="AO111" i="8" s="1"/>
  <c r="AJ111" i="8"/>
  <c r="AH19" i="8"/>
  <c r="AC50" i="8"/>
  <c r="AD50" i="8" s="1"/>
  <c r="AP50" i="8"/>
  <c r="AQ50" i="8"/>
  <c r="AH124" i="8"/>
  <c r="AA102" i="8"/>
  <c r="Z146" i="8"/>
  <c r="AH24" i="8"/>
  <c r="AH93" i="8"/>
  <c r="Z156" i="8"/>
  <c r="AA51" i="8"/>
  <c r="AA91" i="8"/>
  <c r="AA36" i="8"/>
  <c r="AA82" i="8"/>
  <c r="AJ113" i="8"/>
  <c r="AK113" i="8"/>
  <c r="AL113" i="8" s="1"/>
  <c r="AO113" i="8" s="1"/>
  <c r="AC101" i="8"/>
  <c r="AD101" i="8" s="1"/>
  <c r="AQ101" i="8"/>
  <c r="AP101" i="8"/>
  <c r="Z47" i="8"/>
  <c r="AK47" i="8" s="1"/>
  <c r="AL47" i="8" s="1"/>
  <c r="Z88" i="8"/>
  <c r="AK88" i="8" s="1"/>
  <c r="AL88" i="8" s="1"/>
  <c r="AH43" i="8"/>
  <c r="AJ75" i="8"/>
  <c r="AH111" i="8"/>
  <c r="AJ104" i="8"/>
  <c r="AJ42" i="8"/>
  <c r="AA87" i="8"/>
  <c r="AH142" i="8"/>
  <c r="AK100" i="8"/>
  <c r="AL100" i="8" s="1"/>
  <c r="AO100" i="8" s="1"/>
  <c r="AJ100" i="8"/>
  <c r="AJ38" i="8"/>
  <c r="AC122" i="8"/>
  <c r="AD122" i="8" s="1"/>
  <c r="AQ122" i="8"/>
  <c r="AP122" i="8"/>
  <c r="AJ157" i="8"/>
  <c r="AJ96" i="8"/>
  <c r="AH131" i="8"/>
  <c r="AH65" i="8"/>
  <c r="Z128" i="8"/>
  <c r="AK128" i="8" s="1"/>
  <c r="AL128" i="8" s="1"/>
  <c r="Z33" i="8"/>
  <c r="AK63" i="8"/>
  <c r="AL63" i="8" s="1"/>
  <c r="AO63" i="8" s="1"/>
  <c r="AJ63" i="8"/>
  <c r="AJ109" i="8"/>
  <c r="AK109" i="8"/>
  <c r="AL109" i="8" s="1"/>
  <c r="AO109" i="8" s="1"/>
  <c r="AF123" i="8"/>
  <c r="AG123" i="8" s="1"/>
  <c r="AP49" i="8"/>
  <c r="AA96" i="8"/>
  <c r="AF7" i="8"/>
  <c r="AG7" i="8" s="1"/>
  <c r="AJ13" i="8"/>
  <c r="Z74" i="8"/>
  <c r="AK74" i="8" s="1"/>
  <c r="AL74" i="8" s="1"/>
  <c r="AH54" i="8"/>
  <c r="AH98" i="8"/>
  <c r="AJ17" i="8"/>
  <c r="AK103" i="8"/>
  <c r="AL103" i="8" s="1"/>
  <c r="AO103" i="8" s="1"/>
  <c r="AJ103" i="8"/>
  <c r="AA13" i="8"/>
  <c r="AC109" i="8"/>
  <c r="AD109" i="8" s="1"/>
  <c r="AQ109" i="8"/>
  <c r="AP109" i="8"/>
  <c r="AJ30" i="8"/>
  <c r="AJ57" i="8"/>
  <c r="Z61" i="8"/>
  <c r="AA31" i="8"/>
  <c r="AJ151" i="8"/>
  <c r="AA30" i="8"/>
  <c r="Z72" i="8"/>
  <c r="AK72" i="8" s="1"/>
  <c r="AL72" i="8" s="1"/>
  <c r="Z57" i="8"/>
  <c r="AK57" i="8" s="1"/>
  <c r="AL57" i="8" s="1"/>
  <c r="AA148" i="8"/>
  <c r="AH150" i="8"/>
  <c r="Z45" i="8"/>
  <c r="AK45" i="8" s="1"/>
  <c r="AL45" i="8" s="1"/>
  <c r="AQ93" i="8"/>
  <c r="AH35" i="8"/>
  <c r="AA40" i="8"/>
  <c r="AH80" i="8"/>
  <c r="Z139" i="8"/>
  <c r="AK139" i="8" s="1"/>
  <c r="AL139" i="8" s="1"/>
  <c r="AH145" i="8"/>
  <c r="AH151" i="8"/>
  <c r="AF26" i="8"/>
  <c r="AG26" i="8" s="1"/>
  <c r="AH70" i="8"/>
  <c r="AJ141" i="8"/>
  <c r="AH101" i="8"/>
  <c r="Z53" i="8"/>
  <c r="AK53" i="8" s="1"/>
  <c r="AL53" i="8" s="1"/>
  <c r="AH104" i="8"/>
  <c r="AJ97" i="8"/>
  <c r="AP18" i="8"/>
  <c r="AC18" i="8"/>
  <c r="AD18" i="8" s="1"/>
  <c r="AQ18" i="8"/>
  <c r="AC113" i="8"/>
  <c r="AD113" i="8" s="1"/>
  <c r="AQ113" i="8"/>
  <c r="AP113" i="8"/>
  <c r="AK8" i="8"/>
  <c r="AL8" i="8" s="1"/>
  <c r="AO8" i="8" s="1"/>
  <c r="AJ8" i="8"/>
  <c r="Z56" i="8"/>
  <c r="AJ137" i="8"/>
  <c r="AK137" i="8"/>
  <c r="AL137" i="8" s="1"/>
  <c r="AO137" i="8" s="1"/>
  <c r="AJ64" i="8"/>
  <c r="AJ65" i="8"/>
  <c r="AH69" i="8"/>
  <c r="AJ41" i="8"/>
  <c r="AC95" i="8"/>
  <c r="AD95" i="8" s="1"/>
  <c r="AQ95" i="8"/>
  <c r="AP95" i="8"/>
  <c r="AH137" i="8"/>
  <c r="AH38" i="8"/>
  <c r="Z107" i="8"/>
  <c r="AK107" i="8" s="1"/>
  <c r="AL107" i="8" s="1"/>
  <c r="AJ124" i="8"/>
  <c r="AJ146" i="8"/>
  <c r="AC116" i="8"/>
  <c r="AD116" i="8" s="1"/>
  <c r="AP116" i="8"/>
  <c r="AQ116" i="8"/>
  <c r="AJ88" i="8"/>
  <c r="AC66" i="8"/>
  <c r="AD66" i="8" s="1"/>
  <c r="AQ66" i="8"/>
  <c r="AP66" i="8"/>
  <c r="AJ70" i="8"/>
  <c r="AQ8" i="8"/>
  <c r="AP8" i="8"/>
  <c r="AC8" i="8"/>
  <c r="AD8" i="8" s="1"/>
  <c r="AJ56" i="8"/>
  <c r="AJ107" i="8"/>
  <c r="Z43" i="8"/>
  <c r="AJ53" i="8"/>
  <c r="AQ111" i="8"/>
  <c r="AP111" i="8"/>
  <c r="AC111" i="8"/>
  <c r="AD111" i="8" s="1"/>
  <c r="AC117" i="8"/>
  <c r="AD117" i="8" s="1"/>
  <c r="AQ117" i="8"/>
  <c r="AP117" i="8"/>
  <c r="AJ83" i="8"/>
  <c r="AP44" i="8"/>
  <c r="AC44" i="8"/>
  <c r="AD44" i="8" s="1"/>
  <c r="AQ44" i="8"/>
  <c r="AJ39" i="8"/>
  <c r="Q537" i="5"/>
  <c r="Q423" i="5"/>
  <c r="R127" i="5"/>
  <c r="Q26" i="5"/>
  <c r="Q38" i="5"/>
  <c r="R122" i="5"/>
  <c r="Q339" i="5"/>
  <c r="R314" i="5"/>
  <c r="AA33" i="8"/>
  <c r="AP118" i="8"/>
  <c r="AC118" i="8"/>
  <c r="AD118" i="8" s="1"/>
  <c r="AQ118" i="8"/>
  <c r="AH138" i="8"/>
  <c r="AJ48" i="8"/>
  <c r="AF147" i="8"/>
  <c r="AG147" i="8" s="1"/>
  <c r="AF109" i="8"/>
  <c r="AG109" i="8" s="1"/>
  <c r="AJ10" i="8"/>
  <c r="AK10" i="8"/>
  <c r="AL10" i="8" s="1"/>
  <c r="AO10" i="8" s="1"/>
  <c r="AJ7" i="8"/>
  <c r="AK7" i="8"/>
  <c r="AL7" i="8" s="1"/>
  <c r="AO7" i="8" s="1"/>
  <c r="AH48" i="8"/>
  <c r="AH58" i="8"/>
  <c r="AH147" i="8"/>
  <c r="AA74" i="8"/>
  <c r="AH153" i="8"/>
  <c r="AA98" i="8"/>
  <c r="AJ136" i="8"/>
  <c r="AK25" i="8"/>
  <c r="AL25" i="8" s="1"/>
  <c r="AO25" i="8" s="1"/>
  <c r="AJ25" i="8"/>
  <c r="Z13" i="8"/>
  <c r="AH55" i="8"/>
  <c r="AJ74" i="8"/>
  <c r="AK54" i="8"/>
  <c r="AL54" i="8" s="1"/>
  <c r="AO54" i="8" s="1"/>
  <c r="AJ54" i="8"/>
  <c r="AK27" i="8"/>
  <c r="AL27" i="8" s="1"/>
  <c r="AO27" i="8" s="1"/>
  <c r="AJ27" i="8"/>
  <c r="AJ11" i="8"/>
  <c r="AH73" i="8"/>
  <c r="AH116" i="8"/>
  <c r="AJ115" i="8"/>
  <c r="Z30" i="8"/>
  <c r="AA72" i="8"/>
  <c r="AA57" i="8"/>
  <c r="Z148" i="8"/>
  <c r="AH45" i="8"/>
  <c r="AJ61" i="8"/>
  <c r="AH156" i="8"/>
  <c r="Z35" i="8"/>
  <c r="Z40" i="8"/>
  <c r="AK40" i="8" s="1"/>
  <c r="AL40" i="8" s="1"/>
  <c r="Z80" i="8"/>
  <c r="AK80" i="8" s="1"/>
  <c r="AL80" i="8" s="1"/>
  <c r="AA139" i="8"/>
  <c r="AA145" i="8"/>
  <c r="AA151" i="8"/>
  <c r="AK26" i="8"/>
  <c r="AL26" i="8" s="1"/>
  <c r="AO26" i="8" s="1"/>
  <c r="AJ26" i="8"/>
  <c r="Z82" i="8"/>
  <c r="Z70" i="8"/>
  <c r="AK70" i="8" s="1"/>
  <c r="AL70" i="8" s="1"/>
  <c r="AJ122" i="8"/>
  <c r="AK122" i="8"/>
  <c r="AL122" i="8" s="1"/>
  <c r="AO122" i="8" s="1"/>
  <c r="AJ36" i="8"/>
  <c r="AQ52" i="8"/>
  <c r="AH79" i="8"/>
  <c r="AH84" i="8"/>
  <c r="AH154" i="8"/>
  <c r="Z133" i="8"/>
  <c r="AA53" i="8"/>
  <c r="AA119" i="8"/>
  <c r="AJ132" i="8"/>
  <c r="AJ32" i="8"/>
  <c r="AK32" i="8"/>
  <c r="AL32" i="8" s="1"/>
  <c r="AO32" i="8" s="1"/>
  <c r="Z83" i="8"/>
  <c r="AK83" i="8" s="1"/>
  <c r="AL83" i="8" s="1"/>
  <c r="AJ118" i="8"/>
  <c r="AK118" i="8"/>
  <c r="AL118" i="8" s="1"/>
  <c r="AO118" i="8" s="1"/>
  <c r="Z71" i="8"/>
  <c r="AK71" i="8" s="1"/>
  <c r="AL71" i="8" s="1"/>
  <c r="AA94" i="8"/>
  <c r="AH113" i="8"/>
  <c r="Z29" i="8"/>
  <c r="AH97" i="8"/>
  <c r="AH132" i="8"/>
  <c r="AK15" i="8"/>
  <c r="AL15" i="8" s="1"/>
  <c r="AO15" i="8" s="1"/>
  <c r="AJ15" i="8"/>
  <c r="AH37" i="8"/>
  <c r="AJ43" i="8"/>
  <c r="AA125" i="8"/>
  <c r="AC15" i="8"/>
  <c r="AD15" i="8" s="1"/>
  <c r="AP15" i="8"/>
  <c r="AQ15" i="8"/>
  <c r="AH95" i="8"/>
  <c r="AQ137" i="8"/>
  <c r="AC137" i="8"/>
  <c r="AD137" i="8" s="1"/>
  <c r="AP137" i="8"/>
  <c r="AA64" i="8"/>
  <c r="AA107" i="8"/>
  <c r="AC141" i="8"/>
  <c r="AD141" i="8" s="1"/>
  <c r="AQ141" i="8"/>
  <c r="AP141" i="8"/>
  <c r="AJ138" i="8"/>
  <c r="AK138" i="8"/>
  <c r="AL138" i="8" s="1"/>
  <c r="AO138" i="8" s="1"/>
  <c r="AJ112" i="8"/>
  <c r="AK112" i="8"/>
  <c r="AL112" i="8" s="1"/>
  <c r="AO112" i="8" s="1"/>
  <c r="AJ155" i="8"/>
  <c r="AK155" i="8"/>
  <c r="AL155" i="8" s="1"/>
  <c r="AO155" i="8" s="1"/>
  <c r="AJ16" i="8"/>
  <c r="AJ147" i="8"/>
  <c r="AK147" i="8"/>
  <c r="AL147" i="8" s="1"/>
  <c r="AO147" i="8" s="1"/>
  <c r="AK93" i="8"/>
  <c r="AL93" i="8" s="1"/>
  <c r="AO93" i="8" s="1"/>
  <c r="AJ93" i="8"/>
  <c r="AA11" i="8"/>
  <c r="AC105" i="8"/>
  <c r="AD105" i="8" s="1"/>
  <c r="AP105" i="8"/>
  <c r="AQ105" i="8"/>
  <c r="AP54" i="8"/>
  <c r="AQ54" i="8"/>
  <c r="AC54" i="8"/>
  <c r="AD54" i="8" s="1"/>
  <c r="Z98" i="8"/>
  <c r="AK98" i="8" s="1"/>
  <c r="AL98" i="8" s="1"/>
  <c r="AJ116" i="8"/>
  <c r="AK116" i="8"/>
  <c r="AL116" i="8" s="1"/>
  <c r="AO116" i="8" s="1"/>
  <c r="AQ55" i="8"/>
  <c r="AP55" i="8"/>
  <c r="AC55" i="8"/>
  <c r="AD55" i="8" s="1"/>
  <c r="AH129" i="8"/>
  <c r="AH14" i="8"/>
  <c r="Z81" i="8"/>
  <c r="AJ98" i="8"/>
  <c r="AH136" i="8"/>
  <c r="AF50" i="8"/>
  <c r="AG50" i="8" s="1"/>
  <c r="AJ106" i="8"/>
  <c r="AK106" i="8"/>
  <c r="AL106" i="8" s="1"/>
  <c r="AO106" i="8" s="1"/>
  <c r="AH25" i="8"/>
  <c r="AH68" i="8"/>
  <c r="AH110" i="8"/>
  <c r="AJ51" i="8"/>
  <c r="AJ139" i="8"/>
  <c r="AH57" i="8"/>
  <c r="AA45" i="8"/>
  <c r="AH67" i="8"/>
  <c r="AH106" i="8"/>
  <c r="AH143" i="8"/>
  <c r="AA35" i="8"/>
  <c r="AA80" i="8"/>
  <c r="Z145" i="8"/>
  <c r="AK145" i="8" s="1"/>
  <c r="AL145" i="8" s="1"/>
  <c r="Z151" i="8"/>
  <c r="AJ101" i="8"/>
  <c r="AK101" i="8"/>
  <c r="AL101" i="8" s="1"/>
  <c r="AO101" i="8" s="1"/>
  <c r="AA70" i="8"/>
  <c r="AF122" i="8"/>
  <c r="AG122" i="8" s="1"/>
  <c r="AH66" i="8"/>
  <c r="AJ121" i="8"/>
  <c r="Z79" i="8"/>
  <c r="AQ84" i="8"/>
  <c r="AA154" i="8"/>
  <c r="AH133" i="8"/>
  <c r="AJ29" i="8"/>
  <c r="Z119" i="8"/>
  <c r="AK119" i="8" s="1"/>
  <c r="AL119" i="8" s="1"/>
  <c r="AJ128" i="8"/>
  <c r="AA83" i="8"/>
  <c r="AF118" i="8"/>
  <c r="AG118" i="8" s="1"/>
  <c r="AH71" i="8"/>
  <c r="AH94" i="8"/>
  <c r="AH29" i="8"/>
  <c r="AH56" i="8"/>
  <c r="Z97" i="8"/>
  <c r="AK97" i="8" s="1"/>
  <c r="AL97" i="8" s="1"/>
  <c r="Z132" i="8"/>
  <c r="AK132" i="8" s="1"/>
  <c r="AL132" i="8" s="1"/>
  <c r="AJ127" i="8"/>
  <c r="AK127" i="8"/>
  <c r="AL127" i="8" s="1"/>
  <c r="AO127" i="8" s="1"/>
  <c r="Z37" i="8"/>
  <c r="AJ23" i="8"/>
  <c r="AK23" i="8"/>
  <c r="AL23" i="8" s="1"/>
  <c r="AO23" i="8" s="1"/>
  <c r="AH108" i="8"/>
  <c r="AH125" i="8"/>
  <c r="AQ144" i="8"/>
  <c r="AP144" i="8"/>
  <c r="AH12" i="8"/>
  <c r="AJ78" i="8"/>
  <c r="AH89" i="8"/>
  <c r="Z64" i="8"/>
  <c r="AJ60" i="8"/>
  <c r="AH141" i="8"/>
  <c r="AP138" i="8"/>
  <c r="AQ138" i="8"/>
  <c r="AC138" i="8"/>
  <c r="AD138" i="8" s="1"/>
  <c r="AJ20" i="8"/>
  <c r="AK20" i="8"/>
  <c r="AL20" i="8" s="1"/>
  <c r="AO20" i="8" s="1"/>
  <c r="AK99" i="8"/>
  <c r="AL99" i="8" s="1"/>
  <c r="AO99" i="8" s="1"/>
  <c r="AJ99" i="8"/>
  <c r="AJ123" i="8"/>
  <c r="AK123" i="8"/>
  <c r="AL123" i="8" s="1"/>
  <c r="AO123" i="8" s="1"/>
  <c r="AJ80" i="8"/>
  <c r="Q450" i="5"/>
  <c r="R494" i="5"/>
  <c r="Q433" i="5"/>
  <c r="R226" i="5"/>
  <c r="Q101" i="5"/>
  <c r="Q154" i="5"/>
  <c r="R391" i="5"/>
  <c r="Q464" i="5"/>
  <c r="R274" i="5"/>
  <c r="Q455" i="5"/>
  <c r="Q337" i="5"/>
  <c r="Q161" i="5"/>
  <c r="R104" i="5"/>
  <c r="Q102" i="5"/>
  <c r="R163" i="5"/>
  <c r="Q74" i="5"/>
  <c r="R490" i="5"/>
  <c r="AP78" i="8"/>
  <c r="AF93" i="8"/>
  <c r="AG93" i="8" s="1"/>
  <c r="AQ140" i="8"/>
  <c r="AP140" i="8"/>
  <c r="AC140" i="8"/>
  <c r="AD140" i="8" s="1"/>
  <c r="AJ34" i="8"/>
  <c r="AH74" i="8"/>
  <c r="Z134" i="8"/>
  <c r="AK130" i="8"/>
  <c r="AL130" i="8" s="1"/>
  <c r="AO130" i="8" s="1"/>
  <c r="AJ130" i="8"/>
  <c r="AJ152" i="8"/>
  <c r="AK152" i="8"/>
  <c r="AL152" i="8" s="1"/>
  <c r="AO152" i="8" s="1"/>
  <c r="AH13" i="8"/>
  <c r="AC90" i="8"/>
  <c r="AD90" i="8" s="1"/>
  <c r="AP90" i="8"/>
  <c r="AQ90" i="8"/>
  <c r="AA129" i="8"/>
  <c r="AA81" i="8"/>
  <c r="AA136" i="8"/>
  <c r="AK50" i="8"/>
  <c r="AL50" i="8" s="1"/>
  <c r="AO50" i="8" s="1"/>
  <c r="AJ50" i="8"/>
  <c r="AJ45" i="8"/>
  <c r="AJ47" i="8"/>
  <c r="AH30" i="8"/>
  <c r="AH72" i="8"/>
  <c r="AH148" i="8"/>
  <c r="AC150" i="8"/>
  <c r="AD150" i="8" s="1"/>
  <c r="AQ150" i="8"/>
  <c r="AP150" i="8"/>
  <c r="AH40" i="8"/>
  <c r="AH139" i="8"/>
  <c r="AK52" i="8"/>
  <c r="AL52" i="8" s="1"/>
  <c r="AO52" i="8" s="1"/>
  <c r="AJ52" i="8"/>
  <c r="AK18" i="8"/>
  <c r="AL18" i="8" s="1"/>
  <c r="AO18" i="8" s="1"/>
  <c r="AJ18" i="8"/>
  <c r="AH26" i="8"/>
  <c r="AJ82" i="8"/>
  <c r="AH152" i="8"/>
  <c r="AA79" i="8"/>
  <c r="Z154" i="8"/>
  <c r="AA133" i="8"/>
  <c r="AJ71" i="8"/>
  <c r="AJ135" i="8"/>
  <c r="AH42" i="8"/>
  <c r="AA71" i="8"/>
  <c r="Z94" i="8"/>
  <c r="AK94" i="8" s="1"/>
  <c r="AL94" i="8" s="1"/>
  <c r="AH135" i="8"/>
  <c r="AA29" i="8"/>
  <c r="AA97" i="8"/>
  <c r="AA132" i="8"/>
  <c r="AF89" i="8"/>
  <c r="AG89" i="8" s="1"/>
  <c r="AF95" i="8"/>
  <c r="AG95" i="8" s="1"/>
  <c r="AA37" i="8"/>
  <c r="Z60" i="8"/>
  <c r="AK60" i="8" s="1"/>
  <c r="AL60" i="8" s="1"/>
  <c r="AH75" i="8"/>
  <c r="Z125" i="8"/>
  <c r="AH144" i="8"/>
  <c r="AQ12" i="8"/>
  <c r="AH10" i="8"/>
  <c r="AH62" i="8"/>
  <c r="AH100" i="8"/>
  <c r="AQ131" i="8"/>
  <c r="Z65" i="8"/>
  <c r="AK65" i="8" s="1"/>
  <c r="AL65" i="8" s="1"/>
  <c r="AJ129" i="8"/>
  <c r="AJ44" i="8"/>
  <c r="AK44" i="8"/>
  <c r="AL44" i="8" s="1"/>
  <c r="AO44" i="8" s="1"/>
  <c r="AJ21" i="8"/>
  <c r="AJ92" i="8"/>
  <c r="AK92" i="8"/>
  <c r="AL92" i="8" s="1"/>
  <c r="AO92" i="8" s="1"/>
  <c r="Z11" i="8"/>
  <c r="AK11" i="8" s="1"/>
  <c r="AL11" i="8" s="1"/>
  <c r="AJ77" i="8"/>
  <c r="AH21" i="8"/>
  <c r="AQ63" i="8"/>
  <c r="AP63" i="8"/>
  <c r="AC63" i="8"/>
  <c r="AD63" i="8" s="1"/>
  <c r="AQ86" i="8"/>
  <c r="AP20" i="8"/>
  <c r="AQ20" i="8"/>
  <c r="AC20" i="8"/>
  <c r="AD20" i="8" s="1"/>
  <c r="AQ92" i="8"/>
  <c r="AC99" i="8"/>
  <c r="AD99" i="8" s="1"/>
  <c r="AQ99" i="8"/>
  <c r="AP99" i="8"/>
  <c r="AJ55" i="8"/>
  <c r="AK55" i="8"/>
  <c r="AL55" i="8" s="1"/>
  <c r="AO55" i="8" s="1"/>
  <c r="AF90" i="8"/>
  <c r="AG90" i="8" s="1"/>
  <c r="AJ81" i="8"/>
  <c r="Z114" i="8"/>
  <c r="AK114" i="8" s="1"/>
  <c r="AL114" i="8" s="1"/>
  <c r="AJ31" i="8"/>
  <c r="AH134" i="8"/>
  <c r="AH34" i="8"/>
  <c r="AP112" i="8"/>
  <c r="AC112" i="8"/>
  <c r="AD112" i="8" s="1"/>
  <c r="AQ112" i="8"/>
  <c r="AH90" i="8"/>
  <c r="Z129" i="8"/>
  <c r="AK129" i="8" s="1"/>
  <c r="AL129" i="8" s="1"/>
  <c r="AJ114" i="8"/>
  <c r="Z136" i="8"/>
  <c r="AK136" i="8" s="1"/>
  <c r="AL136" i="8" s="1"/>
  <c r="AH17" i="8"/>
  <c r="AC68" i="8"/>
  <c r="AD68" i="8" s="1"/>
  <c r="AJ40" i="8"/>
  <c r="AH50" i="8"/>
  <c r="Z124" i="8"/>
  <c r="AH102" i="8"/>
  <c r="AA146" i="8"/>
  <c r="AH27" i="8"/>
  <c r="AH51" i="8"/>
  <c r="AH77" i="8"/>
  <c r="AH91" i="8"/>
  <c r="AH130" i="8"/>
  <c r="AH16" i="8"/>
  <c r="AH36" i="8"/>
  <c r="AJ66" i="8"/>
  <c r="AK66" i="8"/>
  <c r="AL66" i="8" s="1"/>
  <c r="AO66" i="8" s="1"/>
  <c r="AJ117" i="8"/>
  <c r="AK117" i="8"/>
  <c r="AL117" i="8" s="1"/>
  <c r="AO117" i="8" s="1"/>
  <c r="AK76" i="8"/>
  <c r="AL76" i="8" s="1"/>
  <c r="AO76" i="8" s="1"/>
  <c r="AJ76" i="8"/>
  <c r="AC26" i="8"/>
  <c r="AD26" i="8" s="1"/>
  <c r="AQ26" i="8"/>
  <c r="AP26" i="8"/>
  <c r="AH103" i="8"/>
  <c r="Z42" i="8"/>
  <c r="AK42" i="8" s="1"/>
  <c r="AL42" i="8" s="1"/>
  <c r="AH119" i="8"/>
  <c r="AJ62" i="8"/>
  <c r="AJ125" i="8"/>
  <c r="AA135" i="8"/>
  <c r="AJ119" i="8"/>
  <c r="AJ95" i="8"/>
  <c r="AK95" i="8"/>
  <c r="AL95" i="8" s="1"/>
  <c r="AO95" i="8" s="1"/>
  <c r="AH60" i="8"/>
  <c r="AC32" i="8"/>
  <c r="AD32" i="8" s="1"/>
  <c r="AQ32" i="8"/>
  <c r="AP32" i="8"/>
  <c r="AJ126" i="8"/>
  <c r="AQ127" i="8"/>
  <c r="AP127" i="8"/>
  <c r="AC127" i="8"/>
  <c r="AD127" i="8" s="1"/>
  <c r="AA65" i="8"/>
  <c r="AJ108" i="8"/>
  <c r="B39" i="5"/>
  <c r="AA76" i="6"/>
  <c r="AC76" i="6" s="1"/>
  <c r="AD76" i="6" s="1"/>
  <c r="AC32" i="6"/>
  <c r="AD32" i="6" s="1"/>
  <c r="AA101" i="6"/>
  <c r="AC101" i="6" s="1"/>
  <c r="AD101" i="6" s="1"/>
  <c r="Z125" i="6"/>
  <c r="AN125" i="6" s="1"/>
  <c r="AA59" i="6"/>
  <c r="AQ59" i="6" s="1"/>
  <c r="AF300" i="5"/>
  <c r="AH300" i="5" s="1"/>
  <c r="AP32" i="6"/>
  <c r="AA125" i="6"/>
  <c r="AQ125" i="6" s="1"/>
  <c r="Z59" i="6"/>
  <c r="AN59" i="6" s="1"/>
  <c r="Z103" i="6"/>
  <c r="AN103" i="6" s="1"/>
  <c r="AA72" i="6"/>
  <c r="AP72" i="6" s="1"/>
  <c r="AA103" i="6"/>
  <c r="AQ103" i="6" s="1"/>
  <c r="Z72" i="6"/>
  <c r="AK72" i="6" s="1"/>
  <c r="AL72" i="6" s="1"/>
  <c r="AQ27" i="6"/>
  <c r="Z80" i="6"/>
  <c r="AK80" i="6" s="1"/>
  <c r="AL80" i="6" s="1"/>
  <c r="AA120" i="6"/>
  <c r="AQ120" i="6" s="1"/>
  <c r="Z126" i="6"/>
  <c r="AN126" i="6" s="1"/>
  <c r="AA80" i="6"/>
  <c r="AQ80" i="6" s="1"/>
  <c r="Z120" i="6"/>
  <c r="AF120" i="6" s="1"/>
  <c r="AG120" i="6" s="1"/>
  <c r="AA126" i="6"/>
  <c r="AP126" i="6" s="1"/>
  <c r="Z101" i="6"/>
  <c r="AF101" i="6" s="1"/>
  <c r="AG101" i="6" s="1"/>
  <c r="Z76" i="6"/>
  <c r="AF76" i="6" s="1"/>
  <c r="AG76" i="6" s="1"/>
  <c r="AF28" i="5"/>
  <c r="AG28" i="5" s="1"/>
  <c r="AF11" i="5"/>
  <c r="AG11" i="5" s="1"/>
  <c r="AF399" i="5"/>
  <c r="AG399" i="5" s="1"/>
  <c r="AF163" i="5"/>
  <c r="AG163" i="5" s="1"/>
  <c r="Z65" i="6"/>
  <c r="AN65" i="6" s="1"/>
  <c r="Z110" i="6"/>
  <c r="AN110" i="6" s="1"/>
  <c r="AF370" i="5"/>
  <c r="AH370" i="5" s="1"/>
  <c r="AF106" i="5"/>
  <c r="AH106" i="5" s="1"/>
  <c r="AF426" i="5"/>
  <c r="AH426" i="5" s="1"/>
  <c r="AF246" i="5"/>
  <c r="AG246" i="5" s="1"/>
  <c r="AF335" i="5"/>
  <c r="AH335" i="5" s="1"/>
  <c r="AF288" i="5"/>
  <c r="AG288" i="5" s="1"/>
  <c r="AF527" i="5"/>
  <c r="AG527" i="5" s="1"/>
  <c r="AF29" i="5"/>
  <c r="AH29" i="5" s="1"/>
  <c r="Z39" i="6"/>
  <c r="AK39" i="6" s="1"/>
  <c r="AL39" i="6" s="1"/>
  <c r="AA84" i="6"/>
  <c r="AQ84" i="6" s="1"/>
  <c r="AA65" i="6"/>
  <c r="AQ65" i="6" s="1"/>
  <c r="AA70" i="6"/>
  <c r="AP70" i="6" s="1"/>
  <c r="Z148" i="6"/>
  <c r="AF148" i="6" s="1"/>
  <c r="AG148" i="6" s="1"/>
  <c r="AA39" i="6"/>
  <c r="AC39" i="6" s="1"/>
  <c r="AD39" i="6" s="1"/>
  <c r="Z42" i="6"/>
  <c r="AN42" i="6" s="1"/>
  <c r="AA138" i="6"/>
  <c r="AQ138" i="6" s="1"/>
  <c r="AA42" i="6"/>
  <c r="AC42" i="6" s="1"/>
  <c r="AD42" i="6" s="1"/>
  <c r="Z91" i="6"/>
  <c r="AN91" i="6" s="1"/>
  <c r="Z93" i="6"/>
  <c r="AK93" i="6" s="1"/>
  <c r="AL93" i="6" s="1"/>
  <c r="AA55" i="6"/>
  <c r="AC55" i="6" s="1"/>
  <c r="AD55" i="6" s="1"/>
  <c r="AA93" i="6"/>
  <c r="AP93" i="6" s="1"/>
  <c r="Z74" i="6"/>
  <c r="AK74" i="6" s="1"/>
  <c r="AL74" i="6" s="1"/>
  <c r="AA109" i="6"/>
  <c r="AC109" i="6" s="1"/>
  <c r="AD109" i="6" s="1"/>
  <c r="AP27" i="6"/>
  <c r="AA91" i="6"/>
  <c r="AQ91" i="6" s="1"/>
  <c r="Z133" i="6"/>
  <c r="AN133" i="6" s="1"/>
  <c r="Z138" i="6"/>
  <c r="AF138" i="6" s="1"/>
  <c r="AG138" i="6" s="1"/>
  <c r="Z109" i="6"/>
  <c r="AF109" i="6" s="1"/>
  <c r="AG109" i="6" s="1"/>
  <c r="AA68" i="6"/>
  <c r="AC68" i="6" s="1"/>
  <c r="AD68" i="6" s="1"/>
  <c r="Z63" i="6"/>
  <c r="AF63" i="6" s="1"/>
  <c r="AG63" i="6" s="1"/>
  <c r="AA148" i="6"/>
  <c r="AC148" i="6" s="1"/>
  <c r="AD148" i="6" s="1"/>
  <c r="Z68" i="6"/>
  <c r="AF68" i="6" s="1"/>
  <c r="AG68" i="6" s="1"/>
  <c r="AA63" i="6"/>
  <c r="AQ63" i="6" s="1"/>
  <c r="AF466" i="5"/>
  <c r="AH466" i="5" s="1"/>
  <c r="AF440" i="5"/>
  <c r="AH440" i="5" s="1"/>
  <c r="AF516" i="5"/>
  <c r="AG516" i="5" s="1"/>
  <c r="AF488" i="5"/>
  <c r="AG488" i="5" s="1"/>
  <c r="AF201" i="5"/>
  <c r="AH201" i="5" s="1"/>
  <c r="AF245" i="5"/>
  <c r="AG245" i="5" s="1"/>
  <c r="AF27" i="5"/>
  <c r="AH27" i="5" s="1"/>
  <c r="AF100" i="5"/>
  <c r="AG100" i="5" s="1"/>
  <c r="AF204" i="5"/>
  <c r="AH204" i="5" s="1"/>
  <c r="AF130" i="5"/>
  <c r="AH130" i="5" s="1"/>
  <c r="AF31" i="5"/>
  <c r="AH31" i="5" s="1"/>
  <c r="AF380" i="5"/>
  <c r="AH380" i="5" s="1"/>
  <c r="AA133" i="6"/>
  <c r="AP133" i="6" s="1"/>
  <c r="AF12" i="5"/>
  <c r="AH12" i="5" s="1"/>
  <c r="AF558" i="5"/>
  <c r="AH558" i="5" s="1"/>
  <c r="AF178" i="5"/>
  <c r="AH178" i="5" s="1"/>
  <c r="AF40" i="5"/>
  <c r="AH40" i="5" s="1"/>
  <c r="AF476" i="5"/>
  <c r="AH476" i="5" s="1"/>
  <c r="AF196" i="5"/>
  <c r="AH196" i="5" s="1"/>
  <c r="AF7" i="5"/>
  <c r="AG7" i="5" s="1"/>
  <c r="AF397" i="5"/>
  <c r="AG397" i="5" s="1"/>
  <c r="AF493" i="5"/>
  <c r="AH493" i="5" s="1"/>
  <c r="AF389" i="5"/>
  <c r="AG389" i="5" s="1"/>
  <c r="AF396" i="5"/>
  <c r="AH396" i="5" s="1"/>
  <c r="AF301" i="5"/>
  <c r="AH301" i="5" s="1"/>
  <c r="AF347" i="5"/>
  <c r="AG347" i="5" s="1"/>
  <c r="AF117" i="5"/>
  <c r="AH117" i="5" s="1"/>
  <c r="AF150" i="5"/>
  <c r="AH150" i="5" s="1"/>
  <c r="AF30" i="5"/>
  <c r="AH30" i="5" s="1"/>
  <c r="AF515" i="5"/>
  <c r="AG515" i="5" s="1"/>
  <c r="AF95" i="5"/>
  <c r="AG95" i="5" s="1"/>
  <c r="Z152" i="6"/>
  <c r="AK152" i="6" s="1"/>
  <c r="AL152" i="6" s="1"/>
  <c r="Z142" i="6"/>
  <c r="AF142" i="6" s="1"/>
  <c r="AG142" i="6" s="1"/>
  <c r="AF439" i="5"/>
  <c r="AG439" i="5" s="1"/>
  <c r="AF471" i="5"/>
  <c r="AG471" i="5" s="1"/>
  <c r="AF141" i="5"/>
  <c r="AH141" i="5" s="1"/>
  <c r="B69" i="5"/>
  <c r="AF548" i="5"/>
  <c r="AG548" i="5" s="1"/>
  <c r="AF496" i="5"/>
  <c r="AH496" i="5" s="1"/>
  <c r="AF391" i="5"/>
  <c r="AG391" i="5" s="1"/>
  <c r="AF354" i="5"/>
  <c r="AH354" i="5" s="1"/>
  <c r="AF249" i="5"/>
  <c r="AG249" i="5" s="1"/>
  <c r="AF352" i="5"/>
  <c r="AG352" i="5" s="1"/>
  <c r="AF107" i="5"/>
  <c r="AG107" i="5" s="1"/>
  <c r="AF203" i="5"/>
  <c r="AG203" i="5" s="1"/>
  <c r="AF91" i="5"/>
  <c r="AG91" i="5" s="1"/>
  <c r="AF225" i="5"/>
  <c r="AG225" i="5" s="1"/>
  <c r="AF39" i="5"/>
  <c r="AG39" i="5" s="1"/>
  <c r="AF534" i="5"/>
  <c r="AG534" i="5" s="1"/>
  <c r="AF514" i="5"/>
  <c r="AH514" i="5" s="1"/>
  <c r="AF528" i="5"/>
  <c r="AG528" i="5" s="1"/>
  <c r="AF535" i="5"/>
  <c r="AG535" i="5" s="1"/>
  <c r="AF62" i="5"/>
  <c r="AH62" i="5" s="1"/>
  <c r="AF244" i="5"/>
  <c r="AG244" i="5" s="1"/>
  <c r="AF240" i="5"/>
  <c r="AG240" i="5" s="1"/>
  <c r="AF43" i="5"/>
  <c r="AH43" i="5" s="1"/>
  <c r="AF156" i="5"/>
  <c r="AG156" i="5" s="1"/>
  <c r="AF207" i="5"/>
  <c r="AH207" i="5" s="1"/>
  <c r="AF41" i="5"/>
  <c r="AG41" i="5" s="1"/>
  <c r="AF115" i="5"/>
  <c r="AH115" i="5" s="1"/>
  <c r="AA38" i="6"/>
  <c r="AC38" i="6" s="1"/>
  <c r="AD38" i="6" s="1"/>
  <c r="Z134" i="6"/>
  <c r="AF134" i="6" s="1"/>
  <c r="AG134" i="6" s="1"/>
  <c r="AA53" i="6"/>
  <c r="AC53" i="6" s="1"/>
  <c r="AD53" i="6" s="1"/>
  <c r="AF470" i="5"/>
  <c r="AH470" i="5" s="1"/>
  <c r="AF105" i="5"/>
  <c r="AG105" i="5" s="1"/>
  <c r="AF538" i="5"/>
  <c r="AG538" i="5" s="1"/>
  <c r="AF511" i="5"/>
  <c r="AG511" i="5" s="1"/>
  <c r="AF510" i="5"/>
  <c r="AG510" i="5" s="1"/>
  <c r="AF512" i="5"/>
  <c r="AH512" i="5" s="1"/>
  <c r="AF416" i="5"/>
  <c r="AG416" i="5" s="1"/>
  <c r="AF217" i="5"/>
  <c r="AG217" i="5" s="1"/>
  <c r="AF215" i="5"/>
  <c r="AG215" i="5" s="1"/>
  <c r="AF77" i="5"/>
  <c r="AH77" i="5" s="1"/>
  <c r="AF134" i="5"/>
  <c r="AH134" i="5" s="1"/>
  <c r="AF187" i="5"/>
  <c r="AH187" i="5" s="1"/>
  <c r="AF47" i="5"/>
  <c r="AH47" i="5" s="1"/>
  <c r="AF230" i="5"/>
  <c r="AH230" i="5" s="1"/>
  <c r="Z155" i="6"/>
  <c r="AN155" i="6" s="1"/>
  <c r="AA134" i="6"/>
  <c r="AQ134" i="6" s="1"/>
  <c r="Z53" i="6"/>
  <c r="AK53" i="6" s="1"/>
  <c r="AL53" i="6" s="1"/>
  <c r="AF79" i="5"/>
  <c r="AG79" i="5" s="1"/>
  <c r="AF424" i="5"/>
  <c r="AG424" i="5" s="1"/>
  <c r="AF405" i="5"/>
  <c r="AH405" i="5" s="1"/>
  <c r="AF377" i="5"/>
  <c r="AH377" i="5" s="1"/>
  <c r="AF436" i="5"/>
  <c r="AH436" i="5" s="1"/>
  <c r="AF323" i="5"/>
  <c r="AH323" i="5" s="1"/>
  <c r="AF318" i="5"/>
  <c r="AH318" i="5" s="1"/>
  <c r="AF340" i="5"/>
  <c r="AG340" i="5" s="1"/>
  <c r="AF232" i="5"/>
  <c r="AH232" i="5" s="1"/>
  <c r="AF22" i="5"/>
  <c r="AH22" i="5" s="1"/>
  <c r="AF44" i="5"/>
  <c r="AH44" i="5" s="1"/>
  <c r="AF93" i="5"/>
  <c r="AG93" i="5" s="1"/>
  <c r="AF312" i="5"/>
  <c r="AH312" i="5" s="1"/>
  <c r="AF205" i="5"/>
  <c r="AG205" i="5" s="1"/>
  <c r="AF251" i="5"/>
  <c r="AH251" i="5" s="1"/>
  <c r="AF325" i="5"/>
  <c r="AG325" i="5" s="1"/>
  <c r="AF222" i="5"/>
  <c r="AH222" i="5" s="1"/>
  <c r="AA146" i="6"/>
  <c r="AP146" i="6" s="1"/>
  <c r="AF139" i="5"/>
  <c r="AH139" i="5" s="1"/>
  <c r="AF457" i="5"/>
  <c r="AH457" i="5" s="1"/>
  <c r="AF329" i="5"/>
  <c r="AG329" i="5" s="1"/>
  <c r="AF210" i="5"/>
  <c r="AH210" i="5" s="1"/>
  <c r="AA74" i="6"/>
  <c r="AQ74" i="6" s="1"/>
  <c r="Z77" i="6"/>
  <c r="AK77" i="6" s="1"/>
  <c r="AL77" i="6" s="1"/>
  <c r="AA77" i="6"/>
  <c r="AQ77" i="6" s="1"/>
  <c r="AA124" i="6"/>
  <c r="AQ124" i="6" s="1"/>
  <c r="AA75" i="6"/>
  <c r="AP75" i="6" s="1"/>
  <c r="Z124" i="6"/>
  <c r="AF124" i="6" s="1"/>
  <c r="AG124" i="6" s="1"/>
  <c r="Z136" i="6"/>
  <c r="AN136" i="6" s="1"/>
  <c r="Z156" i="6"/>
  <c r="AK156" i="6" s="1"/>
  <c r="AL156" i="6" s="1"/>
  <c r="Z75" i="6"/>
  <c r="AN75" i="6" s="1"/>
  <c r="AA136" i="6"/>
  <c r="AP136" i="6" s="1"/>
  <c r="Z84" i="6"/>
  <c r="AK84" i="6" s="1"/>
  <c r="AL84" i="6" s="1"/>
  <c r="AA156" i="6"/>
  <c r="AP156" i="6" s="1"/>
  <c r="AA127" i="6"/>
  <c r="AC127" i="6" s="1"/>
  <c r="AD127" i="6" s="1"/>
  <c r="Z127" i="6"/>
  <c r="AK127" i="6" s="1"/>
  <c r="AL127" i="6" s="1"/>
  <c r="Z38" i="6"/>
  <c r="AF38" i="6" s="1"/>
  <c r="AG38" i="6" s="1"/>
  <c r="AA95" i="6"/>
  <c r="AQ95" i="6" s="1"/>
  <c r="AA66" i="6"/>
  <c r="AQ66" i="6" s="1"/>
  <c r="Z95" i="6"/>
  <c r="AN95" i="6" s="1"/>
  <c r="Z66" i="6"/>
  <c r="AK66" i="6" s="1"/>
  <c r="AL66" i="6" s="1"/>
  <c r="Z61" i="6"/>
  <c r="AF61" i="6" s="1"/>
  <c r="AG61" i="6" s="1"/>
  <c r="Z107" i="6"/>
  <c r="AF107" i="6" s="1"/>
  <c r="AG107" i="6" s="1"/>
  <c r="AA61" i="6"/>
  <c r="AQ61" i="6" s="1"/>
  <c r="AA107" i="6"/>
  <c r="AQ107" i="6" s="1"/>
  <c r="AA67" i="6"/>
  <c r="AC67" i="6" s="1"/>
  <c r="AD67" i="6" s="1"/>
  <c r="AA92" i="6"/>
  <c r="AP92" i="6" s="1"/>
  <c r="Z67" i="6"/>
  <c r="AK67" i="6" s="1"/>
  <c r="AL67" i="6" s="1"/>
  <c r="Z92" i="6"/>
  <c r="AF92" i="6" s="1"/>
  <c r="AG92" i="6" s="1"/>
  <c r="AA142" i="6"/>
  <c r="AQ142" i="6" s="1"/>
  <c r="AP28" i="6"/>
  <c r="AC28" i="6"/>
  <c r="AD28" i="6" s="1"/>
  <c r="Z55" i="6"/>
  <c r="AN55" i="6" s="1"/>
  <c r="Z104" i="6"/>
  <c r="AF104" i="6" s="1"/>
  <c r="AG104" i="6" s="1"/>
  <c r="Z153" i="6"/>
  <c r="AK153" i="6" s="1"/>
  <c r="AL153" i="6" s="1"/>
  <c r="AA58" i="6"/>
  <c r="AC58" i="6" s="1"/>
  <c r="AD58" i="6" s="1"/>
  <c r="AA104" i="6"/>
  <c r="AC104" i="6" s="1"/>
  <c r="AD104" i="6" s="1"/>
  <c r="AA153" i="6"/>
  <c r="AQ153" i="6" s="1"/>
  <c r="Z58" i="6"/>
  <c r="AF58" i="6" s="1"/>
  <c r="AG58" i="6" s="1"/>
  <c r="Z111" i="6"/>
  <c r="AF111" i="6" s="1"/>
  <c r="AG111" i="6" s="1"/>
  <c r="AA118" i="6"/>
  <c r="AQ118" i="6" s="1"/>
  <c r="Z60" i="6"/>
  <c r="AF60" i="6" s="1"/>
  <c r="AG60" i="6" s="1"/>
  <c r="AA111" i="6"/>
  <c r="AC111" i="6" s="1"/>
  <c r="AD111" i="6" s="1"/>
  <c r="Z118" i="6"/>
  <c r="AK118" i="6" s="1"/>
  <c r="AL118" i="6" s="1"/>
  <c r="AA60" i="6"/>
  <c r="AQ60" i="6" s="1"/>
  <c r="AF229" i="5"/>
  <c r="AH229" i="5" s="1"/>
  <c r="AF262" i="5"/>
  <c r="AG262" i="5" s="1"/>
  <c r="AF294" i="5"/>
  <c r="AG294" i="5" s="1"/>
  <c r="Z51" i="6"/>
  <c r="AN51" i="6" s="1"/>
  <c r="Z122" i="6"/>
  <c r="AF122" i="6" s="1"/>
  <c r="AG122" i="6" s="1"/>
  <c r="AA147" i="6"/>
  <c r="AC147" i="6" s="1"/>
  <c r="AD147" i="6" s="1"/>
  <c r="AA113" i="6"/>
  <c r="AC113" i="6" s="1"/>
  <c r="AD113" i="6" s="1"/>
  <c r="Z106" i="6"/>
  <c r="AF106" i="6" s="1"/>
  <c r="AG106" i="6" s="1"/>
  <c r="Z131" i="6"/>
  <c r="AN131" i="6" s="1"/>
  <c r="AA51" i="6"/>
  <c r="AP51" i="6" s="1"/>
  <c r="AA122" i="6"/>
  <c r="AQ122" i="6" s="1"/>
  <c r="Z147" i="6"/>
  <c r="AK147" i="6" s="1"/>
  <c r="AL147" i="6" s="1"/>
  <c r="Z113" i="6"/>
  <c r="AN113" i="6" s="1"/>
  <c r="AA106" i="6"/>
  <c r="AP106" i="6" s="1"/>
  <c r="AA131" i="6"/>
  <c r="AP131" i="6" s="1"/>
  <c r="Z81" i="6"/>
  <c r="AF81" i="6" s="1"/>
  <c r="AG81" i="6" s="1"/>
  <c r="Z69" i="6"/>
  <c r="AK69" i="6" s="1"/>
  <c r="AL69" i="6" s="1"/>
  <c r="AF34" i="5"/>
  <c r="AH34" i="5" s="1"/>
  <c r="AF158" i="5"/>
  <c r="AH158" i="5" s="1"/>
  <c r="AF345" i="5"/>
  <c r="AH345" i="5" s="1"/>
  <c r="Z45" i="6"/>
  <c r="AN45" i="6" s="1"/>
  <c r="AA81" i="6"/>
  <c r="AP81" i="6" s="1"/>
  <c r="AA69" i="6"/>
  <c r="AQ69" i="6" s="1"/>
  <c r="AA45" i="6"/>
  <c r="AQ45" i="6" s="1"/>
  <c r="Z71" i="6"/>
  <c r="AK71" i="6" s="1"/>
  <c r="AL71" i="6" s="1"/>
  <c r="Z154" i="6"/>
  <c r="AN154" i="6" s="1"/>
  <c r="AA71" i="6"/>
  <c r="AC71" i="6" s="1"/>
  <c r="AD71" i="6" s="1"/>
  <c r="AA154" i="6"/>
  <c r="AC154" i="6" s="1"/>
  <c r="AD154" i="6" s="1"/>
  <c r="X26" i="6"/>
  <c r="AA26" i="6" s="1"/>
  <c r="X24" i="6"/>
  <c r="AA24" i="6" s="1"/>
  <c r="AN24" i="6"/>
  <c r="AF24" i="6"/>
  <c r="AG24" i="6" s="1"/>
  <c r="X12" i="6"/>
  <c r="AA12" i="6" s="1"/>
  <c r="X19" i="6"/>
  <c r="AA19" i="6" s="1"/>
  <c r="AP29" i="6"/>
  <c r="AC30" i="6"/>
  <c r="AD30" i="6" s="1"/>
  <c r="X29" i="6"/>
  <c r="X30" i="6"/>
  <c r="X9" i="6"/>
  <c r="AA9" i="6" s="1"/>
  <c r="X35" i="6"/>
  <c r="X33" i="6"/>
  <c r="AF33" i="6"/>
  <c r="AG33" i="6" s="1"/>
  <c r="AN33" i="6"/>
  <c r="AC36" i="6"/>
  <c r="AD36" i="6" s="1"/>
  <c r="AP36" i="6"/>
  <c r="X31" i="6"/>
  <c r="AF31" i="6"/>
  <c r="AG31" i="6" s="1"/>
  <c r="AN31" i="6"/>
  <c r="X34" i="6"/>
  <c r="X32" i="6"/>
  <c r="AF32" i="6"/>
  <c r="AG32" i="6" s="1"/>
  <c r="AN32" i="6"/>
  <c r="X36" i="6"/>
  <c r="AN36" i="6"/>
  <c r="X18" i="6"/>
  <c r="AA18" i="6" s="1"/>
  <c r="X16" i="6"/>
  <c r="AA16" i="6" s="1"/>
  <c r="AF16" i="6"/>
  <c r="AG16" i="6" s="1"/>
  <c r="AN16" i="6"/>
  <c r="X21" i="6"/>
  <c r="AA21" i="6" s="1"/>
  <c r="AF21" i="6"/>
  <c r="AG21" i="6" s="1"/>
  <c r="X14" i="6"/>
  <c r="AA14" i="6" s="1"/>
  <c r="X13" i="6"/>
  <c r="AA13" i="6" s="1"/>
  <c r="AF13" i="6"/>
  <c r="AG13" i="6" s="1"/>
  <c r="AN13" i="6"/>
  <c r="AP31" i="6"/>
  <c r="AC31" i="6"/>
  <c r="AD31" i="6" s="1"/>
  <c r="X22" i="6"/>
  <c r="AA22" i="6" s="1"/>
  <c r="X17" i="6"/>
  <c r="AA17" i="6" s="1"/>
  <c r="AQ17" i="6" s="1"/>
  <c r="AF17" i="6"/>
  <c r="AG17" i="6" s="1"/>
  <c r="AN17" i="6"/>
  <c r="X15" i="6"/>
  <c r="AA15" i="6" s="1"/>
  <c r="AN15" i="6"/>
  <c r="X25" i="6"/>
  <c r="AA25" i="6" s="1"/>
  <c r="X23" i="6"/>
  <c r="AA23" i="6" s="1"/>
  <c r="X28" i="6"/>
  <c r="AN28" i="6"/>
  <c r="AF28" i="6"/>
  <c r="AG28" i="6" s="1"/>
  <c r="X10" i="6"/>
  <c r="AA10" i="6" s="1"/>
  <c r="AP10" i="6" s="1"/>
  <c r="AN10" i="6"/>
  <c r="AF10" i="6"/>
  <c r="AG10" i="6" s="1"/>
  <c r="AI10" i="6" s="1"/>
  <c r="X8" i="6"/>
  <c r="AA8" i="6" s="1"/>
  <c r="AN8" i="6"/>
  <c r="AF8" i="6"/>
  <c r="AG8" i="6" s="1"/>
  <c r="X20" i="6"/>
  <c r="AA20" i="6" s="1"/>
  <c r="AF20" i="6"/>
  <c r="AG20" i="6" s="1"/>
  <c r="AN20" i="6"/>
  <c r="X27" i="6"/>
  <c r="AF27" i="6"/>
  <c r="AG27" i="6" s="1"/>
  <c r="X11" i="6"/>
  <c r="AA11" i="6" s="1"/>
  <c r="AF541" i="5"/>
  <c r="AH541" i="5" s="1"/>
  <c r="AF520" i="5"/>
  <c r="AH520" i="5" s="1"/>
  <c r="AF419" i="5"/>
  <c r="AG419" i="5" s="1"/>
  <c r="AF494" i="5"/>
  <c r="AH494" i="5" s="1"/>
  <c r="AF429" i="5"/>
  <c r="AH429" i="5" s="1"/>
  <c r="AF539" i="5"/>
  <c r="AH539" i="5" s="1"/>
  <c r="AF499" i="5"/>
  <c r="AG499" i="5" s="1"/>
  <c r="AF469" i="5"/>
  <c r="AG469" i="5" s="1"/>
  <c r="AF495" i="5"/>
  <c r="AG495" i="5" s="1"/>
  <c r="AF485" i="5"/>
  <c r="AH485" i="5" s="1"/>
  <c r="AF348" i="5"/>
  <c r="AH348" i="5" s="1"/>
  <c r="AF505" i="5"/>
  <c r="AH505" i="5" s="1"/>
  <c r="AF413" i="5"/>
  <c r="AH413" i="5" s="1"/>
  <c r="AF455" i="5"/>
  <c r="AG455" i="5" s="1"/>
  <c r="AF326" i="5"/>
  <c r="AG326" i="5" s="1"/>
  <c r="AF394" i="5"/>
  <c r="AG394" i="5" s="1"/>
  <c r="AF293" i="5"/>
  <c r="AG293" i="5" s="1"/>
  <c r="AF418" i="5"/>
  <c r="AH418" i="5" s="1"/>
  <c r="AF212" i="5"/>
  <c r="AH212" i="5" s="1"/>
  <c r="AF151" i="5"/>
  <c r="AH151" i="5" s="1"/>
  <c r="AF324" i="5"/>
  <c r="AG324" i="5" s="1"/>
  <c r="AF166" i="5"/>
  <c r="AH166" i="5" s="1"/>
  <c r="AF332" i="5"/>
  <c r="AG332" i="5" s="1"/>
  <c r="AF98" i="5"/>
  <c r="AG98" i="5" s="1"/>
  <c r="AF256" i="5"/>
  <c r="AH256" i="5" s="1"/>
  <c r="AF234" i="5"/>
  <c r="AH234" i="5" s="1"/>
  <c r="AF68" i="5"/>
  <c r="AG68" i="5" s="1"/>
  <c r="AF21" i="5"/>
  <c r="AH21" i="5" s="1"/>
  <c r="AF167" i="5"/>
  <c r="AH167" i="5" s="1"/>
  <c r="AF70" i="5"/>
  <c r="AH70" i="5" s="1"/>
  <c r="AF224" i="5"/>
  <c r="AG224" i="5" s="1"/>
  <c r="AF129" i="5"/>
  <c r="AH129" i="5" s="1"/>
  <c r="AF85" i="5"/>
  <c r="AH85" i="5" s="1"/>
  <c r="AF147" i="5"/>
  <c r="AG147" i="5" s="1"/>
  <c r="AF72" i="5"/>
  <c r="AG72" i="5" s="1"/>
  <c r="AF164" i="5"/>
  <c r="AG164" i="5" s="1"/>
  <c r="AF38" i="5"/>
  <c r="AH38" i="5" s="1"/>
  <c r="AF24" i="5"/>
  <c r="AH24" i="5" s="1"/>
  <c r="AF87" i="5"/>
  <c r="AG87" i="5" s="1"/>
  <c r="AF49" i="5"/>
  <c r="AG49" i="5" s="1"/>
  <c r="AF128" i="5"/>
  <c r="AH128" i="5" s="1"/>
  <c r="AF50" i="5"/>
  <c r="AH50" i="5" s="1"/>
  <c r="AF258" i="5"/>
  <c r="AH258" i="5" s="1"/>
  <c r="AF160" i="5"/>
  <c r="AG160" i="5" s="1"/>
  <c r="AF116" i="5"/>
  <c r="AH116" i="5" s="1"/>
  <c r="AF302" i="5"/>
  <c r="AG302" i="5" s="1"/>
  <c r="AF278" i="5"/>
  <c r="AG278" i="5" s="1"/>
  <c r="AF253" i="5"/>
  <c r="AG253" i="5" s="1"/>
  <c r="AF241" i="5"/>
  <c r="AH241" i="5" s="1"/>
  <c r="AF350" i="5"/>
  <c r="AH350" i="5" s="1"/>
  <c r="AF316" i="5"/>
  <c r="AH316" i="5" s="1"/>
  <c r="AF365" i="5"/>
  <c r="AH365" i="5" s="1"/>
  <c r="AF10" i="5"/>
  <c r="AG10" i="5" s="1"/>
  <c r="AF559" i="5"/>
  <c r="AH559" i="5" s="1"/>
  <c r="AF508" i="5"/>
  <c r="AG508" i="5" s="1"/>
  <c r="AF260" i="5"/>
  <c r="AH260" i="5" s="1"/>
  <c r="AF492" i="5"/>
  <c r="AH492" i="5" s="1"/>
  <c r="AF343" i="5"/>
  <c r="AH343" i="5" s="1"/>
  <c r="AF526" i="5"/>
  <c r="AH526" i="5" s="1"/>
  <c r="AF443" i="5"/>
  <c r="AG443" i="5" s="1"/>
  <c r="AF477" i="5"/>
  <c r="AH477" i="5" s="1"/>
  <c r="AF481" i="5"/>
  <c r="AG481" i="5" s="1"/>
  <c r="AF459" i="5"/>
  <c r="AH459" i="5" s="1"/>
  <c r="AF296" i="5"/>
  <c r="AH296" i="5" s="1"/>
  <c r="AF502" i="5"/>
  <c r="AG502" i="5" s="1"/>
  <c r="AF386" i="5"/>
  <c r="AG386" i="5" s="1"/>
  <c r="AF411" i="5"/>
  <c r="AH411" i="5" s="1"/>
  <c r="AF308" i="5"/>
  <c r="AH308" i="5" s="1"/>
  <c r="AF375" i="5"/>
  <c r="AG375" i="5" s="1"/>
  <c r="AF328" i="5"/>
  <c r="AG328" i="5" s="1"/>
  <c r="AF381" i="5"/>
  <c r="AG381" i="5" s="1"/>
  <c r="AF395" i="5"/>
  <c r="AG395" i="5" s="1"/>
  <c r="AF170" i="5"/>
  <c r="AH170" i="5" s="1"/>
  <c r="AF297" i="5"/>
  <c r="AH297" i="5" s="1"/>
  <c r="AF101" i="5"/>
  <c r="AH101" i="5" s="1"/>
  <c r="AF355" i="5"/>
  <c r="AG355" i="5" s="1"/>
  <c r="AF54" i="5"/>
  <c r="AG54" i="5" s="1"/>
  <c r="AF211" i="5"/>
  <c r="AG211" i="5" s="1"/>
  <c r="AF200" i="5"/>
  <c r="AH200" i="5" s="1"/>
  <c r="AF52" i="5"/>
  <c r="AH52" i="5" s="1"/>
  <c r="AF351" i="5"/>
  <c r="AH351" i="5" s="1"/>
  <c r="AF182" i="5"/>
  <c r="AH182" i="5" s="1"/>
  <c r="AF59" i="5"/>
  <c r="AH59" i="5" s="1"/>
  <c r="AF193" i="5"/>
  <c r="AH193" i="5" s="1"/>
  <c r="AF133" i="5"/>
  <c r="AH133" i="5" s="1"/>
  <c r="AF83" i="5"/>
  <c r="AH83" i="5" s="1"/>
  <c r="AF148" i="5"/>
  <c r="AG148" i="5" s="1"/>
  <c r="AF195" i="5"/>
  <c r="AH195" i="5" s="1"/>
  <c r="AF155" i="5"/>
  <c r="AG155" i="5" s="1"/>
  <c r="AF32" i="5"/>
  <c r="AH32" i="5" s="1"/>
  <c r="AF46" i="5"/>
  <c r="AG46" i="5" s="1"/>
  <c r="AF259" i="5"/>
  <c r="AH259" i="5" s="1"/>
  <c r="AF55" i="5"/>
  <c r="AH55" i="5" s="1"/>
  <c r="AF173" i="5"/>
  <c r="AH173" i="5" s="1"/>
  <c r="AF89" i="5"/>
  <c r="AH89" i="5" s="1"/>
  <c r="AF299" i="5"/>
  <c r="AH299" i="5" s="1"/>
  <c r="AF277" i="5"/>
  <c r="AG277" i="5" s="1"/>
  <c r="AF135" i="5"/>
  <c r="AG135" i="5" s="1"/>
  <c r="AF321" i="5"/>
  <c r="AH321" i="5" s="1"/>
  <c r="AF120" i="5"/>
  <c r="AG120" i="5" s="1"/>
  <c r="AF273" i="5"/>
  <c r="AH273" i="5" s="1"/>
  <c r="AF276" i="5"/>
  <c r="AH276" i="5" s="1"/>
  <c r="AF556" i="5"/>
  <c r="AH556" i="5" s="1"/>
  <c r="AF144" i="5"/>
  <c r="AG144" i="5" s="1"/>
  <c r="AF468" i="5"/>
  <c r="AH468" i="5" s="1"/>
  <c r="AF13" i="5"/>
  <c r="AH13" i="5" s="1"/>
  <c r="AF552" i="5"/>
  <c r="AH552" i="5" s="1"/>
  <c r="AF501" i="5"/>
  <c r="AG501" i="5" s="1"/>
  <c r="AF465" i="5"/>
  <c r="AG465" i="5" s="1"/>
  <c r="AF463" i="5"/>
  <c r="AG463" i="5" s="1"/>
  <c r="AF319" i="5"/>
  <c r="AG319" i="5" s="1"/>
  <c r="AF519" i="5"/>
  <c r="AG519" i="5" s="1"/>
  <c r="AF460" i="5"/>
  <c r="AG460" i="5" s="1"/>
  <c r="AF451" i="5"/>
  <c r="AG451" i="5" s="1"/>
  <c r="AF444" i="5"/>
  <c r="AG444" i="5" s="1"/>
  <c r="AF464" i="5"/>
  <c r="AH464" i="5" s="1"/>
  <c r="AF248" i="5"/>
  <c r="AH248" i="5" s="1"/>
  <c r="AF480" i="5"/>
  <c r="AG480" i="5" s="1"/>
  <c r="AF315" i="5"/>
  <c r="AH315" i="5" s="1"/>
  <c r="AF403" i="5"/>
  <c r="AH403" i="5" s="1"/>
  <c r="AF285" i="5"/>
  <c r="AH285" i="5" s="1"/>
  <c r="AF367" i="5"/>
  <c r="AG367" i="5" s="1"/>
  <c r="AF283" i="5"/>
  <c r="AH283" i="5" s="1"/>
  <c r="AF371" i="5"/>
  <c r="AG371" i="5" s="1"/>
  <c r="AF374" i="5"/>
  <c r="AH374" i="5" s="1"/>
  <c r="AF125" i="5"/>
  <c r="AH125" i="5" s="1"/>
  <c r="AF359" i="5"/>
  <c r="AH359" i="5" s="1"/>
  <c r="AF110" i="5"/>
  <c r="AG110" i="5" s="1"/>
  <c r="AF311" i="5"/>
  <c r="AG311" i="5" s="1"/>
  <c r="AF404" i="5"/>
  <c r="AG404" i="5" s="1"/>
  <c r="AF143" i="5"/>
  <c r="AG143" i="5" s="1"/>
  <c r="AF191" i="5"/>
  <c r="AG191" i="5" s="1"/>
  <c r="AF36" i="5"/>
  <c r="AG36" i="5" s="1"/>
  <c r="AF235" i="5"/>
  <c r="AH235" i="5" s="1"/>
  <c r="AF146" i="5"/>
  <c r="AH146" i="5" s="1"/>
  <c r="AF35" i="5"/>
  <c r="AG35" i="5" s="1"/>
  <c r="AF223" i="5"/>
  <c r="AG223" i="5" s="1"/>
  <c r="AF84" i="5"/>
  <c r="AH84" i="5" s="1"/>
  <c r="AF142" i="5"/>
  <c r="AG142" i="5" s="1"/>
  <c r="AF186" i="5"/>
  <c r="AG186" i="5" s="1"/>
  <c r="AF281" i="5"/>
  <c r="AH281" i="5" s="1"/>
  <c r="AF124" i="5"/>
  <c r="AH124" i="5" s="1"/>
  <c r="AF78" i="5"/>
  <c r="AH78" i="5" s="1"/>
  <c r="AF51" i="5"/>
  <c r="AH51" i="5" s="1"/>
  <c r="AF48" i="5"/>
  <c r="AH48" i="5" s="1"/>
  <c r="AF57" i="5"/>
  <c r="AG57" i="5" s="1"/>
  <c r="AF176" i="5"/>
  <c r="AG176" i="5" s="1"/>
  <c r="AF102" i="5"/>
  <c r="AG102" i="5" s="1"/>
  <c r="AF81" i="5"/>
  <c r="AH81" i="5" s="1"/>
  <c r="AF320" i="5"/>
  <c r="AH320" i="5" s="1"/>
  <c r="AF238" i="5"/>
  <c r="AH238" i="5" s="1"/>
  <c r="AF42" i="5"/>
  <c r="AH42" i="5" s="1"/>
  <c r="AF126" i="5"/>
  <c r="AH126" i="5" s="1"/>
  <c r="AF275" i="5"/>
  <c r="AG275" i="5" s="1"/>
  <c r="AF279" i="5"/>
  <c r="AG279" i="5" s="1"/>
  <c r="AF127" i="5"/>
  <c r="AH127" i="5" s="1"/>
  <c r="AF174" i="5"/>
  <c r="AH174" i="5" s="1"/>
  <c r="AF337" i="5"/>
  <c r="AH337" i="5" s="1"/>
  <c r="AF490" i="5"/>
  <c r="AG490" i="5" s="1"/>
  <c r="AF272" i="5"/>
  <c r="AH272" i="5" s="1"/>
  <c r="AF531" i="5"/>
  <c r="AG531" i="5" s="1"/>
  <c r="AF362" i="5"/>
  <c r="AH362" i="5" s="1"/>
  <c r="AF449" i="5"/>
  <c r="AG449" i="5" s="1"/>
  <c r="AF560" i="5"/>
  <c r="AH560" i="5" s="1"/>
  <c r="AF427" i="5"/>
  <c r="AH427" i="5" s="1"/>
  <c r="AF199" i="5"/>
  <c r="AG199" i="5" s="1"/>
  <c r="AF472" i="5"/>
  <c r="AG472" i="5" s="1"/>
  <c r="AF304" i="5"/>
  <c r="AH304" i="5" s="1"/>
  <c r="AF412" i="5"/>
  <c r="AH412" i="5" s="1"/>
  <c r="AF172" i="5"/>
  <c r="AH172" i="5" s="1"/>
  <c r="AF360" i="5"/>
  <c r="AH360" i="5" s="1"/>
  <c r="AF274" i="5"/>
  <c r="AH274" i="5" s="1"/>
  <c r="AF383" i="5"/>
  <c r="AH383" i="5" s="1"/>
  <c r="AF331" i="5"/>
  <c r="AH331" i="5" s="1"/>
  <c r="AF90" i="5"/>
  <c r="AG90" i="5" s="1"/>
  <c r="AF298" i="5"/>
  <c r="AH298" i="5" s="1"/>
  <c r="AF80" i="5"/>
  <c r="AG80" i="5" s="1"/>
  <c r="AF290" i="5"/>
  <c r="AG290" i="5" s="1"/>
  <c r="AF372" i="5"/>
  <c r="AH372" i="5" s="1"/>
  <c r="AF175" i="5"/>
  <c r="AH175" i="5" s="1"/>
  <c r="AF208" i="5"/>
  <c r="AG208" i="5" s="1"/>
  <c r="AF20" i="5"/>
  <c r="AG20" i="5" s="1"/>
  <c r="AF228" i="5"/>
  <c r="AG228" i="5" s="1"/>
  <c r="AF114" i="5"/>
  <c r="AG114" i="5" s="1"/>
  <c r="AF75" i="5"/>
  <c r="AG75" i="5" s="1"/>
  <c r="AF220" i="5"/>
  <c r="AH220" i="5" s="1"/>
  <c r="AF45" i="5"/>
  <c r="AH45" i="5" s="1"/>
  <c r="AF268" i="5"/>
  <c r="AH268" i="5" s="1"/>
  <c r="AF154" i="5"/>
  <c r="AH154" i="5" s="1"/>
  <c r="AF271" i="5"/>
  <c r="AG271" i="5" s="1"/>
  <c r="AF137" i="5"/>
  <c r="AG137" i="5" s="1"/>
  <c r="AF388" i="5"/>
  <c r="AH388" i="5" s="1"/>
  <c r="AF96" i="5"/>
  <c r="AG96" i="5" s="1"/>
  <c r="AF64" i="5"/>
  <c r="AH64" i="5" s="1"/>
  <c r="AF63" i="5"/>
  <c r="AH63" i="5" s="1"/>
  <c r="AF198" i="5"/>
  <c r="AH198" i="5" s="1"/>
  <c r="AF103" i="5"/>
  <c r="AH103" i="5" s="1"/>
  <c r="AF94" i="5"/>
  <c r="AG94" i="5" s="1"/>
  <c r="AF25" i="5"/>
  <c r="AG25" i="5" s="1"/>
  <c r="AF305" i="5"/>
  <c r="AH305" i="5" s="1"/>
  <c r="AF169" i="5"/>
  <c r="AH169" i="5" s="1"/>
  <c r="AF165" i="5"/>
  <c r="AG165" i="5" s="1"/>
  <c r="AF390" i="5"/>
  <c r="AH390" i="5" s="1"/>
  <c r="AF341" i="5"/>
  <c r="AG341" i="5" s="1"/>
  <c r="AF161" i="5"/>
  <c r="AH161" i="5" s="1"/>
  <c r="AF221" i="5"/>
  <c r="AG221" i="5" s="1"/>
  <c r="AF498" i="5"/>
  <c r="AH498" i="5" s="1"/>
  <c r="AF518" i="5"/>
  <c r="AH518" i="5" s="1"/>
  <c r="AF491" i="5"/>
  <c r="AG491" i="5" s="1"/>
  <c r="AF410" i="5"/>
  <c r="AG410" i="5" s="1"/>
  <c r="AF540" i="5"/>
  <c r="AG540" i="5" s="1"/>
  <c r="AF452" i="5"/>
  <c r="AH452" i="5" s="1"/>
  <c r="AF438" i="5"/>
  <c r="AH438" i="5" s="1"/>
  <c r="AF544" i="5"/>
  <c r="AG544" i="5" s="1"/>
  <c r="AF392" i="5"/>
  <c r="AH392" i="5" s="1"/>
  <c r="AF138" i="5"/>
  <c r="AG138" i="5" s="1"/>
  <c r="AF327" i="5"/>
  <c r="AH327" i="5" s="1"/>
  <c r="AF233" i="5"/>
  <c r="AH233" i="5" s="1"/>
  <c r="AF339" i="5"/>
  <c r="AH339" i="5" s="1"/>
  <c r="AF334" i="5"/>
  <c r="AH334" i="5" s="1"/>
  <c r="AF71" i="5"/>
  <c r="AG71" i="5" s="1"/>
  <c r="AF284" i="5"/>
  <c r="AH284" i="5" s="1"/>
  <c r="AF310" i="5"/>
  <c r="AG310" i="5" s="1"/>
  <c r="AF264" i="5"/>
  <c r="AH264" i="5" s="1"/>
  <c r="AF363" i="5"/>
  <c r="AG363" i="5" s="1"/>
  <c r="AF159" i="5"/>
  <c r="AG159" i="5" s="1"/>
  <c r="AF171" i="5"/>
  <c r="AH171" i="5" s="1"/>
  <c r="AF99" i="5"/>
  <c r="AH99" i="5" s="1"/>
  <c r="AF231" i="5"/>
  <c r="AG231" i="5" s="1"/>
  <c r="AF122" i="5"/>
  <c r="AH122" i="5" s="1"/>
  <c r="AF61" i="5"/>
  <c r="AG61" i="5" s="1"/>
  <c r="AF192" i="5"/>
  <c r="AH192" i="5" s="1"/>
  <c r="AF88" i="5"/>
  <c r="AH88" i="5" s="1"/>
  <c r="AF314" i="5"/>
  <c r="AG314" i="5" s="1"/>
  <c r="AF104" i="5"/>
  <c r="AH104" i="5" s="1"/>
  <c r="AF188" i="5"/>
  <c r="AH188" i="5" s="1"/>
  <c r="AF97" i="5"/>
  <c r="AG97" i="5" s="1"/>
  <c r="AF255" i="5"/>
  <c r="AH255" i="5" s="1"/>
  <c r="AF69" i="5"/>
  <c r="AH69" i="5" s="1"/>
  <c r="AF112" i="5"/>
  <c r="AG112" i="5" s="1"/>
  <c r="AF65" i="5"/>
  <c r="AG65" i="5" s="1"/>
  <c r="AF289" i="5"/>
  <c r="AH289" i="5" s="1"/>
  <c r="AF109" i="5"/>
  <c r="AG109" i="5" s="1"/>
  <c r="AF33" i="5"/>
  <c r="AG33" i="5" s="1"/>
  <c r="AF26" i="5"/>
  <c r="AH26" i="5" s="1"/>
  <c r="AF56" i="5"/>
  <c r="AG56" i="5" s="1"/>
  <c r="AF213" i="5"/>
  <c r="AG213" i="5" s="1"/>
  <c r="AF168" i="5"/>
  <c r="AG168" i="5" s="1"/>
  <c r="AF549" i="5"/>
  <c r="AH549" i="5" s="1"/>
  <c r="AF385" i="5"/>
  <c r="AG385" i="5" s="1"/>
  <c r="AF194" i="5"/>
  <c r="AG194" i="5" s="1"/>
  <c r="AF254" i="5"/>
  <c r="AH254" i="5" s="1"/>
  <c r="AF425" i="5"/>
  <c r="AH425" i="5" s="1"/>
  <c r="AF554" i="5"/>
  <c r="AG554" i="5" s="1"/>
  <c r="AF453" i="5"/>
  <c r="AH453" i="5" s="1"/>
  <c r="AF421" i="5"/>
  <c r="AH421" i="5" s="1"/>
  <c r="AF252" i="5"/>
  <c r="AH252" i="5" s="1"/>
  <c r="AF291" i="5"/>
  <c r="AH291" i="5" s="1"/>
  <c r="AF162" i="5"/>
  <c r="AH162" i="5" s="1"/>
  <c r="AF8" i="5"/>
  <c r="AG8" i="5" s="1"/>
  <c r="AF467" i="5"/>
  <c r="AH467" i="5" s="1"/>
  <c r="AF454" i="5"/>
  <c r="AH454" i="5" s="1"/>
  <c r="AF513" i="5"/>
  <c r="AH513" i="5" s="1"/>
  <c r="AF400" i="5"/>
  <c r="AH400" i="5" s="1"/>
  <c r="AF484" i="5"/>
  <c r="AH484" i="5" s="1"/>
  <c r="AF489" i="5"/>
  <c r="AG489" i="5" s="1"/>
  <c r="AF113" i="5"/>
  <c r="AH113" i="5" s="1"/>
  <c r="AF408" i="5"/>
  <c r="AG408" i="5" s="1"/>
  <c r="AF521" i="5"/>
  <c r="AH521" i="5" s="1"/>
  <c r="AF447" i="5"/>
  <c r="AG447" i="5" s="1"/>
  <c r="AF555" i="5"/>
  <c r="AG555" i="5" s="1"/>
  <c r="AF441" i="5"/>
  <c r="AH441" i="5" s="1"/>
  <c r="AF500" i="5"/>
  <c r="AH500" i="5" s="1"/>
  <c r="AF402" i="5"/>
  <c r="AG402" i="5" s="1"/>
  <c r="AF76" i="5"/>
  <c r="AG76" i="5" s="1"/>
  <c r="AF364" i="5"/>
  <c r="AH364" i="5" s="1"/>
  <c r="AF216" i="5"/>
  <c r="AH216" i="5" s="1"/>
  <c r="AF307" i="5"/>
  <c r="AG307" i="5" s="1"/>
  <c r="AF282" i="5"/>
  <c r="AH282" i="5" s="1"/>
  <c r="AF92" i="5"/>
  <c r="AH92" i="5" s="1"/>
  <c r="AF287" i="5"/>
  <c r="AG287" i="5" s="1"/>
  <c r="AF378" i="5"/>
  <c r="AH378" i="5" s="1"/>
  <c r="AF242" i="5"/>
  <c r="AH242" i="5" s="1"/>
  <c r="AF280" i="5"/>
  <c r="AG280" i="5" s="1"/>
  <c r="AF37" i="5"/>
  <c r="AG37" i="5" s="1"/>
  <c r="AF183" i="5"/>
  <c r="AH183" i="5" s="1"/>
  <c r="AF67" i="5"/>
  <c r="AH67" i="5" s="1"/>
  <c r="AF236" i="5"/>
  <c r="AH236" i="5" s="1"/>
  <c r="AF121" i="5"/>
  <c r="AG121" i="5" s="1"/>
  <c r="AF239" i="5"/>
  <c r="AG239" i="5" s="1"/>
  <c r="AF145" i="5"/>
  <c r="AH145" i="5" s="1"/>
  <c r="AF74" i="5"/>
  <c r="AH74" i="5" s="1"/>
  <c r="AF190" i="5"/>
  <c r="AH190" i="5" s="1"/>
  <c r="AF82" i="5"/>
  <c r="AG82" i="5" s="1"/>
  <c r="AF179" i="5"/>
  <c r="AH179" i="5" s="1"/>
  <c r="AF60" i="5"/>
  <c r="AG60" i="5" s="1"/>
  <c r="AF237" i="5"/>
  <c r="AH237" i="5" s="1"/>
  <c r="AF53" i="5"/>
  <c r="AG53" i="5" s="1"/>
  <c r="AF58" i="5"/>
  <c r="AG58" i="5" s="1"/>
  <c r="AF86" i="5"/>
  <c r="AH86" i="5" s="1"/>
  <c r="AF353" i="5"/>
  <c r="AG353" i="5" s="1"/>
  <c r="AF202" i="5"/>
  <c r="AH202" i="5" s="1"/>
  <c r="AF66" i="5"/>
  <c r="AH66" i="5" s="1"/>
  <c r="AF247" i="5"/>
  <c r="AH247" i="5" s="1"/>
  <c r="AF73" i="5"/>
  <c r="AG73" i="5" s="1"/>
  <c r="AF118" i="5"/>
  <c r="AH118" i="5" s="1"/>
  <c r="AF206" i="5"/>
  <c r="AH206" i="5" s="1"/>
  <c r="AF149" i="5"/>
  <c r="AH149" i="5" s="1"/>
  <c r="AF227" i="5"/>
  <c r="AH227" i="5" s="1"/>
  <c r="AF243" i="5"/>
  <c r="AG243" i="5" s="1"/>
  <c r="AF509" i="5"/>
  <c r="AG509" i="5" s="1"/>
  <c r="AF525" i="5"/>
  <c r="AH525" i="5" s="1"/>
  <c r="B138" i="3"/>
  <c r="B139" i="3" s="1"/>
  <c r="B136" i="3"/>
  <c r="AF108" i="5"/>
  <c r="AG108" i="5" s="1"/>
  <c r="AF250" i="5"/>
  <c r="AG250" i="5" s="1"/>
  <c r="AF303" i="5"/>
  <c r="AG303" i="5" s="1"/>
  <c r="AF185" i="5"/>
  <c r="AH185" i="5" s="1"/>
  <c r="AF257" i="5"/>
  <c r="AH257" i="5" s="1"/>
  <c r="AF557" i="5"/>
  <c r="AG557" i="5" s="1"/>
  <c r="AF261" i="5"/>
  <c r="AG261" i="5" s="1"/>
  <c r="AF123" i="5"/>
  <c r="AH123" i="5" s="1"/>
  <c r="AF445" i="5"/>
  <c r="AH445" i="5" s="1"/>
  <c r="AF209" i="5"/>
  <c r="AH209" i="5" s="1"/>
  <c r="AF478" i="5"/>
  <c r="AG478" i="5" s="1"/>
  <c r="AF267" i="5"/>
  <c r="AG267" i="5" s="1"/>
  <c r="AF432" i="5"/>
  <c r="AG432" i="5" s="1"/>
  <c r="AF434" i="5"/>
  <c r="AH434" i="5" s="1"/>
  <c r="AF473" i="5"/>
  <c r="AH473" i="5" s="1"/>
  <c r="AF522" i="5"/>
  <c r="AH522" i="5" s="1"/>
  <c r="AF435" i="5"/>
  <c r="AH435" i="5" s="1"/>
  <c r="AF214" i="5"/>
  <c r="AG214" i="5" s="1"/>
  <c r="AF450" i="5"/>
  <c r="AH450" i="5" s="1"/>
  <c r="AF313" i="5"/>
  <c r="AH313" i="5" s="1"/>
  <c r="AF189" i="5"/>
  <c r="AG189" i="5" s="1"/>
  <c r="AF265" i="5"/>
  <c r="AH265" i="5" s="1"/>
  <c r="AF132" i="5"/>
  <c r="AG132" i="5" s="1"/>
  <c r="AF269" i="5"/>
  <c r="AG269" i="5" s="1"/>
  <c r="AF197" i="5"/>
  <c r="AG197" i="5" s="1"/>
  <c r="AF475" i="5"/>
  <c r="AG475" i="5" s="1"/>
  <c r="AF219" i="5"/>
  <c r="AG219" i="5" s="1"/>
  <c r="AF119" i="5"/>
  <c r="AH119" i="5" s="1"/>
  <c r="AF295" i="5"/>
  <c r="AH295" i="5" s="1"/>
  <c r="AF433" i="5"/>
  <c r="AH433" i="5" s="1"/>
  <c r="AF448" i="5"/>
  <c r="AG448" i="5" s="1"/>
  <c r="AF487" i="5"/>
  <c r="AH487" i="5" s="1"/>
  <c r="AF357" i="5"/>
  <c r="AH357" i="5" s="1"/>
  <c r="AF517" i="5"/>
  <c r="AG517" i="5" s="1"/>
  <c r="AF532" i="5"/>
  <c r="AH532" i="5" s="1"/>
  <c r="AF546" i="5"/>
  <c r="AH546" i="5" s="1"/>
  <c r="AF503" i="5"/>
  <c r="AH503" i="5" s="1"/>
  <c r="AF547" i="5"/>
  <c r="AH547" i="5" s="1"/>
  <c r="AF356" i="5"/>
  <c r="AG356" i="5" s="1"/>
  <c r="AF270" i="5"/>
  <c r="AG270" i="5" s="1"/>
  <c r="AF152" i="5"/>
  <c r="AH152" i="5" s="1"/>
  <c r="AF131" i="5"/>
  <c r="AG131" i="5" s="1"/>
  <c r="AF218" i="5"/>
  <c r="AG218" i="5" s="1"/>
  <c r="AF309" i="5"/>
  <c r="AH309" i="5" s="1"/>
  <c r="AF177" i="5"/>
  <c r="AH177" i="5" s="1"/>
  <c r="AF306" i="5"/>
  <c r="AH306" i="5" s="1"/>
  <c r="AF263" i="5"/>
  <c r="AH263" i="5" s="1"/>
  <c r="AF136" i="5"/>
  <c r="AG136" i="5" s="1"/>
  <c r="AF266" i="5"/>
  <c r="AH266" i="5" s="1"/>
  <c r="AF180" i="5"/>
  <c r="AG180" i="5" s="1"/>
  <c r="AF344" i="5"/>
  <c r="AH344" i="5" s="1"/>
  <c r="AF342" i="5"/>
  <c r="AG342" i="5" s="1"/>
  <c r="AF536" i="5"/>
  <c r="AH536" i="5" s="1"/>
  <c r="AF373" i="5"/>
  <c r="AH373" i="5" s="1"/>
  <c r="AF401" i="5"/>
  <c r="AH401" i="5" s="1"/>
  <c r="AF111" i="5"/>
  <c r="AG111" i="5" s="1"/>
  <c r="AF23" i="5"/>
  <c r="AH23" i="5" s="1"/>
  <c r="AF157" i="5"/>
  <c r="AH157" i="5" s="1"/>
  <c r="AF140" i="5"/>
  <c r="AG140" i="5" s="1"/>
  <c r="AF226" i="5"/>
  <c r="AG226" i="5" s="1"/>
  <c r="AF322" i="5"/>
  <c r="AG322" i="5" s="1"/>
  <c r="AF181" i="5"/>
  <c r="AH181" i="5" s="1"/>
  <c r="AF317" i="5"/>
  <c r="AH317" i="5" s="1"/>
  <c r="AF286" i="5"/>
  <c r="AH286" i="5" s="1"/>
  <c r="AF153" i="5"/>
  <c r="AG153" i="5" s="1"/>
  <c r="AF292" i="5"/>
  <c r="AG292" i="5" s="1"/>
  <c r="AF184" i="5"/>
  <c r="AH184" i="5" s="1"/>
  <c r="AF366" i="5"/>
  <c r="AH366" i="5" s="1"/>
  <c r="AF346" i="5"/>
  <c r="AG346" i="5" s="1"/>
  <c r="AF336" i="5"/>
  <c r="AG336" i="5" s="1"/>
  <c r="AF423" i="5"/>
  <c r="AH423" i="5" s="1"/>
  <c r="AF497" i="5"/>
  <c r="AG497" i="5" s="1"/>
  <c r="AF420" i="5"/>
  <c r="AG420" i="5" s="1"/>
  <c r="AF407" i="5"/>
  <c r="AH407" i="5" s="1"/>
  <c r="AF393" i="5"/>
  <c r="AH393" i="5" s="1"/>
  <c r="AF456" i="5"/>
  <c r="AH456" i="5" s="1"/>
  <c r="AF398" i="5"/>
  <c r="AH398" i="5" s="1"/>
  <c r="AF428" i="5"/>
  <c r="AH428" i="5" s="1"/>
  <c r="AF529" i="5"/>
  <c r="AG529" i="5" s="1"/>
  <c r="AF409" i="5"/>
  <c r="AG409" i="5" s="1"/>
  <c r="AF333" i="5"/>
  <c r="AG333" i="5" s="1"/>
  <c r="AF486" i="5"/>
  <c r="AH486" i="5" s="1"/>
  <c r="AF369" i="5"/>
  <c r="AH369" i="5" s="1"/>
  <c r="AF382" i="5"/>
  <c r="AG382" i="5" s="1"/>
  <c r="AF504" i="5"/>
  <c r="AG504" i="5" s="1"/>
  <c r="AF417" i="5"/>
  <c r="AH417" i="5" s="1"/>
  <c r="AF542" i="5"/>
  <c r="AG542" i="5" s="1"/>
  <c r="AF431" i="5"/>
  <c r="AH431" i="5" s="1"/>
  <c r="AF530" i="5"/>
  <c r="AG530" i="5" s="1"/>
  <c r="AF462" i="5"/>
  <c r="AG462" i="5" s="1"/>
  <c r="AF368" i="5"/>
  <c r="AG368" i="5" s="1"/>
  <c r="AF506" i="5"/>
  <c r="AG506" i="5" s="1"/>
  <c r="AF437" i="5"/>
  <c r="AH437" i="5" s="1"/>
  <c r="AF387" i="5"/>
  <c r="AH387" i="5" s="1"/>
  <c r="AF537" i="5"/>
  <c r="AG537" i="5" s="1"/>
  <c r="AF430" i="5"/>
  <c r="AH430" i="5" s="1"/>
  <c r="AF19" i="5"/>
  <c r="AG19" i="5" s="1"/>
  <c r="AF446" i="5"/>
  <c r="AG446" i="5" s="1"/>
  <c r="AF550" i="5"/>
  <c r="AH550" i="5" s="1"/>
  <c r="AF483" i="5"/>
  <c r="AG483" i="5" s="1"/>
  <c r="AF415" i="5"/>
  <c r="AH415" i="5" s="1"/>
  <c r="AF524" i="5"/>
  <c r="AG524" i="5" s="1"/>
  <c r="AF545" i="5"/>
  <c r="AG545" i="5" s="1"/>
  <c r="AF406" i="5"/>
  <c r="AG406" i="5" s="1"/>
  <c r="AF349" i="5"/>
  <c r="AH349" i="5" s="1"/>
  <c r="AF458" i="5"/>
  <c r="AG458" i="5" s="1"/>
  <c r="AF533" i="5"/>
  <c r="AH533" i="5" s="1"/>
  <c r="AF551" i="5"/>
  <c r="AG551" i="5" s="1"/>
  <c r="AF414" i="5"/>
  <c r="AH414" i="5" s="1"/>
  <c r="AF361" i="5"/>
  <c r="AH361" i="5" s="1"/>
  <c r="AF461" i="5"/>
  <c r="AG461" i="5" s="1"/>
  <c r="AF543" i="5"/>
  <c r="AH543" i="5" s="1"/>
  <c r="AF330" i="5"/>
  <c r="AH330" i="5" s="1"/>
  <c r="AF422" i="5"/>
  <c r="AG422" i="5" s="1"/>
  <c r="AF376" i="5"/>
  <c r="AH376" i="5" s="1"/>
  <c r="AF479" i="5"/>
  <c r="AH479" i="5" s="1"/>
  <c r="AF384" i="5"/>
  <c r="AH384" i="5" s="1"/>
  <c r="AF474" i="5"/>
  <c r="AH474" i="5" s="1"/>
  <c r="AF358" i="5"/>
  <c r="AH358" i="5" s="1"/>
  <c r="AF523" i="5"/>
  <c r="AH523" i="5" s="1"/>
  <c r="AF442" i="5"/>
  <c r="AH442" i="5" s="1"/>
  <c r="AF553" i="5"/>
  <c r="AH553" i="5" s="1"/>
  <c r="AF338" i="5"/>
  <c r="AG338" i="5" s="1"/>
  <c r="AF482" i="5"/>
  <c r="AG482" i="5" s="1"/>
  <c r="AF379" i="5"/>
  <c r="AH379" i="5" s="1"/>
  <c r="B33" i="5"/>
  <c r="B65" i="5"/>
  <c r="Z7" i="5"/>
  <c r="AG507" i="5"/>
  <c r="AH507" i="5"/>
  <c r="B172" i="3"/>
  <c r="G87" i="2"/>
  <c r="AA11" i="5"/>
  <c r="Z11" i="5"/>
  <c r="Q11" i="5"/>
  <c r="G86" i="2"/>
  <c r="B94" i="3"/>
  <c r="I46" i="2" s="1"/>
  <c r="B93" i="3"/>
  <c r="I45" i="2" s="1"/>
  <c r="B57" i="3"/>
  <c r="E89" i="3" s="1"/>
  <c r="B59" i="3"/>
  <c r="B95" i="3"/>
  <c r="I47" i="2" s="1"/>
  <c r="I33" i="2"/>
  <c r="E90" i="3"/>
  <c r="N85" i="4"/>
  <c r="N21" i="4"/>
  <c r="N48" i="4"/>
  <c r="N42" i="4"/>
  <c r="K80" i="4"/>
  <c r="L80" i="4" s="1"/>
  <c r="M80" i="4" s="1"/>
  <c r="N80" i="4" s="1"/>
  <c r="N46" i="4"/>
  <c r="K26" i="4"/>
  <c r="L26" i="4" s="1"/>
  <c r="M26" i="4" s="1"/>
  <c r="N26" i="4" s="1"/>
  <c r="N53" i="4"/>
  <c r="N13" i="4"/>
  <c r="K76" i="4"/>
  <c r="L76" i="4" s="1"/>
  <c r="M76" i="4" s="1"/>
  <c r="N76" i="4" s="1"/>
  <c r="K52" i="4"/>
  <c r="L52" i="4" s="1"/>
  <c r="M52" i="4" s="1"/>
  <c r="N52" i="4" s="1"/>
  <c r="K14" i="4"/>
  <c r="L14" i="4" s="1"/>
  <c r="M14" i="4" s="1"/>
  <c r="N14" i="4" s="1"/>
  <c r="K10" i="4"/>
  <c r="L10" i="4" s="1"/>
  <c r="M10" i="4" s="1"/>
  <c r="N10" i="4" s="1"/>
  <c r="K57" i="4"/>
  <c r="L57" i="4" s="1"/>
  <c r="M57" i="4" s="1"/>
  <c r="N57" i="4" s="1"/>
  <c r="K5" i="4"/>
  <c r="L5" i="4" s="1"/>
  <c r="M5" i="4" s="1"/>
  <c r="N5" i="4" s="1"/>
  <c r="K99" i="4"/>
  <c r="L99" i="4" s="1"/>
  <c r="M99" i="4" s="1"/>
  <c r="N99" i="4" s="1"/>
  <c r="K39" i="4"/>
  <c r="L39" i="4" s="1"/>
  <c r="M39" i="4" s="1"/>
  <c r="N39" i="4" s="1"/>
  <c r="K17" i="4"/>
  <c r="L17" i="4" s="1"/>
  <c r="M17" i="4" s="1"/>
  <c r="N17" i="4" s="1"/>
  <c r="K70" i="4"/>
  <c r="L70" i="4" s="1"/>
  <c r="M70" i="4" s="1"/>
  <c r="N70" i="4" s="1"/>
  <c r="K36" i="4"/>
  <c r="L36" i="4" s="1"/>
  <c r="M36" i="4" s="1"/>
  <c r="N36" i="4" s="1"/>
  <c r="K37" i="4"/>
  <c r="L37" i="4" s="1"/>
  <c r="M37" i="4" s="1"/>
  <c r="N37" i="4" s="1"/>
  <c r="N79" i="4"/>
  <c r="K28" i="4"/>
  <c r="L28" i="4" s="1"/>
  <c r="M28" i="4" s="1"/>
  <c r="N28" i="4" s="1"/>
  <c r="K82" i="4"/>
  <c r="L82" i="4" s="1"/>
  <c r="M82" i="4" s="1"/>
  <c r="N82" i="4" s="1"/>
  <c r="N102" i="4"/>
  <c r="K7" i="4"/>
  <c r="L7" i="4" s="1"/>
  <c r="M7" i="4" s="1"/>
  <c r="N7" i="4" s="1"/>
  <c r="N96" i="4"/>
  <c r="K8" i="4"/>
  <c r="L8" i="4" s="1"/>
  <c r="M8" i="4" s="1"/>
  <c r="N8" i="4" s="1"/>
  <c r="K35" i="4"/>
  <c r="L35" i="4" s="1"/>
  <c r="M35" i="4" s="1"/>
  <c r="N35" i="4" s="1"/>
  <c r="K63" i="4"/>
  <c r="L63" i="4" s="1"/>
  <c r="M63" i="4" s="1"/>
  <c r="N63" i="4" s="1"/>
  <c r="N73" i="4"/>
  <c r="K18" i="4"/>
  <c r="L18" i="4" s="1"/>
  <c r="M18" i="4" s="1"/>
  <c r="N18" i="4" s="1"/>
  <c r="K91" i="4"/>
  <c r="L91" i="4" s="1"/>
  <c r="M91" i="4" s="1"/>
  <c r="N91" i="4" s="1"/>
  <c r="N67" i="4"/>
  <c r="N78" i="4"/>
  <c r="K33" i="4"/>
  <c r="L33" i="4" s="1"/>
  <c r="M33" i="4" s="1"/>
  <c r="N33" i="4" s="1"/>
  <c r="K92" i="4"/>
  <c r="L92" i="4" s="1"/>
  <c r="M92" i="4" s="1"/>
  <c r="N92" i="4" s="1"/>
  <c r="K49" i="4"/>
  <c r="L49" i="4" s="1"/>
  <c r="M49" i="4" s="1"/>
  <c r="N49" i="4" s="1"/>
  <c r="K38" i="4"/>
  <c r="L38" i="4" s="1"/>
  <c r="M38" i="4" s="1"/>
  <c r="N38" i="4" s="1"/>
  <c r="K68" i="4"/>
  <c r="L68" i="4" s="1"/>
  <c r="M68" i="4" s="1"/>
  <c r="N68" i="4" s="1"/>
  <c r="N25" i="4"/>
  <c r="K30" i="4"/>
  <c r="L30" i="4" s="1"/>
  <c r="M30" i="4" s="1"/>
  <c r="N30" i="4" s="1"/>
  <c r="K88" i="4"/>
  <c r="L88" i="4" s="1"/>
  <c r="M88" i="4" s="1"/>
  <c r="N88" i="4" s="1"/>
  <c r="N86" i="4"/>
  <c r="K44" i="4"/>
  <c r="L44" i="4" s="1"/>
  <c r="M44" i="4" s="1"/>
  <c r="N44" i="4" s="1"/>
  <c r="N101" i="4"/>
  <c r="K66" i="4"/>
  <c r="L66" i="4" s="1"/>
  <c r="M66" i="4" s="1"/>
  <c r="N66" i="4" s="1"/>
  <c r="K29" i="4"/>
  <c r="L29" i="4" s="1"/>
  <c r="M29" i="4" s="1"/>
  <c r="N29" i="4" s="1"/>
  <c r="K90" i="4"/>
  <c r="L90" i="4" s="1"/>
  <c r="M90" i="4" s="1"/>
  <c r="N90" i="4" s="1"/>
  <c r="K100" i="4"/>
  <c r="L100" i="4" s="1"/>
  <c r="M100" i="4" s="1"/>
  <c r="N100" i="4" s="1"/>
  <c r="K72" i="4"/>
  <c r="L72" i="4" s="1"/>
  <c r="M72" i="4" s="1"/>
  <c r="N72" i="4" s="1"/>
  <c r="AC92" i="8" l="1"/>
  <c r="AD92" i="8" s="1"/>
  <c r="AQ49" i="8"/>
  <c r="AC19" i="8"/>
  <c r="AD19" i="8" s="1"/>
  <c r="AF150" i="8"/>
  <c r="AG150" i="8" s="1"/>
  <c r="AK75" i="8"/>
  <c r="AL75" i="8" s="1"/>
  <c r="AO75" i="8" s="1"/>
  <c r="AJ69" i="8"/>
  <c r="AC152" i="8"/>
  <c r="AD152" i="8" s="1"/>
  <c r="AK9" i="8"/>
  <c r="AL9" i="8" s="1"/>
  <c r="AO9" i="8" s="1"/>
  <c r="AK84" i="8"/>
  <c r="AL84" i="8" s="1"/>
  <c r="AO84" i="8" s="1"/>
  <c r="AA153" i="8"/>
  <c r="AA157" i="6"/>
  <c r="AP157" i="6" s="1"/>
  <c r="AA112" i="6"/>
  <c r="AQ112" i="6" s="1"/>
  <c r="AA128" i="6"/>
  <c r="AC143" i="8"/>
  <c r="AD143" i="8" s="1"/>
  <c r="AP152" i="8"/>
  <c r="AP120" i="8"/>
  <c r="Z112" i="6"/>
  <c r="AK112" i="6" s="1"/>
  <c r="AL112" i="6" s="1"/>
  <c r="Z137" i="6"/>
  <c r="AF137" i="6" s="1"/>
  <c r="AG137" i="6" s="1"/>
  <c r="Z64" i="6"/>
  <c r="AK64" i="6" s="1"/>
  <c r="AL64" i="6" s="1"/>
  <c r="AP143" i="8"/>
  <c r="AK37" i="8"/>
  <c r="AL37" i="8" s="1"/>
  <c r="AK133" i="8"/>
  <c r="AL133" i="8" s="1"/>
  <c r="AC120" i="8"/>
  <c r="AD120" i="8" s="1"/>
  <c r="AA126" i="8"/>
  <c r="AC126" i="8" s="1"/>
  <c r="AD126" i="8" s="1"/>
  <c r="AP34" i="6"/>
  <c r="AK149" i="8"/>
  <c r="AL149" i="8" s="1"/>
  <c r="AO149" i="8" s="1"/>
  <c r="AJ59" i="8"/>
  <c r="Z153" i="8"/>
  <c r="AP91" i="6"/>
  <c r="AA83" i="6"/>
  <c r="AP67" i="8"/>
  <c r="AK46" i="8"/>
  <c r="AL46" i="8" s="1"/>
  <c r="AO46" i="8" s="1"/>
  <c r="AF8" i="8"/>
  <c r="AG8" i="8" s="1"/>
  <c r="AI8" i="8" s="1"/>
  <c r="AU8" i="8" s="1"/>
  <c r="AW8" i="8" s="1"/>
  <c r="AF113" i="8"/>
  <c r="AG113" i="8" s="1"/>
  <c r="AI113" i="8" s="1"/>
  <c r="AU113" i="8" s="1"/>
  <c r="AW113" i="8" s="1"/>
  <c r="Z128" i="6"/>
  <c r="AF128" i="6" s="1"/>
  <c r="AG128" i="6" s="1"/>
  <c r="AI128" i="6" s="1"/>
  <c r="AQ67" i="8"/>
  <c r="AU67" i="8" s="1"/>
  <c r="AW67" i="8" s="1"/>
  <c r="AP24" i="8"/>
  <c r="AF120" i="8"/>
  <c r="AG120" i="8" s="1"/>
  <c r="AA137" i="6"/>
  <c r="AC137" i="6" s="1"/>
  <c r="AD137" i="6" s="1"/>
  <c r="Z157" i="6"/>
  <c r="AK157" i="6" s="1"/>
  <c r="AL157" i="6" s="1"/>
  <c r="Z83" i="6"/>
  <c r="AF83" i="6" s="1"/>
  <c r="AG83" i="6" s="1"/>
  <c r="AC84" i="8"/>
  <c r="AD84" i="8" s="1"/>
  <c r="AC52" i="8"/>
  <c r="AD52" i="8" s="1"/>
  <c r="AK120" i="8"/>
  <c r="AL120" i="8" s="1"/>
  <c r="AO120" i="8" s="1"/>
  <c r="AQ24" i="8"/>
  <c r="Z126" i="8"/>
  <c r="AN126" i="8" s="1"/>
  <c r="AA110" i="8"/>
  <c r="AP110" i="8" s="1"/>
  <c r="AF14" i="8"/>
  <c r="AG14" i="8" s="1"/>
  <c r="AI14" i="8" s="1"/>
  <c r="AU14" i="8" s="1"/>
  <c r="AW14" i="8" s="1"/>
  <c r="AA108" i="8"/>
  <c r="AK48" i="8"/>
  <c r="AL48" i="8" s="1"/>
  <c r="AO48" i="8" s="1"/>
  <c r="AA62" i="8"/>
  <c r="AP62" i="8" s="1"/>
  <c r="AK21" i="8"/>
  <c r="AL21" i="8" s="1"/>
  <c r="AO21" i="8" s="1"/>
  <c r="AN26" i="6"/>
  <c r="AK144" i="8"/>
  <c r="AL144" i="8" s="1"/>
  <c r="AO144" i="8" s="1"/>
  <c r="Z62" i="8"/>
  <c r="AK62" i="8" s="1"/>
  <c r="AL62" i="8" s="1"/>
  <c r="AP48" i="8"/>
  <c r="AZ11" i="5"/>
  <c r="AK154" i="8"/>
  <c r="AL154" i="8" s="1"/>
  <c r="AK140" i="8"/>
  <c r="AL140" i="8" s="1"/>
  <c r="AO140" i="8" s="1"/>
  <c r="AK19" i="8"/>
  <c r="AL19" i="8" s="1"/>
  <c r="AO19" i="8" s="1"/>
  <c r="AQ149" i="8"/>
  <c r="AA22" i="8"/>
  <c r="AF21" i="8"/>
  <c r="AG21" i="8" s="1"/>
  <c r="AF48" i="8"/>
  <c r="AG48" i="8" s="1"/>
  <c r="AI48" i="8" s="1"/>
  <c r="AQ48" i="8"/>
  <c r="Z121" i="8"/>
  <c r="AK121" i="8" s="1"/>
  <c r="AL121" i="8" s="1"/>
  <c r="AK143" i="8"/>
  <c r="AL143" i="8" s="1"/>
  <c r="AO143" i="8" s="1"/>
  <c r="AQ123" i="8"/>
  <c r="Z22" i="8"/>
  <c r="AN22" i="8" s="1"/>
  <c r="AQ76" i="8"/>
  <c r="AC123" i="8"/>
  <c r="AD123" i="8" s="1"/>
  <c r="AA104" i="8"/>
  <c r="AC104" i="8" s="1"/>
  <c r="AD104" i="8" s="1"/>
  <c r="AK77" i="8"/>
  <c r="AL77" i="8" s="1"/>
  <c r="AO77" i="8" s="1"/>
  <c r="Z108" i="8"/>
  <c r="AK108" i="8" s="1"/>
  <c r="AL108" i="8" s="1"/>
  <c r="AC10" i="8"/>
  <c r="AD10" i="8" s="1"/>
  <c r="AP76" i="8"/>
  <c r="AA121" i="8"/>
  <c r="AP121" i="8" s="1"/>
  <c r="AF101" i="8"/>
  <c r="AG101" i="8" s="1"/>
  <c r="Z110" i="8"/>
  <c r="AI66" i="8"/>
  <c r="AU66" i="8" s="1"/>
  <c r="AW66" i="8" s="1"/>
  <c r="AP10" i="8"/>
  <c r="AJ9" i="8"/>
  <c r="AC131" i="8"/>
  <c r="AD131" i="8" s="1"/>
  <c r="AJ84" i="8"/>
  <c r="AC46" i="8"/>
  <c r="AD46" i="8" s="1"/>
  <c r="AF77" i="8"/>
  <c r="AG77" i="8" s="1"/>
  <c r="AK150" i="8"/>
  <c r="AL150" i="8" s="1"/>
  <c r="AO150" i="8" s="1"/>
  <c r="AP12" i="8"/>
  <c r="AK68" i="8"/>
  <c r="AL68" i="8" s="1"/>
  <c r="AO68" i="8" s="1"/>
  <c r="AA49" i="6"/>
  <c r="AP49" i="6" s="1"/>
  <c r="AK14" i="8"/>
  <c r="AL14" i="8" s="1"/>
  <c r="AO14" i="8" s="1"/>
  <c r="AP86" i="8"/>
  <c r="AK142" i="8"/>
  <c r="AL142" i="8" s="1"/>
  <c r="AO142" i="8" s="1"/>
  <c r="BB11" i="5"/>
  <c r="AF25" i="8"/>
  <c r="AG25" i="8" s="1"/>
  <c r="AI25" i="8" s="1"/>
  <c r="AP14" i="8"/>
  <c r="AJ68" i="8"/>
  <c r="AC77" i="8"/>
  <c r="AD77" i="8" s="1"/>
  <c r="AQ14" i="8"/>
  <c r="AP77" i="8"/>
  <c r="AK89" i="8"/>
  <c r="AL89" i="8" s="1"/>
  <c r="AO89" i="8" s="1"/>
  <c r="Z104" i="8"/>
  <c r="AC21" i="8"/>
  <c r="AD21" i="8" s="1"/>
  <c r="AF68" i="8"/>
  <c r="AG68" i="8" s="1"/>
  <c r="AI68" i="8" s="1"/>
  <c r="AA110" i="6"/>
  <c r="AQ110" i="6" s="1"/>
  <c r="AP21" i="8"/>
  <c r="AA62" i="6"/>
  <c r="AQ62" i="6" s="1"/>
  <c r="Z49" i="6"/>
  <c r="AK49" i="6" s="1"/>
  <c r="AL49" i="6" s="1"/>
  <c r="AP68" i="8"/>
  <c r="Z62" i="6"/>
  <c r="AF62" i="6" s="1"/>
  <c r="AG62" i="6" s="1"/>
  <c r="AF142" i="8"/>
  <c r="AG142" i="8" s="1"/>
  <c r="AJ14" i="8"/>
  <c r="Z73" i="8"/>
  <c r="AK73" i="8" s="1"/>
  <c r="AL73" i="8" s="1"/>
  <c r="AP59" i="8"/>
  <c r="AF149" i="8"/>
  <c r="AG149" i="8" s="1"/>
  <c r="AI149" i="8" s="1"/>
  <c r="AU149" i="8" s="1"/>
  <c r="AW149" i="8" s="1"/>
  <c r="AQ59" i="8"/>
  <c r="AA73" i="8"/>
  <c r="AC73" i="8" s="1"/>
  <c r="AD73" i="8" s="1"/>
  <c r="AQ25" i="8"/>
  <c r="AQ69" i="8"/>
  <c r="AC25" i="8"/>
  <c r="AD25" i="8" s="1"/>
  <c r="AC69" i="8"/>
  <c r="AD69" i="8" s="1"/>
  <c r="AF105" i="8"/>
  <c r="AG105" i="8" s="1"/>
  <c r="AI105" i="8" s="1"/>
  <c r="AP93" i="8"/>
  <c r="AK105" i="8"/>
  <c r="AL105" i="8" s="1"/>
  <c r="AO105" i="8" s="1"/>
  <c r="AI67" i="8"/>
  <c r="AK86" i="8"/>
  <c r="AL86" i="8" s="1"/>
  <c r="AO86" i="8" s="1"/>
  <c r="AC78" i="8"/>
  <c r="AD78" i="8" s="1"/>
  <c r="AP89" i="8"/>
  <c r="Z115" i="8"/>
  <c r="AK115" i="8" s="1"/>
  <c r="AL115" i="8" s="1"/>
  <c r="AC89" i="8"/>
  <c r="AD89" i="8" s="1"/>
  <c r="AF86" i="8"/>
  <c r="AG86" i="8" s="1"/>
  <c r="AI86" i="8" s="1"/>
  <c r="AA115" i="8"/>
  <c r="AP115" i="8" s="1"/>
  <c r="AN23" i="6"/>
  <c r="AQ33" i="6"/>
  <c r="AA114" i="6"/>
  <c r="AQ114" i="6" s="1"/>
  <c r="AA99" i="6"/>
  <c r="AQ99" i="6" s="1"/>
  <c r="Z97" i="6"/>
  <c r="AF97" i="6" s="1"/>
  <c r="AG97" i="6" s="1"/>
  <c r="AI97" i="6" s="1"/>
  <c r="AC33" i="6"/>
  <c r="AD33" i="6" s="1"/>
  <c r="AA116" i="6"/>
  <c r="AP116" i="6" s="1"/>
  <c r="Z140" i="6"/>
  <c r="AK140" i="6" s="1"/>
  <c r="AL140" i="6" s="1"/>
  <c r="AA97" i="6"/>
  <c r="AP97" i="6" s="1"/>
  <c r="Z146" i="6"/>
  <c r="AK146" i="6" s="1"/>
  <c r="AL146" i="6" s="1"/>
  <c r="AF30" i="6"/>
  <c r="AG30" i="6" s="1"/>
  <c r="AI30" i="6" s="1"/>
  <c r="Z116" i="6"/>
  <c r="AF116" i="6" s="1"/>
  <c r="AG116" i="6" s="1"/>
  <c r="Z99" i="6"/>
  <c r="AN99" i="6" s="1"/>
  <c r="AA140" i="6"/>
  <c r="AQ140" i="6" s="1"/>
  <c r="AA37" i="6"/>
  <c r="AP37" i="6" s="1"/>
  <c r="Z37" i="6"/>
  <c r="AK37" i="6" s="1"/>
  <c r="AL37" i="6" s="1"/>
  <c r="AA28" i="8"/>
  <c r="Z28" i="8"/>
  <c r="AN28" i="8" s="1"/>
  <c r="AP142" i="8"/>
  <c r="AQ142" i="8"/>
  <c r="AA73" i="6"/>
  <c r="AC73" i="6" s="1"/>
  <c r="AD73" i="6" s="1"/>
  <c r="AN14" i="6"/>
  <c r="Z73" i="6"/>
  <c r="AF73" i="6" s="1"/>
  <c r="AG73" i="6" s="1"/>
  <c r="AI73" i="6" s="1"/>
  <c r="AI75" i="8"/>
  <c r="AU75" i="8" s="1"/>
  <c r="AW75" i="8" s="1"/>
  <c r="AK11" i="5"/>
  <c r="AN25" i="6"/>
  <c r="Z52" i="6"/>
  <c r="AK52" i="6" s="1"/>
  <c r="AL52" i="6" s="1"/>
  <c r="AA129" i="6"/>
  <c r="AQ129" i="6" s="1"/>
  <c r="AI44" i="8"/>
  <c r="AU44" i="8" s="1"/>
  <c r="AW44" i="8" s="1"/>
  <c r="AI33" i="6"/>
  <c r="AI109" i="6"/>
  <c r="AG229" i="5"/>
  <c r="AG31" i="5"/>
  <c r="AF65" i="6"/>
  <c r="AG65" i="6" s="1"/>
  <c r="AA88" i="6"/>
  <c r="AC88" i="6" s="1"/>
  <c r="AD88" i="6" s="1"/>
  <c r="AA52" i="6"/>
  <c r="AQ52" i="6" s="1"/>
  <c r="Z88" i="6"/>
  <c r="AK88" i="6" s="1"/>
  <c r="AL88" i="6" s="1"/>
  <c r="Z129" i="6"/>
  <c r="AN129" i="6" s="1"/>
  <c r="AF157" i="8"/>
  <c r="AG157" i="8" s="1"/>
  <c r="AI157" i="8" s="1"/>
  <c r="AC70" i="6"/>
  <c r="AD70" i="6" s="1"/>
  <c r="AI8" i="6"/>
  <c r="AI107" i="6"/>
  <c r="Z70" i="6"/>
  <c r="AN70" i="6" s="1"/>
  <c r="AK157" i="8"/>
  <c r="AL157" i="8" s="1"/>
  <c r="AO157" i="8" s="1"/>
  <c r="AN19" i="6"/>
  <c r="AI81" i="6"/>
  <c r="AA90" i="6"/>
  <c r="AQ90" i="6" s="1"/>
  <c r="Z90" i="6"/>
  <c r="AN90" i="6" s="1"/>
  <c r="AH516" i="5"/>
  <c r="AI106" i="6"/>
  <c r="AI104" i="6"/>
  <c r="AI92" i="6"/>
  <c r="AA152" i="6"/>
  <c r="AC152" i="6" s="1"/>
  <c r="AD152" i="6" s="1"/>
  <c r="Z46" i="6"/>
  <c r="AK46" i="6" s="1"/>
  <c r="AL46" i="6" s="1"/>
  <c r="Z145" i="6"/>
  <c r="AF145" i="6" s="1"/>
  <c r="AG145" i="6" s="1"/>
  <c r="AI145" i="6" s="1"/>
  <c r="AA56" i="6"/>
  <c r="AC56" i="6" s="1"/>
  <c r="AD56" i="6" s="1"/>
  <c r="AI32" i="6"/>
  <c r="AA115" i="6"/>
  <c r="AC115" i="6" s="1"/>
  <c r="AD115" i="6" s="1"/>
  <c r="Z115" i="6"/>
  <c r="AN115" i="6" s="1"/>
  <c r="AI118" i="8"/>
  <c r="AU118" i="8" s="1"/>
  <c r="AW118" i="8" s="1"/>
  <c r="AI69" i="8"/>
  <c r="AI142" i="6"/>
  <c r="AI148" i="6"/>
  <c r="Z100" i="6"/>
  <c r="AK100" i="6" s="1"/>
  <c r="AL100" i="6" s="1"/>
  <c r="AF9" i="6"/>
  <c r="AG9" i="6" s="1"/>
  <c r="AI9" i="6" s="1"/>
  <c r="AA46" i="6"/>
  <c r="AQ46" i="6" s="1"/>
  <c r="AA100" i="6"/>
  <c r="AP100" i="6" s="1"/>
  <c r="AA145" i="6"/>
  <c r="AP145" i="6" s="1"/>
  <c r="AI76" i="8"/>
  <c r="AA64" i="6"/>
  <c r="AQ64" i="6" s="1"/>
  <c r="AI116" i="6"/>
  <c r="Z86" i="6"/>
  <c r="AN86" i="6" s="1"/>
  <c r="AA86" i="6"/>
  <c r="AC86" i="6" s="1"/>
  <c r="AD86" i="6" s="1"/>
  <c r="Z56" i="6"/>
  <c r="AF56" i="6" s="1"/>
  <c r="AG56" i="6" s="1"/>
  <c r="AI56" i="6" s="1"/>
  <c r="AI103" i="8"/>
  <c r="AU103" i="8" s="1"/>
  <c r="AW103" i="8" s="1"/>
  <c r="AK78" i="8"/>
  <c r="AL78" i="8" s="1"/>
  <c r="AO78" i="8" s="1"/>
  <c r="AW11" i="5"/>
  <c r="AT11" i="5"/>
  <c r="AI155" i="8"/>
  <c r="AU155" i="8" s="1"/>
  <c r="AW155" i="8" s="1"/>
  <c r="AI61" i="6"/>
  <c r="AA121" i="6"/>
  <c r="AC121" i="6" s="1"/>
  <c r="AD121" i="6" s="1"/>
  <c r="Z150" i="6"/>
  <c r="AK150" i="6" s="1"/>
  <c r="AL150" i="6" s="1"/>
  <c r="AF78" i="8"/>
  <c r="AG78" i="8" s="1"/>
  <c r="AI78" i="8" s="1"/>
  <c r="AI17" i="6"/>
  <c r="AI13" i="6"/>
  <c r="AA43" i="6"/>
  <c r="AC43" i="6" s="1"/>
  <c r="AD43" i="6" s="1"/>
  <c r="Z57" i="6"/>
  <c r="AK57" i="6" s="1"/>
  <c r="AL57" i="6" s="1"/>
  <c r="AP157" i="8"/>
  <c r="AI32" i="8"/>
  <c r="AU32" i="8" s="1"/>
  <c r="AW32" i="8" s="1"/>
  <c r="AF22" i="6"/>
  <c r="AG22" i="6" s="1"/>
  <c r="AI22" i="6" s="1"/>
  <c r="AF34" i="6"/>
  <c r="AG34" i="6" s="1"/>
  <c r="AI34" i="6" s="1"/>
  <c r="AA57" i="6"/>
  <c r="AP57" i="6" s="1"/>
  <c r="Z121" i="6"/>
  <c r="AF121" i="6" s="1"/>
  <c r="AG121" i="6" s="1"/>
  <c r="AI121" i="6" s="1"/>
  <c r="AP39" i="8"/>
  <c r="AQ157" i="8"/>
  <c r="AA150" i="6"/>
  <c r="AP150" i="6" s="1"/>
  <c r="AQ39" i="8"/>
  <c r="AK96" i="8"/>
  <c r="AL96" i="8" s="1"/>
  <c r="AO96" i="8" s="1"/>
  <c r="Z43" i="6"/>
  <c r="AF43" i="6" s="1"/>
  <c r="AG43" i="6" s="1"/>
  <c r="AI43" i="6" s="1"/>
  <c r="Z85" i="6"/>
  <c r="AN85" i="6" s="1"/>
  <c r="AI55" i="8"/>
  <c r="AU55" i="8" s="1"/>
  <c r="AW55" i="8" s="1"/>
  <c r="AN72" i="6"/>
  <c r="AO72" i="6" s="1"/>
  <c r="AF12" i="6"/>
  <c r="AG12" i="6" s="1"/>
  <c r="AI12" i="6" s="1"/>
  <c r="AF72" i="6"/>
  <c r="AG72" i="6" s="1"/>
  <c r="AI72" i="6" s="1"/>
  <c r="AI144" i="8"/>
  <c r="AU144" i="8" s="1"/>
  <c r="AW144" i="8" s="1"/>
  <c r="AQ34" i="6"/>
  <c r="AI27" i="8"/>
  <c r="AU27" i="8" s="1"/>
  <c r="AW27" i="8" s="1"/>
  <c r="AI12" i="8"/>
  <c r="Z114" i="6"/>
  <c r="AN114" i="6" s="1"/>
  <c r="AA85" i="6"/>
  <c r="AC85" i="6" s="1"/>
  <c r="AD85" i="6" s="1"/>
  <c r="AI100" i="8"/>
  <c r="AU100" i="8" s="1"/>
  <c r="AW100" i="8" s="1"/>
  <c r="Z87" i="6"/>
  <c r="AK87" i="6" s="1"/>
  <c r="AL87" i="6" s="1"/>
  <c r="AA155" i="6"/>
  <c r="AC155" i="6" s="1"/>
  <c r="AD155" i="6" s="1"/>
  <c r="Z78" i="6"/>
  <c r="AF78" i="6" s="1"/>
  <c r="AG78" i="6" s="1"/>
  <c r="AI78" i="6" s="1"/>
  <c r="AA105" i="6"/>
  <c r="AC105" i="6" s="1"/>
  <c r="AD105" i="6" s="1"/>
  <c r="AI141" i="8"/>
  <c r="AU141" i="8" s="1"/>
  <c r="AW141" i="8" s="1"/>
  <c r="AQ30" i="6"/>
  <c r="AA87" i="6"/>
  <c r="AP87" i="6" s="1"/>
  <c r="AI122" i="6"/>
  <c r="Z149" i="6"/>
  <c r="AF149" i="6" s="1"/>
  <c r="AG149" i="6" s="1"/>
  <c r="AI149" i="6" s="1"/>
  <c r="AF102" i="8"/>
  <c r="AG102" i="8" s="1"/>
  <c r="AF93" i="6"/>
  <c r="AG93" i="6" s="1"/>
  <c r="AI93" i="6" s="1"/>
  <c r="AQ29" i="6"/>
  <c r="AA78" i="6"/>
  <c r="AP78" i="6" s="1"/>
  <c r="AA149" i="6"/>
  <c r="AQ149" i="6" s="1"/>
  <c r="Z105" i="6"/>
  <c r="AF105" i="6" s="1"/>
  <c r="AG105" i="6" s="1"/>
  <c r="AI105" i="6" s="1"/>
  <c r="AI77" i="8"/>
  <c r="AN120" i="6"/>
  <c r="AK65" i="6"/>
  <c r="AL65" i="6" s="1"/>
  <c r="AO65" i="6" s="1"/>
  <c r="Z117" i="6"/>
  <c r="AF117" i="6" s="1"/>
  <c r="AG117" i="6" s="1"/>
  <c r="AI117" i="6" s="1"/>
  <c r="Z119" i="6"/>
  <c r="AF119" i="6" s="1"/>
  <c r="AG119" i="6" s="1"/>
  <c r="AI119" i="6" s="1"/>
  <c r="AA130" i="6"/>
  <c r="AP130" i="6" s="1"/>
  <c r="AI19" i="6"/>
  <c r="Z130" i="6"/>
  <c r="AK130" i="6" s="1"/>
  <c r="AL130" i="6" s="1"/>
  <c r="AA117" i="6"/>
  <c r="AC117" i="6" s="1"/>
  <c r="AD117" i="6" s="1"/>
  <c r="AA119" i="6"/>
  <c r="AP119" i="6" s="1"/>
  <c r="Z41" i="6"/>
  <c r="AF41" i="6" s="1"/>
  <c r="AG41" i="6" s="1"/>
  <c r="AI41" i="6" s="1"/>
  <c r="AI38" i="6"/>
  <c r="AI24" i="6"/>
  <c r="AI29" i="6"/>
  <c r="Z79" i="6"/>
  <c r="AF79" i="6" s="1"/>
  <c r="AG79" i="6" s="1"/>
  <c r="AI79" i="6" s="1"/>
  <c r="AA50" i="6"/>
  <c r="AC50" i="6" s="1"/>
  <c r="AD50" i="6" s="1"/>
  <c r="AI83" i="6"/>
  <c r="AA79" i="6"/>
  <c r="AC79" i="6" s="1"/>
  <c r="AD79" i="6" s="1"/>
  <c r="AC35" i="6"/>
  <c r="AD35" i="6" s="1"/>
  <c r="Z102" i="6"/>
  <c r="AK102" i="6" s="1"/>
  <c r="AL102" i="6" s="1"/>
  <c r="Z50" i="6"/>
  <c r="AF50" i="6" s="1"/>
  <c r="AG50" i="6" s="1"/>
  <c r="AI50" i="6" s="1"/>
  <c r="AP35" i="6"/>
  <c r="AN29" i="6"/>
  <c r="AA102" i="6"/>
  <c r="AQ102" i="6" s="1"/>
  <c r="AA54" i="6"/>
  <c r="AP54" i="6" s="1"/>
  <c r="AI21" i="6"/>
  <c r="AH11" i="5"/>
  <c r="AH54" i="5"/>
  <c r="Z139" i="6"/>
  <c r="AK139" i="6" s="1"/>
  <c r="AL139" i="6" s="1"/>
  <c r="Z96" i="6"/>
  <c r="AN96" i="6" s="1"/>
  <c r="AI20" i="6"/>
  <c r="AI25" i="6"/>
  <c r="AA96" i="6"/>
  <c r="AQ96" i="6" s="1"/>
  <c r="Z54" i="6"/>
  <c r="AF54" i="6" s="1"/>
  <c r="AG54" i="6" s="1"/>
  <c r="AI54" i="6" s="1"/>
  <c r="AA139" i="6"/>
  <c r="AC139" i="6" s="1"/>
  <c r="AD139" i="6" s="1"/>
  <c r="AC97" i="6"/>
  <c r="AD97" i="6" s="1"/>
  <c r="AI137" i="6"/>
  <c r="AI18" i="6"/>
  <c r="AI120" i="6"/>
  <c r="AI65" i="6"/>
  <c r="AA40" i="6"/>
  <c r="AC40" i="6" s="1"/>
  <c r="AD40" i="6" s="1"/>
  <c r="AG141" i="5"/>
  <c r="AI31" i="6"/>
  <c r="AA94" i="6"/>
  <c r="AQ94" i="6" s="1"/>
  <c r="AI14" i="6"/>
  <c r="AN18" i="6"/>
  <c r="AI68" i="6"/>
  <c r="AH397" i="5"/>
  <c r="AP76" i="6"/>
  <c r="AA108" i="6"/>
  <c r="AP108" i="6" s="1"/>
  <c r="AI134" i="6"/>
  <c r="AA41" i="6"/>
  <c r="AC41" i="6" s="1"/>
  <c r="AD41" i="6" s="1"/>
  <c r="Z108" i="6"/>
  <c r="AK108" i="6" s="1"/>
  <c r="AL108" i="6" s="1"/>
  <c r="Z40" i="6"/>
  <c r="AF40" i="6" s="1"/>
  <c r="AG40" i="6" s="1"/>
  <c r="AI40" i="6" s="1"/>
  <c r="AI63" i="6"/>
  <c r="Z94" i="6"/>
  <c r="AF94" i="6" s="1"/>
  <c r="AG94" i="6" s="1"/>
  <c r="AI94" i="6" s="1"/>
  <c r="AI58" i="6"/>
  <c r="AI138" i="6"/>
  <c r="AA123" i="6"/>
  <c r="AQ123" i="6" s="1"/>
  <c r="AA151" i="6"/>
  <c r="AP151" i="6" s="1"/>
  <c r="Z123" i="6"/>
  <c r="AK123" i="6" s="1"/>
  <c r="AL123" i="6" s="1"/>
  <c r="Z151" i="6"/>
  <c r="AK151" i="6" s="1"/>
  <c r="AL151" i="6" s="1"/>
  <c r="Z144" i="6"/>
  <c r="AK144" i="6" s="1"/>
  <c r="AL144" i="6" s="1"/>
  <c r="AG232" i="5"/>
  <c r="Z38" i="8"/>
  <c r="AK38" i="8" s="1"/>
  <c r="AL38" i="8" s="1"/>
  <c r="AI23" i="6"/>
  <c r="AH79" i="5"/>
  <c r="AF35" i="6"/>
  <c r="AG35" i="6" s="1"/>
  <c r="AI35" i="6" s="1"/>
  <c r="AI124" i="6"/>
  <c r="Z98" i="6"/>
  <c r="AK98" i="6" s="1"/>
  <c r="AL98" i="6" s="1"/>
  <c r="AF126" i="8"/>
  <c r="AG126" i="8" s="1"/>
  <c r="AI126" i="8" s="1"/>
  <c r="AI60" i="6"/>
  <c r="AK126" i="8"/>
  <c r="AL126" i="8" s="1"/>
  <c r="AO126" i="8" s="1"/>
  <c r="AA38" i="8"/>
  <c r="AQ38" i="8" s="1"/>
  <c r="AA98" i="6"/>
  <c r="AQ98" i="6" s="1"/>
  <c r="AG106" i="5"/>
  <c r="AG134" i="5"/>
  <c r="AK120" i="6"/>
  <c r="AL120" i="6" s="1"/>
  <c r="AI137" i="8"/>
  <c r="AU137" i="8" s="1"/>
  <c r="AW137" i="8" s="1"/>
  <c r="AF39" i="8"/>
  <c r="AG39" i="8" s="1"/>
  <c r="AI39" i="8" s="1"/>
  <c r="AG12" i="5"/>
  <c r="AH538" i="5"/>
  <c r="AI27" i="6"/>
  <c r="AI36" i="6"/>
  <c r="AI11" i="6"/>
  <c r="AH107" i="5"/>
  <c r="AH41" i="5"/>
  <c r="AH528" i="5"/>
  <c r="T11" i="5"/>
  <c r="AC103" i="6"/>
  <c r="AD103" i="6" s="1"/>
  <c r="AI59" i="8"/>
  <c r="AG30" i="5"/>
  <c r="AG158" i="5"/>
  <c r="AP103" i="6"/>
  <c r="AK39" i="8"/>
  <c r="AL39" i="8" s="1"/>
  <c r="AO39" i="8" s="1"/>
  <c r="AK102" i="8"/>
  <c r="AL102" i="8" s="1"/>
  <c r="AO102" i="8" s="1"/>
  <c r="AI116" i="8"/>
  <c r="AU116" i="8" s="1"/>
  <c r="AW116" i="8" s="1"/>
  <c r="AI24" i="8"/>
  <c r="AU24" i="8" s="1"/>
  <c r="AW24" i="8" s="1"/>
  <c r="AI142" i="8"/>
  <c r="AI112" i="8"/>
  <c r="AU112" i="8" s="1"/>
  <c r="AW112" i="8" s="1"/>
  <c r="AI120" i="8"/>
  <c r="AI15" i="8"/>
  <c r="AU15" i="8" s="1"/>
  <c r="AW15" i="8" s="1"/>
  <c r="AC114" i="8"/>
  <c r="AD114" i="8" s="1"/>
  <c r="AC128" i="6"/>
  <c r="AD128" i="6" s="1"/>
  <c r="AI28" i="6"/>
  <c r="AI111" i="6"/>
  <c r="AI143" i="8"/>
  <c r="AK114" i="6"/>
  <c r="AL114" i="6" s="1"/>
  <c r="AO114" i="6" s="1"/>
  <c r="AI15" i="6"/>
  <c r="AI16" i="6"/>
  <c r="AI106" i="8"/>
  <c r="AU106" i="8" s="1"/>
  <c r="AW106" i="8" s="1"/>
  <c r="AI52" i="8"/>
  <c r="AU52" i="8" s="1"/>
  <c r="AW52" i="8" s="1"/>
  <c r="AN11" i="6"/>
  <c r="X7" i="6"/>
  <c r="AA7" i="6" s="1"/>
  <c r="AC7" i="6" s="1"/>
  <c r="AD7" i="6" s="1"/>
  <c r="AI26" i="6"/>
  <c r="AC34" i="8"/>
  <c r="AD34" i="8" s="1"/>
  <c r="AQ76" i="6"/>
  <c r="AK110" i="6"/>
  <c r="AL110" i="6" s="1"/>
  <c r="AO110" i="6" s="1"/>
  <c r="AI62" i="6"/>
  <c r="AP156" i="8"/>
  <c r="AC41" i="8"/>
  <c r="AD41" i="8" s="1"/>
  <c r="AI150" i="8"/>
  <c r="AU150" i="8" s="1"/>
  <c r="AW150" i="8" s="1"/>
  <c r="AI130" i="8"/>
  <c r="AU130" i="8" s="1"/>
  <c r="AW130" i="8" s="1"/>
  <c r="AI131" i="8"/>
  <c r="AA144" i="6"/>
  <c r="AP144" i="6" s="1"/>
  <c r="X47" i="6"/>
  <c r="AE47" i="6"/>
  <c r="Y47" i="6"/>
  <c r="X44" i="6"/>
  <c r="AJ44" i="6" s="1"/>
  <c r="Y44" i="6"/>
  <c r="AE44" i="6"/>
  <c r="X82" i="6"/>
  <c r="AJ82" i="6" s="1"/>
  <c r="AE82" i="6"/>
  <c r="Y82" i="6"/>
  <c r="Z7" i="6"/>
  <c r="X143" i="6"/>
  <c r="AJ143" i="6" s="1"/>
  <c r="AE143" i="6"/>
  <c r="Y143" i="6"/>
  <c r="X141" i="6"/>
  <c r="AJ141" i="6" s="1"/>
  <c r="AE141" i="6"/>
  <c r="Y141" i="6"/>
  <c r="AE7" i="6"/>
  <c r="X89" i="6"/>
  <c r="AJ89" i="6" s="1"/>
  <c r="Y89" i="6"/>
  <c r="AE89" i="6"/>
  <c r="X48" i="6"/>
  <c r="AJ48" i="6" s="1"/>
  <c r="Y48" i="6"/>
  <c r="AE48" i="6"/>
  <c r="X132" i="6"/>
  <c r="AJ132" i="6" s="1"/>
  <c r="Y132" i="6"/>
  <c r="AE132" i="6"/>
  <c r="X135" i="6"/>
  <c r="AJ135" i="6" s="1"/>
  <c r="AE135" i="6"/>
  <c r="Y135" i="6"/>
  <c r="AN93" i="6"/>
  <c r="AO93" i="6" s="1"/>
  <c r="AC83" i="6"/>
  <c r="AD83" i="6" s="1"/>
  <c r="AH515" i="5"/>
  <c r="AG558" i="5"/>
  <c r="AH246" i="5"/>
  <c r="AQ70" i="6"/>
  <c r="AF42" i="6"/>
  <c r="AG42" i="6" s="1"/>
  <c r="AI42" i="6" s="1"/>
  <c r="AI76" i="6"/>
  <c r="AK42" i="6"/>
  <c r="AL42" i="6" s="1"/>
  <c r="AO42" i="6" s="1"/>
  <c r="AF125" i="6"/>
  <c r="AG125" i="6" s="1"/>
  <c r="AI125" i="6" s="1"/>
  <c r="AC91" i="6"/>
  <c r="AD91" i="6" s="1"/>
  <c r="AK125" i="6"/>
  <c r="AL125" i="6" s="1"/>
  <c r="AO125" i="6" s="1"/>
  <c r="AP124" i="6"/>
  <c r="AN104" i="6"/>
  <c r="AI101" i="6"/>
  <c r="AC124" i="6"/>
  <c r="AD124" i="6" s="1"/>
  <c r="AI23" i="8"/>
  <c r="AU23" i="8" s="1"/>
  <c r="AW23" i="8" s="1"/>
  <c r="AI140" i="8"/>
  <c r="AI89" i="8"/>
  <c r="AI122" i="8"/>
  <c r="AU122" i="8" s="1"/>
  <c r="AW122" i="8" s="1"/>
  <c r="AI46" i="8"/>
  <c r="AU46" i="8" s="1"/>
  <c r="AW46" i="8" s="1"/>
  <c r="AI117" i="8"/>
  <c r="AU117" i="8" s="1"/>
  <c r="AW117" i="8" s="1"/>
  <c r="AI92" i="8"/>
  <c r="AU92" i="8" s="1"/>
  <c r="AW92" i="8" s="1"/>
  <c r="AI18" i="8"/>
  <c r="AU18" i="8" s="1"/>
  <c r="AW18" i="8" s="1"/>
  <c r="AI99" i="8"/>
  <c r="AU99" i="8" s="1"/>
  <c r="AW99" i="8" s="1"/>
  <c r="AC17" i="6"/>
  <c r="AD17" i="6" s="1"/>
  <c r="AF16" i="8"/>
  <c r="AG16" i="8" s="1"/>
  <c r="AI16" i="8" s="1"/>
  <c r="AI9" i="8"/>
  <c r="AU9" i="8" s="1"/>
  <c r="AW9" i="8" s="1"/>
  <c r="AI127" i="8"/>
  <c r="AU127" i="8" s="1"/>
  <c r="AW127" i="8" s="1"/>
  <c r="AF17" i="8"/>
  <c r="AG17" i="8" s="1"/>
  <c r="AI17" i="8" s="1"/>
  <c r="AI84" i="8"/>
  <c r="AU84" i="8" s="1"/>
  <c r="AW84" i="8" s="1"/>
  <c r="AI7" i="8"/>
  <c r="AU7" i="8" s="1"/>
  <c r="AW7" i="8" s="1"/>
  <c r="AI152" i="8"/>
  <c r="AU152" i="8" s="1"/>
  <c r="AW152" i="8" s="1"/>
  <c r="AQ88" i="8"/>
  <c r="AP42" i="8"/>
  <c r="AI63" i="8"/>
  <c r="AU63" i="8" s="1"/>
  <c r="AW63" i="8" s="1"/>
  <c r="AI20" i="8"/>
  <c r="AU20" i="8" s="1"/>
  <c r="AW20" i="8" s="1"/>
  <c r="AC124" i="8"/>
  <c r="AD124" i="8" s="1"/>
  <c r="AC10" i="6"/>
  <c r="AD10" i="6" s="1"/>
  <c r="AC42" i="8"/>
  <c r="AD42" i="8" s="1"/>
  <c r="AQ25" i="6"/>
  <c r="AC25" i="6"/>
  <c r="AD25" i="6" s="1"/>
  <c r="AP25" i="6"/>
  <c r="AP18" i="6"/>
  <c r="AC18" i="6"/>
  <c r="AD18" i="6" s="1"/>
  <c r="AQ18" i="6"/>
  <c r="AC19" i="6"/>
  <c r="AD19" i="6" s="1"/>
  <c r="AP19" i="6"/>
  <c r="AQ19" i="6"/>
  <c r="AC20" i="6"/>
  <c r="AD20" i="6" s="1"/>
  <c r="AP20" i="6"/>
  <c r="AQ20" i="6"/>
  <c r="AC13" i="6"/>
  <c r="AD13" i="6" s="1"/>
  <c r="AP13" i="6"/>
  <c r="AQ13" i="6"/>
  <c r="AP8" i="6"/>
  <c r="AQ8" i="6"/>
  <c r="AC8" i="6"/>
  <c r="AD8" i="6" s="1"/>
  <c r="AP15" i="6"/>
  <c r="AC15" i="6"/>
  <c r="AD15" i="6" s="1"/>
  <c r="AQ15" i="6"/>
  <c r="AC21" i="6"/>
  <c r="AD21" i="6" s="1"/>
  <c r="AQ21" i="6"/>
  <c r="AP21" i="6"/>
  <c r="AP9" i="6"/>
  <c r="AQ9" i="6"/>
  <c r="AC9" i="6"/>
  <c r="AD9" i="6" s="1"/>
  <c r="AP24" i="6"/>
  <c r="AC24" i="6"/>
  <c r="AD24" i="6" s="1"/>
  <c r="AQ24" i="6"/>
  <c r="AP23" i="6"/>
  <c r="AQ23" i="6"/>
  <c r="AC23" i="6"/>
  <c r="AD23" i="6" s="1"/>
  <c r="AQ12" i="6"/>
  <c r="AC12" i="6"/>
  <c r="AD12" i="6" s="1"/>
  <c r="AP12" i="6"/>
  <c r="AP11" i="6"/>
  <c r="AQ11" i="6"/>
  <c r="AC11" i="6"/>
  <c r="AD11" i="6" s="1"/>
  <c r="AC22" i="6"/>
  <c r="AD22" i="6" s="1"/>
  <c r="AP22" i="6"/>
  <c r="AQ22" i="6"/>
  <c r="AC14" i="6"/>
  <c r="AD14" i="6" s="1"/>
  <c r="AP14" i="6"/>
  <c r="AQ14" i="6"/>
  <c r="AQ16" i="6"/>
  <c r="AP16" i="6"/>
  <c r="AC16" i="6"/>
  <c r="AD16" i="6" s="1"/>
  <c r="AP26" i="6"/>
  <c r="AC26" i="6"/>
  <c r="AD26" i="6" s="1"/>
  <c r="AQ26" i="6"/>
  <c r="AQ10" i="6"/>
  <c r="AQ134" i="8"/>
  <c r="AQ124" i="8"/>
  <c r="AI111" i="8"/>
  <c r="AU111" i="8" s="1"/>
  <c r="AW111" i="8" s="1"/>
  <c r="AP17" i="6"/>
  <c r="AI10" i="8"/>
  <c r="AK17" i="8"/>
  <c r="AL17" i="8" s="1"/>
  <c r="AO17" i="8" s="1"/>
  <c r="AP34" i="8"/>
  <c r="AI109" i="8"/>
  <c r="AU109" i="8" s="1"/>
  <c r="AW109" i="8" s="1"/>
  <c r="AI19" i="8"/>
  <c r="AF135" i="8"/>
  <c r="AG135" i="8" s="1"/>
  <c r="AI135" i="8" s="1"/>
  <c r="AI101" i="8"/>
  <c r="AU101" i="8" s="1"/>
  <c r="AW101" i="8" s="1"/>
  <c r="AK16" i="8"/>
  <c r="AL16" i="8" s="1"/>
  <c r="AO16" i="8" s="1"/>
  <c r="AF87" i="8"/>
  <c r="AG87" i="8" s="1"/>
  <c r="AI87" i="8" s="1"/>
  <c r="AK87" i="8"/>
  <c r="AL87" i="8" s="1"/>
  <c r="AO87" i="8" s="1"/>
  <c r="AI95" i="8"/>
  <c r="AU95" i="8" s="1"/>
  <c r="AW95" i="8" s="1"/>
  <c r="AI54" i="8"/>
  <c r="AU54" i="8" s="1"/>
  <c r="AW54" i="8" s="1"/>
  <c r="AC85" i="8"/>
  <c r="AD85" i="8" s="1"/>
  <c r="AC56" i="8"/>
  <c r="AD56" i="8" s="1"/>
  <c r="AP85" i="8"/>
  <c r="AP56" i="8"/>
  <c r="AF91" i="8"/>
  <c r="AG91" i="8" s="1"/>
  <c r="AI91" i="8" s="1"/>
  <c r="AK85" i="8"/>
  <c r="AL85" i="8" s="1"/>
  <c r="AO85" i="8" s="1"/>
  <c r="AC134" i="8"/>
  <c r="AD134" i="8" s="1"/>
  <c r="AP114" i="8"/>
  <c r="AI93" i="8"/>
  <c r="AF85" i="8"/>
  <c r="AG85" i="8" s="1"/>
  <c r="AI85" i="8" s="1"/>
  <c r="AC156" i="8"/>
  <c r="AD156" i="8" s="1"/>
  <c r="AF96" i="8"/>
  <c r="AG96" i="8" s="1"/>
  <c r="AI96" i="8" s="1"/>
  <c r="AK51" i="8"/>
  <c r="AL51" i="8" s="1"/>
  <c r="AO51" i="8" s="1"/>
  <c r="AF51" i="8"/>
  <c r="AG51" i="8" s="1"/>
  <c r="AI51" i="8" s="1"/>
  <c r="AP41" i="8"/>
  <c r="AI123" i="8"/>
  <c r="AI21" i="8"/>
  <c r="AQ62" i="8"/>
  <c r="AI147" i="8"/>
  <c r="AU147" i="8" s="1"/>
  <c r="AW147" i="8" s="1"/>
  <c r="AC62" i="8"/>
  <c r="AD62" i="8" s="1"/>
  <c r="AP128" i="8"/>
  <c r="AQ128" i="8"/>
  <c r="AK135" i="8"/>
  <c r="AL135" i="8" s="1"/>
  <c r="AO135" i="8" s="1"/>
  <c r="AK91" i="8"/>
  <c r="AL91" i="8" s="1"/>
  <c r="AO91" i="8" s="1"/>
  <c r="AC88" i="8"/>
  <c r="AD88" i="8" s="1"/>
  <c r="AN41" i="8"/>
  <c r="AO41" i="8" s="1"/>
  <c r="AF41" i="8"/>
  <c r="AG41" i="8" s="1"/>
  <c r="AI41" i="8" s="1"/>
  <c r="AF22" i="8"/>
  <c r="AG22" i="8" s="1"/>
  <c r="AI22" i="8" s="1"/>
  <c r="AN110" i="8"/>
  <c r="AF110" i="8"/>
  <c r="AG110" i="8" s="1"/>
  <c r="AI110" i="8" s="1"/>
  <c r="AP136" i="8"/>
  <c r="AQ136" i="8"/>
  <c r="AC136" i="8"/>
  <c r="AD136" i="8" s="1"/>
  <c r="AQ45" i="8"/>
  <c r="AP45" i="8"/>
  <c r="AC45" i="8"/>
  <c r="AD45" i="8" s="1"/>
  <c r="AQ153" i="8"/>
  <c r="AP153" i="8"/>
  <c r="AC153" i="8"/>
  <c r="AD153" i="8" s="1"/>
  <c r="AC108" i="8"/>
  <c r="AD108" i="8" s="1"/>
  <c r="AP108" i="8"/>
  <c r="AQ108" i="8"/>
  <c r="AN29" i="8"/>
  <c r="AF29" i="8"/>
  <c r="AG29" i="8" s="1"/>
  <c r="AI29" i="8" s="1"/>
  <c r="AQ139" i="8"/>
  <c r="AP139" i="8"/>
  <c r="AC139" i="8"/>
  <c r="AD139" i="8" s="1"/>
  <c r="AN148" i="8"/>
  <c r="AF148" i="8"/>
  <c r="AG148" i="8" s="1"/>
  <c r="AI148" i="8" s="1"/>
  <c r="AC33" i="8"/>
  <c r="AD33" i="8" s="1"/>
  <c r="AQ33" i="8"/>
  <c r="AP33" i="8"/>
  <c r="AN43" i="8"/>
  <c r="AF43" i="8"/>
  <c r="AG43" i="8" s="1"/>
  <c r="AI43" i="8" s="1"/>
  <c r="AN56" i="8"/>
  <c r="AF56" i="8"/>
  <c r="AG56" i="8" s="1"/>
  <c r="AI56" i="8" s="1"/>
  <c r="AQ30" i="8"/>
  <c r="AP30" i="8"/>
  <c r="AC30" i="8"/>
  <c r="AD30" i="8" s="1"/>
  <c r="AN61" i="8"/>
  <c r="AF61" i="8"/>
  <c r="AG61" i="8" s="1"/>
  <c r="AI61" i="8" s="1"/>
  <c r="AN156" i="8"/>
  <c r="AF156" i="8"/>
  <c r="AG156" i="8" s="1"/>
  <c r="AI156" i="8" s="1"/>
  <c r="AN34" i="8"/>
  <c r="AO34" i="8" s="1"/>
  <c r="AF34" i="8"/>
  <c r="AG34" i="8" s="1"/>
  <c r="AI34" i="8" s="1"/>
  <c r="AN124" i="8"/>
  <c r="AF124" i="8"/>
  <c r="AG124" i="8" s="1"/>
  <c r="AI124" i="8" s="1"/>
  <c r="AN129" i="8"/>
  <c r="AO129" i="8" s="1"/>
  <c r="AF129" i="8"/>
  <c r="AG129" i="8" s="1"/>
  <c r="AI129" i="8" s="1"/>
  <c r="AI90" i="8"/>
  <c r="AU90" i="8" s="1"/>
  <c r="AW90" i="8" s="1"/>
  <c r="AQ133" i="8"/>
  <c r="AC133" i="8"/>
  <c r="AD133" i="8" s="1"/>
  <c r="AP133" i="8"/>
  <c r="AQ81" i="8"/>
  <c r="AP81" i="8"/>
  <c r="AC81" i="8"/>
  <c r="AD81" i="8" s="1"/>
  <c r="AN104" i="8"/>
  <c r="AF104" i="8"/>
  <c r="AG104" i="8" s="1"/>
  <c r="AI104" i="8" s="1"/>
  <c r="AN151" i="8"/>
  <c r="AF151" i="8"/>
  <c r="AG151" i="8" s="1"/>
  <c r="AI151" i="8" s="1"/>
  <c r="AC11" i="8"/>
  <c r="AD11" i="8" s="1"/>
  <c r="AQ11" i="8"/>
  <c r="AP11" i="8"/>
  <c r="AN80" i="8"/>
  <c r="AO80" i="8" s="1"/>
  <c r="AF80" i="8"/>
  <c r="AG80" i="8" s="1"/>
  <c r="AI80" i="8" s="1"/>
  <c r="AC57" i="8"/>
  <c r="AD57" i="8" s="1"/>
  <c r="AQ57" i="8"/>
  <c r="AP57" i="8"/>
  <c r="AI26" i="8"/>
  <c r="AU26" i="8" s="1"/>
  <c r="AW26" i="8" s="1"/>
  <c r="AK151" i="8"/>
  <c r="AL151" i="8" s="1"/>
  <c r="AC96" i="8"/>
  <c r="AD96" i="8" s="1"/>
  <c r="AP96" i="8"/>
  <c r="AQ96" i="8"/>
  <c r="AK104" i="8"/>
  <c r="AL104" i="8" s="1"/>
  <c r="AI138" i="8"/>
  <c r="AU138" i="8" s="1"/>
  <c r="AW138" i="8" s="1"/>
  <c r="AC43" i="8"/>
  <c r="AD43" i="8" s="1"/>
  <c r="AQ43" i="8"/>
  <c r="AP43" i="8"/>
  <c r="AN36" i="8"/>
  <c r="AO36" i="8" s="1"/>
  <c r="AF36" i="8"/>
  <c r="AG36" i="8" s="1"/>
  <c r="AI36" i="8" s="1"/>
  <c r="AC65" i="8"/>
  <c r="AD65" i="8" s="1"/>
  <c r="AQ65" i="8"/>
  <c r="AP65" i="8"/>
  <c r="AN145" i="8"/>
  <c r="AO145" i="8" s="1"/>
  <c r="AF145" i="8"/>
  <c r="AG145" i="8" s="1"/>
  <c r="AI145" i="8" s="1"/>
  <c r="AN81" i="8"/>
  <c r="AF81" i="8"/>
  <c r="AG81" i="8" s="1"/>
  <c r="AI81" i="8" s="1"/>
  <c r="AQ94" i="8"/>
  <c r="AP94" i="8"/>
  <c r="AC94" i="8"/>
  <c r="AD94" i="8" s="1"/>
  <c r="AN70" i="8"/>
  <c r="AO70" i="8" s="1"/>
  <c r="AF70" i="8"/>
  <c r="AG70" i="8" s="1"/>
  <c r="AI70" i="8" s="1"/>
  <c r="AC47" i="8"/>
  <c r="AD47" i="8" s="1"/>
  <c r="AQ47" i="8"/>
  <c r="AP47" i="8"/>
  <c r="AI58" i="8"/>
  <c r="AU58" i="8" s="1"/>
  <c r="AW58" i="8" s="1"/>
  <c r="AQ16" i="8"/>
  <c r="AC16" i="8"/>
  <c r="AD16" i="8" s="1"/>
  <c r="AP16" i="8"/>
  <c r="AP135" i="8"/>
  <c r="AC135" i="8"/>
  <c r="AD135" i="8" s="1"/>
  <c r="AQ135" i="8"/>
  <c r="AN125" i="8"/>
  <c r="AF125" i="8"/>
  <c r="AG125" i="8" s="1"/>
  <c r="AI125" i="8" s="1"/>
  <c r="AP97" i="8"/>
  <c r="AC97" i="8"/>
  <c r="AD97" i="8" s="1"/>
  <c r="AQ97" i="8"/>
  <c r="AQ79" i="8"/>
  <c r="AP79" i="8"/>
  <c r="AC79" i="8"/>
  <c r="AD79" i="8" s="1"/>
  <c r="AN134" i="8"/>
  <c r="AF134" i="8"/>
  <c r="AG134" i="8" s="1"/>
  <c r="AI134" i="8" s="1"/>
  <c r="AN64" i="8"/>
  <c r="AF64" i="8"/>
  <c r="AG64" i="8" s="1"/>
  <c r="AI64" i="8" s="1"/>
  <c r="AN132" i="8"/>
  <c r="AO132" i="8" s="1"/>
  <c r="AF132" i="8"/>
  <c r="AG132" i="8" s="1"/>
  <c r="AI132" i="8" s="1"/>
  <c r="AP154" i="8"/>
  <c r="AC154" i="8"/>
  <c r="AD154" i="8" s="1"/>
  <c r="AQ154" i="8"/>
  <c r="AP80" i="8"/>
  <c r="AC80" i="8"/>
  <c r="AD80" i="8" s="1"/>
  <c r="AQ80" i="8"/>
  <c r="AN71" i="8"/>
  <c r="AO71" i="8" s="1"/>
  <c r="AF71" i="8"/>
  <c r="AG71" i="8" s="1"/>
  <c r="AI71" i="8" s="1"/>
  <c r="AQ119" i="8"/>
  <c r="AP119" i="8"/>
  <c r="AC119" i="8"/>
  <c r="AD119" i="8" s="1"/>
  <c r="AN82" i="8"/>
  <c r="AF82" i="8"/>
  <c r="AG82" i="8" s="1"/>
  <c r="AI82" i="8" s="1"/>
  <c r="AN35" i="8"/>
  <c r="AF35" i="8"/>
  <c r="AG35" i="8" s="1"/>
  <c r="AI35" i="8" s="1"/>
  <c r="AN30" i="8"/>
  <c r="AF30" i="8"/>
  <c r="AG30" i="8" s="1"/>
  <c r="AI30" i="8" s="1"/>
  <c r="AK56" i="8"/>
  <c r="AL56" i="8" s="1"/>
  <c r="AK64" i="8"/>
  <c r="AL64" i="8" s="1"/>
  <c r="AN45" i="8"/>
  <c r="AO45" i="8" s="1"/>
  <c r="AF45" i="8"/>
  <c r="AG45" i="8" s="1"/>
  <c r="AI45" i="8" s="1"/>
  <c r="AN33" i="8"/>
  <c r="AF33" i="8"/>
  <c r="AG33" i="8" s="1"/>
  <c r="AI33" i="8" s="1"/>
  <c r="AN121" i="8"/>
  <c r="AO121" i="8" s="1"/>
  <c r="AF121" i="8"/>
  <c r="AG121" i="8" s="1"/>
  <c r="AI121" i="8" s="1"/>
  <c r="AN146" i="8"/>
  <c r="AF146" i="8"/>
  <c r="AG146" i="8" s="1"/>
  <c r="AI146" i="8" s="1"/>
  <c r="AN31" i="8"/>
  <c r="AO31" i="8" s="1"/>
  <c r="AF31" i="8"/>
  <c r="AG31" i="8" s="1"/>
  <c r="AI31" i="8" s="1"/>
  <c r="AC60" i="8"/>
  <c r="AD60" i="8" s="1"/>
  <c r="AP60" i="8"/>
  <c r="AQ60" i="8"/>
  <c r="AN154" i="8"/>
  <c r="AF154" i="8"/>
  <c r="AG154" i="8" s="1"/>
  <c r="AI154" i="8" s="1"/>
  <c r="AC129" i="8"/>
  <c r="AD129" i="8" s="1"/>
  <c r="AP129" i="8"/>
  <c r="AQ129" i="8"/>
  <c r="AQ22" i="8"/>
  <c r="AC22" i="8"/>
  <c r="AD22" i="8" s="1"/>
  <c r="AP22" i="8"/>
  <c r="AN114" i="8"/>
  <c r="AO114" i="8" s="1"/>
  <c r="AF114" i="8"/>
  <c r="AG114" i="8" s="1"/>
  <c r="AI114" i="8" s="1"/>
  <c r="AQ29" i="8"/>
  <c r="AP29" i="8"/>
  <c r="AC29" i="8"/>
  <c r="AD29" i="8" s="1"/>
  <c r="AN97" i="8"/>
  <c r="AO97" i="8" s="1"/>
  <c r="AF97" i="8"/>
  <c r="AG97" i="8" s="1"/>
  <c r="AI97" i="8" s="1"/>
  <c r="AQ35" i="8"/>
  <c r="AP35" i="8"/>
  <c r="AC35" i="8"/>
  <c r="AD35" i="8" s="1"/>
  <c r="AN98" i="8"/>
  <c r="AO98" i="8" s="1"/>
  <c r="AF98" i="8"/>
  <c r="AG98" i="8" s="1"/>
  <c r="AI98" i="8" s="1"/>
  <c r="AP53" i="8"/>
  <c r="AQ53" i="8"/>
  <c r="AC53" i="8"/>
  <c r="AD53" i="8" s="1"/>
  <c r="AP98" i="8"/>
  <c r="AQ98" i="8"/>
  <c r="AC98" i="8"/>
  <c r="AD98" i="8" s="1"/>
  <c r="AK146" i="8"/>
  <c r="AL146" i="8" s="1"/>
  <c r="AN107" i="8"/>
  <c r="AO107" i="8" s="1"/>
  <c r="AF107" i="8"/>
  <c r="AG107" i="8" s="1"/>
  <c r="AI107" i="8" s="1"/>
  <c r="AN53" i="8"/>
  <c r="AO53" i="8" s="1"/>
  <c r="AF53" i="8"/>
  <c r="AG53" i="8" s="1"/>
  <c r="AI53" i="8" s="1"/>
  <c r="AN139" i="8"/>
  <c r="AO139" i="8" s="1"/>
  <c r="AF139" i="8"/>
  <c r="AG139" i="8" s="1"/>
  <c r="AI139" i="8" s="1"/>
  <c r="AK30" i="8"/>
  <c r="AL30" i="8" s="1"/>
  <c r="AN153" i="8"/>
  <c r="AF153" i="8"/>
  <c r="AG153" i="8" s="1"/>
  <c r="AI153" i="8" s="1"/>
  <c r="AN128" i="8"/>
  <c r="AO128" i="8" s="1"/>
  <c r="AF128" i="8"/>
  <c r="AG128" i="8" s="1"/>
  <c r="AI128" i="8" s="1"/>
  <c r="AC82" i="8"/>
  <c r="AD82" i="8" s="1"/>
  <c r="AQ82" i="8"/>
  <c r="AP82" i="8"/>
  <c r="AP102" i="8"/>
  <c r="AQ102" i="8"/>
  <c r="AC102" i="8"/>
  <c r="AD102" i="8" s="1"/>
  <c r="AC17" i="8"/>
  <c r="AD17" i="8" s="1"/>
  <c r="AP17" i="8"/>
  <c r="AQ17" i="8"/>
  <c r="AQ72" i="8"/>
  <c r="AP72" i="8"/>
  <c r="AC72" i="8"/>
  <c r="AD72" i="8" s="1"/>
  <c r="AK125" i="8"/>
  <c r="AL125" i="8" s="1"/>
  <c r="AN42" i="8"/>
  <c r="AO42" i="8" s="1"/>
  <c r="AF42" i="8"/>
  <c r="AG42" i="8" s="1"/>
  <c r="AI42" i="8" s="1"/>
  <c r="AK81" i="8"/>
  <c r="AL81" i="8" s="1"/>
  <c r="AN65" i="8"/>
  <c r="AO65" i="8" s="1"/>
  <c r="AF65" i="8"/>
  <c r="AG65" i="8" s="1"/>
  <c r="AI65" i="8" s="1"/>
  <c r="AN108" i="8"/>
  <c r="AO108" i="8" s="1"/>
  <c r="AF108" i="8"/>
  <c r="AG108" i="8" s="1"/>
  <c r="AI108" i="8" s="1"/>
  <c r="AK82" i="8"/>
  <c r="AL82" i="8" s="1"/>
  <c r="AP70" i="8"/>
  <c r="AC70" i="8"/>
  <c r="AD70" i="8" s="1"/>
  <c r="AQ70" i="8"/>
  <c r="AI102" i="8"/>
  <c r="AQ107" i="8"/>
  <c r="AP107" i="8"/>
  <c r="AC107" i="8"/>
  <c r="AD107" i="8" s="1"/>
  <c r="AP125" i="8"/>
  <c r="AC125" i="8"/>
  <c r="AD125" i="8" s="1"/>
  <c r="AQ125" i="8"/>
  <c r="AN133" i="8"/>
  <c r="AO133" i="8" s="1"/>
  <c r="AF133" i="8"/>
  <c r="AG133" i="8" s="1"/>
  <c r="AI133" i="8" s="1"/>
  <c r="AN13" i="8"/>
  <c r="AF13" i="8"/>
  <c r="AG13" i="8" s="1"/>
  <c r="AI13" i="8" s="1"/>
  <c r="AQ148" i="8"/>
  <c r="AP148" i="8"/>
  <c r="AC148" i="8"/>
  <c r="AD148" i="8" s="1"/>
  <c r="AC13" i="8"/>
  <c r="AD13" i="8" s="1"/>
  <c r="AQ13" i="8"/>
  <c r="AP13" i="8"/>
  <c r="AN74" i="8"/>
  <c r="AO74" i="8" s="1"/>
  <c r="AF74" i="8"/>
  <c r="AG74" i="8" s="1"/>
  <c r="AI74" i="8" s="1"/>
  <c r="AP36" i="8"/>
  <c r="AQ36" i="8"/>
  <c r="AC36" i="8"/>
  <c r="AD36" i="8" s="1"/>
  <c r="AK153" i="8"/>
  <c r="AL153" i="8" s="1"/>
  <c r="AK110" i="8"/>
  <c r="AL110" i="8" s="1"/>
  <c r="AI49" i="8"/>
  <c r="AU49" i="8" s="1"/>
  <c r="AW49" i="8" s="1"/>
  <c r="AQ132" i="8"/>
  <c r="AC132" i="8"/>
  <c r="AD132" i="8" s="1"/>
  <c r="AP132" i="8"/>
  <c r="AN62" i="8"/>
  <c r="AO62" i="8" s="1"/>
  <c r="AF62" i="8"/>
  <c r="AG62" i="8" s="1"/>
  <c r="AI62" i="8" s="1"/>
  <c r="AN136" i="8"/>
  <c r="AO136" i="8" s="1"/>
  <c r="AF136" i="8"/>
  <c r="AG136" i="8" s="1"/>
  <c r="AI136" i="8" s="1"/>
  <c r="AN11" i="8"/>
  <c r="AO11" i="8" s="1"/>
  <c r="AF11" i="8"/>
  <c r="AG11" i="8" s="1"/>
  <c r="AI11" i="8" s="1"/>
  <c r="AN60" i="8"/>
  <c r="AO60" i="8" s="1"/>
  <c r="AF60" i="8"/>
  <c r="AG60" i="8" s="1"/>
  <c r="AI60" i="8" s="1"/>
  <c r="AN94" i="8"/>
  <c r="AO94" i="8" s="1"/>
  <c r="AF94" i="8"/>
  <c r="AG94" i="8" s="1"/>
  <c r="AI94" i="8" s="1"/>
  <c r="AN119" i="8"/>
  <c r="AO119" i="8" s="1"/>
  <c r="AF119" i="8"/>
  <c r="AG119" i="8" s="1"/>
  <c r="AI119" i="8" s="1"/>
  <c r="AK134" i="8"/>
  <c r="AL134" i="8" s="1"/>
  <c r="AI50" i="8"/>
  <c r="AU50" i="8" s="1"/>
  <c r="AW50" i="8" s="1"/>
  <c r="AQ64" i="8"/>
  <c r="AP64" i="8"/>
  <c r="AC64" i="8"/>
  <c r="AD64" i="8" s="1"/>
  <c r="AN83" i="8"/>
  <c r="AO83" i="8" s="1"/>
  <c r="AF83" i="8"/>
  <c r="AG83" i="8" s="1"/>
  <c r="AI83" i="8" s="1"/>
  <c r="AQ151" i="8"/>
  <c r="AP151" i="8"/>
  <c r="AC151" i="8"/>
  <c r="AD151" i="8" s="1"/>
  <c r="AK61" i="8"/>
  <c r="AL61" i="8" s="1"/>
  <c r="AC74" i="8"/>
  <c r="AD74" i="8" s="1"/>
  <c r="AQ74" i="8"/>
  <c r="AP74" i="8"/>
  <c r="AK124" i="8"/>
  <c r="AL124" i="8" s="1"/>
  <c r="AC40" i="8"/>
  <c r="AD40" i="8" s="1"/>
  <c r="AQ40" i="8"/>
  <c r="AP40" i="8"/>
  <c r="AN57" i="8"/>
  <c r="AO57" i="8" s="1"/>
  <c r="AF57" i="8"/>
  <c r="AG57" i="8" s="1"/>
  <c r="AI57" i="8" s="1"/>
  <c r="AK35" i="8"/>
  <c r="AL35" i="8" s="1"/>
  <c r="AK13" i="8"/>
  <c r="AL13" i="8" s="1"/>
  <c r="AP87" i="8"/>
  <c r="AC87" i="8"/>
  <c r="AD87" i="8" s="1"/>
  <c r="AQ87" i="8"/>
  <c r="AN88" i="8"/>
  <c r="AO88" i="8" s="1"/>
  <c r="AF88" i="8"/>
  <c r="AG88" i="8" s="1"/>
  <c r="AI88" i="8" s="1"/>
  <c r="AC91" i="8"/>
  <c r="AD91" i="8" s="1"/>
  <c r="AQ91" i="8"/>
  <c r="AP91" i="8"/>
  <c r="AK148" i="8"/>
  <c r="AL148" i="8" s="1"/>
  <c r="AC83" i="8"/>
  <c r="AD83" i="8" s="1"/>
  <c r="AQ83" i="8"/>
  <c r="AP83" i="8"/>
  <c r="AN40" i="8"/>
  <c r="AO40" i="8" s="1"/>
  <c r="AF40" i="8"/>
  <c r="AG40" i="8" s="1"/>
  <c r="AI40" i="8" s="1"/>
  <c r="AK156" i="8"/>
  <c r="AL156" i="8" s="1"/>
  <c r="AC93" i="6"/>
  <c r="AD93" i="6" s="1"/>
  <c r="AC121" i="8"/>
  <c r="AD121" i="8" s="1"/>
  <c r="AP146" i="8"/>
  <c r="AC146" i="8"/>
  <c r="AD146" i="8" s="1"/>
  <c r="AQ146" i="8"/>
  <c r="AQ37" i="8"/>
  <c r="AP37" i="8"/>
  <c r="AC37" i="8"/>
  <c r="AD37" i="8" s="1"/>
  <c r="AQ71" i="8"/>
  <c r="AP71" i="8"/>
  <c r="AC71" i="8"/>
  <c r="AD71" i="8" s="1"/>
  <c r="AN37" i="8"/>
  <c r="AF37" i="8"/>
  <c r="AG37" i="8" s="1"/>
  <c r="AI37" i="8" s="1"/>
  <c r="AK29" i="8"/>
  <c r="AL29" i="8" s="1"/>
  <c r="AN79" i="8"/>
  <c r="AF79" i="8"/>
  <c r="AG79" i="8" s="1"/>
  <c r="AI79" i="8" s="1"/>
  <c r="AK43" i="8"/>
  <c r="AL43" i="8" s="1"/>
  <c r="AQ145" i="8"/>
  <c r="AP145" i="8"/>
  <c r="AC145" i="8"/>
  <c r="AD145" i="8" s="1"/>
  <c r="AN72" i="8"/>
  <c r="AO72" i="8" s="1"/>
  <c r="AF72" i="8"/>
  <c r="AG72" i="8" s="1"/>
  <c r="AI72" i="8" s="1"/>
  <c r="AC31" i="8"/>
  <c r="AD31" i="8" s="1"/>
  <c r="AQ31" i="8"/>
  <c r="AP31" i="8"/>
  <c r="AP28" i="8"/>
  <c r="AC28" i="8"/>
  <c r="AD28" i="8" s="1"/>
  <c r="AQ28" i="8"/>
  <c r="AN47" i="8"/>
  <c r="AO47" i="8" s="1"/>
  <c r="AF47" i="8"/>
  <c r="AG47" i="8" s="1"/>
  <c r="AI47" i="8" s="1"/>
  <c r="AQ51" i="8"/>
  <c r="AP51" i="8"/>
  <c r="AC51" i="8"/>
  <c r="AD51" i="8" s="1"/>
  <c r="AC61" i="8"/>
  <c r="AD61" i="8" s="1"/>
  <c r="AQ61" i="8"/>
  <c r="AP61" i="8"/>
  <c r="AK33" i="8"/>
  <c r="AL33" i="8" s="1"/>
  <c r="AK79" i="8"/>
  <c r="AL79" i="8" s="1"/>
  <c r="AG178" i="5"/>
  <c r="AH389" i="5"/>
  <c r="AF156" i="6"/>
  <c r="AG156" i="6" s="1"/>
  <c r="AI156" i="6" s="1"/>
  <c r="AF115" i="6"/>
  <c r="AG115" i="6" s="1"/>
  <c r="AI115" i="6" s="1"/>
  <c r="AK148" i="6"/>
  <c r="AL148" i="6" s="1"/>
  <c r="AH510" i="5"/>
  <c r="AP101" i="6"/>
  <c r="AF110" i="6"/>
  <c r="AG110" i="6" s="1"/>
  <c r="AI110" i="6" s="1"/>
  <c r="AP125" i="6"/>
  <c r="AH527" i="5"/>
  <c r="AK111" i="6"/>
  <c r="AL111" i="6" s="1"/>
  <c r="AQ101" i="6"/>
  <c r="AC125" i="6"/>
  <c r="AD125" i="6" s="1"/>
  <c r="AQ78" i="6"/>
  <c r="AH95" i="5"/>
  <c r="AG201" i="5"/>
  <c r="AN156" i="6"/>
  <c r="AO156" i="6" s="1"/>
  <c r="AK115" i="6"/>
  <c r="AL115" i="6" s="1"/>
  <c r="AO115" i="6" s="1"/>
  <c r="AP104" i="6"/>
  <c r="AC138" i="6"/>
  <c r="AD138" i="6" s="1"/>
  <c r="AG230" i="5"/>
  <c r="AG512" i="5"/>
  <c r="AP42" i="6"/>
  <c r="AP152" i="6"/>
  <c r="AH391" i="5"/>
  <c r="AH28" i="5"/>
  <c r="AG312" i="5"/>
  <c r="AG436" i="5"/>
  <c r="AK68" i="6"/>
  <c r="AL68" i="6" s="1"/>
  <c r="AG167" i="5"/>
  <c r="AG521" i="5"/>
  <c r="AF88" i="6"/>
  <c r="AG88" i="6" s="1"/>
  <c r="AI88" i="6" s="1"/>
  <c r="AG466" i="5"/>
  <c r="AG204" i="5"/>
  <c r="AG335" i="5"/>
  <c r="AH439" i="5"/>
  <c r="AH39" i="5"/>
  <c r="AG301" i="5"/>
  <c r="AQ152" i="6"/>
  <c r="AN138" i="6"/>
  <c r="AN68" i="6"/>
  <c r="AQ42" i="6"/>
  <c r="AK138" i="6"/>
  <c r="AL138" i="6" s="1"/>
  <c r="AH416" i="5"/>
  <c r="AG27" i="5"/>
  <c r="AN142" i="6"/>
  <c r="AP105" i="6"/>
  <c r="AQ126" i="6"/>
  <c r="AG426" i="5"/>
  <c r="AH240" i="5"/>
  <c r="AN134" i="6"/>
  <c r="AK142" i="6"/>
  <c r="AL142" i="6" s="1"/>
  <c r="AK103" i="6"/>
  <c r="AL103" i="6" s="1"/>
  <c r="AO103" i="6" s="1"/>
  <c r="AC126" i="6"/>
  <c r="AD126" i="6" s="1"/>
  <c r="AG210" i="5"/>
  <c r="AK134" i="6"/>
  <c r="AL134" i="6" s="1"/>
  <c r="AF103" i="6"/>
  <c r="AG103" i="6" s="1"/>
  <c r="AI103" i="6" s="1"/>
  <c r="AC106" i="6"/>
  <c r="AD106" i="6" s="1"/>
  <c r="AK129" i="6"/>
  <c r="AL129" i="6" s="1"/>
  <c r="AO129" i="6" s="1"/>
  <c r="AG457" i="5"/>
  <c r="AH534" i="5"/>
  <c r="AH156" i="5"/>
  <c r="AP59" i="6"/>
  <c r="AG318" i="5"/>
  <c r="AC84" i="6"/>
  <c r="AD84" i="6" s="1"/>
  <c r="AG196" i="5"/>
  <c r="AH215" i="5"/>
  <c r="AG470" i="5"/>
  <c r="AH399" i="5"/>
  <c r="AG117" i="5"/>
  <c r="AH249" i="5"/>
  <c r="AH205" i="5"/>
  <c r="AP84" i="6"/>
  <c r="AF129" i="6"/>
  <c r="AG129" i="6" s="1"/>
  <c r="AI129" i="6" s="1"/>
  <c r="AC120" i="6"/>
  <c r="AD120" i="6" s="1"/>
  <c r="AP120" i="6"/>
  <c r="AQ37" i="6"/>
  <c r="AF91" i="6"/>
  <c r="AG91" i="6" s="1"/>
  <c r="AI91" i="6" s="1"/>
  <c r="AQ109" i="6"/>
  <c r="AK91" i="6"/>
  <c r="AL91" i="6" s="1"/>
  <c r="AO91" i="6" s="1"/>
  <c r="AC59" i="6"/>
  <c r="AD59" i="6" s="1"/>
  <c r="AP109" i="6"/>
  <c r="AN88" i="6"/>
  <c r="AO88" i="6" s="1"/>
  <c r="AC52" i="6"/>
  <c r="AD52" i="6" s="1"/>
  <c r="AG126" i="5"/>
  <c r="AP134" i="6"/>
  <c r="AN39" i="6"/>
  <c r="AO39" i="6" s="1"/>
  <c r="AN80" i="6"/>
  <c r="AO80" i="6" s="1"/>
  <c r="AH231" i="5"/>
  <c r="AH465" i="5"/>
  <c r="AG281" i="5"/>
  <c r="AF112" i="6"/>
  <c r="AG112" i="6" s="1"/>
  <c r="AI112" i="6" s="1"/>
  <c r="AG161" i="5"/>
  <c r="AC134" i="6"/>
  <c r="AD134" i="6" s="1"/>
  <c r="AH353" i="5"/>
  <c r="AN49" i="6"/>
  <c r="AO49" i="6" s="1"/>
  <c r="AN111" i="6"/>
  <c r="AQ104" i="6"/>
  <c r="AK104" i="6"/>
  <c r="AL104" i="6" s="1"/>
  <c r="AF131" i="6"/>
  <c r="AG131" i="6" s="1"/>
  <c r="AI131" i="6" s="1"/>
  <c r="AC156" i="6"/>
  <c r="AD156" i="6" s="1"/>
  <c r="AF55" i="6"/>
  <c r="AG55" i="6" s="1"/>
  <c r="AI55" i="6" s="1"/>
  <c r="AH310" i="5"/>
  <c r="AG227" i="5"/>
  <c r="AH219" i="5"/>
  <c r="AG190" i="5"/>
  <c r="AG273" i="5"/>
  <c r="AH208" i="5"/>
  <c r="AH324" i="5"/>
  <c r="AP66" i="6"/>
  <c r="AH36" i="5"/>
  <c r="AG383" i="5"/>
  <c r="AH37" i="5"/>
  <c r="AG26" i="5"/>
  <c r="AH71" i="5"/>
  <c r="AH375" i="5"/>
  <c r="AG467" i="5"/>
  <c r="AH10" i="5"/>
  <c r="AG116" i="5"/>
  <c r="AG413" i="5"/>
  <c r="AG438" i="5"/>
  <c r="AG374" i="5"/>
  <c r="AG55" i="5"/>
  <c r="AG477" i="5"/>
  <c r="AG427" i="5"/>
  <c r="AG103" i="5"/>
  <c r="AH97" i="5"/>
  <c r="AG425" i="5"/>
  <c r="AG81" i="5"/>
  <c r="AG248" i="5"/>
  <c r="AG154" i="5"/>
  <c r="AG216" i="5"/>
  <c r="AG38" i="5"/>
  <c r="AG429" i="5"/>
  <c r="AG174" i="5"/>
  <c r="AG133" i="5"/>
  <c r="AQ106" i="6"/>
  <c r="AK99" i="6"/>
  <c r="AL99" i="6" s="1"/>
  <c r="AO99" i="6" s="1"/>
  <c r="AK131" i="6"/>
  <c r="AL131" i="6" s="1"/>
  <c r="AO131" i="6" s="1"/>
  <c r="AK58" i="6"/>
  <c r="AL58" i="6" s="1"/>
  <c r="AF99" i="6"/>
  <c r="AG99" i="6" s="1"/>
  <c r="AI99" i="6" s="1"/>
  <c r="AF51" i="6"/>
  <c r="AG51" i="6" s="1"/>
  <c r="AI51" i="6" s="1"/>
  <c r="AF80" i="6"/>
  <c r="AG80" i="6" s="1"/>
  <c r="AI80" i="6" s="1"/>
  <c r="AF39" i="6"/>
  <c r="AG39" i="6" s="1"/>
  <c r="AI39" i="6" s="1"/>
  <c r="AQ72" i="6"/>
  <c r="AC72" i="6"/>
  <c r="AD72" i="6" s="1"/>
  <c r="AG184" i="5"/>
  <c r="AH91" i="5"/>
  <c r="AH548" i="5"/>
  <c r="AP138" i="6"/>
  <c r="AC66" i="6"/>
  <c r="AD66" i="6" s="1"/>
  <c r="AN148" i="6"/>
  <c r="AH294" i="5"/>
  <c r="AG62" i="5"/>
  <c r="AQ146" i="6"/>
  <c r="AK81" i="6"/>
  <c r="AL81" i="6" s="1"/>
  <c r="AK76" i="6"/>
  <c r="AL76" i="6" s="1"/>
  <c r="AP80" i="6"/>
  <c r="AN81" i="6"/>
  <c r="AK59" i="6"/>
  <c r="AL59" i="6" s="1"/>
  <c r="AO59" i="6" s="1"/>
  <c r="AN153" i="6"/>
  <c r="AO153" i="6" s="1"/>
  <c r="AP148" i="6"/>
  <c r="AN76" i="6"/>
  <c r="AC80" i="6"/>
  <c r="AD80" i="6" s="1"/>
  <c r="AG47" i="5"/>
  <c r="AH147" i="5"/>
  <c r="AG370" i="5"/>
  <c r="AH325" i="5"/>
  <c r="AG44" i="5"/>
  <c r="AG405" i="5"/>
  <c r="AF59" i="6"/>
  <c r="AG59" i="6" s="1"/>
  <c r="AI59" i="6" s="1"/>
  <c r="AF67" i="6"/>
  <c r="AG67" i="6" s="1"/>
  <c r="AI67" i="6" s="1"/>
  <c r="AQ133" i="6"/>
  <c r="AQ148" i="6"/>
  <c r="AQ38" i="6"/>
  <c r="AC133" i="6"/>
  <c r="AD133" i="6" s="1"/>
  <c r="AP38" i="6"/>
  <c r="AK55" i="6"/>
  <c r="AL55" i="6" s="1"/>
  <c r="AO55" i="6" s="1"/>
  <c r="AC78" i="6"/>
  <c r="AD78" i="6" s="1"/>
  <c r="AQ93" i="6"/>
  <c r="AK51" i="6"/>
  <c r="AL51" i="6" s="1"/>
  <c r="AO51" i="6" s="1"/>
  <c r="AK126" i="6"/>
  <c r="AL126" i="6" s="1"/>
  <c r="AO126" i="6" s="1"/>
  <c r="AG300" i="5"/>
  <c r="AH471" i="5"/>
  <c r="AN127" i="6"/>
  <c r="AO127" i="6" s="1"/>
  <c r="AN64" i="6"/>
  <c r="AO64" i="6" s="1"/>
  <c r="AK107" i="6"/>
  <c r="AL107" i="6" s="1"/>
  <c r="AK149" i="6"/>
  <c r="AL149" i="6" s="1"/>
  <c r="AN83" i="6"/>
  <c r="AK92" i="6"/>
  <c r="AL92" i="6" s="1"/>
  <c r="AF118" i="6"/>
  <c r="AG118" i="6" s="1"/>
  <c r="AI118" i="6" s="1"/>
  <c r="AK122" i="6"/>
  <c r="AL122" i="6" s="1"/>
  <c r="AK62" i="6"/>
  <c r="AL62" i="6" s="1"/>
  <c r="AH163" i="5"/>
  <c r="AH131" i="5"/>
  <c r="AF126" i="6"/>
  <c r="AG126" i="6" s="1"/>
  <c r="AI126" i="6" s="1"/>
  <c r="AK101" i="6"/>
  <c r="AL101" i="6" s="1"/>
  <c r="AG77" i="5"/>
  <c r="AF53" i="6"/>
  <c r="AG53" i="6" s="1"/>
  <c r="AI53" i="6" s="1"/>
  <c r="AN101" i="6"/>
  <c r="AG440" i="5"/>
  <c r="AQ121" i="6"/>
  <c r="AH451" i="5"/>
  <c r="AF86" i="6"/>
  <c r="AG86" i="6" s="1"/>
  <c r="AI86" i="6" s="1"/>
  <c r="AG40" i="5"/>
  <c r="AG29" i="5"/>
  <c r="AH404" i="5"/>
  <c r="AP127" i="6"/>
  <c r="AH410" i="5"/>
  <c r="AG172" i="5"/>
  <c r="AG396" i="5"/>
  <c r="AH329" i="5"/>
  <c r="AG496" i="5"/>
  <c r="AH244" i="5"/>
  <c r="AH7" i="5"/>
  <c r="AH352" i="5"/>
  <c r="AN53" i="6"/>
  <c r="AO53" i="6" s="1"/>
  <c r="AN122" i="6"/>
  <c r="AP74" i="6"/>
  <c r="AP52" i="6"/>
  <c r="AN52" i="6"/>
  <c r="AO52" i="6" s="1"/>
  <c r="AN62" i="6"/>
  <c r="AN107" i="6"/>
  <c r="AG207" i="5"/>
  <c r="AG150" i="5"/>
  <c r="AH340" i="5"/>
  <c r="AN149" i="6"/>
  <c r="AF64" i="6"/>
  <c r="AG64" i="6" s="1"/>
  <c r="AI64" i="6" s="1"/>
  <c r="AN92" i="6"/>
  <c r="AF127" i="6"/>
  <c r="AG127" i="6" s="1"/>
  <c r="AI127" i="6" s="1"/>
  <c r="AH105" i="5"/>
  <c r="AG514" i="5"/>
  <c r="AQ51" i="6"/>
  <c r="AP65" i="6"/>
  <c r="AN118" i="6"/>
  <c r="AO118" i="6" s="1"/>
  <c r="AG251" i="5"/>
  <c r="AK95" i="6"/>
  <c r="AL95" i="6" s="1"/>
  <c r="AO95" i="6" s="1"/>
  <c r="AC51" i="6"/>
  <c r="AD51" i="6" s="1"/>
  <c r="AC119" i="6"/>
  <c r="AD119" i="6" s="1"/>
  <c r="AC65" i="6"/>
  <c r="AD65" i="6" s="1"/>
  <c r="AF46" i="6"/>
  <c r="AG46" i="6" s="1"/>
  <c r="AI46" i="6" s="1"/>
  <c r="AG130" i="5"/>
  <c r="AC146" i="6"/>
  <c r="AD146" i="6" s="1"/>
  <c r="AF95" i="6"/>
  <c r="AG95" i="6" s="1"/>
  <c r="AI95" i="6" s="1"/>
  <c r="AK83" i="6"/>
  <c r="AL83" i="6" s="1"/>
  <c r="AN46" i="6"/>
  <c r="AO46" i="6" s="1"/>
  <c r="AK137" i="6"/>
  <c r="AL137" i="6" s="1"/>
  <c r="AP67" i="6"/>
  <c r="AK75" i="6"/>
  <c r="AL75" i="6" s="1"/>
  <c r="AO75" i="6" s="1"/>
  <c r="AQ92" i="6"/>
  <c r="AH535" i="5"/>
  <c r="AG493" i="5"/>
  <c r="AC92" i="6"/>
  <c r="AD92" i="6" s="1"/>
  <c r="AK86" i="6"/>
  <c r="AL86" i="6" s="1"/>
  <c r="AO86" i="6" s="1"/>
  <c r="AK63" i="6"/>
  <c r="AL63" i="6" s="1"/>
  <c r="AQ49" i="6"/>
  <c r="AH288" i="5"/>
  <c r="AG22" i="5"/>
  <c r="AH424" i="5"/>
  <c r="AN63" i="6"/>
  <c r="AC49" i="6"/>
  <c r="AD49" i="6" s="1"/>
  <c r="AH511" i="5"/>
  <c r="AG380" i="5"/>
  <c r="AG187" i="5"/>
  <c r="AH488" i="5"/>
  <c r="AN109" i="6"/>
  <c r="AQ55" i="6"/>
  <c r="AF153" i="6"/>
  <c r="AG153" i="6" s="1"/>
  <c r="AI153" i="6" s="1"/>
  <c r="AN60" i="6"/>
  <c r="AN77" i="6"/>
  <c r="AO77" i="6" s="1"/>
  <c r="AF133" i="6"/>
  <c r="AG133" i="6" s="1"/>
  <c r="AI133" i="6" s="1"/>
  <c r="AG115" i="5"/>
  <c r="AH203" i="5"/>
  <c r="AK109" i="6"/>
  <c r="AL109" i="6" s="1"/>
  <c r="AP55" i="6"/>
  <c r="AK133" i="6"/>
  <c r="AL133" i="6" s="1"/>
  <c r="AO133" i="6" s="1"/>
  <c r="AF75" i="6"/>
  <c r="AG75" i="6" s="1"/>
  <c r="AI75" i="6" s="1"/>
  <c r="AH224" i="5"/>
  <c r="AH499" i="5"/>
  <c r="AH225" i="5"/>
  <c r="AG146" i="5"/>
  <c r="AH148" i="5"/>
  <c r="AP111" i="6"/>
  <c r="AN152" i="6"/>
  <c r="AO152" i="6" s="1"/>
  <c r="AC75" i="6"/>
  <c r="AD75" i="6" s="1"/>
  <c r="AH93" i="5"/>
  <c r="AH245" i="5"/>
  <c r="AH508" i="5"/>
  <c r="AF152" i="6"/>
  <c r="AG152" i="6" s="1"/>
  <c r="AI152" i="6" s="1"/>
  <c r="AQ39" i="6"/>
  <c r="AQ75" i="6"/>
  <c r="AG377" i="5"/>
  <c r="AC112" i="6"/>
  <c r="AD112" i="6" s="1"/>
  <c r="AP39" i="6"/>
  <c r="AQ155" i="6"/>
  <c r="AN74" i="6"/>
  <c r="AO74" i="6" s="1"/>
  <c r="AN157" i="6"/>
  <c r="AO157" i="6" s="1"/>
  <c r="AQ130" i="6"/>
  <c r="AP155" i="6"/>
  <c r="AF74" i="6"/>
  <c r="AG74" i="6" s="1"/>
  <c r="AI74" i="6" s="1"/>
  <c r="AG222" i="5"/>
  <c r="AH87" i="5"/>
  <c r="AQ127" i="6"/>
  <c r="AC130" i="6"/>
  <c r="AD130" i="6" s="1"/>
  <c r="AH326" i="5"/>
  <c r="AH278" i="5"/>
  <c r="AC74" i="6"/>
  <c r="AD74" i="6" s="1"/>
  <c r="AQ119" i="6"/>
  <c r="AN67" i="6"/>
  <c r="AO67" i="6" s="1"/>
  <c r="AN58" i="6"/>
  <c r="AC110" i="6"/>
  <c r="AD110" i="6" s="1"/>
  <c r="AF77" i="6"/>
  <c r="AG77" i="6" s="1"/>
  <c r="AI77" i="6" s="1"/>
  <c r="AF140" i="6"/>
  <c r="AG140" i="6" s="1"/>
  <c r="AI140" i="6" s="1"/>
  <c r="AQ67" i="6"/>
  <c r="AH341" i="5"/>
  <c r="AG274" i="5"/>
  <c r="AH186" i="5"/>
  <c r="AH355" i="5"/>
  <c r="AH292" i="5"/>
  <c r="AG259" i="5"/>
  <c r="AH164" i="5"/>
  <c r="AK97" i="6"/>
  <c r="AL97" i="6" s="1"/>
  <c r="AH100" i="5"/>
  <c r="AH102" i="5"/>
  <c r="AG193" i="5"/>
  <c r="AC63" i="6"/>
  <c r="AD63" i="6" s="1"/>
  <c r="AK60" i="6"/>
  <c r="AL60" i="6" s="1"/>
  <c r="AG291" i="5"/>
  <c r="AH135" i="5"/>
  <c r="AG297" i="5"/>
  <c r="AG343" i="5"/>
  <c r="AN97" i="6"/>
  <c r="AP63" i="6"/>
  <c r="AG50" i="5"/>
  <c r="AH314" i="5"/>
  <c r="AG84" i="5"/>
  <c r="AP53" i="6"/>
  <c r="AH217" i="5"/>
  <c r="AG323" i="5"/>
  <c r="AH275" i="5"/>
  <c r="AG520" i="5"/>
  <c r="AG354" i="5"/>
  <c r="AG118" i="5"/>
  <c r="AG233" i="5"/>
  <c r="AH367" i="5"/>
  <c r="AG220" i="5"/>
  <c r="AQ53" i="6"/>
  <c r="AK155" i="6"/>
  <c r="AL155" i="6" s="1"/>
  <c r="AO155" i="6" s="1"/>
  <c r="AG43" i="5"/>
  <c r="AG182" i="5"/>
  <c r="AG362" i="5"/>
  <c r="AF155" i="6"/>
  <c r="AG155" i="6" s="1"/>
  <c r="AI155" i="6" s="1"/>
  <c r="AH165" i="5"/>
  <c r="AG234" i="5"/>
  <c r="AG476" i="5"/>
  <c r="AH57" i="5"/>
  <c r="AG350" i="5"/>
  <c r="AH386" i="5"/>
  <c r="AG64" i="5"/>
  <c r="AQ68" i="6"/>
  <c r="AG13" i="5"/>
  <c r="AG289" i="5"/>
  <c r="AP68" i="6"/>
  <c r="AG418" i="5"/>
  <c r="AG485" i="5"/>
  <c r="AH347" i="5"/>
  <c r="AH159" i="5"/>
  <c r="AG32" i="5"/>
  <c r="AH290" i="5"/>
  <c r="AH385" i="5"/>
  <c r="AH489" i="5"/>
  <c r="AH140" i="5"/>
  <c r="AH270" i="5"/>
  <c r="AH269" i="5"/>
  <c r="AQ156" i="6"/>
  <c r="AG286" i="5"/>
  <c r="AG522" i="5"/>
  <c r="AH409" i="5"/>
  <c r="AH111" i="5"/>
  <c r="AH239" i="5"/>
  <c r="AH406" i="5"/>
  <c r="AQ86" i="6"/>
  <c r="AH495" i="5"/>
  <c r="AG139" i="5"/>
  <c r="AH491" i="5"/>
  <c r="AH460" i="5"/>
  <c r="AH537" i="5"/>
  <c r="AG351" i="5"/>
  <c r="AH293" i="5"/>
  <c r="AH322" i="5"/>
  <c r="AH155" i="5"/>
  <c r="AG327" i="5"/>
  <c r="AG237" i="5"/>
  <c r="AC136" i="6"/>
  <c r="AD136" i="6" s="1"/>
  <c r="AH277" i="5"/>
  <c r="AP142" i="6"/>
  <c r="AF45" i="6"/>
  <c r="AG45" i="6" s="1"/>
  <c r="AI45" i="6" s="1"/>
  <c r="AK124" i="6"/>
  <c r="AL124" i="6" s="1"/>
  <c r="AG541" i="5"/>
  <c r="AP122" i="6"/>
  <c r="AP60" i="6"/>
  <c r="AP94" i="6"/>
  <c r="AK45" i="6"/>
  <c r="AL45" i="6" s="1"/>
  <c r="AO45" i="6" s="1"/>
  <c r="AC122" i="6"/>
  <c r="AD122" i="6" s="1"/>
  <c r="AQ136" i="6"/>
  <c r="AC60" i="6"/>
  <c r="AD60" i="6" s="1"/>
  <c r="AN38" i="6"/>
  <c r="AN102" i="6"/>
  <c r="AO102" i="6" s="1"/>
  <c r="AN124" i="6"/>
  <c r="AK38" i="6"/>
  <c r="AL38" i="6" s="1"/>
  <c r="AQ139" i="6"/>
  <c r="AP147" i="6"/>
  <c r="AP77" i="6"/>
  <c r="AP85" i="6"/>
  <c r="AQ150" i="6"/>
  <c r="AG321" i="5"/>
  <c r="AG372" i="5"/>
  <c r="AQ147" i="6"/>
  <c r="AC142" i="6"/>
  <c r="AD142" i="6" s="1"/>
  <c r="AC77" i="6"/>
  <c r="AD77" i="6" s="1"/>
  <c r="AC150" i="6"/>
  <c r="AD150" i="6" s="1"/>
  <c r="AG317" i="5"/>
  <c r="AG256" i="5"/>
  <c r="AH356" i="5"/>
  <c r="AH311" i="5"/>
  <c r="AG549" i="5"/>
  <c r="AH502" i="5"/>
  <c r="AH531" i="5"/>
  <c r="AG468" i="5"/>
  <c r="AG169" i="5"/>
  <c r="AG128" i="5"/>
  <c r="AG85" i="5"/>
  <c r="AH448" i="5"/>
  <c r="AH121" i="5"/>
  <c r="AH65" i="5"/>
  <c r="AG393" i="5"/>
  <c r="AG48" i="5"/>
  <c r="AH223" i="5"/>
  <c r="AG412" i="5"/>
  <c r="AH363" i="5"/>
  <c r="AG263" i="5"/>
  <c r="AH261" i="5"/>
  <c r="AG170" i="5"/>
  <c r="AH132" i="5"/>
  <c r="AG500" i="5"/>
  <c r="AH545" i="5"/>
  <c r="AH73" i="5"/>
  <c r="AG401" i="5"/>
  <c r="AH529" i="5"/>
  <c r="AG473" i="5"/>
  <c r="AG252" i="5"/>
  <c r="AG285" i="5"/>
  <c r="AG241" i="5"/>
  <c r="AH80" i="5"/>
  <c r="AH542" i="5"/>
  <c r="AH461" i="5"/>
  <c r="AH287" i="5"/>
  <c r="AG492" i="5"/>
  <c r="AH75" i="5"/>
  <c r="AG423" i="5"/>
  <c r="AG88" i="5"/>
  <c r="AG484" i="5"/>
  <c r="AH96" i="5"/>
  <c r="AH8" i="5"/>
  <c r="AG149" i="5"/>
  <c r="AH68" i="5"/>
  <c r="AG151" i="5"/>
  <c r="AG505" i="5"/>
  <c r="AH458" i="5"/>
  <c r="AG127" i="5"/>
  <c r="AG74" i="5"/>
  <c r="AH280" i="5"/>
  <c r="AG209" i="5"/>
  <c r="AH191" i="5"/>
  <c r="AH371" i="5"/>
  <c r="AG464" i="5"/>
  <c r="AH501" i="5"/>
  <c r="AG101" i="5"/>
  <c r="AG308" i="5"/>
  <c r="AH443" i="5"/>
  <c r="AG175" i="5"/>
  <c r="AN112" i="6"/>
  <c r="AO112" i="6" s="1"/>
  <c r="AK136" i="6"/>
  <c r="AL136" i="6" s="1"/>
  <c r="AO136" i="6" s="1"/>
  <c r="AG494" i="5"/>
  <c r="AH33" i="5"/>
  <c r="AG188" i="5"/>
  <c r="AG99" i="5"/>
  <c r="AH444" i="5"/>
  <c r="AC95" i="6"/>
  <c r="AD95" i="6" s="1"/>
  <c r="AF136" i="6"/>
  <c r="AG136" i="6" s="1"/>
  <c r="AI136" i="6" s="1"/>
  <c r="AH462" i="5"/>
  <c r="AG334" i="5"/>
  <c r="AH408" i="5"/>
  <c r="AH475" i="5"/>
  <c r="AG560" i="5"/>
  <c r="AP95" i="6"/>
  <c r="AN121" i="6"/>
  <c r="AG21" i="5"/>
  <c r="AG86" i="5"/>
  <c r="AG365" i="5"/>
  <c r="AH160" i="5"/>
  <c r="AH419" i="5"/>
  <c r="AH180" i="5"/>
  <c r="AH120" i="5"/>
  <c r="AG162" i="5"/>
  <c r="AH250" i="5"/>
  <c r="AG268" i="5"/>
  <c r="AH214" i="5"/>
  <c r="AF84" i="6"/>
  <c r="AG84" i="6" s="1"/>
  <c r="AI84" i="6" s="1"/>
  <c r="AC114" i="6"/>
  <c r="AD114" i="6" s="1"/>
  <c r="AG452" i="5"/>
  <c r="AG364" i="5"/>
  <c r="AN84" i="6"/>
  <c r="AO84" i="6" s="1"/>
  <c r="AC61" i="6"/>
  <c r="AD61" i="6" s="1"/>
  <c r="AG486" i="5"/>
  <c r="AG157" i="5"/>
  <c r="AG339" i="5"/>
  <c r="AG254" i="5"/>
  <c r="AG198" i="5"/>
  <c r="AG258" i="5"/>
  <c r="AP61" i="6"/>
  <c r="AP86" i="6"/>
  <c r="AH517" i="5"/>
  <c r="AK154" i="6"/>
  <c r="AL154" i="6" s="1"/>
  <c r="AO154" i="6" s="1"/>
  <c r="AH58" i="5"/>
  <c r="AG398" i="5"/>
  <c r="AG257" i="5"/>
  <c r="AG113" i="5"/>
  <c r="AF154" i="6"/>
  <c r="AG154" i="6" s="1"/>
  <c r="AI154" i="6" s="1"/>
  <c r="AH422" i="5"/>
  <c r="AG66" i="5"/>
  <c r="AG179" i="5"/>
  <c r="AH109" i="5"/>
  <c r="AG359" i="5"/>
  <c r="AG553" i="5"/>
  <c r="AH446" i="5"/>
  <c r="AH509" i="5"/>
  <c r="AG407" i="5"/>
  <c r="AG358" i="5"/>
  <c r="AG513" i="5"/>
  <c r="AQ111" i="6"/>
  <c r="AF157" i="6"/>
  <c r="AG157" i="6" s="1"/>
  <c r="AI157" i="6" s="1"/>
  <c r="AP58" i="6"/>
  <c r="AN61" i="6"/>
  <c r="AQ58" i="6"/>
  <c r="AK61" i="6"/>
  <c r="AL61" i="6" s="1"/>
  <c r="AN145" i="6"/>
  <c r="AC140" i="6"/>
  <c r="AD140" i="6" s="1"/>
  <c r="AQ137" i="6"/>
  <c r="AN69" i="6"/>
  <c r="AO69" i="6" s="1"/>
  <c r="AK145" i="6"/>
  <c r="AL145" i="6" s="1"/>
  <c r="AP140" i="6"/>
  <c r="AP137" i="6"/>
  <c r="AF69" i="6"/>
  <c r="AG69" i="6" s="1"/>
  <c r="AI69" i="6" s="1"/>
  <c r="AN116" i="6"/>
  <c r="AG320" i="5"/>
  <c r="AK116" i="6"/>
  <c r="AL116" i="6" s="1"/>
  <c r="AG431" i="5"/>
  <c r="AF66" i="6"/>
  <c r="AG66" i="6" s="1"/>
  <c r="AI66" i="6" s="1"/>
  <c r="AF102" i="6"/>
  <c r="AG102" i="6" s="1"/>
  <c r="AI102" i="6" s="1"/>
  <c r="AG487" i="5"/>
  <c r="AG123" i="5"/>
  <c r="AN66" i="6"/>
  <c r="AO66" i="6" s="1"/>
  <c r="AP107" i="6"/>
  <c r="AN71" i="6"/>
  <c r="AO71" i="6" s="1"/>
  <c r="AH497" i="5"/>
  <c r="AG523" i="5"/>
  <c r="AC69" i="6"/>
  <c r="AD69" i="6" s="1"/>
  <c r="AN54" i="6"/>
  <c r="AC107" i="6"/>
  <c r="AD107" i="6" s="1"/>
  <c r="AF71" i="6"/>
  <c r="AG71" i="6" s="1"/>
  <c r="AI71" i="6" s="1"/>
  <c r="AG543" i="5"/>
  <c r="AH136" i="5"/>
  <c r="AG34" i="5"/>
  <c r="AH53" i="5"/>
  <c r="AG378" i="5"/>
  <c r="AH402" i="5"/>
  <c r="AP69" i="6"/>
  <c r="AN106" i="6"/>
  <c r="AG430" i="5"/>
  <c r="AF113" i="6"/>
  <c r="AG113" i="6" s="1"/>
  <c r="AI113" i="6" s="1"/>
  <c r="AK106" i="6"/>
  <c r="AL106" i="6" s="1"/>
  <c r="AK113" i="6"/>
  <c r="AL113" i="6" s="1"/>
  <c r="AO113" i="6" s="1"/>
  <c r="AG503" i="5"/>
  <c r="AH189" i="5"/>
  <c r="AP154" i="6"/>
  <c r="AG384" i="5"/>
  <c r="AN137" i="6"/>
  <c r="AG539" i="5"/>
  <c r="AG122" i="5"/>
  <c r="AC81" i="6"/>
  <c r="AD81" i="6" s="1"/>
  <c r="AN87" i="6"/>
  <c r="AO87" i="6" s="1"/>
  <c r="AC45" i="6"/>
  <c r="AD45" i="6" s="1"/>
  <c r="AH226" i="5"/>
  <c r="AQ81" i="6"/>
  <c r="AF87" i="6"/>
  <c r="AG87" i="6" s="1"/>
  <c r="AI87" i="6" s="1"/>
  <c r="AP45" i="6"/>
  <c r="AQ154" i="6"/>
  <c r="AG235" i="5"/>
  <c r="AH307" i="5"/>
  <c r="AH199" i="5"/>
  <c r="AN147" i="6"/>
  <c r="AO147" i="6" s="1"/>
  <c r="AP113" i="6"/>
  <c r="AF147" i="6"/>
  <c r="AG147" i="6" s="1"/>
  <c r="AI147" i="6" s="1"/>
  <c r="AQ113" i="6"/>
  <c r="AH483" i="5"/>
  <c r="AH56" i="5"/>
  <c r="AG212" i="5"/>
  <c r="AG104" i="5"/>
  <c r="AG552" i="5"/>
  <c r="AH46" i="5"/>
  <c r="AG411" i="5"/>
  <c r="AG45" i="5"/>
  <c r="AQ117" i="6"/>
  <c r="AG390" i="5"/>
  <c r="AG145" i="5"/>
  <c r="AG206" i="5"/>
  <c r="AH143" i="5"/>
  <c r="AP118" i="6"/>
  <c r="AG242" i="5"/>
  <c r="AH72" i="5"/>
  <c r="AG348" i="5"/>
  <c r="AH279" i="5"/>
  <c r="AG171" i="5"/>
  <c r="AH540" i="5"/>
  <c r="AH176" i="5"/>
  <c r="AG316" i="5"/>
  <c r="AG526" i="5"/>
  <c r="AG360" i="5"/>
  <c r="AH449" i="5"/>
  <c r="AG283" i="5"/>
  <c r="AH194" i="5"/>
  <c r="AG59" i="5"/>
  <c r="AH142" i="5"/>
  <c r="AG63" i="5"/>
  <c r="AH76" i="5"/>
  <c r="AG479" i="5"/>
  <c r="AG337" i="5"/>
  <c r="AH221" i="5"/>
  <c r="AH82" i="5"/>
  <c r="AG276" i="5"/>
  <c r="AH544" i="5"/>
  <c r="AH480" i="5"/>
  <c r="AG83" i="5"/>
  <c r="AH328" i="5"/>
  <c r="AG313" i="5"/>
  <c r="AG331" i="5"/>
  <c r="AC131" i="6"/>
  <c r="AD131" i="6" s="1"/>
  <c r="AC116" i="6"/>
  <c r="AD116" i="6" s="1"/>
  <c r="AG454" i="5"/>
  <c r="AQ131" i="6"/>
  <c r="AQ116" i="6"/>
  <c r="AG345" i="5"/>
  <c r="AH267" i="5"/>
  <c r="AG124" i="5"/>
  <c r="AG173" i="5"/>
  <c r="AG559" i="5"/>
  <c r="AP153" i="6"/>
  <c r="AG70" i="5"/>
  <c r="AG309" i="5"/>
  <c r="AG546" i="5"/>
  <c r="AG185" i="5"/>
  <c r="AH262" i="5"/>
  <c r="AH455" i="5"/>
  <c r="AH342" i="5"/>
  <c r="AG202" i="5"/>
  <c r="AG255" i="5"/>
  <c r="AH554" i="5"/>
  <c r="AH447" i="5"/>
  <c r="AC153" i="6"/>
  <c r="AD153" i="6" s="1"/>
  <c r="AG24" i="5"/>
  <c r="AG183" i="5"/>
  <c r="AH243" i="5"/>
  <c r="AG284" i="5"/>
  <c r="AG456" i="5"/>
  <c r="AG125" i="5"/>
  <c r="AH463" i="5"/>
  <c r="AH302" i="5"/>
  <c r="AH211" i="5"/>
  <c r="AH481" i="5"/>
  <c r="AH20" i="5"/>
  <c r="AH382" i="5"/>
  <c r="AH271" i="5"/>
  <c r="AH94" i="5"/>
  <c r="AG166" i="5"/>
  <c r="AG366" i="5"/>
  <c r="AH506" i="5"/>
  <c r="AG119" i="5"/>
  <c r="AC118" i="6"/>
  <c r="AD118" i="6" s="1"/>
  <c r="AH551" i="5"/>
  <c r="AH482" i="5"/>
  <c r="AP117" i="6"/>
  <c r="AQ71" i="6"/>
  <c r="AP71" i="6"/>
  <c r="AC94" i="6"/>
  <c r="AD94" i="6" s="1"/>
  <c r="AJ20" i="6"/>
  <c r="AK20" i="6"/>
  <c r="AL20" i="6" s="1"/>
  <c r="AO20" i="6" s="1"/>
  <c r="AJ25" i="6"/>
  <c r="AK25" i="6"/>
  <c r="AL25" i="6" s="1"/>
  <c r="AO25" i="6" s="1"/>
  <c r="AJ16" i="6"/>
  <c r="AK16" i="6"/>
  <c r="AL16" i="6" s="1"/>
  <c r="AO16" i="6" s="1"/>
  <c r="AJ9" i="6"/>
  <c r="AK9" i="6"/>
  <c r="AL9" i="6" s="1"/>
  <c r="AO9" i="6" s="1"/>
  <c r="AJ19" i="6"/>
  <c r="AK19" i="6"/>
  <c r="AL19" i="6" s="1"/>
  <c r="AJ28" i="6"/>
  <c r="AK28" i="6"/>
  <c r="AL28" i="6" s="1"/>
  <c r="AO28" i="6" s="1"/>
  <c r="AJ13" i="6"/>
  <c r="AK13" i="6"/>
  <c r="AL13" i="6" s="1"/>
  <c r="AO13" i="6" s="1"/>
  <c r="AJ33" i="6"/>
  <c r="AK33" i="6"/>
  <c r="AL33" i="6" s="1"/>
  <c r="AO33" i="6" s="1"/>
  <c r="AJ12" i="6"/>
  <c r="AK12" i="6"/>
  <c r="AL12" i="6" s="1"/>
  <c r="AO12" i="6" s="1"/>
  <c r="AJ27" i="6"/>
  <c r="AK27" i="6"/>
  <c r="AL27" i="6" s="1"/>
  <c r="AO27" i="6" s="1"/>
  <c r="AJ15" i="6"/>
  <c r="AK15" i="6"/>
  <c r="AL15" i="6" s="1"/>
  <c r="AO15" i="6" s="1"/>
  <c r="AJ34" i="6"/>
  <c r="AK34" i="6"/>
  <c r="AL34" i="6" s="1"/>
  <c r="AO34" i="6" s="1"/>
  <c r="AJ31" i="6"/>
  <c r="AK31" i="6"/>
  <c r="AL31" i="6" s="1"/>
  <c r="AO31" i="6" s="1"/>
  <c r="AJ35" i="6"/>
  <c r="AK35" i="6"/>
  <c r="AL35" i="6" s="1"/>
  <c r="AO35" i="6" s="1"/>
  <c r="AJ26" i="6"/>
  <c r="AK26" i="6"/>
  <c r="AL26" i="6" s="1"/>
  <c r="AJ11" i="6"/>
  <c r="AK11" i="6"/>
  <c r="AL11" i="6" s="1"/>
  <c r="AJ8" i="6"/>
  <c r="AK8" i="6"/>
  <c r="AL8" i="6" s="1"/>
  <c r="AO8" i="6" s="1"/>
  <c r="AJ22" i="6"/>
  <c r="AK22" i="6"/>
  <c r="AL22" i="6" s="1"/>
  <c r="AO22" i="6" s="1"/>
  <c r="AJ18" i="6"/>
  <c r="AK18" i="6"/>
  <c r="AL18" i="6" s="1"/>
  <c r="AJ30" i="6"/>
  <c r="AK30" i="6"/>
  <c r="AL30" i="6" s="1"/>
  <c r="AO30" i="6" s="1"/>
  <c r="AJ29" i="6"/>
  <c r="AK29" i="6"/>
  <c r="AL29" i="6" s="1"/>
  <c r="AO29" i="6" s="1"/>
  <c r="AJ23" i="6"/>
  <c r="AK23" i="6"/>
  <c r="AL23" i="6" s="1"/>
  <c r="AO23" i="6" s="1"/>
  <c r="AJ17" i="6"/>
  <c r="AK17" i="6"/>
  <c r="AL17" i="6" s="1"/>
  <c r="AO17" i="6" s="1"/>
  <c r="AJ14" i="6"/>
  <c r="AK14" i="6"/>
  <c r="AL14" i="6" s="1"/>
  <c r="AJ21" i="6"/>
  <c r="AK21" i="6"/>
  <c r="AL21" i="6" s="1"/>
  <c r="AO21" i="6" s="1"/>
  <c r="AJ10" i="6"/>
  <c r="AK10" i="6"/>
  <c r="AL10" i="6" s="1"/>
  <c r="AO10" i="6" s="1"/>
  <c r="AJ36" i="6"/>
  <c r="AK36" i="6"/>
  <c r="AL36" i="6" s="1"/>
  <c r="AO36" i="6" s="1"/>
  <c r="AJ32" i="6"/>
  <c r="AK32" i="6"/>
  <c r="AL32" i="6" s="1"/>
  <c r="AO32" i="6" s="1"/>
  <c r="AU32" i="6" s="1"/>
  <c r="AW32" i="6" s="1"/>
  <c r="AJ24" i="6"/>
  <c r="AK24" i="6"/>
  <c r="AL24" i="6" s="1"/>
  <c r="AO24" i="6" s="1"/>
  <c r="AH61" i="5"/>
  <c r="AG453" i="5"/>
  <c r="AH213" i="5"/>
  <c r="AG89" i="5"/>
  <c r="AG459" i="5"/>
  <c r="AH25" i="5"/>
  <c r="AH555" i="5"/>
  <c r="AH144" i="5"/>
  <c r="AG78" i="5"/>
  <c r="AH319" i="5"/>
  <c r="AG498" i="5"/>
  <c r="AH469" i="5"/>
  <c r="AH394" i="5"/>
  <c r="AH346" i="5"/>
  <c r="AG177" i="5"/>
  <c r="AG69" i="5"/>
  <c r="AH381" i="5"/>
  <c r="AH472" i="5"/>
  <c r="AG282" i="5"/>
  <c r="AG238" i="5"/>
  <c r="AH137" i="5"/>
  <c r="AH490" i="5"/>
  <c r="AH98" i="5"/>
  <c r="AG315" i="5"/>
  <c r="AG129" i="5"/>
  <c r="AH432" i="5"/>
  <c r="AG200" i="5"/>
  <c r="AG295" i="5"/>
  <c r="AH228" i="5"/>
  <c r="AH90" i="5"/>
  <c r="AH114" i="5"/>
  <c r="AG67" i="5"/>
  <c r="AG298" i="5"/>
  <c r="AH332" i="5"/>
  <c r="AG536" i="5"/>
  <c r="AG42" i="5"/>
  <c r="AG556" i="5"/>
  <c r="AG392" i="5"/>
  <c r="AG272" i="5"/>
  <c r="AH49" i="5"/>
  <c r="AG379" i="5"/>
  <c r="AH253" i="5"/>
  <c r="AG525" i="5"/>
  <c r="AG434" i="5"/>
  <c r="AG388" i="5"/>
  <c r="AG51" i="5"/>
  <c r="AH35" i="5"/>
  <c r="AH110" i="5"/>
  <c r="AG403" i="5"/>
  <c r="AH519" i="5"/>
  <c r="AH168" i="5"/>
  <c r="AG305" i="5"/>
  <c r="AG304" i="5"/>
  <c r="AG92" i="5"/>
  <c r="AG441" i="5"/>
  <c r="AG400" i="5"/>
  <c r="AG247" i="5"/>
  <c r="AH60" i="5"/>
  <c r="AG236" i="5"/>
  <c r="AG421" i="5"/>
  <c r="AH524" i="5"/>
  <c r="AH112" i="5"/>
  <c r="AG192" i="5"/>
  <c r="AG264" i="5"/>
  <c r="AH138" i="5"/>
  <c r="AG518" i="5"/>
  <c r="AG547" i="5"/>
  <c r="AG299" i="5"/>
  <c r="AG195" i="5"/>
  <c r="AG52" i="5"/>
  <c r="AH395" i="5"/>
  <c r="AG296" i="5"/>
  <c r="AG260" i="5"/>
  <c r="AG265" i="5"/>
  <c r="AH557" i="5"/>
  <c r="AG428" i="5"/>
  <c r="AG373" i="5"/>
  <c r="AG387" i="5"/>
  <c r="AG433" i="5"/>
  <c r="AG181" i="5"/>
  <c r="AG417" i="5"/>
  <c r="AG361" i="5"/>
  <c r="AH336" i="5"/>
  <c r="AG306" i="5"/>
  <c r="AG474" i="5"/>
  <c r="AH153" i="5"/>
  <c r="AG330" i="5"/>
  <c r="AH19" i="5"/>
  <c r="AG435" i="5"/>
  <c r="AH197" i="5"/>
  <c r="AH108" i="5"/>
  <c r="AG152" i="5"/>
  <c r="AH530" i="5"/>
  <c r="AG357" i="5"/>
  <c r="AG445" i="5"/>
  <c r="AG23" i="5"/>
  <c r="AG349" i="5"/>
  <c r="AG266" i="5"/>
  <c r="AG442" i="5"/>
  <c r="AH420" i="5"/>
  <c r="AH333" i="5"/>
  <c r="AG533" i="5"/>
  <c r="AG532" i="5"/>
  <c r="AH478" i="5"/>
  <c r="AH303" i="5"/>
  <c r="AG344" i="5"/>
  <c r="AH218" i="5"/>
  <c r="AG376" i="5"/>
  <c r="AG550" i="5"/>
  <c r="AH368" i="5"/>
  <c r="AG450" i="5"/>
  <c r="AG369" i="5"/>
  <c r="AH338" i="5"/>
  <c r="AG414" i="5"/>
  <c r="AH504" i="5"/>
  <c r="AG437" i="5"/>
  <c r="AG415" i="5"/>
  <c r="V548" i="5"/>
  <c r="V559" i="5"/>
  <c r="V282" i="5"/>
  <c r="V320" i="5"/>
  <c r="V500" i="5"/>
  <c r="V407" i="5"/>
  <c r="V385" i="5"/>
  <c r="V493" i="5"/>
  <c r="V421" i="5"/>
  <c r="V518" i="5"/>
  <c r="V449" i="5"/>
  <c r="V94" i="5"/>
  <c r="V233" i="5"/>
  <c r="V141" i="5"/>
  <c r="V371" i="5"/>
  <c r="V137" i="5"/>
  <c r="V208" i="5"/>
  <c r="V261" i="5"/>
  <c r="V125" i="5"/>
  <c r="V408" i="5"/>
  <c r="V35" i="5"/>
  <c r="V92" i="5"/>
  <c r="V269" i="5"/>
  <c r="V20" i="5"/>
  <c r="V109" i="5"/>
  <c r="V57" i="5"/>
  <c r="V45" i="5"/>
  <c r="V82" i="5"/>
  <c r="V161" i="5"/>
  <c r="V111" i="5"/>
  <c r="V200" i="5"/>
  <c r="V81" i="5"/>
  <c r="V46" i="5"/>
  <c r="V203" i="5"/>
  <c r="V163" i="5"/>
  <c r="V543" i="5"/>
  <c r="V539" i="5"/>
  <c r="V513" i="5"/>
  <c r="V306" i="5"/>
  <c r="V482" i="5"/>
  <c r="V316" i="5"/>
  <c r="V378" i="5"/>
  <c r="V459" i="5"/>
  <c r="V415" i="5"/>
  <c r="V512" i="5"/>
  <c r="V348" i="5"/>
  <c r="V87" i="5"/>
  <c r="V159" i="5"/>
  <c r="V132" i="5"/>
  <c r="V257" i="5"/>
  <c r="V91" i="5"/>
  <c r="V198" i="5"/>
  <c r="V220" i="5"/>
  <c r="V191" i="5"/>
  <c r="V84" i="5"/>
  <c r="V65" i="5"/>
  <c r="V540" i="5"/>
  <c r="V555" i="5"/>
  <c r="V477" i="5"/>
  <c r="V276" i="5"/>
  <c r="V454" i="5"/>
  <c r="V504" i="5"/>
  <c r="V369" i="5"/>
  <c r="V311" i="5"/>
  <c r="V370" i="5"/>
  <c r="V392" i="5"/>
  <c r="V252" i="5"/>
  <c r="V251" i="5"/>
  <c r="V19" i="5"/>
  <c r="V118" i="5"/>
  <c r="V245" i="5"/>
  <c r="V77" i="5"/>
  <c r="V190" i="5"/>
  <c r="V175" i="5"/>
  <c r="V122" i="5"/>
  <c r="V243" i="5"/>
  <c r="V43" i="5"/>
  <c r="V67" i="5"/>
  <c r="V373" i="5"/>
  <c r="V352" i="5"/>
  <c r="V86" i="5"/>
  <c r="V134" i="5"/>
  <c r="V28" i="5"/>
  <c r="V23" i="5"/>
  <c r="V71" i="5"/>
  <c r="V123" i="5"/>
  <c r="V106" i="5"/>
  <c r="V162" i="5"/>
  <c r="V89" i="5"/>
  <c r="V222" i="5"/>
  <c r="V164" i="5"/>
  <c r="V124" i="5"/>
  <c r="V147" i="5"/>
  <c r="V31" i="5"/>
  <c r="V176" i="5"/>
  <c r="V271" i="5"/>
  <c r="V379" i="5"/>
  <c r="V288" i="5"/>
  <c r="V95" i="5"/>
  <c r="V299" i="5"/>
  <c r="V66" i="5"/>
  <c r="V291" i="5"/>
  <c r="V549" i="5"/>
  <c r="V510" i="5"/>
  <c r="V474" i="5"/>
  <c r="V275" i="5"/>
  <c r="V436" i="5"/>
  <c r="V478" i="5"/>
  <c r="V332" i="5"/>
  <c r="V297" i="5"/>
  <c r="V327" i="5"/>
  <c r="V362" i="5"/>
  <c r="V225" i="5"/>
  <c r="V497" i="5"/>
  <c r="V264" i="5"/>
  <c r="V110" i="5"/>
  <c r="V209" i="5"/>
  <c r="V158" i="5"/>
  <c r="V167" i="5"/>
  <c r="V153" i="5"/>
  <c r="V522" i="5"/>
  <c r="V363" i="5"/>
  <c r="V367" i="5"/>
  <c r="V508" i="5"/>
  <c r="V432" i="5"/>
  <c r="V467" i="5"/>
  <c r="V293" i="5"/>
  <c r="V453" i="5"/>
  <c r="V312" i="5"/>
  <c r="V323" i="5"/>
  <c r="V143" i="5"/>
  <c r="V279" i="5"/>
  <c r="V223" i="5"/>
  <c r="V29" i="5"/>
  <c r="V199" i="5"/>
  <c r="V273" i="5"/>
  <c r="V102" i="5"/>
  <c r="V117" i="5"/>
  <c r="V101" i="5"/>
  <c r="V61" i="5"/>
  <c r="V75" i="5"/>
  <c r="V50" i="5"/>
  <c r="V69" i="5"/>
  <c r="V451" i="5"/>
  <c r="V526" i="5"/>
  <c r="V400" i="5"/>
  <c r="V108" i="5"/>
  <c r="V115" i="5"/>
  <c r="V73" i="5"/>
  <c r="V179" i="5"/>
  <c r="V146" i="5"/>
  <c r="V177" i="5"/>
  <c r="V139" i="5"/>
  <c r="V44" i="5"/>
  <c r="V184" i="5"/>
  <c r="V156" i="5"/>
  <c r="V206" i="5"/>
  <c r="V126" i="5"/>
  <c r="V226" i="5"/>
  <c r="V326" i="5"/>
  <c r="V194" i="5"/>
  <c r="V339" i="5"/>
  <c r="V221" i="5"/>
  <c r="V305" i="5"/>
  <c r="V210" i="5"/>
  <c r="V335" i="5"/>
  <c r="B40" i="5"/>
  <c r="V554" i="5"/>
  <c r="V356" i="5"/>
  <c r="V340" i="5"/>
  <c r="V503" i="5"/>
  <c r="V423" i="5"/>
  <c r="V461" i="5"/>
  <c r="V292" i="5"/>
  <c r="V446" i="5"/>
  <c r="V277" i="5"/>
  <c r="V502" i="5"/>
  <c r="V114" i="5"/>
  <c r="V248" i="5"/>
  <c r="V182" i="5"/>
  <c r="V372" i="5"/>
  <c r="V148" i="5"/>
  <c r="V236" i="5"/>
  <c r="V72" i="5"/>
  <c r="V85" i="5"/>
  <c r="V100" i="5"/>
  <c r="V99" i="5"/>
  <c r="V171" i="5"/>
  <c r="V260" i="5"/>
  <c r="V49" i="5"/>
  <c r="V59" i="5"/>
  <c r="V64" i="5"/>
  <c r="V78" i="5"/>
  <c r="V149" i="5"/>
  <c r="V211" i="5"/>
  <c r="V138" i="5"/>
  <c r="V169" i="5"/>
  <c r="V130" i="5"/>
  <c r="V244" i="5"/>
  <c r="V157" i="5"/>
  <c r="V97" i="5"/>
  <c r="V204" i="5"/>
  <c r="V119" i="5"/>
  <c r="V290" i="5"/>
  <c r="V178" i="5"/>
  <c r="V197" i="5"/>
  <c r="V374" i="5"/>
  <c r="V227" i="5"/>
  <c r="V330" i="5"/>
  <c r="V249" i="5"/>
  <c r="V396" i="5"/>
  <c r="V224" i="5"/>
  <c r="V267" i="5"/>
  <c r="V289" i="5"/>
  <c r="V456" i="5"/>
  <c r="V486" i="5"/>
  <c r="V80" i="5"/>
  <c r="V107" i="5"/>
  <c r="V48" i="5"/>
  <c r="V231" i="5"/>
  <c r="V79" i="5"/>
  <c r="V62" i="5"/>
  <c r="V120" i="5"/>
  <c r="V170" i="5"/>
  <c r="V217" i="5"/>
  <c r="V201" i="5"/>
  <c r="V185" i="5"/>
  <c r="V195" i="5"/>
  <c r="V329" i="5"/>
  <c r="V278" i="5"/>
  <c r="V258" i="5"/>
  <c r="V234" i="5"/>
  <c r="V351" i="5"/>
  <c r="V284" i="5"/>
  <c r="V183" i="5"/>
  <c r="V272" i="5"/>
  <c r="V63" i="5"/>
  <c r="V346" i="5"/>
  <c r="V440" i="5"/>
  <c r="V498" i="5"/>
  <c r="V444" i="5"/>
  <c r="V388" i="5"/>
  <c r="V416" i="5"/>
  <c r="V458" i="5"/>
  <c r="V389" i="5"/>
  <c r="V404" i="5"/>
  <c r="V516" i="5"/>
  <c r="V382" i="5"/>
  <c r="V490" i="5"/>
  <c r="V419" i="5"/>
  <c r="V470" i="5"/>
  <c r="V491" i="5"/>
  <c r="V552" i="5"/>
  <c r="V556" i="5"/>
  <c r="V515" i="5"/>
  <c r="V466" i="5"/>
  <c r="V342" i="5"/>
  <c r="V463" i="5"/>
  <c r="V145" i="5"/>
  <c r="V54" i="5"/>
  <c r="V331" i="5"/>
  <c r="V154" i="5"/>
  <c r="V93" i="5"/>
  <c r="V144" i="5"/>
  <c r="V131" i="5"/>
  <c r="V88" i="5"/>
  <c r="V52" i="5"/>
  <c r="V70" i="5"/>
  <c r="V188" i="5"/>
  <c r="V343" i="5"/>
  <c r="V344" i="5"/>
  <c r="V310" i="5"/>
  <c r="V274" i="5"/>
  <c r="V309" i="5"/>
  <c r="V296" i="5"/>
  <c r="V214" i="5"/>
  <c r="V303" i="5"/>
  <c r="V151" i="5"/>
  <c r="V383" i="5"/>
  <c r="V465" i="5"/>
  <c r="V528" i="5"/>
  <c r="V390" i="5"/>
  <c r="V189" i="5"/>
  <c r="V397" i="5"/>
  <c r="V480" i="5"/>
  <c r="V401" i="5"/>
  <c r="V452" i="5"/>
  <c r="V475" i="5"/>
  <c r="V412" i="5"/>
  <c r="V462" i="5"/>
  <c r="V417" i="5"/>
  <c r="V472" i="5"/>
  <c r="V520" i="5"/>
  <c r="V457" i="5"/>
  <c r="V420" i="5"/>
  <c r="V551" i="5"/>
  <c r="V473" i="5"/>
  <c r="V377" i="5"/>
  <c r="V98" i="5"/>
  <c r="V192" i="5"/>
  <c r="V307" i="5"/>
  <c r="V60" i="5"/>
  <c r="V319" i="5"/>
  <c r="V256" i="5"/>
  <c r="V103" i="5"/>
  <c r="V168" i="5"/>
  <c r="V152" i="5"/>
  <c r="V30" i="5"/>
  <c r="V116" i="5"/>
  <c r="V33" i="5"/>
  <c r="V228" i="5"/>
  <c r="V322" i="5"/>
  <c r="V341" i="5"/>
  <c r="V355" i="5"/>
  <c r="V265" i="5"/>
  <c r="V350" i="5"/>
  <c r="V286" i="5"/>
  <c r="V240" i="5"/>
  <c r="V336" i="5"/>
  <c r="V213" i="5"/>
  <c r="V361" i="5"/>
  <c r="V448" i="5"/>
  <c r="V536" i="5"/>
  <c r="V425" i="5"/>
  <c r="V281" i="5"/>
  <c r="V413" i="5"/>
  <c r="V488" i="5"/>
  <c r="V406" i="5"/>
  <c r="V219" i="5"/>
  <c r="V530" i="5"/>
  <c r="V427" i="5"/>
  <c r="V483" i="5"/>
  <c r="V455" i="5"/>
  <c r="V484" i="5"/>
  <c r="V541" i="5"/>
  <c r="V505" i="5"/>
  <c r="V529" i="5"/>
  <c r="V545" i="5"/>
  <c r="V433" i="5"/>
  <c r="V324" i="5"/>
  <c r="V232" i="5"/>
  <c r="V113" i="5"/>
  <c r="V418" i="5"/>
  <c r="V174" i="5"/>
  <c r="V41" i="5"/>
  <c r="V40" i="5"/>
  <c r="V193" i="5"/>
  <c r="V403" i="5"/>
  <c r="V39" i="5"/>
  <c r="V187" i="5"/>
  <c r="V140" i="5"/>
  <c r="V27" i="5"/>
  <c r="V229" i="5"/>
  <c r="V53" i="5"/>
  <c r="V366" i="5"/>
  <c r="V354" i="5"/>
  <c r="V283" i="5"/>
  <c r="V402" i="5"/>
  <c r="V295" i="5"/>
  <c r="V239" i="5"/>
  <c r="V337" i="5"/>
  <c r="V328" i="5"/>
  <c r="V391" i="5"/>
  <c r="V438" i="5"/>
  <c r="V557" i="5"/>
  <c r="V443" i="5"/>
  <c r="V333" i="5"/>
  <c r="V398" i="5"/>
  <c r="V468" i="5"/>
  <c r="V441" i="5"/>
  <c r="V447" i="5"/>
  <c r="V525" i="5"/>
  <c r="V409" i="5"/>
  <c r="V514" i="5"/>
  <c r="V560" i="5"/>
  <c r="V450" i="5"/>
  <c r="V550" i="5"/>
  <c r="V489" i="5"/>
  <c r="V546" i="5"/>
  <c r="V535" i="5"/>
  <c r="V519" i="5"/>
  <c r="V411" i="5"/>
  <c r="V121" i="5"/>
  <c r="V212" i="5"/>
  <c r="V90" i="5"/>
  <c r="V74" i="5"/>
  <c r="V24" i="5"/>
  <c r="V38" i="5"/>
  <c r="V315" i="5"/>
  <c r="V51" i="5"/>
  <c r="V26" i="5"/>
  <c r="V142" i="5"/>
  <c r="V135" i="5"/>
  <c r="V55" i="5"/>
  <c r="V237" i="5"/>
  <c r="V247" i="5"/>
  <c r="V56" i="5"/>
  <c r="V380" i="5"/>
  <c r="V301" i="5"/>
  <c r="V353" i="5"/>
  <c r="V321" i="5"/>
  <c r="V238" i="5"/>
  <c r="V345" i="5"/>
  <c r="V359" i="5"/>
  <c r="V317" i="5"/>
  <c r="V460" i="5"/>
  <c r="V558" i="5"/>
  <c r="V485" i="5"/>
  <c r="V360" i="5"/>
  <c r="V422" i="5"/>
  <c r="V509" i="5"/>
  <c r="V242" i="5"/>
  <c r="V414" i="5"/>
  <c r="V542" i="5"/>
  <c r="V445" i="5"/>
  <c r="V531" i="5"/>
  <c r="V511" i="5"/>
  <c r="V492" i="5"/>
  <c r="V544" i="5"/>
  <c r="V533" i="5"/>
  <c r="V426" i="5"/>
  <c r="V499" i="5"/>
  <c r="V375" i="5"/>
  <c r="V268" i="5"/>
  <c r="V253" i="5"/>
  <c r="V104" i="5"/>
  <c r="V36" i="5"/>
  <c r="V547" i="5"/>
  <c r="V347" i="5"/>
  <c r="V34" i="5"/>
  <c r="V58" i="5"/>
  <c r="V37" i="5"/>
  <c r="V128" i="5"/>
  <c r="V160" i="5"/>
  <c r="V136" i="5"/>
  <c r="V150" i="5"/>
  <c r="V298" i="5"/>
  <c r="V308" i="5"/>
  <c r="V205" i="5"/>
  <c r="V76" i="5"/>
  <c r="V364" i="5"/>
  <c r="V230" i="5"/>
  <c r="V166" i="5"/>
  <c r="V259" i="5"/>
  <c r="V325" i="5"/>
  <c r="V270" i="5"/>
  <c r="V368" i="5"/>
  <c r="V494" i="5"/>
  <c r="V394" i="5"/>
  <c r="V358" i="5"/>
  <c r="V424" i="5"/>
  <c r="V464" i="5"/>
  <c r="V537" i="5"/>
  <c r="V294" i="5"/>
  <c r="V437" i="5"/>
  <c r="V334" i="5"/>
  <c r="V428" i="5"/>
  <c r="V523" i="5"/>
  <c r="V481" i="5"/>
  <c r="V405" i="5"/>
  <c r="V521" i="5"/>
  <c r="V532" i="5"/>
  <c r="V435" i="5"/>
  <c r="V300" i="5"/>
  <c r="V172" i="5"/>
  <c r="V207" i="5"/>
  <c r="V263" i="5"/>
  <c r="V32" i="5"/>
  <c r="V105" i="5"/>
  <c r="V68" i="5"/>
  <c r="V439" i="5"/>
  <c r="V127" i="5"/>
  <c r="V155" i="5"/>
  <c r="V215" i="5"/>
  <c r="V216" i="5"/>
  <c r="V173" i="5"/>
  <c r="V181" i="5"/>
  <c r="V262" i="5"/>
  <c r="V304" i="5"/>
  <c r="V255" i="5"/>
  <c r="V112" i="5"/>
  <c r="V313" i="5"/>
  <c r="V287" i="5"/>
  <c r="V186" i="5"/>
  <c r="V285" i="5"/>
  <c r="V429" i="5"/>
  <c r="V302" i="5"/>
  <c r="V430" i="5"/>
  <c r="V487" i="5"/>
  <c r="V410" i="5"/>
  <c r="V386" i="5"/>
  <c r="V384" i="5"/>
  <c r="V471" i="5"/>
  <c r="V280" i="5"/>
  <c r="V381" i="5"/>
  <c r="V507" i="5"/>
  <c r="V399" i="5"/>
  <c r="V442" i="5"/>
  <c r="V538" i="5"/>
  <c r="V496" i="5"/>
  <c r="V479" i="5"/>
  <c r="V495" i="5"/>
  <c r="V553" i="5"/>
  <c r="V25" i="5"/>
  <c r="V180" i="5"/>
  <c r="V338" i="5"/>
  <c r="V395" i="5"/>
  <c r="V506" i="5"/>
  <c r="V12" i="5"/>
  <c r="V387" i="5"/>
  <c r="V42" i="5"/>
  <c r="V241" i="5"/>
  <c r="V431" i="5"/>
  <c r="V517" i="5"/>
  <c r="V10" i="5"/>
  <c r="V47" i="5"/>
  <c r="V235" i="5"/>
  <c r="V357" i="5"/>
  <c r="V524" i="5"/>
  <c r="V501" i="5"/>
  <c r="V21" i="5"/>
  <c r="V250" i="5"/>
  <c r="V246" i="5"/>
  <c r="V254" i="5"/>
  <c r="V534" i="5"/>
  <c r="V469" i="5"/>
  <c r="V96" i="5"/>
  <c r="V202" i="5"/>
  <c r="V393" i="5"/>
  <c r="V434" i="5"/>
  <c r="V349" i="5"/>
  <c r="V22" i="5"/>
  <c r="V365" i="5"/>
  <c r="V476" i="5"/>
  <c r="V196" i="5"/>
  <c r="N9" i="5"/>
  <c r="V83" i="5"/>
  <c r="V133" i="5"/>
  <c r="V266" i="5"/>
  <c r="V376" i="5"/>
  <c r="V314" i="5"/>
  <c r="V13" i="5"/>
  <c r="V129" i="5"/>
  <c r="V165" i="5"/>
  <c r="V218" i="5"/>
  <c r="V318" i="5"/>
  <c r="V527" i="5"/>
  <c r="V8" i="5"/>
  <c r="V11" i="5"/>
  <c r="O554" i="5"/>
  <c r="O389" i="5"/>
  <c r="O287" i="5"/>
  <c r="O488" i="5"/>
  <c r="O58" i="5"/>
  <c r="O69" i="5"/>
  <c r="O366" i="5"/>
  <c r="O364" i="5"/>
  <c r="O140" i="5"/>
  <c r="O321" i="5"/>
  <c r="O530" i="5"/>
  <c r="O251" i="5"/>
  <c r="O524" i="5"/>
  <c r="O314" i="5"/>
  <c r="O280" i="5"/>
  <c r="O475" i="5"/>
  <c r="O159" i="5"/>
  <c r="O198" i="5"/>
  <c r="O399" i="5"/>
  <c r="O502" i="5"/>
  <c r="AB502" i="5" s="1"/>
  <c r="O542" i="5"/>
  <c r="O245" i="5"/>
  <c r="O547" i="5"/>
  <c r="AB547" i="5" s="1"/>
  <c r="O302" i="5"/>
  <c r="O197" i="5"/>
  <c r="O483" i="5"/>
  <c r="O70" i="5"/>
  <c r="O459" i="5"/>
  <c r="O13" i="5"/>
  <c r="O221" i="5"/>
  <c r="AB221" i="5" s="1"/>
  <c r="O71" i="5"/>
  <c r="O443" i="5"/>
  <c r="O115" i="5"/>
  <c r="O130" i="5"/>
  <c r="O367" i="5"/>
  <c r="O408" i="5"/>
  <c r="O94" i="5"/>
  <c r="O217" i="5"/>
  <c r="O478" i="5"/>
  <c r="AB478" i="5" s="1"/>
  <c r="O262" i="5"/>
  <c r="O163" i="5"/>
  <c r="O211" i="5"/>
  <c r="O201" i="5"/>
  <c r="O311" i="5"/>
  <c r="O116" i="5"/>
  <c r="O34" i="5"/>
  <c r="O371" i="5"/>
  <c r="O473" i="5"/>
  <c r="O356" i="5"/>
  <c r="O543" i="5"/>
  <c r="O455" i="5"/>
  <c r="O437" i="5"/>
  <c r="O224" i="5"/>
  <c r="O165" i="5"/>
  <c r="O377" i="5"/>
  <c r="O98" i="5"/>
  <c r="O322" i="5"/>
  <c r="O279" i="5"/>
  <c r="O303" i="5"/>
  <c r="O340" i="5"/>
  <c r="O439" i="5"/>
  <c r="O273" i="5"/>
  <c r="O470" i="5"/>
  <c r="O338" i="5"/>
  <c r="O390" i="5"/>
  <c r="O169" i="5"/>
  <c r="O99" i="5"/>
  <c r="O325" i="5"/>
  <c r="O35" i="5"/>
  <c r="O506" i="5"/>
  <c r="O127" i="5"/>
  <c r="O328" i="5"/>
  <c r="O375" i="5"/>
  <c r="O295" i="5"/>
  <c r="AB295" i="5" s="1"/>
  <c r="O26" i="5"/>
  <c r="O252" i="5"/>
  <c r="O218" i="5"/>
  <c r="O465" i="5"/>
  <c r="O79" i="5"/>
  <c r="O285" i="5"/>
  <c r="AB285" i="5" s="1"/>
  <c r="O537" i="5"/>
  <c r="O360" i="5"/>
  <c r="O460" i="5"/>
  <c r="O206" i="5"/>
  <c r="O429" i="5"/>
  <c r="O39" i="5"/>
  <c r="O293" i="5"/>
  <c r="O240" i="5"/>
  <c r="O493" i="5"/>
  <c r="O192" i="5"/>
  <c r="O176" i="5"/>
  <c r="O396" i="5"/>
  <c r="O528" i="5"/>
  <c r="O244" i="5"/>
  <c r="O466" i="5"/>
  <c r="O291" i="5"/>
  <c r="O72" i="5"/>
  <c r="O485" i="5"/>
  <c r="O267" i="5"/>
  <c r="O92" i="5"/>
  <c r="O519" i="5"/>
  <c r="O381" i="5"/>
  <c r="O50" i="5"/>
  <c r="O103" i="5"/>
  <c r="O171" i="5"/>
  <c r="O423" i="5"/>
  <c r="O415" i="5"/>
  <c r="O182" i="5"/>
  <c r="O400" i="5"/>
  <c r="AB400" i="5" s="1"/>
  <c r="O32" i="5"/>
  <c r="O424" i="5"/>
  <c r="O236" i="5"/>
  <c r="O487" i="5"/>
  <c r="O82" i="5"/>
  <c r="O354" i="5"/>
  <c r="O541" i="5"/>
  <c r="O91" i="5"/>
  <c r="O412" i="5"/>
  <c r="O480" i="5"/>
  <c r="O379" i="5"/>
  <c r="O458" i="5"/>
  <c r="O259" i="5"/>
  <c r="O281" i="5"/>
  <c r="O538" i="5"/>
  <c r="O337" i="5"/>
  <c r="O308" i="5"/>
  <c r="O463" i="5"/>
  <c r="O231" i="5"/>
  <c r="O81" i="5"/>
  <c r="O230" i="5"/>
  <c r="O158" i="5"/>
  <c r="O235" i="5"/>
  <c r="O344" i="5"/>
  <c r="O431" i="5"/>
  <c r="O38" i="5"/>
  <c r="O334" i="5"/>
  <c r="O55" i="5"/>
  <c r="O464" i="5"/>
  <c r="O374" i="5"/>
  <c r="O492" i="5"/>
  <c r="O467" i="5"/>
  <c r="O283" i="5"/>
  <c r="O141" i="5"/>
  <c r="O145" i="5"/>
  <c r="O525" i="5"/>
  <c r="O47" i="5"/>
  <c r="O363" i="5"/>
  <c r="O509" i="5"/>
  <c r="O214" i="5"/>
  <c r="O135" i="5"/>
  <c r="O20" i="5"/>
  <c r="O150" i="5"/>
  <c r="O277" i="5"/>
  <c r="O433" i="5"/>
  <c r="O414" i="5"/>
  <c r="O511" i="5"/>
  <c r="AB511" i="5" s="1"/>
  <c r="O395" i="5"/>
  <c r="O456" i="5"/>
  <c r="O61" i="5"/>
  <c r="AB61" i="5" s="1"/>
  <c r="O296" i="5"/>
  <c r="O73" i="5"/>
  <c r="O44" i="5"/>
  <c r="O114" i="5"/>
  <c r="O97" i="5"/>
  <c r="AB97" i="5" s="1"/>
  <c r="O185" i="5"/>
  <c r="O425" i="5"/>
  <c r="O30" i="5"/>
  <c r="AB30" i="5" s="1"/>
  <c r="O353" i="5"/>
  <c r="O278" i="5"/>
  <c r="AB278" i="5" s="1"/>
  <c r="O417" i="5"/>
  <c r="O186" i="5"/>
  <c r="O323" i="5"/>
  <c r="AB323" i="5" s="1"/>
  <c r="O199" i="5"/>
  <c r="O25" i="5"/>
  <c r="O282" i="5"/>
  <c r="O442" i="5"/>
  <c r="O253" i="5"/>
  <c r="O391" i="5"/>
  <c r="O106" i="5"/>
  <c r="O420" i="5"/>
  <c r="O532" i="5"/>
  <c r="O164" i="5"/>
  <c r="AB164" i="5" s="1"/>
  <c r="O100" i="5"/>
  <c r="O269" i="5"/>
  <c r="O376" i="5"/>
  <c r="O128" i="5"/>
  <c r="O472" i="5"/>
  <c r="O88" i="5"/>
  <c r="O305" i="5"/>
  <c r="O78" i="5"/>
  <c r="O180" i="5"/>
  <c r="O63" i="5"/>
  <c r="AB63" i="5" s="1"/>
  <c r="O143" i="5"/>
  <c r="O121" i="5"/>
  <c r="AB121" i="5" s="1"/>
  <c r="O105" i="5"/>
  <c r="O260" i="5"/>
  <c r="O24" i="5"/>
  <c r="O477" i="5"/>
  <c r="AB477" i="5" s="1"/>
  <c r="O233" i="5"/>
  <c r="O449" i="5"/>
  <c r="O393" i="5"/>
  <c r="O84" i="5"/>
  <c r="AB84" i="5" s="1"/>
  <c r="O411" i="5"/>
  <c r="O494" i="5"/>
  <c r="O284" i="5"/>
  <c r="AB284" i="5" s="1"/>
  <c r="O254" i="5"/>
  <c r="O533" i="5"/>
  <c r="AB533" i="5" s="1"/>
  <c r="O495" i="5"/>
  <c r="O372" i="5"/>
  <c r="O161" i="5"/>
  <c r="O173" i="5"/>
  <c r="O409" i="5"/>
  <c r="O345" i="5"/>
  <c r="O451" i="5"/>
  <c r="O113" i="5"/>
  <c r="O119" i="5"/>
  <c r="O196" i="5"/>
  <c r="O499" i="5"/>
  <c r="O68" i="5"/>
  <c r="O228" i="5"/>
  <c r="O551" i="5"/>
  <c r="O559" i="5"/>
  <c r="AB559" i="5" s="1"/>
  <c r="O491" i="5"/>
  <c r="O461" i="5"/>
  <c r="AB461" i="5" s="1"/>
  <c r="O149" i="5"/>
  <c r="O53" i="5"/>
  <c r="O95" i="5"/>
  <c r="O241" i="5"/>
  <c r="O558" i="5"/>
  <c r="O359" i="5"/>
  <c r="O301" i="5"/>
  <c r="O222" i="5"/>
  <c r="O351" i="5"/>
  <c r="O137" i="5"/>
  <c r="O45" i="5"/>
  <c r="O209" i="5"/>
  <c r="O157" i="5"/>
  <c r="O421" i="5"/>
  <c r="O289" i="5"/>
  <c r="O482" i="5"/>
  <c r="O181" i="5"/>
  <c r="O175" i="5"/>
  <c r="O329" i="5"/>
  <c r="O521" i="5"/>
  <c r="O526" i="5"/>
  <c r="O19" i="5"/>
  <c r="O326" i="5"/>
  <c r="O200" i="5"/>
  <c r="O481" i="5"/>
  <c r="O90" i="5"/>
  <c r="O534" i="5"/>
  <c r="O416" i="5"/>
  <c r="O36" i="5"/>
  <c r="O527" i="5"/>
  <c r="O320" i="5"/>
  <c r="O110" i="5"/>
  <c r="O120" i="5"/>
  <c r="O507" i="5"/>
  <c r="O300" i="5"/>
  <c r="O202" i="5"/>
  <c r="O513" i="5"/>
  <c r="O474" i="5"/>
  <c r="O435" i="5"/>
  <c r="O170" i="5"/>
  <c r="O261" i="5"/>
  <c r="O535" i="5"/>
  <c r="O560" i="5"/>
  <c r="O96" i="5"/>
  <c r="O468" i="5"/>
  <c r="O40" i="5"/>
  <c r="O357" i="5"/>
  <c r="O76" i="5"/>
  <c r="O540" i="5"/>
  <c r="O350" i="5"/>
  <c r="O557" i="5"/>
  <c r="O247" i="5"/>
  <c r="O75" i="5"/>
  <c r="O453" i="5"/>
  <c r="O168" i="5"/>
  <c r="O177" i="5"/>
  <c r="O29" i="5"/>
  <c r="AB29" i="5" s="1"/>
  <c r="O257" i="5"/>
  <c r="O378" i="5"/>
  <c r="O48" i="5"/>
  <c r="O142" i="5"/>
  <c r="O215" i="5"/>
  <c r="O59" i="5"/>
  <c r="O272" i="5"/>
  <c r="O189" i="5"/>
  <c r="O361" i="5"/>
  <c r="O330" i="5"/>
  <c r="O83" i="5"/>
  <c r="O369" i="5"/>
  <c r="O155" i="5"/>
  <c r="O274" i="5"/>
  <c r="O147" i="5"/>
  <c r="AB147" i="5" s="1"/>
  <c r="O265" i="5"/>
  <c r="O193" i="5"/>
  <c r="O275" i="5"/>
  <c r="O152" i="5"/>
  <c r="O246" i="5"/>
  <c r="O27" i="5"/>
  <c r="O51" i="5"/>
  <c r="O440" i="5"/>
  <c r="O239" i="5"/>
  <c r="O31" i="5"/>
  <c r="O270" i="5"/>
  <c r="O498" i="5"/>
  <c r="O407" i="5"/>
  <c r="O166" i="5"/>
  <c r="O384" i="5"/>
  <c r="O504" i="5"/>
  <c r="O234" i="5"/>
  <c r="O229" i="5"/>
  <c r="O419" i="5"/>
  <c r="O516" i="5"/>
  <c r="O107" i="5"/>
  <c r="AB107" i="5" s="1"/>
  <c r="O129" i="5"/>
  <c r="O204" i="5"/>
  <c r="O355" i="5"/>
  <c r="O194" i="5"/>
  <c r="O462" i="5"/>
  <c r="O546" i="5"/>
  <c r="O319" i="5"/>
  <c r="O112" i="5"/>
  <c r="O471" i="5"/>
  <c r="O123" i="5"/>
  <c r="O132" i="5"/>
  <c r="O22" i="5"/>
  <c r="O445" i="5"/>
  <c r="AB445" i="5" s="1"/>
  <c r="O87" i="5"/>
  <c r="O497" i="5"/>
  <c r="AB497" i="5" s="1"/>
  <c r="O315" i="5"/>
  <c r="O523" i="5"/>
  <c r="O56" i="5"/>
  <c r="O86" i="5"/>
  <c r="O77" i="5"/>
  <c r="O452" i="5"/>
  <c r="AB452" i="5" s="1"/>
  <c r="O248" i="5"/>
  <c r="O380" i="5"/>
  <c r="O336" i="5"/>
  <c r="O544" i="5"/>
  <c r="O316" i="5"/>
  <c r="O520" i="5"/>
  <c r="AB520" i="5" s="1"/>
  <c r="O306" i="5"/>
  <c r="O438" i="5"/>
  <c r="O223" i="5"/>
  <c r="O422" i="5"/>
  <c r="O207" i="5"/>
  <c r="AB207" i="5" s="1"/>
  <c r="O162" i="5"/>
  <c r="O348" i="5"/>
  <c r="O434" i="5"/>
  <c r="O109" i="5"/>
  <c r="O268" i="5"/>
  <c r="O476" i="5"/>
  <c r="O292" i="5"/>
  <c r="O454" i="5"/>
  <c r="O146" i="5"/>
  <c r="O518" i="5"/>
  <c r="O313" i="5"/>
  <c r="O508" i="5"/>
  <c r="O536" i="5"/>
  <c r="O60" i="5"/>
  <c r="O342" i="5"/>
  <c r="O183" i="5"/>
  <c r="O339" i="5"/>
  <c r="AB339" i="5" s="1"/>
  <c r="O286" i="5"/>
  <c r="O398" i="5"/>
  <c r="O178" i="5"/>
  <c r="O238" i="5"/>
  <c r="O188" i="5"/>
  <c r="O510" i="5"/>
  <c r="O232" i="5"/>
  <c r="O352" i="5"/>
  <c r="O515" i="5"/>
  <c r="O216" i="5"/>
  <c r="O54" i="5"/>
  <c r="O387" i="5"/>
  <c r="O324" i="5"/>
  <c r="O426" i="5"/>
  <c r="O139" i="5"/>
  <c r="O370" i="5"/>
  <c r="O125" i="5"/>
  <c r="O220" i="5"/>
  <c r="O154" i="5"/>
  <c r="AB154" i="5" s="1"/>
  <c r="O151" i="5"/>
  <c r="O447" i="5"/>
  <c r="O266" i="5"/>
  <c r="O243" i="5"/>
  <c r="O298" i="5"/>
  <c r="O556" i="5"/>
  <c r="O529" i="5"/>
  <c r="O172" i="5"/>
  <c r="O104" i="5"/>
  <c r="O148" i="5"/>
  <c r="O49" i="5"/>
  <c r="O67" i="5"/>
  <c r="O386" i="5"/>
  <c r="AB386" i="5" s="1"/>
  <c r="O549" i="5"/>
  <c r="O264" i="5"/>
  <c r="O501" i="5"/>
  <c r="O489" i="5"/>
  <c r="O242" i="5"/>
  <c r="O290" i="5"/>
  <c r="O496" i="5"/>
  <c r="O394" i="5"/>
  <c r="O80" i="5"/>
  <c r="O514" i="5"/>
  <c r="O392" i="5"/>
  <c r="O327" i="5"/>
  <c r="O531" i="5"/>
  <c r="AB531" i="5" s="1"/>
  <c r="O343" i="5"/>
  <c r="O406" i="5"/>
  <c r="O46" i="5"/>
  <c r="O21" i="5"/>
  <c r="O255" i="5"/>
  <c r="O167" i="5"/>
  <c r="O317" i="5"/>
  <c r="O124" i="5"/>
  <c r="O191" i="5"/>
  <c r="O432" i="5"/>
  <c r="O57" i="5"/>
  <c r="AB57" i="5" s="1"/>
  <c r="O64" i="5"/>
  <c r="O227" i="5"/>
  <c r="O118" i="5"/>
  <c r="AB118" i="5" s="1"/>
  <c r="O102" i="5"/>
  <c r="O401" i="5"/>
  <c r="O271" i="5"/>
  <c r="O256" i="5"/>
  <c r="O517" i="5"/>
  <c r="O552" i="5"/>
  <c r="O418" i="5"/>
  <c r="O101" i="5"/>
  <c r="O545" i="5"/>
  <c r="O205" i="5"/>
  <c r="O522" i="5"/>
  <c r="AB522" i="5" s="1"/>
  <c r="O548" i="5"/>
  <c r="O448" i="5"/>
  <c r="O318" i="5"/>
  <c r="O208" i="5"/>
  <c r="O365" i="5"/>
  <c r="O65" i="5"/>
  <c r="O388" i="5"/>
  <c r="O402" i="5"/>
  <c r="O133" i="5"/>
  <c r="AB133" i="5" s="1"/>
  <c r="O500" i="5"/>
  <c r="O219" i="5"/>
  <c r="O226" i="5"/>
  <c r="O28" i="5"/>
  <c r="O66" i="5"/>
  <c r="O430" i="5"/>
  <c r="O297" i="5"/>
  <c r="O184" i="5"/>
  <c r="O23" i="5"/>
  <c r="O136" i="5"/>
  <c r="O335" i="5"/>
  <c r="O404" i="5"/>
  <c r="AB404" i="5" s="1"/>
  <c r="O446" i="5"/>
  <c r="AB446" i="5" s="1"/>
  <c r="O131" i="5"/>
  <c r="O403" i="5"/>
  <c r="O237" i="5"/>
  <c r="O333" i="5"/>
  <c r="O457" i="5"/>
  <c r="O263" i="5"/>
  <c r="O503" i="5"/>
  <c r="O52" i="5"/>
  <c r="O444" i="5"/>
  <c r="O138" i="5"/>
  <c r="O212" i="5"/>
  <c r="O249" i="5"/>
  <c r="AB249" i="5" s="1"/>
  <c r="O555" i="5"/>
  <c r="O134" i="5"/>
  <c r="O195" i="5"/>
  <c r="O156" i="5"/>
  <c r="O93" i="5"/>
  <c r="O410" i="5"/>
  <c r="O550" i="5"/>
  <c r="O225" i="5"/>
  <c r="O210" i="5"/>
  <c r="O258" i="5"/>
  <c r="O62" i="5"/>
  <c r="AB62" i="5" s="1"/>
  <c r="O122" i="5"/>
  <c r="O312" i="5"/>
  <c r="O190" i="5"/>
  <c r="O33" i="5"/>
  <c r="O383" i="5"/>
  <c r="O144" i="5"/>
  <c r="O484" i="5"/>
  <c r="O413" i="5"/>
  <c r="AB413" i="5" s="1"/>
  <c r="O310" i="5"/>
  <c r="O553" i="5"/>
  <c r="O304" i="5"/>
  <c r="O85" i="5"/>
  <c r="O179" i="5"/>
  <c r="O309" i="5"/>
  <c r="O368" i="5"/>
  <c r="O174" i="5"/>
  <c r="O153" i="5"/>
  <c r="O539" i="5"/>
  <c r="O373" i="5"/>
  <c r="O89" i="5"/>
  <c r="O160" i="5"/>
  <c r="O288" i="5"/>
  <c r="O126" i="5"/>
  <c r="O505" i="5"/>
  <c r="O294" i="5"/>
  <c r="O469" i="5"/>
  <c r="O436" i="5"/>
  <c r="O405" i="5"/>
  <c r="O74" i="5"/>
  <c r="O362" i="5"/>
  <c r="O486" i="5"/>
  <c r="O331" i="5"/>
  <c r="O397" i="5"/>
  <c r="O512" i="5"/>
  <c r="O427" i="5"/>
  <c r="O346" i="5"/>
  <c r="O111" i="5"/>
  <c r="O332" i="5"/>
  <c r="O358" i="5"/>
  <c r="O307" i="5"/>
  <c r="O299" i="5"/>
  <c r="O43" i="5"/>
  <c r="O349" i="5"/>
  <c r="O490" i="5"/>
  <c r="O276" i="5"/>
  <c r="O117" i="5"/>
  <c r="O441" i="5"/>
  <c r="O341" i="5"/>
  <c r="O203" i="5"/>
  <c r="O385" i="5"/>
  <c r="O187" i="5"/>
  <c r="O42" i="5"/>
  <c r="O428" i="5"/>
  <c r="O37" i="5"/>
  <c r="O250" i="5"/>
  <c r="O213" i="5"/>
  <c r="O382" i="5"/>
  <c r="O450" i="5"/>
  <c r="O479" i="5"/>
  <c r="O108" i="5"/>
  <c r="O347" i="5"/>
  <c r="O41" i="5"/>
  <c r="O8" i="5"/>
  <c r="O10" i="5"/>
  <c r="O12" i="5"/>
  <c r="O9" i="5"/>
  <c r="O11" i="5"/>
  <c r="B72" i="5"/>
  <c r="B67" i="5"/>
  <c r="P7" i="5"/>
  <c r="Q7" i="5" s="1"/>
  <c r="B83" i="3"/>
  <c r="B86" i="3" s="1"/>
  <c r="I41" i="2" s="1"/>
  <c r="I30" i="2"/>
  <c r="I36" i="2"/>
  <c r="E91" i="3"/>
  <c r="AQ100" i="6" l="1"/>
  <c r="AP41" i="6"/>
  <c r="AP110" i="6"/>
  <c r="AN79" i="6"/>
  <c r="AF49" i="6"/>
  <c r="AG49" i="6" s="1"/>
  <c r="AI49" i="6" s="1"/>
  <c r="AK22" i="8"/>
  <c r="AL22" i="8" s="1"/>
  <c r="AB320" i="5"/>
  <c r="AD320" i="5" s="1"/>
  <c r="AB38" i="5"/>
  <c r="AP90" i="6"/>
  <c r="AP112" i="6"/>
  <c r="AU19" i="8"/>
  <c r="AW19" i="8" s="1"/>
  <c r="AQ50" i="6"/>
  <c r="AB327" i="5"/>
  <c r="AU36" i="6"/>
  <c r="AW36" i="6" s="1"/>
  <c r="AP62" i="6"/>
  <c r="AQ105" i="6"/>
  <c r="AN128" i="6"/>
  <c r="AK79" i="6"/>
  <c r="AL79" i="6" s="1"/>
  <c r="AP83" i="6"/>
  <c r="AQ83" i="6"/>
  <c r="AF146" i="6"/>
  <c r="AG146" i="6" s="1"/>
  <c r="AI146" i="6" s="1"/>
  <c r="AU146" i="6" s="1"/>
  <c r="AW146" i="6" s="1"/>
  <c r="AN146" i="6"/>
  <c r="AO146" i="6" s="1"/>
  <c r="AO37" i="8"/>
  <c r="AP104" i="8"/>
  <c r="AU140" i="8"/>
  <c r="AW140" i="8" s="1"/>
  <c r="AB450" i="5"/>
  <c r="AP50" i="6"/>
  <c r="AP121" i="6"/>
  <c r="AQ126" i="8"/>
  <c r="AF100" i="6"/>
  <c r="AG100" i="6" s="1"/>
  <c r="AI100" i="6" s="1"/>
  <c r="AP126" i="8"/>
  <c r="AK121" i="6"/>
  <c r="AL121" i="6" s="1"/>
  <c r="AC90" i="6"/>
  <c r="AD90" i="6" s="1"/>
  <c r="AQ41" i="6"/>
  <c r="AQ110" i="8"/>
  <c r="AQ104" i="8"/>
  <c r="AU10" i="8"/>
  <c r="AW10" i="8" s="1"/>
  <c r="AU120" i="8"/>
  <c r="AW120" i="8" s="1"/>
  <c r="AO120" i="6"/>
  <c r="AC62" i="6"/>
  <c r="AD62" i="6" s="1"/>
  <c r="AC100" i="6"/>
  <c r="AD100" i="6" s="1"/>
  <c r="AK128" i="6"/>
  <c r="AL128" i="6" s="1"/>
  <c r="AC64" i="6"/>
  <c r="AD64" i="6" s="1"/>
  <c r="AQ157" i="6"/>
  <c r="AN73" i="6"/>
  <c r="AO73" i="6" s="1"/>
  <c r="AU73" i="6" s="1"/>
  <c r="AW73" i="6" s="1"/>
  <c r="AK73" i="6"/>
  <c r="AL73" i="6" s="1"/>
  <c r="AC110" i="8"/>
  <c r="AD110" i="8" s="1"/>
  <c r="AO14" i="6"/>
  <c r="AU14" i="6" s="1"/>
  <c r="AW14" i="6" s="1"/>
  <c r="AC157" i="6"/>
  <c r="AD157" i="6" s="1"/>
  <c r="AP64" i="6"/>
  <c r="AN140" i="6"/>
  <c r="AO140" i="6" s="1"/>
  <c r="AQ128" i="6"/>
  <c r="AP128" i="6"/>
  <c r="AB430" i="5"/>
  <c r="AB300" i="5"/>
  <c r="BE300" i="5" s="1"/>
  <c r="AN43" i="6"/>
  <c r="AQ97" i="6"/>
  <c r="AP102" i="6"/>
  <c r="AO19" i="6"/>
  <c r="AU19" i="6" s="1"/>
  <c r="AW19" i="6" s="1"/>
  <c r="AK56" i="6"/>
  <c r="AL56" i="6" s="1"/>
  <c r="AO56" i="6" s="1"/>
  <c r="AK43" i="6"/>
  <c r="AL43" i="6" s="1"/>
  <c r="AC37" i="6"/>
  <c r="AD37" i="6" s="1"/>
  <c r="AQ121" i="8"/>
  <c r="AB342" i="5"/>
  <c r="AF37" i="6"/>
  <c r="AG37" i="6" s="1"/>
  <c r="AI37" i="6" s="1"/>
  <c r="AC129" i="6"/>
  <c r="AD129" i="6" s="1"/>
  <c r="AC151" i="6"/>
  <c r="AD151" i="6" s="1"/>
  <c r="AP129" i="6"/>
  <c r="AB527" i="5"/>
  <c r="AD527" i="5" s="1"/>
  <c r="AB197" i="5"/>
  <c r="AO26" i="6"/>
  <c r="AQ151" i="6"/>
  <c r="AN115" i="8"/>
  <c r="AO115" i="8" s="1"/>
  <c r="AO154" i="8"/>
  <c r="AB220" i="5"/>
  <c r="AP99" i="6"/>
  <c r="AN130" i="6"/>
  <c r="AO130" i="6" s="1"/>
  <c r="AC99" i="6"/>
  <c r="AD99" i="6" s="1"/>
  <c r="AF73" i="8"/>
  <c r="AG73" i="8" s="1"/>
  <c r="AI73" i="8" s="1"/>
  <c r="AU12" i="8"/>
  <c r="AW12" i="8" s="1"/>
  <c r="AC102" i="6"/>
  <c r="AD102" i="6" s="1"/>
  <c r="AU102" i="6" s="1"/>
  <c r="AW102" i="6" s="1"/>
  <c r="AN37" i="6"/>
  <c r="AO37" i="6" s="1"/>
  <c r="AN73" i="8"/>
  <c r="AO73" i="8" s="1"/>
  <c r="AP114" i="6"/>
  <c r="AP73" i="6"/>
  <c r="AQ73" i="6"/>
  <c r="AF130" i="6"/>
  <c r="AG130" i="6" s="1"/>
  <c r="AI130" i="6" s="1"/>
  <c r="AF115" i="8"/>
  <c r="AG115" i="8" s="1"/>
  <c r="AI115" i="8" s="1"/>
  <c r="AU21" i="8"/>
  <c r="AW21" i="8" s="1"/>
  <c r="AU123" i="8"/>
  <c r="AW123" i="8" s="1"/>
  <c r="AU143" i="8"/>
  <c r="AW143" i="8" s="1"/>
  <c r="AU77" i="8"/>
  <c r="AW77" i="8" s="1"/>
  <c r="AP73" i="8"/>
  <c r="AU48" i="8"/>
  <c r="AW48" i="8" s="1"/>
  <c r="AU131" i="8"/>
  <c r="AW131" i="8" s="1"/>
  <c r="AU76" i="8"/>
  <c r="AW76" i="8" s="1"/>
  <c r="AQ73" i="8"/>
  <c r="AU68" i="8"/>
  <c r="AW68" i="8" s="1"/>
  <c r="AB83" i="5"/>
  <c r="AU105" i="8"/>
  <c r="AW105" i="8" s="1"/>
  <c r="AB384" i="5"/>
  <c r="AC384" i="5" s="1"/>
  <c r="AS9" i="5"/>
  <c r="AY9" i="5"/>
  <c r="BB9" i="5" s="1"/>
  <c r="AB166" i="5"/>
  <c r="AB491" i="5"/>
  <c r="AC491" i="5" s="1"/>
  <c r="AU25" i="8"/>
  <c r="AW25" i="8" s="1"/>
  <c r="AK28" i="8"/>
  <c r="AL28" i="8" s="1"/>
  <c r="AO28" i="8" s="1"/>
  <c r="AU59" i="8"/>
  <c r="AW59" i="8" s="1"/>
  <c r="AU69" i="8"/>
  <c r="AW69" i="8" s="1"/>
  <c r="AU86" i="8"/>
  <c r="AW86" i="8" s="1"/>
  <c r="AF28" i="8"/>
  <c r="AG28" i="8" s="1"/>
  <c r="AI28" i="8" s="1"/>
  <c r="AU93" i="8"/>
  <c r="AW93" i="8" s="1"/>
  <c r="AU89" i="8"/>
  <c r="AW89" i="8" s="1"/>
  <c r="BD11" i="5"/>
  <c r="AC115" i="8"/>
  <c r="AD115" i="8" s="1"/>
  <c r="AQ115" i="8"/>
  <c r="AB74" i="5"/>
  <c r="AD74" i="5" s="1"/>
  <c r="AU142" i="8"/>
  <c r="AW142" i="8" s="1"/>
  <c r="AQ88" i="6"/>
  <c r="AP88" i="6"/>
  <c r="AU88" i="6" s="1"/>
  <c r="AW88" i="6" s="1"/>
  <c r="AN41" i="6"/>
  <c r="AN56" i="6"/>
  <c r="AP46" i="6"/>
  <c r="AN150" i="6"/>
  <c r="AO150" i="6" s="1"/>
  <c r="AK117" i="6"/>
  <c r="AL117" i="6" s="1"/>
  <c r="AN117" i="6"/>
  <c r="AK54" i="6"/>
  <c r="AL54" i="6" s="1"/>
  <c r="AF52" i="6"/>
  <c r="AG52" i="6" s="1"/>
  <c r="AI52" i="6" s="1"/>
  <c r="AU52" i="6" s="1"/>
  <c r="AW52" i="6" s="1"/>
  <c r="AK70" i="6"/>
  <c r="AL70" i="6" s="1"/>
  <c r="AO70" i="6" s="1"/>
  <c r="AF70" i="6"/>
  <c r="AG70" i="6" s="1"/>
  <c r="AI70" i="6" s="1"/>
  <c r="AF150" i="6"/>
  <c r="AG150" i="6" s="1"/>
  <c r="AI150" i="6" s="1"/>
  <c r="AC46" i="6"/>
  <c r="AD46" i="6" s="1"/>
  <c r="AP115" i="6"/>
  <c r="AQ115" i="6"/>
  <c r="AP79" i="6"/>
  <c r="AK78" i="6"/>
  <c r="AL78" i="6" s="1"/>
  <c r="AN78" i="6"/>
  <c r="AO78" i="6" s="1"/>
  <c r="AU78" i="6" s="1"/>
  <c r="AW78" i="6" s="1"/>
  <c r="AU33" i="6"/>
  <c r="AW33" i="6" s="1"/>
  <c r="AC38" i="8"/>
  <c r="AD38" i="8" s="1"/>
  <c r="AP38" i="8"/>
  <c r="AN57" i="6"/>
  <c r="AO57" i="6" s="1"/>
  <c r="AP56" i="6"/>
  <c r="AK90" i="6"/>
  <c r="AL90" i="6" s="1"/>
  <c r="AO90" i="6" s="1"/>
  <c r="AN100" i="6"/>
  <c r="AO100" i="6" s="1"/>
  <c r="AU100" i="6" s="1"/>
  <c r="AW100" i="6" s="1"/>
  <c r="AF90" i="6"/>
  <c r="AG90" i="6" s="1"/>
  <c r="AI90" i="6" s="1"/>
  <c r="AK40" i="6"/>
  <c r="AL40" i="6" s="1"/>
  <c r="AQ56" i="6"/>
  <c r="AF85" i="6"/>
  <c r="AG85" i="6" s="1"/>
  <c r="AI85" i="6" s="1"/>
  <c r="AP139" i="6"/>
  <c r="AQ145" i="6"/>
  <c r="AQ57" i="6"/>
  <c r="AK119" i="6"/>
  <c r="AL119" i="6" s="1"/>
  <c r="AC145" i="6"/>
  <c r="AD145" i="6" s="1"/>
  <c r="AN119" i="6"/>
  <c r="AF114" i="6"/>
  <c r="AG114" i="6" s="1"/>
  <c r="AI114" i="6" s="1"/>
  <c r="AC57" i="6"/>
  <c r="AD57" i="6" s="1"/>
  <c r="AK85" i="6"/>
  <c r="AL85" i="6" s="1"/>
  <c r="AO85" i="6" s="1"/>
  <c r="AC123" i="6"/>
  <c r="AD123" i="6" s="1"/>
  <c r="AP123" i="6"/>
  <c r="AU78" i="8"/>
  <c r="AW78" i="8" s="1"/>
  <c r="BC11" i="5"/>
  <c r="AQ87" i="6"/>
  <c r="AC149" i="6"/>
  <c r="AD149" i="6" s="1"/>
  <c r="AK50" i="6"/>
  <c r="AL50" i="6" s="1"/>
  <c r="AN50" i="6"/>
  <c r="AF139" i="6"/>
  <c r="AG139" i="6" s="1"/>
  <c r="AI139" i="6" s="1"/>
  <c r="AP149" i="6"/>
  <c r="AQ85" i="6"/>
  <c r="AP43" i="6"/>
  <c r="AU34" i="6"/>
  <c r="AW34" i="6" s="1"/>
  <c r="AC87" i="6"/>
  <c r="AD87" i="6" s="1"/>
  <c r="AN139" i="6"/>
  <c r="AO139" i="6" s="1"/>
  <c r="AQ43" i="6"/>
  <c r="AU157" i="8"/>
  <c r="AW157" i="8" s="1"/>
  <c r="AF57" i="6"/>
  <c r="AG57" i="6" s="1"/>
  <c r="AI57" i="6" s="1"/>
  <c r="AN40" i="6"/>
  <c r="AN123" i="6"/>
  <c r="AO123" i="6" s="1"/>
  <c r="AF123" i="6"/>
  <c r="AG123" i="6" s="1"/>
  <c r="AI123" i="6" s="1"/>
  <c r="AB544" i="5"/>
  <c r="BE544" i="5" s="1"/>
  <c r="AF38" i="8"/>
  <c r="AG38" i="8" s="1"/>
  <c r="AI38" i="8" s="1"/>
  <c r="AN38" i="8"/>
  <c r="AO38" i="8" s="1"/>
  <c r="AP98" i="6"/>
  <c r="AC98" i="6"/>
  <c r="AD98" i="6" s="1"/>
  <c r="AN105" i="6"/>
  <c r="AU29" i="6"/>
  <c r="AW29" i="6" s="1"/>
  <c r="AK105" i="6"/>
  <c r="AL105" i="6" s="1"/>
  <c r="AQ79" i="6"/>
  <c r="AK41" i="6"/>
  <c r="AL41" i="6" s="1"/>
  <c r="AO41" i="6" s="1"/>
  <c r="AU41" i="6" s="1"/>
  <c r="AW41" i="6" s="1"/>
  <c r="AC54" i="6"/>
  <c r="AD54" i="6" s="1"/>
  <c r="AQ54" i="6"/>
  <c r="AN108" i="6"/>
  <c r="AO108" i="6" s="1"/>
  <c r="AF96" i="6"/>
  <c r="AG96" i="6" s="1"/>
  <c r="AI96" i="6" s="1"/>
  <c r="AB383" i="5"/>
  <c r="AD383" i="5" s="1"/>
  <c r="AB146" i="5"/>
  <c r="AC146" i="5" s="1"/>
  <c r="AB456" i="5"/>
  <c r="AC456" i="5" s="1"/>
  <c r="AB244" i="5"/>
  <c r="AD244" i="5" s="1"/>
  <c r="AB245" i="5"/>
  <c r="AC245" i="5" s="1"/>
  <c r="AB69" i="5"/>
  <c r="AD69" i="5" s="1"/>
  <c r="AB373" i="5"/>
  <c r="AD373" i="5" s="1"/>
  <c r="AB385" i="5"/>
  <c r="AC385" i="5" s="1"/>
  <c r="AB93" i="5"/>
  <c r="BE93" i="5" s="1"/>
  <c r="AB87" i="5"/>
  <c r="BE87" i="5" s="1"/>
  <c r="AB106" i="5"/>
  <c r="BE106" i="5" s="1"/>
  <c r="AB374" i="5"/>
  <c r="AD374" i="5" s="1"/>
  <c r="AB176" i="5"/>
  <c r="AD176" i="5" s="1"/>
  <c r="AU17" i="6"/>
  <c r="AW17" i="6" s="1"/>
  <c r="AO18" i="6"/>
  <c r="AU18" i="6" s="1"/>
  <c r="AW18" i="6" s="1"/>
  <c r="AF108" i="6"/>
  <c r="AG108" i="6" s="1"/>
  <c r="AI108" i="6" s="1"/>
  <c r="AU35" i="6"/>
  <c r="AW35" i="6" s="1"/>
  <c r="AK96" i="6"/>
  <c r="AL96" i="6" s="1"/>
  <c r="AO96" i="6" s="1"/>
  <c r="AU30" i="6"/>
  <c r="AW30" i="6" s="1"/>
  <c r="AP7" i="6"/>
  <c r="AN94" i="6"/>
  <c r="AP40" i="6"/>
  <c r="AP96" i="6"/>
  <c r="AN144" i="6"/>
  <c r="AO144" i="6" s="1"/>
  <c r="AK7" i="6"/>
  <c r="AL7" i="6" s="1"/>
  <c r="AJ7" i="6"/>
  <c r="AC96" i="6"/>
  <c r="AD96" i="6" s="1"/>
  <c r="AQ40" i="6"/>
  <c r="AK94" i="6"/>
  <c r="AL94" i="6" s="1"/>
  <c r="AC108" i="6"/>
  <c r="AD108" i="6" s="1"/>
  <c r="AQ7" i="6"/>
  <c r="AU31" i="6"/>
  <c r="AW31" i="6" s="1"/>
  <c r="AU9" i="6"/>
  <c r="AW9" i="6" s="1"/>
  <c r="AQ108" i="6"/>
  <c r="AF151" i="6"/>
  <c r="AG151" i="6" s="1"/>
  <c r="AI151" i="6" s="1"/>
  <c r="AU10" i="6"/>
  <c r="AW10" i="6" s="1"/>
  <c r="AN151" i="6"/>
  <c r="AO151" i="6" s="1"/>
  <c r="AF98" i="6"/>
  <c r="AG98" i="6" s="1"/>
  <c r="AI98" i="6" s="1"/>
  <c r="AN98" i="6"/>
  <c r="AO98" i="6" s="1"/>
  <c r="AU23" i="6"/>
  <c r="AW23" i="6" s="1"/>
  <c r="AU28" i="6"/>
  <c r="AW28" i="6" s="1"/>
  <c r="AU25" i="6"/>
  <c r="AW25" i="6" s="1"/>
  <c r="AU12" i="6"/>
  <c r="AW12" i="6" s="1"/>
  <c r="AB369" i="5"/>
  <c r="BE369" i="5" s="1"/>
  <c r="AB199" i="5"/>
  <c r="BE199" i="5" s="1"/>
  <c r="AB344" i="5"/>
  <c r="BE344" i="5" s="1"/>
  <c r="AB319" i="5"/>
  <c r="AC319" i="5" s="1"/>
  <c r="AB516" i="5"/>
  <c r="AC516" i="5" s="1"/>
  <c r="AU22" i="6"/>
  <c r="AW22" i="6" s="1"/>
  <c r="AB167" i="5"/>
  <c r="BE167" i="5" s="1"/>
  <c r="AB306" i="5"/>
  <c r="BE306" i="5" s="1"/>
  <c r="AB120" i="5"/>
  <c r="AD120" i="5" s="1"/>
  <c r="AF144" i="6"/>
  <c r="AG144" i="6" s="1"/>
  <c r="AI144" i="6" s="1"/>
  <c r="AB226" i="5"/>
  <c r="AD226" i="5" s="1"/>
  <c r="AB440" i="5"/>
  <c r="AC440" i="5" s="1"/>
  <c r="AB200" i="5"/>
  <c r="AC200" i="5" s="1"/>
  <c r="AB269" i="5"/>
  <c r="AD269" i="5" s="1"/>
  <c r="AB236" i="5"/>
  <c r="BE236" i="5" s="1"/>
  <c r="AB258" i="5"/>
  <c r="BE258" i="5" s="1"/>
  <c r="AB549" i="5"/>
  <c r="AD549" i="5" s="1"/>
  <c r="AB515" i="5"/>
  <c r="AC515" i="5" s="1"/>
  <c r="AB59" i="5"/>
  <c r="AD59" i="5" s="1"/>
  <c r="AB293" i="5"/>
  <c r="AB371" i="5"/>
  <c r="AD371" i="5" s="1"/>
  <c r="AU39" i="8"/>
  <c r="AW39" i="8" s="1"/>
  <c r="AU27" i="6"/>
  <c r="AW27" i="6" s="1"/>
  <c r="AU8" i="6"/>
  <c r="AW8" i="6" s="1"/>
  <c r="AU126" i="8"/>
  <c r="AW126" i="8" s="1"/>
  <c r="AO60" i="6"/>
  <c r="AU20" i="6"/>
  <c r="AW20" i="6" s="1"/>
  <c r="AC144" i="6"/>
  <c r="AD144" i="6" s="1"/>
  <c r="AQ144" i="6"/>
  <c r="AO104" i="6"/>
  <c r="AU104" i="6" s="1"/>
  <c r="AW104" i="6" s="1"/>
  <c r="AO11" i="6"/>
  <c r="AU11" i="6" s="1"/>
  <c r="AW11" i="6" s="1"/>
  <c r="AR141" i="6"/>
  <c r="Z141" i="6"/>
  <c r="AA141" i="6"/>
  <c r="AR48" i="6"/>
  <c r="Z48" i="6"/>
  <c r="AA48" i="6"/>
  <c r="AR135" i="6"/>
  <c r="AA135" i="6"/>
  <c r="Z135" i="6"/>
  <c r="AR143" i="6"/>
  <c r="Z143" i="6"/>
  <c r="AA143" i="6"/>
  <c r="AR44" i="6"/>
  <c r="Z44" i="6"/>
  <c r="AA44" i="6"/>
  <c r="AR89" i="6"/>
  <c r="AA89" i="6"/>
  <c r="Z89" i="6"/>
  <c r="AR47" i="6"/>
  <c r="Z47" i="6"/>
  <c r="AK47" i="6" s="1"/>
  <c r="AL47" i="6" s="1"/>
  <c r="AA47" i="6"/>
  <c r="AN7" i="6"/>
  <c r="AF7" i="6"/>
  <c r="AG7" i="6" s="1"/>
  <c r="AI7" i="6" s="1"/>
  <c r="AR132" i="6"/>
  <c r="AA132" i="6"/>
  <c r="Z132" i="6"/>
  <c r="AR82" i="6"/>
  <c r="Z82" i="6"/>
  <c r="AA82" i="6"/>
  <c r="AJ47" i="6"/>
  <c r="AU16" i="6"/>
  <c r="AW16" i="6" s="1"/>
  <c r="AU21" i="6"/>
  <c r="AW21" i="6" s="1"/>
  <c r="AU26" i="6"/>
  <c r="AW26" i="6" s="1"/>
  <c r="AU15" i="6"/>
  <c r="AW15" i="6" s="1"/>
  <c r="AU13" i="6"/>
  <c r="AW13" i="6" s="1"/>
  <c r="AO148" i="8"/>
  <c r="AU148" i="8" s="1"/>
  <c r="AW148" i="8" s="1"/>
  <c r="AU24" i="6"/>
  <c r="AW24" i="6" s="1"/>
  <c r="AO125" i="8"/>
  <c r="AU125" i="8" s="1"/>
  <c r="AW125" i="8" s="1"/>
  <c r="AO134" i="8"/>
  <c r="AU134" i="8" s="1"/>
  <c r="AW134" i="8" s="1"/>
  <c r="AU85" i="8"/>
  <c r="AW85" i="8" s="1"/>
  <c r="AU114" i="8"/>
  <c r="AW114" i="8" s="1"/>
  <c r="AO110" i="8"/>
  <c r="AO56" i="8"/>
  <c r="AU56" i="8" s="1"/>
  <c r="AW56" i="8" s="1"/>
  <c r="AO33" i="8"/>
  <c r="AU33" i="8" s="1"/>
  <c r="AW33" i="8" s="1"/>
  <c r="AU128" i="8"/>
  <c r="AW128" i="8" s="1"/>
  <c r="AO43" i="8"/>
  <c r="AU43" i="8" s="1"/>
  <c r="AW43" i="8" s="1"/>
  <c r="AO124" i="8"/>
  <c r="AU124" i="8" s="1"/>
  <c r="AW124" i="8" s="1"/>
  <c r="AU41" i="8"/>
  <c r="AW41" i="8" s="1"/>
  <c r="AU88" i="8"/>
  <c r="AW88" i="8" s="1"/>
  <c r="AU34" i="8"/>
  <c r="AW34" i="8" s="1"/>
  <c r="AO29" i="8"/>
  <c r="AU29" i="8" s="1"/>
  <c r="AW29" i="8" s="1"/>
  <c r="AU42" i="8"/>
  <c r="AW42" i="8" s="1"/>
  <c r="AO146" i="8"/>
  <c r="AU146" i="8" s="1"/>
  <c r="AW146" i="8" s="1"/>
  <c r="AU91" i="8"/>
  <c r="AW91" i="8" s="1"/>
  <c r="AO30" i="8"/>
  <c r="AU30" i="8" s="1"/>
  <c r="AW30" i="8" s="1"/>
  <c r="AO81" i="8"/>
  <c r="AU81" i="8" s="1"/>
  <c r="AW81" i="8" s="1"/>
  <c r="AO79" i="8"/>
  <c r="AU79" i="8" s="1"/>
  <c r="AW79" i="8" s="1"/>
  <c r="AO156" i="8"/>
  <c r="AU156" i="8" s="1"/>
  <c r="AW156" i="8" s="1"/>
  <c r="AU62" i="8"/>
  <c r="AW62" i="8" s="1"/>
  <c r="AO104" i="8"/>
  <c r="AO22" i="8"/>
  <c r="AU22" i="8" s="1"/>
  <c r="AW22" i="8" s="1"/>
  <c r="AU139" i="8"/>
  <c r="AW139" i="8" s="1"/>
  <c r="AU83" i="8"/>
  <c r="AW83" i="8" s="1"/>
  <c r="AU74" i="8"/>
  <c r="AW74" i="8" s="1"/>
  <c r="AU70" i="8"/>
  <c r="AW70" i="8" s="1"/>
  <c r="AU102" i="8"/>
  <c r="AW102" i="8" s="1"/>
  <c r="AU98" i="8"/>
  <c r="AW98" i="8" s="1"/>
  <c r="AO64" i="8"/>
  <c r="AU64" i="8" s="1"/>
  <c r="AW64" i="8" s="1"/>
  <c r="AU47" i="8"/>
  <c r="AW47" i="8" s="1"/>
  <c r="AU94" i="8"/>
  <c r="AW94" i="8" s="1"/>
  <c r="AU133" i="8"/>
  <c r="AW133" i="8" s="1"/>
  <c r="AU87" i="8"/>
  <c r="AW87" i="8" s="1"/>
  <c r="AU132" i="8"/>
  <c r="AW132" i="8" s="1"/>
  <c r="AU136" i="8"/>
  <c r="AW136" i="8" s="1"/>
  <c r="AB388" i="5"/>
  <c r="AD388" i="5" s="1"/>
  <c r="AU60" i="8"/>
  <c r="AW60" i="8" s="1"/>
  <c r="AU80" i="8"/>
  <c r="AW80" i="8" s="1"/>
  <c r="AB203" i="5"/>
  <c r="AD203" i="5" s="1"/>
  <c r="AB257" i="5"/>
  <c r="BE257" i="5" s="1"/>
  <c r="AB175" i="5"/>
  <c r="BE175" i="5" s="1"/>
  <c r="AU51" i="8"/>
  <c r="AW51" i="8" s="1"/>
  <c r="AU72" i="8"/>
  <c r="AW72" i="8" s="1"/>
  <c r="AU119" i="8"/>
  <c r="AW119" i="8" s="1"/>
  <c r="AU97" i="8"/>
  <c r="AW97" i="8" s="1"/>
  <c r="AU135" i="8"/>
  <c r="AW135" i="8" s="1"/>
  <c r="AU11" i="8"/>
  <c r="AW11" i="8" s="1"/>
  <c r="AU121" i="8"/>
  <c r="AW121" i="8" s="1"/>
  <c r="AU65" i="8"/>
  <c r="AW65" i="8" s="1"/>
  <c r="AU40" i="8"/>
  <c r="AW40" i="8" s="1"/>
  <c r="AB275" i="5"/>
  <c r="BE275" i="5" s="1"/>
  <c r="AB363" i="5"/>
  <c r="BE363" i="5" s="1"/>
  <c r="AU31" i="8"/>
  <c r="AW31" i="8" s="1"/>
  <c r="AO153" i="8"/>
  <c r="AU153" i="8" s="1"/>
  <c r="AW153" i="8" s="1"/>
  <c r="AU107" i="8"/>
  <c r="AW107" i="8" s="1"/>
  <c r="AB392" i="5"/>
  <c r="AC392" i="5" s="1"/>
  <c r="AB261" i="5"/>
  <c r="AC261" i="5" s="1"/>
  <c r="AB149" i="5"/>
  <c r="AD149" i="5" s="1"/>
  <c r="AU71" i="8"/>
  <c r="AW71" i="8" s="1"/>
  <c r="AO61" i="8"/>
  <c r="AU61" i="8" s="1"/>
  <c r="AW61" i="8" s="1"/>
  <c r="AO82" i="8"/>
  <c r="AU82" i="8" s="1"/>
  <c r="AW82" i="8" s="1"/>
  <c r="AU17" i="8"/>
  <c r="AW17" i="8" s="1"/>
  <c r="AU53" i="8"/>
  <c r="AW53" i="8" s="1"/>
  <c r="AU16" i="8"/>
  <c r="AW16" i="8" s="1"/>
  <c r="AU96" i="8"/>
  <c r="AW96" i="8" s="1"/>
  <c r="AU45" i="8"/>
  <c r="AW45" i="8" s="1"/>
  <c r="AB378" i="5"/>
  <c r="AC378" i="5" s="1"/>
  <c r="AB441" i="5"/>
  <c r="AD441" i="5" s="1"/>
  <c r="AB134" i="5"/>
  <c r="AC134" i="5" s="1"/>
  <c r="AB222" i="5"/>
  <c r="AD222" i="5" s="1"/>
  <c r="AU145" i="8"/>
  <c r="AW145" i="8" s="1"/>
  <c r="AO13" i="8"/>
  <c r="AU13" i="8" s="1"/>
  <c r="AW13" i="8" s="1"/>
  <c r="AU36" i="8"/>
  <c r="AW36" i="8" s="1"/>
  <c r="AU129" i="8"/>
  <c r="AW129" i="8" s="1"/>
  <c r="AU154" i="8"/>
  <c r="AW154" i="8" s="1"/>
  <c r="AU108" i="8"/>
  <c r="AW108" i="8" s="1"/>
  <c r="AU37" i="8"/>
  <c r="AW37" i="8" s="1"/>
  <c r="AB117" i="5"/>
  <c r="BE117" i="5" s="1"/>
  <c r="AB288" i="5"/>
  <c r="AD288" i="5" s="1"/>
  <c r="AB309" i="5"/>
  <c r="AD309" i="5" s="1"/>
  <c r="AB555" i="5"/>
  <c r="AD555" i="5" s="1"/>
  <c r="AB518" i="5"/>
  <c r="AD518" i="5" s="1"/>
  <c r="AB204" i="5"/>
  <c r="BE204" i="5" s="1"/>
  <c r="AB100" i="5"/>
  <c r="AC100" i="5" s="1"/>
  <c r="AO35" i="8"/>
  <c r="AU35" i="8" s="1"/>
  <c r="AW35" i="8" s="1"/>
  <c r="AO151" i="8"/>
  <c r="AU151" i="8" s="1"/>
  <c r="AW151" i="8" s="1"/>
  <c r="AU57" i="8"/>
  <c r="AW57" i="8" s="1"/>
  <c r="AO138" i="6"/>
  <c r="AU138" i="6" s="1"/>
  <c r="AW138" i="6" s="1"/>
  <c r="AB250" i="5"/>
  <c r="AD250" i="5" s="1"/>
  <c r="AB358" i="5"/>
  <c r="AD358" i="5" s="1"/>
  <c r="AO148" i="6"/>
  <c r="AU148" i="6" s="1"/>
  <c r="AW148" i="6" s="1"/>
  <c r="AO111" i="6"/>
  <c r="AU111" i="6" s="1"/>
  <c r="AW111" i="6" s="1"/>
  <c r="AU103" i="6"/>
  <c r="AW103" i="6" s="1"/>
  <c r="AU125" i="6"/>
  <c r="AW125" i="6" s="1"/>
  <c r="AB190" i="5"/>
  <c r="AC190" i="5" s="1"/>
  <c r="AB318" i="5"/>
  <c r="AD318" i="5" s="1"/>
  <c r="AB168" i="5"/>
  <c r="AD168" i="5" s="1"/>
  <c r="AB160" i="5"/>
  <c r="AD160" i="5" s="1"/>
  <c r="AB448" i="5"/>
  <c r="BE448" i="5" s="1"/>
  <c r="AB340" i="5"/>
  <c r="AC340" i="5" s="1"/>
  <c r="AB419" i="5"/>
  <c r="AC419" i="5" s="1"/>
  <c r="AB114" i="5"/>
  <c r="AC114" i="5" s="1"/>
  <c r="AB201" i="5"/>
  <c r="BE201" i="5" s="1"/>
  <c r="AB545" i="5"/>
  <c r="BE545" i="5" s="1"/>
  <c r="AB462" i="5"/>
  <c r="AD462" i="5" s="1"/>
  <c r="AB44" i="5"/>
  <c r="AC44" i="5" s="1"/>
  <c r="AB444" i="5"/>
  <c r="AC444" i="5" s="1"/>
  <c r="AB131" i="5"/>
  <c r="AD131" i="5" s="1"/>
  <c r="AB312" i="5"/>
  <c r="BE312" i="5" s="1"/>
  <c r="AB102" i="5"/>
  <c r="AC102" i="5" s="1"/>
  <c r="AB194" i="5"/>
  <c r="AD194" i="5" s="1"/>
  <c r="AB356" i="5"/>
  <c r="AD356" i="5" s="1"/>
  <c r="AB341" i="5"/>
  <c r="AD341" i="5" s="1"/>
  <c r="AB109" i="5"/>
  <c r="AC109" i="5" s="1"/>
  <c r="AB540" i="5"/>
  <c r="AC540" i="5" s="1"/>
  <c r="AB351" i="5"/>
  <c r="AC351" i="5" s="1"/>
  <c r="AB208" i="5"/>
  <c r="AC208" i="5" s="1"/>
  <c r="AB86" i="5"/>
  <c r="AD86" i="5" s="1"/>
  <c r="AB132" i="5"/>
  <c r="AD132" i="5" s="1"/>
  <c r="AB80" i="5"/>
  <c r="AD80" i="5" s="1"/>
  <c r="AB316" i="5"/>
  <c r="AD316" i="5" s="1"/>
  <c r="AB219" i="5"/>
  <c r="BE219" i="5" s="1"/>
  <c r="AB225" i="5"/>
  <c r="AD225" i="5" s="1"/>
  <c r="AB46" i="5"/>
  <c r="BE46" i="5" s="1"/>
  <c r="AB421" i="5"/>
  <c r="BE421" i="5" s="1"/>
  <c r="AB41" i="5"/>
  <c r="AC41" i="5" s="1"/>
  <c r="AB370" i="5"/>
  <c r="BE370" i="5" s="1"/>
  <c r="AB474" i="5"/>
  <c r="BE474" i="5" s="1"/>
  <c r="AB490" i="5"/>
  <c r="BE490" i="5" s="1"/>
  <c r="AB89" i="5"/>
  <c r="BE89" i="5" s="1"/>
  <c r="AB85" i="5"/>
  <c r="AD85" i="5" s="1"/>
  <c r="AB548" i="5"/>
  <c r="AD548" i="5" s="1"/>
  <c r="AB139" i="5"/>
  <c r="AD139" i="5" s="1"/>
  <c r="AO68" i="6"/>
  <c r="AU68" i="6" s="1"/>
  <c r="AW68" i="6" s="1"/>
  <c r="AU42" i="6"/>
  <c r="AW42" i="6" s="1"/>
  <c r="AO142" i="6"/>
  <c r="AU142" i="6" s="1"/>
  <c r="AW142" i="6" s="1"/>
  <c r="AO76" i="6"/>
  <c r="AU76" i="6" s="1"/>
  <c r="AW76" i="6" s="1"/>
  <c r="AU91" i="6"/>
  <c r="AW91" i="6" s="1"/>
  <c r="AO134" i="6"/>
  <c r="AU134" i="6" s="1"/>
  <c r="AW134" i="6" s="1"/>
  <c r="AB529" i="5"/>
  <c r="AD529" i="5" s="1"/>
  <c r="AB379" i="5"/>
  <c r="AC379" i="5" s="1"/>
  <c r="AB103" i="5"/>
  <c r="AD103" i="5" s="1"/>
  <c r="AB473" i="5"/>
  <c r="AC473" i="5" s="1"/>
  <c r="AU120" i="6"/>
  <c r="AW120" i="6" s="1"/>
  <c r="AB21" i="5"/>
  <c r="AD21" i="5" s="1"/>
  <c r="AB274" i="5"/>
  <c r="AD274" i="5" s="1"/>
  <c r="AB394" i="5"/>
  <c r="AD394" i="5" s="1"/>
  <c r="AB78" i="5"/>
  <c r="BE78" i="5" s="1"/>
  <c r="AB135" i="5"/>
  <c r="AD135" i="5" s="1"/>
  <c r="AB412" i="5"/>
  <c r="AD412" i="5" s="1"/>
  <c r="AB217" i="5"/>
  <c r="BE217" i="5" s="1"/>
  <c r="AB428" i="5"/>
  <c r="AD428" i="5" s="1"/>
  <c r="AB550" i="5"/>
  <c r="AD550" i="5" s="1"/>
  <c r="AB526" i="5"/>
  <c r="AD526" i="5" s="1"/>
  <c r="AB330" i="5"/>
  <c r="AD330" i="5" s="1"/>
  <c r="AB229" i="5"/>
  <c r="AD229" i="5" s="1"/>
  <c r="AB361" i="5"/>
  <c r="BE361" i="5" s="1"/>
  <c r="AB90" i="5"/>
  <c r="BE90" i="5" s="1"/>
  <c r="AB301" i="5"/>
  <c r="AC301" i="5" s="1"/>
  <c r="AB336" i="5"/>
  <c r="BE336" i="5" s="1"/>
  <c r="AB368" i="5"/>
  <c r="AD368" i="5" s="1"/>
  <c r="AB42" i="5"/>
  <c r="AD42" i="5" s="1"/>
  <c r="AB304" i="5"/>
  <c r="BE304" i="5" s="1"/>
  <c r="AB228" i="5"/>
  <c r="AD228" i="5" s="1"/>
  <c r="AB420" i="5"/>
  <c r="BE420" i="5" s="1"/>
  <c r="AB418" i="5"/>
  <c r="BE418" i="5" s="1"/>
  <c r="AB333" i="5"/>
  <c r="AD333" i="5" s="1"/>
  <c r="AB553" i="5"/>
  <c r="BE553" i="5" s="1"/>
  <c r="AB205" i="5"/>
  <c r="AC205" i="5" s="1"/>
  <c r="AB560" i="5"/>
  <c r="AC560" i="5" s="1"/>
  <c r="AU80" i="6"/>
  <c r="AW80" i="6" s="1"/>
  <c r="AB435" i="5"/>
  <c r="AD435" i="5" s="1"/>
  <c r="AO109" i="6"/>
  <c r="AU109" i="6" s="1"/>
  <c r="AW109" i="6" s="1"/>
  <c r="AB112" i="5"/>
  <c r="AD112" i="5" s="1"/>
  <c r="AB468" i="5"/>
  <c r="AD468" i="5" s="1"/>
  <c r="AB528" i="5"/>
  <c r="AD528" i="5" s="1"/>
  <c r="AO107" i="6"/>
  <c r="AU107" i="6" s="1"/>
  <c r="AW107" i="6" s="1"/>
  <c r="AB172" i="5"/>
  <c r="AD172" i="5" s="1"/>
  <c r="AB126" i="5"/>
  <c r="BE126" i="5" s="1"/>
  <c r="AB335" i="5"/>
  <c r="AC335" i="5" s="1"/>
  <c r="AB504" i="5"/>
  <c r="AD504" i="5" s="1"/>
  <c r="AB291" i="5"/>
  <c r="BE291" i="5" s="1"/>
  <c r="AB457" i="5"/>
  <c r="AD457" i="5" s="1"/>
  <c r="AB141" i="5"/>
  <c r="AC141" i="5" s="1"/>
  <c r="AB556" i="5"/>
  <c r="AD556" i="5" s="1"/>
  <c r="AB348" i="5"/>
  <c r="BE348" i="5" s="1"/>
  <c r="AB123" i="5"/>
  <c r="AD123" i="5" s="1"/>
  <c r="AB111" i="5"/>
  <c r="AD111" i="5" s="1"/>
  <c r="AB179" i="5"/>
  <c r="AD179" i="5" s="1"/>
  <c r="AB155" i="5"/>
  <c r="AC155" i="5" s="1"/>
  <c r="AB407" i="5"/>
  <c r="BE407" i="5" s="1"/>
  <c r="AB513" i="5"/>
  <c r="AC513" i="5" s="1"/>
  <c r="AU65" i="6"/>
  <c r="AW65" i="6" s="1"/>
  <c r="AB92" i="5"/>
  <c r="AD92" i="5" s="1"/>
  <c r="AU129" i="6"/>
  <c r="AW129" i="6" s="1"/>
  <c r="AB346" i="5"/>
  <c r="AD346" i="5" s="1"/>
  <c r="AB67" i="5"/>
  <c r="BE67" i="5" s="1"/>
  <c r="AB187" i="5"/>
  <c r="AD187" i="5" s="1"/>
  <c r="AB343" i="5"/>
  <c r="AD343" i="5" s="1"/>
  <c r="AB49" i="5"/>
  <c r="AC49" i="5" s="1"/>
  <c r="AB148" i="5"/>
  <c r="BE148" i="5" s="1"/>
  <c r="AB297" i="5"/>
  <c r="AC297" i="5" s="1"/>
  <c r="AB191" i="5"/>
  <c r="BE191" i="5" s="1"/>
  <c r="AB292" i="5"/>
  <c r="AC292" i="5" s="1"/>
  <c r="AB31" i="5"/>
  <c r="BE31" i="5" s="1"/>
  <c r="AB390" i="5"/>
  <c r="AD390" i="5" s="1"/>
  <c r="AU49" i="6"/>
  <c r="AW49" i="6" s="1"/>
  <c r="AB463" i="5"/>
  <c r="AD463" i="5" s="1"/>
  <c r="AB377" i="5"/>
  <c r="AC377" i="5" s="1"/>
  <c r="AB88" i="5"/>
  <c r="AC88" i="5" s="1"/>
  <c r="AB313" i="5"/>
  <c r="BE313" i="5" s="1"/>
  <c r="AB434" i="5"/>
  <c r="BE434" i="5" s="1"/>
  <c r="AB355" i="5"/>
  <c r="AD355" i="5" s="1"/>
  <c r="AB517" i="5"/>
  <c r="AC517" i="5" s="1"/>
  <c r="AB523" i="5"/>
  <c r="BE523" i="5" s="1"/>
  <c r="AB215" i="5"/>
  <c r="AC215" i="5" s="1"/>
  <c r="AB40" i="5"/>
  <c r="BE40" i="5" s="1"/>
  <c r="AB410" i="5"/>
  <c r="AD410" i="5" s="1"/>
  <c r="AB422" i="5"/>
  <c r="AC422" i="5" s="1"/>
  <c r="AB489" i="5"/>
  <c r="AC489" i="5" s="1"/>
  <c r="AB104" i="5"/>
  <c r="BE104" i="5" s="1"/>
  <c r="AB238" i="5"/>
  <c r="BE238" i="5" s="1"/>
  <c r="AB53" i="5"/>
  <c r="AC53" i="5" s="1"/>
  <c r="AB55" i="5"/>
  <c r="BE55" i="5" s="1"/>
  <c r="AO101" i="6"/>
  <c r="AU101" i="6" s="1"/>
  <c r="AW101" i="6" s="1"/>
  <c r="AB402" i="5"/>
  <c r="BE402" i="5" s="1"/>
  <c r="AB380" i="5"/>
  <c r="AC380" i="5" s="1"/>
  <c r="AB128" i="5"/>
  <c r="AC128" i="5" s="1"/>
  <c r="AO58" i="6"/>
  <c r="AU58" i="6" s="1"/>
  <c r="AW58" i="6" s="1"/>
  <c r="AB484" i="5"/>
  <c r="AD484" i="5" s="1"/>
  <c r="AB514" i="5"/>
  <c r="AD514" i="5" s="1"/>
  <c r="AB495" i="5"/>
  <c r="AC495" i="5" s="1"/>
  <c r="AB240" i="5"/>
  <c r="AD240" i="5" s="1"/>
  <c r="AB443" i="5"/>
  <c r="BE443" i="5" s="1"/>
  <c r="AU152" i="6"/>
  <c r="AW152" i="6" s="1"/>
  <c r="AB558" i="5"/>
  <c r="AD558" i="5" s="1"/>
  <c r="AO81" i="6"/>
  <c r="AU81" i="6" s="1"/>
  <c r="AW81" i="6" s="1"/>
  <c r="AB230" i="5"/>
  <c r="BE230" i="5" s="1"/>
  <c r="AB442" i="5"/>
  <c r="AC442" i="5" s="1"/>
  <c r="AB328" i="5"/>
  <c r="AC328" i="5" s="1"/>
  <c r="AO83" i="6"/>
  <c r="AU83" i="6" s="1"/>
  <c r="AW83" i="6" s="1"/>
  <c r="AU59" i="6"/>
  <c r="AW59" i="6" s="1"/>
  <c r="AB492" i="5"/>
  <c r="BE492" i="5" s="1"/>
  <c r="AB180" i="5"/>
  <c r="AC180" i="5" s="1"/>
  <c r="AO63" i="6"/>
  <c r="AU63" i="6" s="1"/>
  <c r="AW63" i="6" s="1"/>
  <c r="AO43" i="6"/>
  <c r="AO122" i="6"/>
  <c r="AU122" i="6" s="1"/>
  <c r="AW122" i="6" s="1"/>
  <c r="AU51" i="6"/>
  <c r="AW51" i="6" s="1"/>
  <c r="AO79" i="6"/>
  <c r="AO62" i="6"/>
  <c r="AU62" i="6" s="1"/>
  <c r="AW62" i="6" s="1"/>
  <c r="AB337" i="5"/>
  <c r="AD337" i="5" s="1"/>
  <c r="AU126" i="6"/>
  <c r="AW126" i="6" s="1"/>
  <c r="AU133" i="6"/>
  <c r="AW133" i="6" s="1"/>
  <c r="AB360" i="5"/>
  <c r="BE360" i="5" s="1"/>
  <c r="AB393" i="5"/>
  <c r="AC393" i="5" s="1"/>
  <c r="AB253" i="5"/>
  <c r="AC253" i="5" s="1"/>
  <c r="AB496" i="5"/>
  <c r="AD496" i="5" s="1"/>
  <c r="AB305" i="5"/>
  <c r="BE305" i="5" s="1"/>
  <c r="AB214" i="5"/>
  <c r="AD214" i="5" s="1"/>
  <c r="AB224" i="5"/>
  <c r="AD224" i="5" s="1"/>
  <c r="AB94" i="5"/>
  <c r="AD94" i="5" s="1"/>
  <c r="AB425" i="5"/>
  <c r="AC425" i="5" s="1"/>
  <c r="AB405" i="5"/>
  <c r="AD405" i="5" s="1"/>
  <c r="AB243" i="5"/>
  <c r="AD243" i="5" s="1"/>
  <c r="AB138" i="5"/>
  <c r="BE138" i="5" s="1"/>
  <c r="AB403" i="5"/>
  <c r="AC403" i="5" s="1"/>
  <c r="AB290" i="5"/>
  <c r="AD290" i="5" s="1"/>
  <c r="AB247" i="5"/>
  <c r="AC247" i="5" s="1"/>
  <c r="AB182" i="5"/>
  <c r="AC182" i="5" s="1"/>
  <c r="AB408" i="5"/>
  <c r="AD408" i="5" s="1"/>
  <c r="AB251" i="5"/>
  <c r="AD251" i="5" s="1"/>
  <c r="AB124" i="5"/>
  <c r="AD124" i="5" s="1"/>
  <c r="AB242" i="5"/>
  <c r="AC242" i="5" s="1"/>
  <c r="AB324" i="5"/>
  <c r="AD324" i="5" s="1"/>
  <c r="AB173" i="5"/>
  <c r="AC173" i="5" s="1"/>
  <c r="AB472" i="5"/>
  <c r="AC472" i="5" s="1"/>
  <c r="AB186" i="5"/>
  <c r="BE186" i="5" s="1"/>
  <c r="AB354" i="5"/>
  <c r="AC354" i="5" s="1"/>
  <c r="AB415" i="5"/>
  <c r="AD415" i="5" s="1"/>
  <c r="AB70" i="5"/>
  <c r="AD70" i="5" s="1"/>
  <c r="AB530" i="5"/>
  <c r="AC530" i="5" s="1"/>
  <c r="AB299" i="5"/>
  <c r="AD299" i="5" s="1"/>
  <c r="AB397" i="5"/>
  <c r="AD397" i="5" s="1"/>
  <c r="AB156" i="5"/>
  <c r="AC156" i="5" s="1"/>
  <c r="AB438" i="5"/>
  <c r="AC438" i="5" s="1"/>
  <c r="AB350" i="5"/>
  <c r="AD350" i="5" s="1"/>
  <c r="AB535" i="5"/>
  <c r="AC535" i="5" s="1"/>
  <c r="AB82" i="5"/>
  <c r="AC82" i="5" s="1"/>
  <c r="AB423" i="5"/>
  <c r="AC423" i="5" s="1"/>
  <c r="AB279" i="5"/>
  <c r="AC279" i="5" s="1"/>
  <c r="AB543" i="5"/>
  <c r="AD543" i="5" s="1"/>
  <c r="AB198" i="5"/>
  <c r="AC198" i="5" s="1"/>
  <c r="AU99" i="6"/>
  <c r="AW99" i="6" s="1"/>
  <c r="AU72" i="6"/>
  <c r="AW72" i="6" s="1"/>
  <c r="AB195" i="5"/>
  <c r="AC195" i="5" s="1"/>
  <c r="AB54" i="5"/>
  <c r="AC54" i="5" s="1"/>
  <c r="AB508" i="5"/>
  <c r="AD508" i="5" s="1"/>
  <c r="AB22" i="5"/>
  <c r="AC22" i="5" s="1"/>
  <c r="AB525" i="5"/>
  <c r="AC525" i="5" s="1"/>
  <c r="AB458" i="5"/>
  <c r="AC458" i="5" s="1"/>
  <c r="AB171" i="5"/>
  <c r="AD171" i="5" s="1"/>
  <c r="AB115" i="5"/>
  <c r="AD115" i="5" s="1"/>
  <c r="AU93" i="6"/>
  <c r="AW93" i="6" s="1"/>
  <c r="AB276" i="5"/>
  <c r="AC276" i="5" s="1"/>
  <c r="AB23" i="5"/>
  <c r="AD23" i="5" s="1"/>
  <c r="AB272" i="5"/>
  <c r="BE272" i="5" s="1"/>
  <c r="AB110" i="5"/>
  <c r="AC110" i="5" s="1"/>
  <c r="AB150" i="5"/>
  <c r="BE150" i="5" s="1"/>
  <c r="AB231" i="5"/>
  <c r="BE231" i="5" s="1"/>
  <c r="AU39" i="6"/>
  <c r="AW39" i="6" s="1"/>
  <c r="AO149" i="6"/>
  <c r="AO92" i="6"/>
  <c r="AU92" i="6" s="1"/>
  <c r="AW92" i="6" s="1"/>
  <c r="AU75" i="6"/>
  <c r="AW75" i="6" s="1"/>
  <c r="AB26" i="5"/>
  <c r="AD26" i="5" s="1"/>
  <c r="AU55" i="6"/>
  <c r="AW55" i="6" s="1"/>
  <c r="AB338" i="5"/>
  <c r="BE338" i="5" s="1"/>
  <c r="AB262" i="5"/>
  <c r="AD262" i="5" s="1"/>
  <c r="AU74" i="6"/>
  <c r="AW74" i="6" s="1"/>
  <c r="AB51" i="5"/>
  <c r="BE51" i="5" s="1"/>
  <c r="AB357" i="5"/>
  <c r="AD357" i="5" s="1"/>
  <c r="AB289" i="5"/>
  <c r="AD289" i="5" s="1"/>
  <c r="AB113" i="5"/>
  <c r="AC113" i="5" s="1"/>
  <c r="AB50" i="5"/>
  <c r="AD50" i="5" s="1"/>
  <c r="AB431" i="5"/>
  <c r="AC431" i="5" s="1"/>
  <c r="AB308" i="5"/>
  <c r="AC308" i="5" s="1"/>
  <c r="AB33" i="5"/>
  <c r="AD33" i="5" s="1"/>
  <c r="AB532" i="5"/>
  <c r="AD532" i="5" s="1"/>
  <c r="AB467" i="5"/>
  <c r="AC467" i="5" s="1"/>
  <c r="AB542" i="5"/>
  <c r="AD542" i="5" s="1"/>
  <c r="AB469" i="5"/>
  <c r="AC469" i="5" s="1"/>
  <c r="AB401" i="5"/>
  <c r="BE401" i="5" s="1"/>
  <c r="AB60" i="5"/>
  <c r="BE60" i="5" s="1"/>
  <c r="AB476" i="5"/>
  <c r="BE476" i="5" s="1"/>
  <c r="AB270" i="5"/>
  <c r="AD270" i="5" s="1"/>
  <c r="AB68" i="5"/>
  <c r="AD68" i="5" s="1"/>
  <c r="AB411" i="5"/>
  <c r="AC411" i="5" s="1"/>
  <c r="AB158" i="5"/>
  <c r="AD158" i="5" s="1"/>
  <c r="AB460" i="5"/>
  <c r="BE460" i="5" s="1"/>
  <c r="AB294" i="5"/>
  <c r="AD294" i="5" s="1"/>
  <c r="AB151" i="5"/>
  <c r="AC151" i="5" s="1"/>
  <c r="AB387" i="5"/>
  <c r="AD387" i="5" s="1"/>
  <c r="AB499" i="5"/>
  <c r="AC499" i="5" s="1"/>
  <c r="AB130" i="5"/>
  <c r="AD130" i="5" s="1"/>
  <c r="AU110" i="6"/>
  <c r="AW110" i="6" s="1"/>
  <c r="AO137" i="6"/>
  <c r="AU137" i="6" s="1"/>
  <c r="AW137" i="6" s="1"/>
  <c r="AB196" i="5"/>
  <c r="AC196" i="5" s="1"/>
  <c r="AB375" i="5"/>
  <c r="BE375" i="5" s="1"/>
  <c r="AB140" i="5"/>
  <c r="AC140" i="5" s="1"/>
  <c r="AU112" i="6"/>
  <c r="AW112" i="6" s="1"/>
  <c r="AB302" i="5"/>
  <c r="AD302" i="5" s="1"/>
  <c r="AU86" i="6"/>
  <c r="AW86" i="6" s="1"/>
  <c r="AU127" i="6"/>
  <c r="AW127" i="6" s="1"/>
  <c r="AB129" i="5"/>
  <c r="AC129" i="5" s="1"/>
  <c r="AB381" i="5"/>
  <c r="AD381" i="5" s="1"/>
  <c r="AB439" i="5"/>
  <c r="AC439" i="5" s="1"/>
  <c r="AB524" i="5"/>
  <c r="BE524" i="5" s="1"/>
  <c r="AB58" i="5"/>
  <c r="AD58" i="5" s="1"/>
  <c r="AB96" i="5"/>
  <c r="AC96" i="5" s="1"/>
  <c r="AB541" i="5"/>
  <c r="BE541" i="5" s="1"/>
  <c r="AB437" i="5"/>
  <c r="AD437" i="5" s="1"/>
  <c r="AB488" i="5"/>
  <c r="BE488" i="5" s="1"/>
  <c r="AU84" i="6"/>
  <c r="AW84" i="6" s="1"/>
  <c r="AU64" i="6"/>
  <c r="AW64" i="6" s="1"/>
  <c r="AB43" i="5"/>
  <c r="AD43" i="5" s="1"/>
  <c r="AB512" i="5"/>
  <c r="BE512" i="5" s="1"/>
  <c r="AB539" i="5"/>
  <c r="BE539" i="5" s="1"/>
  <c r="AU155" i="6"/>
  <c r="AW155" i="6" s="1"/>
  <c r="AO61" i="6"/>
  <c r="AU61" i="6" s="1"/>
  <c r="AW61" i="6" s="1"/>
  <c r="AO128" i="6"/>
  <c r="AU128" i="6" s="1"/>
  <c r="AW128" i="6" s="1"/>
  <c r="AU67" i="6"/>
  <c r="AW67" i="6" s="1"/>
  <c r="AO38" i="6"/>
  <c r="AU38" i="6" s="1"/>
  <c r="AW38" i="6" s="1"/>
  <c r="AO40" i="6"/>
  <c r="AU77" i="6"/>
  <c r="AW77" i="6" s="1"/>
  <c r="AO121" i="6"/>
  <c r="AU121" i="6" s="1"/>
  <c r="AW121" i="6" s="1"/>
  <c r="AO97" i="6"/>
  <c r="AU97" i="6" s="1"/>
  <c r="AW97" i="6" s="1"/>
  <c r="AU53" i="6"/>
  <c r="AW53" i="6" s="1"/>
  <c r="AO124" i="6"/>
  <c r="AU124" i="6" s="1"/>
  <c r="AW124" i="6" s="1"/>
  <c r="AU136" i="6"/>
  <c r="AW136" i="6" s="1"/>
  <c r="AU147" i="6"/>
  <c r="AW147" i="6" s="1"/>
  <c r="AU95" i="6"/>
  <c r="AW95" i="6" s="1"/>
  <c r="AU66" i="6"/>
  <c r="AW66" i="6" s="1"/>
  <c r="AU60" i="6"/>
  <c r="AW60" i="6" s="1"/>
  <c r="AU156" i="6"/>
  <c r="AW156" i="6" s="1"/>
  <c r="AO106" i="6"/>
  <c r="AU106" i="6" s="1"/>
  <c r="AW106" i="6" s="1"/>
  <c r="AU113" i="6"/>
  <c r="AW113" i="6" s="1"/>
  <c r="AO116" i="6"/>
  <c r="AU116" i="6" s="1"/>
  <c r="AW116" i="6" s="1"/>
  <c r="AO145" i="6"/>
  <c r="AO54" i="6"/>
  <c r="AU140" i="6"/>
  <c r="AW140" i="6" s="1"/>
  <c r="AU153" i="6"/>
  <c r="AW153" i="6" s="1"/>
  <c r="AU69" i="6"/>
  <c r="AW69" i="6" s="1"/>
  <c r="AU118" i="6"/>
  <c r="AW118" i="6" s="1"/>
  <c r="AU154" i="6"/>
  <c r="AW154" i="6" s="1"/>
  <c r="AU131" i="6"/>
  <c r="AW131" i="6" s="1"/>
  <c r="AU157" i="6"/>
  <c r="AW157" i="6" s="1"/>
  <c r="AU45" i="6"/>
  <c r="AW45" i="6" s="1"/>
  <c r="AU71" i="6"/>
  <c r="AW71" i="6" s="1"/>
  <c r="AB56" i="5"/>
  <c r="AD56" i="5" s="1"/>
  <c r="AB480" i="5"/>
  <c r="AC480" i="5" s="1"/>
  <c r="AB79" i="5"/>
  <c r="AD79" i="5" s="1"/>
  <c r="AB71" i="5"/>
  <c r="AC71" i="5" s="1"/>
  <c r="AB332" i="5"/>
  <c r="AC332" i="5" s="1"/>
  <c r="AB286" i="5"/>
  <c r="AC286" i="5" s="1"/>
  <c r="AB347" i="5"/>
  <c r="BE347" i="5" s="1"/>
  <c r="AB500" i="5"/>
  <c r="BE500" i="5" s="1"/>
  <c r="AB298" i="5"/>
  <c r="BE298" i="5" s="1"/>
  <c r="AB471" i="5"/>
  <c r="AC471" i="5" s="1"/>
  <c r="AB19" i="5"/>
  <c r="AB359" i="5"/>
  <c r="AD359" i="5" s="1"/>
  <c r="AB254" i="5"/>
  <c r="AD254" i="5" s="1"/>
  <c r="AB283" i="5"/>
  <c r="AC283" i="5" s="1"/>
  <c r="AB32" i="5"/>
  <c r="AD32" i="5" s="1"/>
  <c r="AB39" i="5"/>
  <c r="AD39" i="5" s="1"/>
  <c r="AB34" i="5"/>
  <c r="AC34" i="5" s="1"/>
  <c r="AB210" i="5"/>
  <c r="AC210" i="5" s="1"/>
  <c r="AB233" i="5"/>
  <c r="AD233" i="5" s="1"/>
  <c r="AB432" i="5"/>
  <c r="BE432" i="5" s="1"/>
  <c r="AB232" i="5"/>
  <c r="AD232" i="5" s="1"/>
  <c r="AB454" i="5"/>
  <c r="AD454" i="5" s="1"/>
  <c r="AB315" i="5"/>
  <c r="AD315" i="5" s="1"/>
  <c r="AB75" i="5"/>
  <c r="AC75" i="5" s="1"/>
  <c r="AB519" i="5"/>
  <c r="AD519" i="5" s="1"/>
  <c r="AB429" i="5"/>
  <c r="AC429" i="5" s="1"/>
  <c r="AB35" i="5"/>
  <c r="AD35" i="5" s="1"/>
  <c r="AB116" i="5"/>
  <c r="AD116" i="5" s="1"/>
  <c r="AB552" i="5"/>
  <c r="BE552" i="5" s="1"/>
  <c r="AB479" i="5"/>
  <c r="BE479" i="5" s="1"/>
  <c r="AB426" i="5"/>
  <c r="AC426" i="5" s="1"/>
  <c r="AB521" i="5"/>
  <c r="AD521" i="5" s="1"/>
  <c r="AB209" i="5"/>
  <c r="AC209" i="5" s="1"/>
  <c r="AB409" i="5"/>
  <c r="AD409" i="5" s="1"/>
  <c r="AB260" i="5"/>
  <c r="AC260" i="5" s="1"/>
  <c r="AB235" i="5"/>
  <c r="AC235" i="5" s="1"/>
  <c r="AB206" i="5"/>
  <c r="AD206" i="5" s="1"/>
  <c r="AB325" i="5"/>
  <c r="AD325" i="5" s="1"/>
  <c r="AB223" i="5"/>
  <c r="AD223" i="5" s="1"/>
  <c r="AB414" i="5"/>
  <c r="AC414" i="5" s="1"/>
  <c r="AB281" i="5"/>
  <c r="AC281" i="5" s="1"/>
  <c r="AB267" i="5"/>
  <c r="AD267" i="5" s="1"/>
  <c r="AB303" i="5"/>
  <c r="AD303" i="5" s="1"/>
  <c r="AB455" i="5"/>
  <c r="AD455" i="5" s="1"/>
  <c r="AB188" i="5"/>
  <c r="BE188" i="5" s="1"/>
  <c r="AB557" i="5"/>
  <c r="AD557" i="5" s="1"/>
  <c r="AB534" i="5"/>
  <c r="BE534" i="5" s="1"/>
  <c r="AB329" i="5"/>
  <c r="AD329" i="5" s="1"/>
  <c r="AB105" i="5"/>
  <c r="AC105" i="5" s="1"/>
  <c r="AB66" i="5"/>
  <c r="AC66" i="5" s="1"/>
  <c r="AB317" i="5"/>
  <c r="BE317" i="5" s="1"/>
  <c r="AB161" i="5"/>
  <c r="BE161" i="5" s="1"/>
  <c r="AB47" i="5"/>
  <c r="AC47" i="5" s="1"/>
  <c r="AB464" i="5"/>
  <c r="BE464" i="5" s="1"/>
  <c r="AB259" i="5"/>
  <c r="AD259" i="5" s="1"/>
  <c r="AB192" i="5"/>
  <c r="BE192" i="5" s="1"/>
  <c r="AB169" i="5"/>
  <c r="AD169" i="5" s="1"/>
  <c r="AB483" i="5"/>
  <c r="AC483" i="5" s="1"/>
  <c r="AB389" i="5"/>
  <c r="AD389" i="5" s="1"/>
  <c r="AB307" i="5"/>
  <c r="BE307" i="5" s="1"/>
  <c r="AB331" i="5"/>
  <c r="AC331" i="5" s="1"/>
  <c r="AB365" i="5"/>
  <c r="AC365" i="5" s="1"/>
  <c r="AB178" i="5"/>
  <c r="AD178" i="5" s="1"/>
  <c r="AB181" i="5"/>
  <c r="AD181" i="5" s="1"/>
  <c r="AB372" i="5"/>
  <c r="AD372" i="5" s="1"/>
  <c r="AB73" i="5"/>
  <c r="AD73" i="5" s="1"/>
  <c r="AB537" i="5"/>
  <c r="AD537" i="5" s="1"/>
  <c r="AB11" i="5"/>
  <c r="AC11" i="5" s="1"/>
  <c r="AB8" i="5"/>
  <c r="BE8" i="5" s="1"/>
  <c r="AB108" i="5"/>
  <c r="AC108" i="5" s="1"/>
  <c r="AB237" i="5"/>
  <c r="AC237" i="5" s="1"/>
  <c r="AB184" i="5"/>
  <c r="AD184" i="5" s="1"/>
  <c r="AB183" i="5"/>
  <c r="BE183" i="5" s="1"/>
  <c r="AB246" i="5"/>
  <c r="BE246" i="5" s="1"/>
  <c r="AB36" i="5"/>
  <c r="AD36" i="5" s="1"/>
  <c r="AB345" i="5"/>
  <c r="AD345" i="5" s="1"/>
  <c r="AB24" i="5"/>
  <c r="AC24" i="5" s="1"/>
  <c r="AB185" i="5"/>
  <c r="AD185" i="5" s="1"/>
  <c r="AB395" i="5"/>
  <c r="AD395" i="5" s="1"/>
  <c r="AB91" i="5"/>
  <c r="AC91" i="5" s="1"/>
  <c r="AB152" i="5"/>
  <c r="AD152" i="5" s="1"/>
  <c r="AB48" i="5"/>
  <c r="AD48" i="5" s="1"/>
  <c r="AB416" i="5"/>
  <c r="BE416" i="5" s="1"/>
  <c r="AB509" i="5"/>
  <c r="AD509" i="5" s="1"/>
  <c r="AB538" i="5"/>
  <c r="AC538" i="5" s="1"/>
  <c r="AB396" i="5"/>
  <c r="BE396" i="5" s="1"/>
  <c r="AB252" i="5"/>
  <c r="BE252" i="5" s="1"/>
  <c r="AB459" i="5"/>
  <c r="AC459" i="5" s="1"/>
  <c r="AB349" i="5"/>
  <c r="AD349" i="5" s="1"/>
  <c r="AB436" i="5"/>
  <c r="BE436" i="5" s="1"/>
  <c r="AB447" i="5"/>
  <c r="BE447" i="5" s="1"/>
  <c r="AB248" i="5"/>
  <c r="AC248" i="5" s="1"/>
  <c r="AB546" i="5"/>
  <c r="AD546" i="5" s="1"/>
  <c r="AB45" i="5"/>
  <c r="AD45" i="5" s="1"/>
  <c r="AB95" i="5"/>
  <c r="AD95" i="5" s="1"/>
  <c r="AB99" i="5"/>
  <c r="AD99" i="5" s="1"/>
  <c r="AB367" i="5"/>
  <c r="AD367" i="5" s="1"/>
  <c r="AB399" i="5"/>
  <c r="AD399" i="5" s="1"/>
  <c r="AB122" i="5"/>
  <c r="AC122" i="5" s="1"/>
  <c r="AB52" i="5"/>
  <c r="AD52" i="5" s="1"/>
  <c r="AB536" i="5"/>
  <c r="AD536" i="5" s="1"/>
  <c r="AB193" i="5"/>
  <c r="AD193" i="5" s="1"/>
  <c r="AB391" i="5"/>
  <c r="AC391" i="5" s="1"/>
  <c r="AB417" i="5"/>
  <c r="AC417" i="5" s="1"/>
  <c r="AB433" i="5"/>
  <c r="AD433" i="5" s="1"/>
  <c r="AB211" i="5"/>
  <c r="AD211" i="5" s="1"/>
  <c r="AB266" i="5"/>
  <c r="AC266" i="5" s="1"/>
  <c r="AB10" i="5"/>
  <c r="BE10" i="5" s="1"/>
  <c r="AB503" i="5"/>
  <c r="BE503" i="5" s="1"/>
  <c r="AB28" i="5"/>
  <c r="AD28" i="5" s="1"/>
  <c r="AB101" i="5"/>
  <c r="AD101" i="5" s="1"/>
  <c r="AB189" i="5"/>
  <c r="BE189" i="5" s="1"/>
  <c r="AB481" i="5"/>
  <c r="BE481" i="5" s="1"/>
  <c r="AB143" i="5"/>
  <c r="BE143" i="5" s="1"/>
  <c r="AB163" i="5"/>
  <c r="AC163" i="5" s="1"/>
  <c r="AB427" i="5"/>
  <c r="BE427" i="5" s="1"/>
  <c r="AB263" i="5"/>
  <c r="AD263" i="5" s="1"/>
  <c r="AB264" i="5"/>
  <c r="AD264" i="5" s="1"/>
  <c r="AB216" i="5"/>
  <c r="AC216" i="5" s="1"/>
  <c r="AB119" i="5"/>
  <c r="AD119" i="5" s="1"/>
  <c r="AB449" i="5"/>
  <c r="BE449" i="5" s="1"/>
  <c r="AB296" i="5"/>
  <c r="BE296" i="5" s="1"/>
  <c r="AB145" i="5"/>
  <c r="AD145" i="5" s="1"/>
  <c r="AB98" i="5"/>
  <c r="AC98" i="5" s="1"/>
  <c r="AB136" i="5"/>
  <c r="AD136" i="5" s="1"/>
  <c r="AB125" i="5"/>
  <c r="AD125" i="5" s="1"/>
  <c r="AB282" i="5"/>
  <c r="AC282" i="5" s="1"/>
  <c r="AB424" i="5"/>
  <c r="AD424" i="5" s="1"/>
  <c r="AB470" i="5"/>
  <c r="AD470" i="5" s="1"/>
  <c r="AB366" i="5"/>
  <c r="AD366" i="5" s="1"/>
  <c r="AB382" i="5"/>
  <c r="AD382" i="5" s="1"/>
  <c r="AB153" i="5"/>
  <c r="AC153" i="5" s="1"/>
  <c r="AB310" i="5"/>
  <c r="AC310" i="5" s="1"/>
  <c r="AB65" i="5"/>
  <c r="AC65" i="5" s="1"/>
  <c r="AB137" i="5"/>
  <c r="BE137" i="5" s="1"/>
  <c r="AB213" i="5"/>
  <c r="AC213" i="5" s="1"/>
  <c r="AB505" i="5"/>
  <c r="AD505" i="5" s="1"/>
  <c r="AB174" i="5"/>
  <c r="AD174" i="5" s="1"/>
  <c r="AB77" i="5"/>
  <c r="AC77" i="5" s="1"/>
  <c r="AB486" i="5"/>
  <c r="BE486" i="5" s="1"/>
  <c r="AB227" i="5"/>
  <c r="BE227" i="5" s="1"/>
  <c r="AB177" i="5"/>
  <c r="AD177" i="5" s="1"/>
  <c r="AB37" i="5"/>
  <c r="AC37" i="5" s="1"/>
  <c r="AB362" i="5"/>
  <c r="AD362" i="5" s="1"/>
  <c r="AB144" i="5"/>
  <c r="AD144" i="5" s="1"/>
  <c r="AB64" i="5"/>
  <c r="AC64" i="5" s="1"/>
  <c r="AB280" i="5"/>
  <c r="AD280" i="5" s="1"/>
  <c r="AB352" i="5"/>
  <c r="AD352" i="5" s="1"/>
  <c r="AB162" i="5"/>
  <c r="AD162" i="5" s="1"/>
  <c r="AB453" i="5"/>
  <c r="AC453" i="5" s="1"/>
  <c r="AB212" i="5"/>
  <c r="AC212" i="5" s="1"/>
  <c r="AB256" i="5"/>
  <c r="BE256" i="5" s="1"/>
  <c r="AB406" i="5"/>
  <c r="AC406" i="5" s="1"/>
  <c r="AB271" i="5"/>
  <c r="AD271" i="5" s="1"/>
  <c r="AB510" i="5"/>
  <c r="AC510" i="5" s="1"/>
  <c r="AB498" i="5"/>
  <c r="AD498" i="5" s="1"/>
  <c r="AB202" i="5"/>
  <c r="AC202" i="5" s="1"/>
  <c r="AB241" i="5"/>
  <c r="AC241" i="5" s="1"/>
  <c r="AB494" i="5"/>
  <c r="AD494" i="5" s="1"/>
  <c r="AB311" i="5"/>
  <c r="BE311" i="5" s="1"/>
  <c r="AB12" i="5"/>
  <c r="BE12" i="5" s="1"/>
  <c r="AB506" i="5"/>
  <c r="AD506" i="5" s="1"/>
  <c r="AB287" i="5"/>
  <c r="AD287" i="5" s="1"/>
  <c r="AB376" i="5"/>
  <c r="AD376" i="5" s="1"/>
  <c r="AB268" i="5"/>
  <c r="AD268" i="5" s="1"/>
  <c r="AB507" i="5"/>
  <c r="AC507" i="5" s="1"/>
  <c r="AB485" i="5"/>
  <c r="BE485" i="5" s="1"/>
  <c r="AB321" i="5"/>
  <c r="AD321" i="5" s="1"/>
  <c r="AB501" i="5"/>
  <c r="AC501" i="5" s="1"/>
  <c r="AB234" i="5"/>
  <c r="AD234" i="5" s="1"/>
  <c r="AB239" i="5"/>
  <c r="AD239" i="5" s="1"/>
  <c r="AB277" i="5"/>
  <c r="AC277" i="5" s="1"/>
  <c r="AB81" i="5"/>
  <c r="AD81" i="5" s="1"/>
  <c r="AB487" i="5"/>
  <c r="AD487" i="5" s="1"/>
  <c r="AB72" i="5"/>
  <c r="AD72" i="5" s="1"/>
  <c r="AB493" i="5"/>
  <c r="AD493" i="5" s="1"/>
  <c r="AB322" i="5"/>
  <c r="BE322" i="5" s="1"/>
  <c r="AB159" i="5"/>
  <c r="BE159" i="5" s="1"/>
  <c r="AB554" i="5"/>
  <c r="AD554" i="5" s="1"/>
  <c r="AB255" i="5"/>
  <c r="BE255" i="5" s="1"/>
  <c r="AB398" i="5"/>
  <c r="AD398" i="5" s="1"/>
  <c r="AB76" i="5"/>
  <c r="AD76" i="5" s="1"/>
  <c r="AB170" i="5"/>
  <c r="BE170" i="5" s="1"/>
  <c r="AB353" i="5"/>
  <c r="AD353" i="5" s="1"/>
  <c r="AB334" i="5"/>
  <c r="AD334" i="5" s="1"/>
  <c r="AB475" i="5"/>
  <c r="AD475" i="5" s="1"/>
  <c r="AB364" i="5"/>
  <c r="AC364" i="5" s="1"/>
  <c r="AB326" i="5"/>
  <c r="AC326" i="5" s="1"/>
  <c r="AB20" i="5"/>
  <c r="AC20" i="5" s="1"/>
  <c r="AB466" i="5"/>
  <c r="BE466" i="5" s="1"/>
  <c r="AB127" i="5"/>
  <c r="AD127" i="5" s="1"/>
  <c r="AB27" i="5"/>
  <c r="AC27" i="5" s="1"/>
  <c r="AB451" i="5"/>
  <c r="AC451" i="5" s="1"/>
  <c r="AB25" i="5"/>
  <c r="AC25" i="5" s="1"/>
  <c r="AB465" i="5"/>
  <c r="AD465" i="5" s="1"/>
  <c r="AB273" i="5"/>
  <c r="AC273" i="5" s="1"/>
  <c r="AB142" i="5"/>
  <c r="BE142" i="5" s="1"/>
  <c r="AB157" i="5"/>
  <c r="BE157" i="5" s="1"/>
  <c r="AB551" i="5"/>
  <c r="AD551" i="5" s="1"/>
  <c r="AB218" i="5"/>
  <c r="AD218" i="5" s="1"/>
  <c r="AB165" i="5"/>
  <c r="BE165" i="5" s="1"/>
  <c r="AB314" i="5"/>
  <c r="AD314" i="5" s="1"/>
  <c r="AB13" i="5"/>
  <c r="BE13" i="5" s="1"/>
  <c r="AE7" i="5"/>
  <c r="AE155" i="5"/>
  <c r="AE124" i="5"/>
  <c r="AE209" i="5"/>
  <c r="AE510" i="5"/>
  <c r="AE431" i="5"/>
  <c r="AE112" i="5"/>
  <c r="AE560" i="5"/>
  <c r="AE465" i="5"/>
  <c r="AE401" i="5"/>
  <c r="AE337" i="5"/>
  <c r="AE242" i="5"/>
  <c r="AE479" i="5"/>
  <c r="AE310" i="5"/>
  <c r="AE341" i="5"/>
  <c r="AE372" i="5"/>
  <c r="AE403" i="5"/>
  <c r="AE426" i="5"/>
  <c r="AE457" i="5"/>
  <c r="AE488" i="5"/>
  <c r="AE10" i="5"/>
  <c r="AE519" i="5"/>
  <c r="AE110" i="5"/>
  <c r="AE141" i="5"/>
  <c r="AE172" i="5"/>
  <c r="AE178" i="5"/>
  <c r="AE541" i="5"/>
  <c r="AE446" i="5"/>
  <c r="AE487" i="5"/>
  <c r="AE48" i="5"/>
  <c r="AE496" i="5"/>
  <c r="AE432" i="5"/>
  <c r="AE368" i="5"/>
  <c r="AE273" i="5"/>
  <c r="AE535" i="5"/>
  <c r="AE246" i="5"/>
  <c r="AE277" i="5"/>
  <c r="AE308" i="5"/>
  <c r="AE339" i="5"/>
  <c r="AE362" i="5"/>
  <c r="AE393" i="5"/>
  <c r="AE424" i="5"/>
  <c r="AE127" i="5"/>
  <c r="AE558" i="5"/>
  <c r="AE46" i="5"/>
  <c r="AE77" i="5"/>
  <c r="AE108" i="5"/>
  <c r="AE139" i="5"/>
  <c r="AE162" i="5"/>
  <c r="AE193" i="5"/>
  <c r="AE224" i="5"/>
  <c r="AE295" i="5"/>
  <c r="AE358" i="5"/>
  <c r="AE389" i="5"/>
  <c r="AE420" i="5"/>
  <c r="AE451" i="5"/>
  <c r="AE319" i="5"/>
  <c r="AE29" i="5"/>
  <c r="AE477" i="5"/>
  <c r="AE382" i="5"/>
  <c r="AE543" i="5"/>
  <c r="AE31" i="5"/>
  <c r="AE87" i="5"/>
  <c r="AE13" i="5"/>
  <c r="AE304" i="5"/>
  <c r="AE23" i="5"/>
  <c r="AE182" i="5"/>
  <c r="AE213" i="5"/>
  <c r="AE244" i="5"/>
  <c r="AE275" i="5"/>
  <c r="AE298" i="5"/>
  <c r="AE329" i="5"/>
  <c r="AE360" i="5"/>
  <c r="AE247" i="5"/>
  <c r="AE494" i="5"/>
  <c r="AE525" i="5"/>
  <c r="AE556" i="5"/>
  <c r="AE44" i="5"/>
  <c r="AE75" i="5"/>
  <c r="AE98" i="5"/>
  <c r="AE129" i="5"/>
  <c r="AE160" i="5"/>
  <c r="AE351" i="5"/>
  <c r="AE294" i="5"/>
  <c r="AE325" i="5"/>
  <c r="AE356" i="5"/>
  <c r="AE387" i="5"/>
  <c r="AE240" i="5"/>
  <c r="AE60" i="5"/>
  <c r="AE508" i="5"/>
  <c r="AE413" i="5"/>
  <c r="AE318" i="5"/>
  <c r="AE254" i="5"/>
  <c r="AE190" i="5"/>
  <c r="AE143" i="5"/>
  <c r="AE9" i="5"/>
  <c r="AE79" i="5"/>
  <c r="AE118" i="5"/>
  <c r="AE149" i="5"/>
  <c r="AE180" i="5"/>
  <c r="AE211" i="5"/>
  <c r="AE234" i="5"/>
  <c r="AE265" i="5"/>
  <c r="AE296" i="5"/>
  <c r="AE303" i="5"/>
  <c r="AE430" i="5"/>
  <c r="AE461" i="5"/>
  <c r="AE492" i="5"/>
  <c r="AE523" i="5"/>
  <c r="AE546" i="5"/>
  <c r="AE34" i="5"/>
  <c r="AE65" i="5"/>
  <c r="AE96" i="5"/>
  <c r="AE407" i="5"/>
  <c r="AE230" i="5"/>
  <c r="AE261" i="5"/>
  <c r="AE292" i="5"/>
  <c r="AE323" i="5"/>
  <c r="AE135" i="5"/>
  <c r="AE91" i="5"/>
  <c r="AE539" i="5"/>
  <c r="AE444" i="5"/>
  <c r="AE349" i="5"/>
  <c r="AE285" i="5"/>
  <c r="AE221" i="5"/>
  <c r="AE126" i="5"/>
  <c r="AE191" i="5"/>
  <c r="AE71" i="5"/>
  <c r="AE54" i="5"/>
  <c r="AE85" i="5"/>
  <c r="AE116" i="5"/>
  <c r="AE147" i="5"/>
  <c r="AE170" i="5"/>
  <c r="AE201" i="5"/>
  <c r="AE232" i="5"/>
  <c r="AE359" i="5"/>
  <c r="AE366" i="5"/>
  <c r="AE397" i="5"/>
  <c r="AE428" i="5"/>
  <c r="AE459" i="5"/>
  <c r="AE482" i="5"/>
  <c r="AE513" i="5"/>
  <c r="AE544" i="5"/>
  <c r="AE32" i="5"/>
  <c r="AE463" i="5"/>
  <c r="AE166" i="5"/>
  <c r="AE197" i="5"/>
  <c r="AE228" i="5"/>
  <c r="AE259" i="5"/>
  <c r="AE62" i="5"/>
  <c r="AE114" i="5"/>
  <c r="AE27" i="5"/>
  <c r="AE475" i="5"/>
  <c r="AE380" i="5"/>
  <c r="AE316" i="5"/>
  <c r="AE252" i="5"/>
  <c r="AE157" i="5"/>
  <c r="AE311" i="5"/>
  <c r="AE502" i="5"/>
  <c r="AE533" i="5"/>
  <c r="AE21" i="5"/>
  <c r="AE52" i="5"/>
  <c r="AE83" i="5"/>
  <c r="AE106" i="5"/>
  <c r="AE137" i="5"/>
  <c r="AE168" i="5"/>
  <c r="AE415" i="5"/>
  <c r="AE302" i="5"/>
  <c r="AE333" i="5"/>
  <c r="AE364" i="5"/>
  <c r="AE395" i="5"/>
  <c r="AE418" i="5"/>
  <c r="AE449" i="5"/>
  <c r="AE480" i="5"/>
  <c r="AE11" i="5"/>
  <c r="AE455" i="5"/>
  <c r="AE102" i="5"/>
  <c r="AE133" i="5"/>
  <c r="AE164" i="5"/>
  <c r="AE195" i="5"/>
  <c r="AE93" i="5"/>
  <c r="AE145" i="5"/>
  <c r="AE50" i="5"/>
  <c r="AE498" i="5"/>
  <c r="AE411" i="5"/>
  <c r="AE347" i="5"/>
  <c r="AE283" i="5"/>
  <c r="AE188" i="5"/>
  <c r="AE367" i="5"/>
  <c r="AE438" i="5"/>
  <c r="AE469" i="5"/>
  <c r="AE500" i="5"/>
  <c r="AE531" i="5"/>
  <c r="AE554" i="5"/>
  <c r="AE42" i="5"/>
  <c r="AE73" i="5"/>
  <c r="AE104" i="5"/>
  <c r="AE471" i="5"/>
  <c r="AE238" i="5"/>
  <c r="AE269" i="5"/>
  <c r="AE300" i="5"/>
  <c r="AE331" i="5"/>
  <c r="AE354" i="5"/>
  <c r="AE385" i="5"/>
  <c r="AE416" i="5"/>
  <c r="AE63" i="5"/>
  <c r="AE550" i="5"/>
  <c r="AE38" i="5"/>
  <c r="AE69" i="5"/>
  <c r="AE100" i="5"/>
  <c r="AE131" i="5"/>
  <c r="AE375" i="5"/>
  <c r="AE176" i="5"/>
  <c r="AE81" i="5"/>
  <c r="AE529" i="5"/>
  <c r="AE434" i="5"/>
  <c r="AE370" i="5"/>
  <c r="AE306" i="5"/>
  <c r="AE219" i="5"/>
  <c r="AE423" i="5"/>
  <c r="AE374" i="5"/>
  <c r="AE405" i="5"/>
  <c r="AE436" i="5"/>
  <c r="AE467" i="5"/>
  <c r="AE490" i="5"/>
  <c r="AE521" i="5"/>
  <c r="AE552" i="5"/>
  <c r="AE40" i="5"/>
  <c r="AE527" i="5"/>
  <c r="AE174" i="5"/>
  <c r="AE205" i="5"/>
  <c r="AE236" i="5"/>
  <c r="AE267" i="5"/>
  <c r="AE290" i="5"/>
  <c r="AE321" i="5"/>
  <c r="AE352" i="5"/>
  <c r="AE183" i="5"/>
  <c r="AE486" i="5"/>
  <c r="AE517" i="5"/>
  <c r="AE548" i="5"/>
  <c r="AE36" i="5"/>
  <c r="AE67" i="5"/>
  <c r="AE484" i="5"/>
  <c r="AE154" i="5"/>
  <c r="AE185" i="5"/>
  <c r="AE216" i="5"/>
  <c r="AE231" i="5"/>
  <c r="AE350" i="5"/>
  <c r="AE381" i="5"/>
  <c r="AE412" i="5"/>
  <c r="AE443" i="5"/>
  <c r="AE466" i="5"/>
  <c r="AE497" i="5"/>
  <c r="AE528" i="5"/>
  <c r="AE8" i="5"/>
  <c r="AE327" i="5"/>
  <c r="AE86" i="5"/>
  <c r="AE117" i="5"/>
  <c r="AE148" i="5"/>
  <c r="AE179" i="5"/>
  <c r="AE202" i="5"/>
  <c r="AE233" i="5"/>
  <c r="AE264" i="5"/>
  <c r="AE103" i="5"/>
  <c r="AE334" i="5"/>
  <c r="AE365" i="5"/>
  <c r="AE396" i="5"/>
  <c r="AE427" i="5"/>
  <c r="AE450" i="5"/>
  <c r="AE481" i="5"/>
  <c r="AE512" i="5"/>
  <c r="AE255" i="5"/>
  <c r="AE199" i="5"/>
  <c r="AE70" i="5"/>
  <c r="AE101" i="5"/>
  <c r="AE132" i="5"/>
  <c r="AE163" i="5"/>
  <c r="AE186" i="5"/>
  <c r="AE217" i="5"/>
  <c r="AE248" i="5"/>
  <c r="AE203" i="5"/>
  <c r="AE515" i="5"/>
  <c r="AE90" i="5"/>
  <c r="AE121" i="5"/>
  <c r="AE152" i="5"/>
  <c r="AE287" i="5"/>
  <c r="AE286" i="5"/>
  <c r="AE317" i="5"/>
  <c r="AE348" i="5"/>
  <c r="AE379" i="5"/>
  <c r="AE402" i="5"/>
  <c r="AE433" i="5"/>
  <c r="AE464" i="5"/>
  <c r="AE447" i="5"/>
  <c r="AE534" i="5"/>
  <c r="AE22" i="5"/>
  <c r="AE53" i="5"/>
  <c r="AE84" i="5"/>
  <c r="AE115" i="5"/>
  <c r="AE138" i="5"/>
  <c r="AE169" i="5"/>
  <c r="AE200" i="5"/>
  <c r="AE159" i="5"/>
  <c r="AE270" i="5"/>
  <c r="AE301" i="5"/>
  <c r="AE332" i="5"/>
  <c r="AE363" i="5"/>
  <c r="AE386" i="5"/>
  <c r="AE417" i="5"/>
  <c r="AE448" i="5"/>
  <c r="AE439" i="5"/>
  <c r="AE518" i="5"/>
  <c r="AE549" i="5"/>
  <c r="AE37" i="5"/>
  <c r="AE68" i="5"/>
  <c r="AE99" i="5"/>
  <c r="AE122" i="5"/>
  <c r="AE153" i="5"/>
  <c r="AE184" i="5"/>
  <c r="AE226" i="5"/>
  <c r="AE538" i="5"/>
  <c r="AE26" i="5"/>
  <c r="AE57" i="5"/>
  <c r="AE88" i="5"/>
  <c r="AE343" i="5"/>
  <c r="AE222" i="5"/>
  <c r="AE253" i="5"/>
  <c r="AE284" i="5"/>
  <c r="AE315" i="5"/>
  <c r="AE338" i="5"/>
  <c r="AE369" i="5"/>
  <c r="AE400" i="5"/>
  <c r="AE55" i="5"/>
  <c r="AE470" i="5"/>
  <c r="AE501" i="5"/>
  <c r="AE532" i="5"/>
  <c r="AE20" i="5"/>
  <c r="AE51" i="5"/>
  <c r="AE74" i="5"/>
  <c r="AE105" i="5"/>
  <c r="AE136" i="5"/>
  <c r="AE215" i="5"/>
  <c r="AE206" i="5"/>
  <c r="AE237" i="5"/>
  <c r="AE268" i="5"/>
  <c r="AE299" i="5"/>
  <c r="AE322" i="5"/>
  <c r="AE353" i="5"/>
  <c r="AE384" i="5"/>
  <c r="AE495" i="5"/>
  <c r="AE454" i="5"/>
  <c r="AE485" i="5"/>
  <c r="AE516" i="5"/>
  <c r="AE547" i="5"/>
  <c r="AE35" i="5"/>
  <c r="AE58" i="5"/>
  <c r="AE89" i="5"/>
  <c r="AE120" i="5"/>
  <c r="AE257" i="5"/>
  <c r="AE474" i="5"/>
  <c r="AE505" i="5"/>
  <c r="AE536" i="5"/>
  <c r="AE24" i="5"/>
  <c r="AE399" i="5"/>
  <c r="AE158" i="5"/>
  <c r="AE189" i="5"/>
  <c r="AE220" i="5"/>
  <c r="AE251" i="5"/>
  <c r="AE274" i="5"/>
  <c r="AE305" i="5"/>
  <c r="AE336" i="5"/>
  <c r="AE111" i="5"/>
  <c r="AE406" i="5"/>
  <c r="AE437" i="5"/>
  <c r="AE468" i="5"/>
  <c r="AE499" i="5"/>
  <c r="AE522" i="5"/>
  <c r="AE553" i="5"/>
  <c r="AE41" i="5"/>
  <c r="AE72" i="5"/>
  <c r="AE271" i="5"/>
  <c r="AE142" i="5"/>
  <c r="AE173" i="5"/>
  <c r="AE204" i="5"/>
  <c r="AE235" i="5"/>
  <c r="AE258" i="5"/>
  <c r="AE289" i="5"/>
  <c r="AE320" i="5"/>
  <c r="AE551" i="5"/>
  <c r="AE390" i="5"/>
  <c r="AE421" i="5"/>
  <c r="AE452" i="5"/>
  <c r="AE483" i="5"/>
  <c r="AE506" i="5"/>
  <c r="AE537" i="5"/>
  <c r="AE25" i="5"/>
  <c r="AE56" i="5"/>
  <c r="AE288" i="5"/>
  <c r="AE410" i="5"/>
  <c r="AE441" i="5"/>
  <c r="AE472" i="5"/>
  <c r="AE12" i="5"/>
  <c r="AE391" i="5"/>
  <c r="AE94" i="5"/>
  <c r="AE125" i="5"/>
  <c r="AE156" i="5"/>
  <c r="AE187" i="5"/>
  <c r="AE210" i="5"/>
  <c r="AE241" i="5"/>
  <c r="AE272" i="5"/>
  <c r="AE167" i="5"/>
  <c r="AE342" i="5"/>
  <c r="AE373" i="5"/>
  <c r="AE404" i="5"/>
  <c r="AE435" i="5"/>
  <c r="AE458" i="5"/>
  <c r="AE489" i="5"/>
  <c r="AE520" i="5"/>
  <c r="AE383" i="5"/>
  <c r="AE263" i="5"/>
  <c r="AE78" i="5"/>
  <c r="AE109" i="5"/>
  <c r="AE140" i="5"/>
  <c r="AE171" i="5"/>
  <c r="AE194" i="5"/>
  <c r="AE225" i="5"/>
  <c r="AE256" i="5"/>
  <c r="AE39" i="5"/>
  <c r="AE326" i="5"/>
  <c r="AE357" i="5"/>
  <c r="AE388" i="5"/>
  <c r="AE419" i="5"/>
  <c r="AE442" i="5"/>
  <c r="AE473" i="5"/>
  <c r="AE504" i="5"/>
  <c r="AE239" i="5"/>
  <c r="AE346" i="5"/>
  <c r="AE377" i="5"/>
  <c r="AE408" i="5"/>
  <c r="AE511" i="5"/>
  <c r="AE542" i="5"/>
  <c r="AE30" i="5"/>
  <c r="AE61" i="5"/>
  <c r="AE92" i="5"/>
  <c r="AE123" i="5"/>
  <c r="AE146" i="5"/>
  <c r="AE177" i="5"/>
  <c r="AE208" i="5"/>
  <c r="AE223" i="5"/>
  <c r="AE278" i="5"/>
  <c r="AE309" i="5"/>
  <c r="AE340" i="5"/>
  <c r="AE371" i="5"/>
  <c r="AE394" i="5"/>
  <c r="AE425" i="5"/>
  <c r="AE456" i="5"/>
  <c r="AE503" i="5"/>
  <c r="AE526" i="5"/>
  <c r="AE557" i="5"/>
  <c r="AE45" i="5"/>
  <c r="AE76" i="5"/>
  <c r="AE107" i="5"/>
  <c r="AE130" i="5"/>
  <c r="AE161" i="5"/>
  <c r="AE192" i="5"/>
  <c r="AE95" i="5"/>
  <c r="AE262" i="5"/>
  <c r="AE293" i="5"/>
  <c r="AE324" i="5"/>
  <c r="AE355" i="5"/>
  <c r="AE378" i="5"/>
  <c r="AE409" i="5"/>
  <c r="AE440" i="5"/>
  <c r="AE422" i="5"/>
  <c r="AE282" i="5"/>
  <c r="AE313" i="5"/>
  <c r="AE344" i="5"/>
  <c r="AE119" i="5"/>
  <c r="AE478" i="5"/>
  <c r="AE509" i="5"/>
  <c r="AE540" i="5"/>
  <c r="AE28" i="5"/>
  <c r="AE59" i="5"/>
  <c r="AE82" i="5"/>
  <c r="AE113" i="5"/>
  <c r="AE144" i="5"/>
  <c r="AE279" i="5"/>
  <c r="AE214" i="5"/>
  <c r="AE245" i="5"/>
  <c r="AE276" i="5"/>
  <c r="AE307" i="5"/>
  <c r="AE330" i="5"/>
  <c r="AE361" i="5"/>
  <c r="AE392" i="5"/>
  <c r="AE559" i="5"/>
  <c r="AE462" i="5"/>
  <c r="AE493" i="5"/>
  <c r="AE524" i="5"/>
  <c r="AE555" i="5"/>
  <c r="AE43" i="5"/>
  <c r="AE66" i="5"/>
  <c r="AE97" i="5"/>
  <c r="AE128" i="5"/>
  <c r="AE151" i="5"/>
  <c r="AE198" i="5"/>
  <c r="AE229" i="5"/>
  <c r="AE260" i="5"/>
  <c r="AE291" i="5"/>
  <c r="AE314" i="5"/>
  <c r="AE345" i="5"/>
  <c r="AE376" i="5"/>
  <c r="AE453" i="5"/>
  <c r="AE218" i="5"/>
  <c r="AE249" i="5"/>
  <c r="AE280" i="5"/>
  <c r="AE175" i="5"/>
  <c r="AE414" i="5"/>
  <c r="AE445" i="5"/>
  <c r="AE476" i="5"/>
  <c r="AE507" i="5"/>
  <c r="AE530" i="5"/>
  <c r="AE19" i="5"/>
  <c r="AE49" i="5"/>
  <c r="AE80" i="5"/>
  <c r="AE335" i="5"/>
  <c r="AE150" i="5"/>
  <c r="AE181" i="5"/>
  <c r="AE212" i="5"/>
  <c r="AE243" i="5"/>
  <c r="AE266" i="5"/>
  <c r="AE297" i="5"/>
  <c r="AE328" i="5"/>
  <c r="AE47" i="5"/>
  <c r="AE398" i="5"/>
  <c r="AE429" i="5"/>
  <c r="AE460" i="5"/>
  <c r="AE491" i="5"/>
  <c r="AE514" i="5"/>
  <c r="AE545" i="5"/>
  <c r="AE33" i="5"/>
  <c r="AE64" i="5"/>
  <c r="AE207" i="5"/>
  <c r="AE134" i="5"/>
  <c r="AE165" i="5"/>
  <c r="AE196" i="5"/>
  <c r="AE227" i="5"/>
  <c r="AE250" i="5"/>
  <c r="AE281" i="5"/>
  <c r="AE312" i="5"/>
  <c r="AL545" i="5"/>
  <c r="AL499" i="5"/>
  <c r="AL433" i="5"/>
  <c r="AL373" i="5"/>
  <c r="AL392" i="5"/>
  <c r="AL377" i="5"/>
  <c r="AL486" i="5"/>
  <c r="AL370" i="5"/>
  <c r="AL383" i="5"/>
  <c r="AL412" i="5"/>
  <c r="AL505" i="5"/>
  <c r="AL273" i="5"/>
  <c r="AL137" i="5"/>
  <c r="AL243" i="5"/>
  <c r="AL400" i="5"/>
  <c r="AL116" i="5"/>
  <c r="AL174" i="5"/>
  <c r="AL402" i="5"/>
  <c r="AL53" i="5"/>
  <c r="AL215" i="5"/>
  <c r="AL108" i="5"/>
  <c r="AL224" i="5"/>
  <c r="AL422" i="5"/>
  <c r="AL70" i="5"/>
  <c r="AL131" i="5"/>
  <c r="AL286" i="5"/>
  <c r="AL537" i="5"/>
  <c r="AL36" i="5"/>
  <c r="AL181" i="5"/>
  <c r="AL313" i="5"/>
  <c r="AL129" i="5"/>
  <c r="AL266" i="5"/>
  <c r="AL338" i="5"/>
  <c r="AL20" i="5"/>
  <c r="AL197" i="5"/>
  <c r="AL475" i="5"/>
  <c r="AL76" i="5"/>
  <c r="AL445" i="5"/>
  <c r="AL414" i="5"/>
  <c r="AL64" i="5"/>
  <c r="AL167" i="5"/>
  <c r="AL442" i="5"/>
  <c r="AL152" i="5"/>
  <c r="AL196" i="5"/>
  <c r="AL186" i="5"/>
  <c r="AL376" i="5"/>
  <c r="AL229" i="5"/>
  <c r="AL147" i="5"/>
  <c r="AL78" i="5"/>
  <c r="AL546" i="5"/>
  <c r="AL52" i="5"/>
  <c r="AL284" i="5"/>
  <c r="AL269" i="5"/>
  <c r="AL554" i="5"/>
  <c r="AL494" i="5"/>
  <c r="AL432" i="5"/>
  <c r="AL331" i="5"/>
  <c r="AL318" i="5"/>
  <c r="AL349" i="5"/>
  <c r="AL466" i="5"/>
  <c r="AL362" i="5"/>
  <c r="AL367" i="5"/>
  <c r="AL381" i="5"/>
  <c r="AL496" i="5"/>
  <c r="AL448" i="5"/>
  <c r="AL97" i="5"/>
  <c r="AL212" i="5"/>
  <c r="AL251" i="5"/>
  <c r="AL91" i="5"/>
  <c r="AL162" i="5"/>
  <c r="AL289" i="5"/>
  <c r="AL259" i="5"/>
  <c r="AL90" i="5"/>
  <c r="AL74" i="5"/>
  <c r="AL270" i="5"/>
  <c r="AL532" i="5"/>
  <c r="AL92" i="5"/>
  <c r="AL246" i="5"/>
  <c r="AL479" i="5"/>
  <c r="AL525" i="5"/>
  <c r="AL103" i="5"/>
  <c r="AL337" i="5"/>
  <c r="AL529" i="5"/>
  <c r="AL173" i="5"/>
  <c r="AL157" i="5"/>
  <c r="AL538" i="5"/>
  <c r="AL177" i="5"/>
  <c r="AL144" i="5"/>
  <c r="AL437" i="5"/>
  <c r="AL41" i="5"/>
  <c r="AL127" i="5"/>
  <c r="AL350" i="5"/>
  <c r="AL82" i="5"/>
  <c r="AL184" i="5"/>
  <c r="AL278" i="5"/>
  <c r="AL218" i="5"/>
  <c r="AL214" i="5"/>
  <c r="AL155" i="5"/>
  <c r="AL38" i="5"/>
  <c r="AL303" i="5"/>
  <c r="AL156" i="5"/>
  <c r="AL122" i="5"/>
  <c r="AL109" i="5"/>
  <c r="AL150" i="5"/>
  <c r="AL280" i="5"/>
  <c r="AL298" i="5"/>
  <c r="AL339" i="5"/>
  <c r="AL314" i="5"/>
  <c r="AL335" i="5"/>
  <c r="AL281" i="5"/>
  <c r="AL287" i="5"/>
  <c r="AL395" i="5"/>
  <c r="AL516" i="5"/>
  <c r="AL312" i="5"/>
  <c r="AL481" i="5"/>
  <c r="AL346" i="5"/>
  <c r="AL503" i="5"/>
  <c r="AL438" i="5"/>
  <c r="AL526" i="5"/>
  <c r="AL492" i="5"/>
  <c r="AL531" i="5"/>
  <c r="AL13" i="5"/>
  <c r="AL559" i="5"/>
  <c r="AL482" i="5"/>
  <c r="AL407" i="5"/>
  <c r="AL316" i="5"/>
  <c r="AL297" i="5"/>
  <c r="AL327" i="5"/>
  <c r="AL451" i="5"/>
  <c r="AL356" i="5"/>
  <c r="AL334" i="5"/>
  <c r="AL363" i="5"/>
  <c r="AL454" i="5"/>
  <c r="AL241" i="5"/>
  <c r="AL88" i="5"/>
  <c r="AL211" i="5"/>
  <c r="AL217" i="5"/>
  <c r="AL84" i="5"/>
  <c r="AL113" i="5"/>
  <c r="AL268" i="5"/>
  <c r="AL132" i="5"/>
  <c r="AL247" i="5"/>
  <c r="AL258" i="5"/>
  <c r="AL221" i="5"/>
  <c r="AL524" i="5"/>
  <c r="AL58" i="5"/>
  <c r="AL230" i="5"/>
  <c r="AL302" i="5"/>
  <c r="AL61" i="5"/>
  <c r="AL23" i="5"/>
  <c r="AL305" i="5"/>
  <c r="AL32" i="5"/>
  <c r="AL360" i="5"/>
  <c r="AL254" i="5"/>
  <c r="AL550" i="5"/>
  <c r="AL176" i="5"/>
  <c r="AL163" i="5"/>
  <c r="AL358" i="5"/>
  <c r="AL24" i="5"/>
  <c r="AL240" i="5"/>
  <c r="AL468" i="5"/>
  <c r="AL57" i="5"/>
  <c r="AL509" i="5"/>
  <c r="AL361" i="5"/>
  <c r="AL556" i="5"/>
  <c r="AL301" i="5"/>
  <c r="AL200" i="5"/>
  <c r="AL28" i="5"/>
  <c r="AL45" i="5"/>
  <c r="AL172" i="5"/>
  <c r="AL124" i="5"/>
  <c r="AL21" i="5"/>
  <c r="AL206" i="5"/>
  <c r="AL357" i="5"/>
  <c r="AL332" i="5"/>
  <c r="AL195" i="5"/>
  <c r="AL310" i="5"/>
  <c r="AL340" i="5"/>
  <c r="AL290" i="5"/>
  <c r="AL256" i="5"/>
  <c r="AL399" i="5"/>
  <c r="AL552" i="5"/>
  <c r="AL388" i="5"/>
  <c r="AL467" i="5"/>
  <c r="AL380" i="5"/>
  <c r="AL507" i="5"/>
  <c r="AL460" i="5"/>
  <c r="AL523" i="5"/>
  <c r="AL547" i="5"/>
  <c r="AL461" i="5"/>
  <c r="AL405" i="5"/>
  <c r="AL292" i="5"/>
  <c r="AL277" i="5"/>
  <c r="AL300" i="5"/>
  <c r="AL449" i="5"/>
  <c r="AL348" i="5"/>
  <c r="AL307" i="5"/>
  <c r="AL320" i="5"/>
  <c r="AL423" i="5"/>
  <c r="AL192" i="5"/>
  <c r="AL80" i="5"/>
  <c r="AL208" i="5"/>
  <c r="AL198" i="5"/>
  <c r="AL77" i="5"/>
  <c r="AL104" i="5"/>
  <c r="AL203" i="5"/>
  <c r="AL237" i="5"/>
  <c r="AL542" i="5"/>
  <c r="AL55" i="5"/>
  <c r="AL317" i="5"/>
  <c r="AL96" i="5"/>
  <c r="AL161" i="5"/>
  <c r="AL168" i="5"/>
  <c r="AL417" i="5"/>
  <c r="AL79" i="5"/>
  <c r="AL34" i="5"/>
  <c r="AL483" i="5"/>
  <c r="AL48" i="5"/>
  <c r="AL89" i="5"/>
  <c r="AL42" i="5"/>
  <c r="AL533" i="5"/>
  <c r="AL120" i="5"/>
  <c r="AL263" i="5"/>
  <c r="AL425" i="5"/>
  <c r="AL44" i="5"/>
  <c r="AL165" i="5"/>
  <c r="AL365" i="5"/>
  <c r="AL27" i="5"/>
  <c r="AL244" i="5"/>
  <c r="AL299" i="5"/>
  <c r="AL187" i="5"/>
  <c r="AL558" i="5"/>
  <c r="AL207" i="5"/>
  <c r="AL75" i="5"/>
  <c r="AL46" i="5"/>
  <c r="AL188" i="5"/>
  <c r="AL170" i="5"/>
  <c r="AL30" i="5"/>
  <c r="AL31" i="5"/>
  <c r="AL391" i="5"/>
  <c r="AL343" i="5"/>
  <c r="AL231" i="5"/>
  <c r="AL396" i="5"/>
  <c r="AL354" i="5"/>
  <c r="AL304" i="5"/>
  <c r="AL283" i="5"/>
  <c r="AL411" i="5"/>
  <c r="AL415" i="5"/>
  <c r="AL447" i="5"/>
  <c r="AL508" i="5"/>
  <c r="AL410" i="5"/>
  <c r="AL514" i="5"/>
  <c r="AL431" i="5"/>
  <c r="AL560" i="5"/>
  <c r="AL427" i="5"/>
  <c r="AL541" i="5"/>
  <c r="AL456" i="5"/>
  <c r="AL404" i="5"/>
  <c r="AL512" i="5"/>
  <c r="AL544" i="5"/>
  <c r="AL518" i="5"/>
  <c r="AL421" i="5"/>
  <c r="AL323" i="5"/>
  <c r="AL275" i="5"/>
  <c r="AL282" i="5"/>
  <c r="AL408" i="5"/>
  <c r="AL153" i="5"/>
  <c r="AL233" i="5"/>
  <c r="AL204" i="5"/>
  <c r="AL175" i="5"/>
  <c r="AL71" i="5"/>
  <c r="AL87" i="5"/>
  <c r="AL138" i="5"/>
  <c r="AL159" i="5"/>
  <c r="AL100" i="5"/>
  <c r="AL194" i="5"/>
  <c r="AL450" i="5"/>
  <c r="AL56" i="5"/>
  <c r="AL169" i="5"/>
  <c r="AL227" i="5"/>
  <c r="AL353" i="5"/>
  <c r="AL35" i="5"/>
  <c r="AL81" i="5"/>
  <c r="AL322" i="5"/>
  <c r="AL67" i="5"/>
  <c r="AL330" i="5"/>
  <c r="AL390" i="5"/>
  <c r="AL69" i="5"/>
  <c r="AL178" i="5"/>
  <c r="AL205" i="5"/>
  <c r="AL341" i="5"/>
  <c r="AL189" i="5"/>
  <c r="AL345" i="5"/>
  <c r="AL434" i="5"/>
  <c r="AL68" i="5"/>
  <c r="AL111" i="5"/>
  <c r="AL294" i="5"/>
  <c r="AL166" i="5"/>
  <c r="AL94" i="5"/>
  <c r="AL199" i="5"/>
  <c r="AL118" i="5"/>
  <c r="AL22" i="5"/>
  <c r="AL223" i="5"/>
  <c r="AL201" i="5"/>
  <c r="AL193" i="5"/>
  <c r="AL110" i="5"/>
  <c r="AL105" i="5"/>
  <c r="AL382" i="5"/>
  <c r="AL10" i="5"/>
  <c r="AL528" i="5"/>
  <c r="AL452" i="5"/>
  <c r="AL394" i="5"/>
  <c r="AL469" i="5"/>
  <c r="AL491" i="5"/>
  <c r="AL502" i="5"/>
  <c r="AL418" i="5"/>
  <c r="AL311" i="5"/>
  <c r="AL476" i="5"/>
  <c r="AL279" i="5"/>
  <c r="AL375" i="5"/>
  <c r="AL151" i="5"/>
  <c r="AL140" i="5"/>
  <c r="AL158" i="5"/>
  <c r="AL142" i="5"/>
  <c r="AL261" i="5"/>
  <c r="AL72" i="5"/>
  <c r="AL114" i="5"/>
  <c r="AL133" i="5"/>
  <c r="AL98" i="5"/>
  <c r="AL368" i="5"/>
  <c r="AL295" i="5"/>
  <c r="AL93" i="5"/>
  <c r="AL226" i="5"/>
  <c r="AL309" i="5"/>
  <c r="AL325" i="5"/>
  <c r="AL65" i="5"/>
  <c r="AL39" i="5"/>
  <c r="AL428" i="5"/>
  <c r="AL54" i="5"/>
  <c r="AL95" i="5"/>
  <c r="AL306" i="5"/>
  <c r="AL49" i="5"/>
  <c r="AL123" i="5"/>
  <c r="AL238" i="5"/>
  <c r="AL540" i="5"/>
  <c r="AL106" i="5"/>
  <c r="AL73" i="5"/>
  <c r="AL536" i="5"/>
  <c r="AL107" i="5"/>
  <c r="AL160" i="5"/>
  <c r="AL444" i="5"/>
  <c r="AL164" i="5"/>
  <c r="AL141" i="5"/>
  <c r="AL190" i="5"/>
  <c r="AL182" i="5"/>
  <c r="AL37" i="5"/>
  <c r="AL487" i="5"/>
  <c r="AL225" i="5"/>
  <c r="AL185" i="5"/>
  <c r="AL222" i="5"/>
  <c r="AL33" i="5"/>
  <c r="AL264" i="5"/>
  <c r="AL255" i="5"/>
  <c r="AL154" i="5"/>
  <c r="AL374" i="5"/>
  <c r="AL319" i="5"/>
  <c r="AL272" i="5"/>
  <c r="AL490" i="5"/>
  <c r="AL285" i="5"/>
  <c r="AL441" i="5"/>
  <c r="AL393" i="5"/>
  <c r="AL386" i="5"/>
  <c r="AL519" i="5"/>
  <c r="AL480" i="5"/>
  <c r="AL464" i="5"/>
  <c r="AL549" i="5"/>
  <c r="B73" i="5"/>
  <c r="AL527" i="5"/>
  <c r="AL440" i="5"/>
  <c r="AL385" i="5"/>
  <c r="AL403" i="5"/>
  <c r="AL459" i="5"/>
  <c r="AL497" i="5"/>
  <c r="AL387" i="5"/>
  <c r="AL515" i="5"/>
  <c r="AL474" i="5"/>
  <c r="AL511" i="5"/>
  <c r="AL347" i="5"/>
  <c r="AL149" i="5"/>
  <c r="AL257" i="5"/>
  <c r="AL85" i="5"/>
  <c r="AL125" i="5"/>
  <c r="AL236" i="5"/>
  <c r="AL171" i="5"/>
  <c r="AL99" i="5"/>
  <c r="AL101" i="5"/>
  <c r="AL134" i="5"/>
  <c r="AL128" i="5"/>
  <c r="AL384" i="5"/>
  <c r="AL29" i="5"/>
  <c r="AL235" i="5"/>
  <c r="AL420" i="5"/>
  <c r="AL498" i="5"/>
  <c r="AL43" i="5"/>
  <c r="AL136" i="5"/>
  <c r="AL333" i="5"/>
  <c r="AL60" i="5"/>
  <c r="AL191" i="5"/>
  <c r="AL458" i="5"/>
  <c r="AL102" i="5"/>
  <c r="AL262" i="5"/>
  <c r="AL398" i="5"/>
  <c r="AL535" i="5"/>
  <c r="AL180" i="5"/>
  <c r="AL210" i="5"/>
  <c r="AL548" i="5"/>
  <c r="AL26" i="5"/>
  <c r="AL213" i="5"/>
  <c r="AL406" i="5"/>
  <c r="AL183" i="5"/>
  <c r="AL146" i="5"/>
  <c r="AL267" i="5"/>
  <c r="AL179" i="5"/>
  <c r="AL121" i="5"/>
  <c r="AL416" i="5"/>
  <c r="AL50" i="5"/>
  <c r="AL216" i="5"/>
  <c r="AL248" i="5"/>
  <c r="AL228" i="5"/>
  <c r="AL288" i="5"/>
  <c r="AL265" i="5"/>
  <c r="AL242" i="5"/>
  <c r="AL126" i="5"/>
  <c r="AL352" i="5"/>
  <c r="AL326" i="5"/>
  <c r="AL485" i="5"/>
  <c r="AL429" i="5"/>
  <c r="AL455" i="5"/>
  <c r="AL446" i="5"/>
  <c r="AL470" i="5"/>
  <c r="AL520" i="5"/>
  <c r="AL557" i="5"/>
  <c r="AL19" i="5"/>
  <c r="AL513" i="5"/>
  <c r="AL436" i="5"/>
  <c r="AL378" i="5"/>
  <c r="AL397" i="5"/>
  <c r="AL389" i="5"/>
  <c r="AL493" i="5"/>
  <c r="AL372" i="5"/>
  <c r="AL463" i="5"/>
  <c r="AL435" i="5"/>
  <c r="AL510" i="5"/>
  <c r="AL276" i="5"/>
  <c r="AL145" i="5"/>
  <c r="AL245" i="5"/>
  <c r="AL83" i="5"/>
  <c r="AL117" i="5"/>
  <c r="AL220" i="5"/>
  <c r="AL471" i="5"/>
  <c r="AL86" i="5"/>
  <c r="AL239" i="5"/>
  <c r="AL252" i="5"/>
  <c r="AL63" i="5"/>
  <c r="AL321" i="5"/>
  <c r="AL62" i="5"/>
  <c r="AL66" i="5"/>
  <c r="AL329" i="5"/>
  <c r="AL430" i="5"/>
  <c r="AL25" i="5"/>
  <c r="AL250" i="5"/>
  <c r="AL413" i="5"/>
  <c r="AL47" i="5"/>
  <c r="AL139" i="5"/>
  <c r="AL409" i="5"/>
  <c r="AL51" i="5"/>
  <c r="AL112" i="5"/>
  <c r="AL517" i="5"/>
  <c r="AL59" i="5"/>
  <c r="AL202" i="5"/>
  <c r="AL366" i="5"/>
  <c r="AL555" i="5"/>
  <c r="AL119" i="5"/>
  <c r="AL293" i="5"/>
  <c r="AL539" i="5"/>
  <c r="AL209" i="5"/>
  <c r="AL148" i="5"/>
  <c r="AL115" i="5"/>
  <c r="AL135" i="5"/>
  <c r="AL143" i="5"/>
  <c r="AL40" i="5"/>
  <c r="AL219" i="5"/>
  <c r="AL551" i="5"/>
  <c r="AL260" i="5"/>
  <c r="AL253" i="5"/>
  <c r="AL364" i="5"/>
  <c r="AL359" i="5"/>
  <c r="AL274" i="5"/>
  <c r="AL234" i="5"/>
  <c r="AL369" i="5"/>
  <c r="AL336" i="5"/>
  <c r="AL473" i="5"/>
  <c r="AL424" i="5"/>
  <c r="AL443" i="5"/>
  <c r="AL249" i="5"/>
  <c r="AL495" i="5"/>
  <c r="AL351" i="5"/>
  <c r="AL478" i="5"/>
  <c r="AL543" i="5"/>
  <c r="AL342" i="5"/>
  <c r="AL426" i="5"/>
  <c r="AL522" i="5"/>
  <c r="AL504" i="5"/>
  <c r="AL8" i="5"/>
  <c r="AL271" i="5"/>
  <c r="AL315" i="5"/>
  <c r="AL419" i="5"/>
  <c r="AL439" i="5"/>
  <c r="AL12" i="5"/>
  <c r="AL296" i="5"/>
  <c r="AL401" i="5"/>
  <c r="AL457" i="5"/>
  <c r="AL477" i="5"/>
  <c r="AL344" i="5"/>
  <c r="AL379" i="5"/>
  <c r="AL462" i="5"/>
  <c r="AL501" i="5"/>
  <c r="AL484" i="5"/>
  <c r="AL232" i="5"/>
  <c r="AL308" i="5"/>
  <c r="AL506" i="5"/>
  <c r="AL534" i="5"/>
  <c r="AL500" i="5"/>
  <c r="AL324" i="5"/>
  <c r="AL371" i="5"/>
  <c r="AL355" i="5"/>
  <c r="AL521" i="5"/>
  <c r="AL553" i="5"/>
  <c r="AL130" i="5"/>
  <c r="AL453" i="5"/>
  <c r="AL291" i="5"/>
  <c r="AL465" i="5"/>
  <c r="AL472" i="5"/>
  <c r="AL328" i="5"/>
  <c r="AL488" i="5"/>
  <c r="AL489" i="5"/>
  <c r="AL530" i="5"/>
  <c r="AL7" i="5"/>
  <c r="AL11" i="5"/>
  <c r="AD450" i="5"/>
  <c r="AC450" i="5"/>
  <c r="BE450" i="5"/>
  <c r="AD430" i="5"/>
  <c r="AC430" i="5"/>
  <c r="BE430" i="5"/>
  <c r="AD531" i="5"/>
  <c r="AC531" i="5"/>
  <c r="BE531" i="5"/>
  <c r="AD275" i="5"/>
  <c r="AD300" i="5"/>
  <c r="W165" i="5"/>
  <c r="X165" i="5"/>
  <c r="S9" i="5"/>
  <c r="V9" i="5"/>
  <c r="Y9" i="5"/>
  <c r="AV9" i="5"/>
  <c r="AL9" i="5"/>
  <c r="AI9" i="5"/>
  <c r="AF9" i="5"/>
  <c r="P9" i="5"/>
  <c r="W202" i="5"/>
  <c r="X202" i="5"/>
  <c r="W501" i="5"/>
  <c r="X501" i="5"/>
  <c r="W241" i="5"/>
  <c r="X241" i="5"/>
  <c r="X25" i="5"/>
  <c r="W25" i="5"/>
  <c r="W507" i="5"/>
  <c r="X507" i="5"/>
  <c r="W430" i="5"/>
  <c r="X430" i="5"/>
  <c r="W255" i="5"/>
  <c r="X255" i="5"/>
  <c r="W127" i="5"/>
  <c r="X127" i="5"/>
  <c r="W300" i="5"/>
  <c r="X300" i="5"/>
  <c r="X334" i="5"/>
  <c r="W334" i="5"/>
  <c r="W494" i="5"/>
  <c r="X494" i="5"/>
  <c r="W76" i="5"/>
  <c r="X76" i="5"/>
  <c r="X37" i="5"/>
  <c r="W37" i="5"/>
  <c r="W268" i="5"/>
  <c r="X268" i="5"/>
  <c r="X531" i="5"/>
  <c r="W531" i="5"/>
  <c r="X485" i="5"/>
  <c r="W485" i="5"/>
  <c r="W353" i="5"/>
  <c r="X353" i="5"/>
  <c r="X142" i="5"/>
  <c r="W142" i="5"/>
  <c r="X212" i="5"/>
  <c r="W212" i="5"/>
  <c r="X450" i="5"/>
  <c r="W450" i="5"/>
  <c r="W398" i="5"/>
  <c r="X398" i="5"/>
  <c r="W239" i="5"/>
  <c r="X239" i="5"/>
  <c r="X27" i="5"/>
  <c r="W27" i="5"/>
  <c r="W174" i="5"/>
  <c r="X174" i="5"/>
  <c r="X505" i="5"/>
  <c r="W505" i="5"/>
  <c r="X406" i="5"/>
  <c r="W406" i="5"/>
  <c r="X213" i="5"/>
  <c r="W213" i="5"/>
  <c r="W322" i="5"/>
  <c r="X322" i="5"/>
  <c r="W256" i="5"/>
  <c r="X256" i="5"/>
  <c r="X551" i="5"/>
  <c r="W551" i="5"/>
  <c r="X475" i="5"/>
  <c r="W475" i="5"/>
  <c r="X465" i="5"/>
  <c r="W465" i="5"/>
  <c r="X310" i="5"/>
  <c r="W310" i="5"/>
  <c r="X144" i="5"/>
  <c r="W144" i="5"/>
  <c r="X466" i="5"/>
  <c r="W466" i="5"/>
  <c r="X382" i="5"/>
  <c r="W382" i="5"/>
  <c r="X498" i="5"/>
  <c r="W498" i="5"/>
  <c r="X234" i="5"/>
  <c r="W234" i="5"/>
  <c r="W170" i="5"/>
  <c r="X170" i="5"/>
  <c r="W486" i="5"/>
  <c r="X486" i="5"/>
  <c r="X227" i="5"/>
  <c r="W227" i="5"/>
  <c r="W157" i="5"/>
  <c r="X157" i="5"/>
  <c r="W64" i="5"/>
  <c r="X64" i="5"/>
  <c r="X72" i="5"/>
  <c r="W72" i="5"/>
  <c r="X277" i="5"/>
  <c r="W277" i="5"/>
  <c r="W554" i="5"/>
  <c r="X554" i="5"/>
  <c r="X326" i="5"/>
  <c r="W326" i="5"/>
  <c r="X177" i="5"/>
  <c r="W177" i="5"/>
  <c r="X451" i="5"/>
  <c r="W451" i="5"/>
  <c r="X273" i="5"/>
  <c r="W273" i="5"/>
  <c r="W453" i="5"/>
  <c r="X453" i="5"/>
  <c r="X153" i="5"/>
  <c r="W153" i="5"/>
  <c r="X362" i="5"/>
  <c r="W362" i="5"/>
  <c r="W510" i="5"/>
  <c r="X510" i="5"/>
  <c r="X271" i="5"/>
  <c r="W271" i="5"/>
  <c r="W162" i="5"/>
  <c r="X162" i="5"/>
  <c r="W352" i="5"/>
  <c r="X352" i="5"/>
  <c r="W77" i="5"/>
  <c r="X77" i="5"/>
  <c r="X311" i="5"/>
  <c r="W311" i="5"/>
  <c r="X65" i="5"/>
  <c r="W65" i="5"/>
  <c r="X159" i="5"/>
  <c r="W159" i="5"/>
  <c r="AB482" i="5"/>
  <c r="X482" i="5"/>
  <c r="W482" i="5"/>
  <c r="W81" i="5"/>
  <c r="X81" i="5"/>
  <c r="X20" i="5"/>
  <c r="W20" i="5"/>
  <c r="W137" i="5"/>
  <c r="X137" i="5"/>
  <c r="W493" i="5"/>
  <c r="X493" i="5"/>
  <c r="AD446" i="5"/>
  <c r="AC446" i="5"/>
  <c r="BE446" i="5"/>
  <c r="BE327" i="5"/>
  <c r="AC327" i="5"/>
  <c r="AD327" i="5"/>
  <c r="AD452" i="5"/>
  <c r="AC452" i="5"/>
  <c r="BE452" i="5"/>
  <c r="BE445" i="5"/>
  <c r="AD445" i="5"/>
  <c r="AC445" i="5"/>
  <c r="AC84" i="5"/>
  <c r="AD84" i="5"/>
  <c r="BE84" i="5"/>
  <c r="AD121" i="5"/>
  <c r="AC121" i="5"/>
  <c r="BE121" i="5"/>
  <c r="AD295" i="5"/>
  <c r="AC295" i="5"/>
  <c r="BE295" i="5"/>
  <c r="X129" i="5"/>
  <c r="W129" i="5"/>
  <c r="W196" i="5"/>
  <c r="X196" i="5"/>
  <c r="X96" i="5"/>
  <c r="W96" i="5"/>
  <c r="X524" i="5"/>
  <c r="W524" i="5"/>
  <c r="X42" i="5"/>
  <c r="W42" i="5"/>
  <c r="X553" i="5"/>
  <c r="W553" i="5"/>
  <c r="W381" i="5"/>
  <c r="X381" i="5"/>
  <c r="W302" i="5"/>
  <c r="X302" i="5"/>
  <c r="X304" i="5"/>
  <c r="W304" i="5"/>
  <c r="W439" i="5"/>
  <c r="X439" i="5"/>
  <c r="X435" i="5"/>
  <c r="W435" i="5"/>
  <c r="X437" i="5"/>
  <c r="W437" i="5"/>
  <c r="X368" i="5"/>
  <c r="W368" i="5"/>
  <c r="W205" i="5"/>
  <c r="X205" i="5"/>
  <c r="X58" i="5"/>
  <c r="W58" i="5"/>
  <c r="W375" i="5"/>
  <c r="X375" i="5"/>
  <c r="W445" i="5"/>
  <c r="X445" i="5"/>
  <c r="X558" i="5"/>
  <c r="W558" i="5"/>
  <c r="X301" i="5"/>
  <c r="W301" i="5"/>
  <c r="W26" i="5"/>
  <c r="X26" i="5"/>
  <c r="W121" i="5"/>
  <c r="X121" i="5"/>
  <c r="X560" i="5"/>
  <c r="W560" i="5"/>
  <c r="X333" i="5"/>
  <c r="W333" i="5"/>
  <c r="W295" i="5"/>
  <c r="X295" i="5"/>
  <c r="W140" i="5"/>
  <c r="X140" i="5"/>
  <c r="W418" i="5"/>
  <c r="X418" i="5"/>
  <c r="X541" i="5"/>
  <c r="W541" i="5"/>
  <c r="X488" i="5"/>
  <c r="W488" i="5"/>
  <c r="W336" i="5"/>
  <c r="X336" i="5"/>
  <c r="X228" i="5"/>
  <c r="W228" i="5"/>
  <c r="X319" i="5"/>
  <c r="W319" i="5"/>
  <c r="X420" i="5"/>
  <c r="W420" i="5"/>
  <c r="W452" i="5"/>
  <c r="X452" i="5"/>
  <c r="W383" i="5"/>
  <c r="X383" i="5"/>
  <c r="W344" i="5"/>
  <c r="X344" i="5"/>
  <c r="X93" i="5"/>
  <c r="W93" i="5"/>
  <c r="W515" i="5"/>
  <c r="X515" i="5"/>
  <c r="W516" i="5"/>
  <c r="X516" i="5"/>
  <c r="W440" i="5"/>
  <c r="X440" i="5"/>
  <c r="X258" i="5"/>
  <c r="W258" i="5"/>
  <c r="X120" i="5"/>
  <c r="W120" i="5"/>
  <c r="X456" i="5"/>
  <c r="W456" i="5"/>
  <c r="X374" i="5"/>
  <c r="W374" i="5"/>
  <c r="W244" i="5"/>
  <c r="X244" i="5"/>
  <c r="X59" i="5"/>
  <c r="W59" i="5"/>
  <c r="W236" i="5"/>
  <c r="X236" i="5"/>
  <c r="W446" i="5"/>
  <c r="X446" i="5"/>
  <c r="W226" i="5"/>
  <c r="X226" i="5"/>
  <c r="X146" i="5"/>
  <c r="W146" i="5"/>
  <c r="X69" i="5"/>
  <c r="W69" i="5"/>
  <c r="X199" i="5"/>
  <c r="W199" i="5"/>
  <c r="X293" i="5"/>
  <c r="W293" i="5"/>
  <c r="X167" i="5"/>
  <c r="W167" i="5"/>
  <c r="X327" i="5"/>
  <c r="W327" i="5"/>
  <c r="X549" i="5"/>
  <c r="W549" i="5"/>
  <c r="W176" i="5"/>
  <c r="X176" i="5"/>
  <c r="W106" i="5"/>
  <c r="X106" i="5"/>
  <c r="X373" i="5"/>
  <c r="W373" i="5"/>
  <c r="W245" i="5"/>
  <c r="X245" i="5"/>
  <c r="X369" i="5"/>
  <c r="W369" i="5"/>
  <c r="X84" i="5"/>
  <c r="W84" i="5"/>
  <c r="X87" i="5"/>
  <c r="W87" i="5"/>
  <c r="W306" i="5"/>
  <c r="X306" i="5"/>
  <c r="X200" i="5"/>
  <c r="W200" i="5"/>
  <c r="X269" i="5"/>
  <c r="W269" i="5"/>
  <c r="W371" i="5"/>
  <c r="X371" i="5"/>
  <c r="W385" i="5"/>
  <c r="X385" i="5"/>
  <c r="AD413" i="5"/>
  <c r="AC413" i="5"/>
  <c r="BE413" i="5"/>
  <c r="AD62" i="5"/>
  <c r="AC62" i="5"/>
  <c r="BE62" i="5"/>
  <c r="AC404" i="5"/>
  <c r="AD404" i="5"/>
  <c r="BE404" i="5"/>
  <c r="AC118" i="5"/>
  <c r="BE118" i="5"/>
  <c r="AD118" i="5"/>
  <c r="AC154" i="5"/>
  <c r="AD154" i="5"/>
  <c r="BE154" i="5"/>
  <c r="AC29" i="5"/>
  <c r="AD29" i="5"/>
  <c r="BE29" i="5"/>
  <c r="BE120" i="5"/>
  <c r="AC278" i="5"/>
  <c r="BE278" i="5"/>
  <c r="AD278" i="5"/>
  <c r="AC197" i="5"/>
  <c r="BE197" i="5"/>
  <c r="AD197" i="5"/>
  <c r="X13" i="5"/>
  <c r="W13" i="5"/>
  <c r="X476" i="5"/>
  <c r="W476" i="5"/>
  <c r="X469" i="5"/>
  <c r="W469" i="5"/>
  <c r="X357" i="5"/>
  <c r="W357" i="5"/>
  <c r="W387" i="5"/>
  <c r="X387" i="5"/>
  <c r="X495" i="5"/>
  <c r="W495" i="5"/>
  <c r="W280" i="5"/>
  <c r="X280" i="5"/>
  <c r="X429" i="5"/>
  <c r="W429" i="5"/>
  <c r="W262" i="5"/>
  <c r="X262" i="5"/>
  <c r="X68" i="5"/>
  <c r="W68" i="5"/>
  <c r="W532" i="5"/>
  <c r="X532" i="5"/>
  <c r="W294" i="5"/>
  <c r="X294" i="5"/>
  <c r="X270" i="5"/>
  <c r="W270" i="5"/>
  <c r="W308" i="5"/>
  <c r="X308" i="5"/>
  <c r="W34" i="5"/>
  <c r="X34" i="5"/>
  <c r="W499" i="5"/>
  <c r="X499" i="5"/>
  <c r="X542" i="5"/>
  <c r="W542" i="5"/>
  <c r="X460" i="5"/>
  <c r="W460" i="5"/>
  <c r="W380" i="5"/>
  <c r="X380" i="5"/>
  <c r="X51" i="5"/>
  <c r="W51" i="5"/>
  <c r="W411" i="5"/>
  <c r="X411" i="5"/>
  <c r="W514" i="5"/>
  <c r="X514" i="5"/>
  <c r="W443" i="5"/>
  <c r="X443" i="5"/>
  <c r="W402" i="5"/>
  <c r="X402" i="5"/>
  <c r="W187" i="5"/>
  <c r="X187" i="5"/>
  <c r="X113" i="5"/>
  <c r="W113" i="5"/>
  <c r="W484" i="5"/>
  <c r="X484" i="5"/>
  <c r="W413" i="5"/>
  <c r="X413" i="5"/>
  <c r="W240" i="5"/>
  <c r="X240" i="5"/>
  <c r="W33" i="5"/>
  <c r="X33" i="5"/>
  <c r="W60" i="5"/>
  <c r="X60" i="5"/>
  <c r="X457" i="5"/>
  <c r="W457" i="5"/>
  <c r="X401" i="5"/>
  <c r="W401" i="5"/>
  <c r="W151" i="5"/>
  <c r="X151" i="5"/>
  <c r="X343" i="5"/>
  <c r="W343" i="5"/>
  <c r="X154" i="5"/>
  <c r="W154" i="5"/>
  <c r="W556" i="5"/>
  <c r="X556" i="5"/>
  <c r="X404" i="5"/>
  <c r="W404" i="5"/>
  <c r="W346" i="5"/>
  <c r="X346" i="5"/>
  <c r="X278" i="5"/>
  <c r="W278" i="5"/>
  <c r="W62" i="5"/>
  <c r="X62" i="5"/>
  <c r="X289" i="5"/>
  <c r="W289" i="5"/>
  <c r="X197" i="5"/>
  <c r="W197" i="5"/>
  <c r="X130" i="5"/>
  <c r="W130" i="5"/>
  <c r="W49" i="5"/>
  <c r="X49" i="5"/>
  <c r="X148" i="5"/>
  <c r="W148" i="5"/>
  <c r="W292" i="5"/>
  <c r="X292" i="5"/>
  <c r="W335" i="5"/>
  <c r="X335" i="5"/>
  <c r="X126" i="5"/>
  <c r="W126" i="5"/>
  <c r="X179" i="5"/>
  <c r="W179" i="5"/>
  <c r="W50" i="5"/>
  <c r="X50" i="5"/>
  <c r="W29" i="5"/>
  <c r="X29" i="5"/>
  <c r="X467" i="5"/>
  <c r="W467" i="5"/>
  <c r="X158" i="5"/>
  <c r="W158" i="5"/>
  <c r="X297" i="5"/>
  <c r="W297" i="5"/>
  <c r="W291" i="5"/>
  <c r="X291" i="5"/>
  <c r="W31" i="5"/>
  <c r="X31" i="5"/>
  <c r="X123" i="5"/>
  <c r="W123" i="5"/>
  <c r="X67" i="5"/>
  <c r="W67" i="5"/>
  <c r="W118" i="5"/>
  <c r="X118" i="5"/>
  <c r="W504" i="5"/>
  <c r="X504" i="5"/>
  <c r="W191" i="5"/>
  <c r="X191" i="5"/>
  <c r="X348" i="5"/>
  <c r="W348" i="5"/>
  <c r="X513" i="5"/>
  <c r="W513" i="5"/>
  <c r="W111" i="5"/>
  <c r="X111" i="5"/>
  <c r="X92" i="5"/>
  <c r="W92" i="5"/>
  <c r="W141" i="5"/>
  <c r="X141" i="5"/>
  <c r="W407" i="5"/>
  <c r="X407" i="5"/>
  <c r="AD220" i="5"/>
  <c r="AC220" i="5"/>
  <c r="BE220" i="5"/>
  <c r="AC520" i="5"/>
  <c r="AD520" i="5"/>
  <c r="BE520" i="5"/>
  <c r="BE440" i="5"/>
  <c r="AC147" i="5"/>
  <c r="BE147" i="5"/>
  <c r="AD147" i="5"/>
  <c r="AC461" i="5"/>
  <c r="AD461" i="5"/>
  <c r="BE461" i="5"/>
  <c r="AC63" i="5"/>
  <c r="BE63" i="5"/>
  <c r="AD63" i="5"/>
  <c r="BE285" i="5"/>
  <c r="AD285" i="5"/>
  <c r="AC285" i="5"/>
  <c r="X11" i="5"/>
  <c r="W11" i="5"/>
  <c r="X314" i="5"/>
  <c r="W314" i="5"/>
  <c r="W365" i="5"/>
  <c r="X365" i="5"/>
  <c r="X534" i="5"/>
  <c r="W534" i="5"/>
  <c r="X235" i="5"/>
  <c r="W235" i="5"/>
  <c r="W12" i="5"/>
  <c r="X12" i="5"/>
  <c r="X479" i="5"/>
  <c r="W479" i="5"/>
  <c r="X471" i="5"/>
  <c r="W471" i="5"/>
  <c r="X285" i="5"/>
  <c r="W285" i="5"/>
  <c r="X181" i="5"/>
  <c r="W181" i="5"/>
  <c r="W105" i="5"/>
  <c r="X105" i="5"/>
  <c r="W521" i="5"/>
  <c r="X521" i="5"/>
  <c r="W537" i="5"/>
  <c r="X537" i="5"/>
  <c r="X325" i="5"/>
  <c r="W325" i="5"/>
  <c r="X298" i="5"/>
  <c r="W298" i="5"/>
  <c r="X347" i="5"/>
  <c r="W347" i="5"/>
  <c r="W426" i="5"/>
  <c r="X426" i="5"/>
  <c r="X414" i="5"/>
  <c r="W414" i="5"/>
  <c r="X317" i="5"/>
  <c r="W317" i="5"/>
  <c r="X56" i="5"/>
  <c r="W56" i="5"/>
  <c r="W315" i="5"/>
  <c r="X315" i="5"/>
  <c r="W519" i="5"/>
  <c r="X519" i="5"/>
  <c r="W409" i="5"/>
  <c r="X409" i="5"/>
  <c r="X557" i="5"/>
  <c r="W557" i="5"/>
  <c r="X283" i="5"/>
  <c r="W283" i="5"/>
  <c r="W39" i="5"/>
  <c r="X39" i="5"/>
  <c r="X232" i="5"/>
  <c r="W232" i="5"/>
  <c r="X455" i="5"/>
  <c r="W455" i="5"/>
  <c r="X281" i="5"/>
  <c r="W281" i="5"/>
  <c r="W286" i="5"/>
  <c r="X286" i="5"/>
  <c r="W116" i="5"/>
  <c r="X116" i="5"/>
  <c r="X307" i="5"/>
  <c r="W307" i="5"/>
  <c r="X520" i="5"/>
  <c r="W520" i="5"/>
  <c r="W480" i="5"/>
  <c r="X480" i="5"/>
  <c r="X303" i="5"/>
  <c r="W303" i="5"/>
  <c r="W188" i="5"/>
  <c r="X188" i="5"/>
  <c r="X331" i="5"/>
  <c r="W331" i="5"/>
  <c r="W552" i="5"/>
  <c r="X552" i="5"/>
  <c r="W389" i="5"/>
  <c r="X389" i="5"/>
  <c r="W63" i="5"/>
  <c r="X63" i="5"/>
  <c r="X329" i="5"/>
  <c r="W329" i="5"/>
  <c r="W79" i="5"/>
  <c r="X79" i="5"/>
  <c r="X267" i="5"/>
  <c r="W267" i="5"/>
  <c r="X178" i="5"/>
  <c r="W178" i="5"/>
  <c r="W169" i="5"/>
  <c r="X169" i="5"/>
  <c r="W260" i="5"/>
  <c r="X260" i="5"/>
  <c r="W372" i="5"/>
  <c r="X372" i="5"/>
  <c r="W461" i="5"/>
  <c r="X461" i="5"/>
  <c r="W210" i="5"/>
  <c r="X210" i="5"/>
  <c r="W206" i="5"/>
  <c r="X206" i="5"/>
  <c r="X73" i="5"/>
  <c r="W73" i="5"/>
  <c r="W75" i="5"/>
  <c r="X75" i="5"/>
  <c r="W223" i="5"/>
  <c r="X223" i="5"/>
  <c r="X432" i="5"/>
  <c r="W432" i="5"/>
  <c r="W209" i="5"/>
  <c r="X209" i="5"/>
  <c r="W332" i="5"/>
  <c r="X332" i="5"/>
  <c r="X66" i="5"/>
  <c r="W66" i="5"/>
  <c r="W147" i="5"/>
  <c r="X147" i="5"/>
  <c r="X71" i="5"/>
  <c r="W71" i="5"/>
  <c r="X43" i="5"/>
  <c r="W43" i="5"/>
  <c r="X19" i="5"/>
  <c r="W19" i="5"/>
  <c r="X454" i="5"/>
  <c r="W454" i="5"/>
  <c r="X220" i="5"/>
  <c r="W220" i="5"/>
  <c r="W512" i="5"/>
  <c r="X512" i="5"/>
  <c r="W539" i="5"/>
  <c r="X539" i="5"/>
  <c r="W161" i="5"/>
  <c r="X161" i="5"/>
  <c r="X35" i="5"/>
  <c r="W35" i="5"/>
  <c r="X233" i="5"/>
  <c r="W233" i="5"/>
  <c r="X500" i="5"/>
  <c r="W500" i="5"/>
  <c r="AC320" i="5"/>
  <c r="BE320" i="5"/>
  <c r="AC533" i="5"/>
  <c r="AD533" i="5"/>
  <c r="BE533" i="5"/>
  <c r="AC30" i="5"/>
  <c r="AD30" i="5"/>
  <c r="BE30" i="5"/>
  <c r="AC61" i="5"/>
  <c r="AD61" i="5"/>
  <c r="BE61" i="5"/>
  <c r="AC38" i="5"/>
  <c r="BE38" i="5"/>
  <c r="AD38" i="5"/>
  <c r="AD293" i="5"/>
  <c r="AC293" i="5"/>
  <c r="BE293" i="5"/>
  <c r="BE371" i="5"/>
  <c r="AC478" i="5"/>
  <c r="AD478" i="5"/>
  <c r="BE478" i="5"/>
  <c r="AD547" i="5"/>
  <c r="AC547" i="5"/>
  <c r="BE547" i="5"/>
  <c r="X8" i="5"/>
  <c r="W8" i="5"/>
  <c r="X376" i="5"/>
  <c r="W376" i="5"/>
  <c r="X22" i="5"/>
  <c r="W22" i="5"/>
  <c r="X254" i="5"/>
  <c r="W254" i="5"/>
  <c r="X47" i="5"/>
  <c r="W47" i="5"/>
  <c r="X506" i="5"/>
  <c r="W506" i="5"/>
  <c r="X496" i="5"/>
  <c r="W496" i="5"/>
  <c r="X384" i="5"/>
  <c r="W384" i="5"/>
  <c r="X186" i="5"/>
  <c r="W186" i="5"/>
  <c r="W173" i="5"/>
  <c r="X173" i="5"/>
  <c r="X32" i="5"/>
  <c r="W32" i="5"/>
  <c r="W405" i="5"/>
  <c r="X405" i="5"/>
  <c r="X464" i="5"/>
  <c r="W464" i="5"/>
  <c r="W259" i="5"/>
  <c r="X259" i="5"/>
  <c r="X150" i="5"/>
  <c r="W150" i="5"/>
  <c r="W547" i="5"/>
  <c r="X547" i="5"/>
  <c r="W533" i="5"/>
  <c r="X533" i="5"/>
  <c r="W242" i="5"/>
  <c r="X242" i="5"/>
  <c r="X359" i="5"/>
  <c r="W359" i="5"/>
  <c r="X247" i="5"/>
  <c r="W247" i="5"/>
  <c r="W38" i="5"/>
  <c r="X38" i="5"/>
  <c r="W535" i="5"/>
  <c r="X535" i="5"/>
  <c r="X525" i="5"/>
  <c r="W525" i="5"/>
  <c r="X438" i="5"/>
  <c r="W438" i="5"/>
  <c r="X354" i="5"/>
  <c r="W354" i="5"/>
  <c r="X403" i="5"/>
  <c r="W403" i="5"/>
  <c r="X324" i="5"/>
  <c r="W324" i="5"/>
  <c r="W483" i="5"/>
  <c r="X483" i="5"/>
  <c r="W425" i="5"/>
  <c r="X425" i="5"/>
  <c r="W350" i="5"/>
  <c r="X350" i="5"/>
  <c r="W30" i="5"/>
  <c r="X30" i="5"/>
  <c r="X192" i="5"/>
  <c r="W192" i="5"/>
  <c r="W472" i="5"/>
  <c r="X472" i="5"/>
  <c r="X397" i="5"/>
  <c r="W397" i="5"/>
  <c r="W214" i="5"/>
  <c r="X214" i="5"/>
  <c r="X70" i="5"/>
  <c r="W70" i="5"/>
  <c r="W54" i="5"/>
  <c r="X54" i="5"/>
  <c r="X491" i="5"/>
  <c r="W491" i="5"/>
  <c r="W458" i="5"/>
  <c r="X458" i="5"/>
  <c r="W272" i="5"/>
  <c r="X272" i="5"/>
  <c r="X195" i="5"/>
  <c r="W195" i="5"/>
  <c r="X231" i="5"/>
  <c r="W231" i="5"/>
  <c r="W224" i="5"/>
  <c r="X224" i="5"/>
  <c r="W290" i="5"/>
  <c r="X290" i="5"/>
  <c r="X138" i="5"/>
  <c r="W138" i="5"/>
  <c r="X171" i="5"/>
  <c r="W171" i="5"/>
  <c r="X182" i="5"/>
  <c r="W182" i="5"/>
  <c r="W423" i="5"/>
  <c r="X423" i="5"/>
  <c r="X305" i="5"/>
  <c r="W305" i="5"/>
  <c r="X156" i="5"/>
  <c r="W156" i="5"/>
  <c r="X115" i="5"/>
  <c r="W115" i="5"/>
  <c r="X61" i="5"/>
  <c r="W61" i="5"/>
  <c r="X279" i="5"/>
  <c r="W279" i="5"/>
  <c r="W508" i="5"/>
  <c r="X508" i="5"/>
  <c r="X110" i="5"/>
  <c r="W110" i="5"/>
  <c r="W478" i="5"/>
  <c r="X478" i="5"/>
  <c r="W299" i="5"/>
  <c r="X299" i="5"/>
  <c r="W124" i="5"/>
  <c r="X124" i="5"/>
  <c r="X23" i="5"/>
  <c r="W23" i="5"/>
  <c r="W243" i="5"/>
  <c r="X243" i="5"/>
  <c r="X251" i="5"/>
  <c r="W251" i="5"/>
  <c r="X276" i="5"/>
  <c r="W276" i="5"/>
  <c r="W198" i="5"/>
  <c r="X198" i="5"/>
  <c r="X415" i="5"/>
  <c r="W415" i="5"/>
  <c r="W543" i="5"/>
  <c r="X543" i="5"/>
  <c r="W82" i="5"/>
  <c r="X82" i="5"/>
  <c r="W408" i="5"/>
  <c r="X408" i="5"/>
  <c r="W94" i="5"/>
  <c r="X94" i="5"/>
  <c r="W320" i="5"/>
  <c r="X320" i="5"/>
  <c r="AC74" i="5"/>
  <c r="AC225" i="5"/>
  <c r="AD249" i="5"/>
  <c r="AC249" i="5"/>
  <c r="BE249" i="5"/>
  <c r="AC448" i="5"/>
  <c r="AC57" i="5"/>
  <c r="AD57" i="5"/>
  <c r="BE57" i="5"/>
  <c r="AD386" i="5"/>
  <c r="AC386" i="5"/>
  <c r="BE386" i="5"/>
  <c r="AD339" i="5"/>
  <c r="AC339" i="5"/>
  <c r="BE339" i="5"/>
  <c r="BE166" i="5"/>
  <c r="AC166" i="5"/>
  <c r="AD166" i="5"/>
  <c r="AC559" i="5"/>
  <c r="AD559" i="5"/>
  <c r="BE559" i="5"/>
  <c r="AD477" i="5"/>
  <c r="AC477" i="5"/>
  <c r="BE477" i="5"/>
  <c r="AC164" i="5"/>
  <c r="BE164" i="5"/>
  <c r="AD164" i="5"/>
  <c r="AD221" i="5"/>
  <c r="AC221" i="5"/>
  <c r="BE221" i="5"/>
  <c r="X527" i="5"/>
  <c r="W527" i="5"/>
  <c r="X266" i="5"/>
  <c r="W266" i="5"/>
  <c r="W349" i="5"/>
  <c r="X349" i="5"/>
  <c r="X246" i="5"/>
  <c r="W246" i="5"/>
  <c r="X10" i="5"/>
  <c r="W10" i="5"/>
  <c r="X395" i="5"/>
  <c r="W395" i="5"/>
  <c r="W538" i="5"/>
  <c r="X538" i="5"/>
  <c r="X386" i="5"/>
  <c r="W386" i="5"/>
  <c r="W287" i="5"/>
  <c r="X287" i="5"/>
  <c r="X216" i="5"/>
  <c r="W216" i="5"/>
  <c r="W263" i="5"/>
  <c r="X263" i="5"/>
  <c r="X481" i="5"/>
  <c r="W481" i="5"/>
  <c r="W424" i="5"/>
  <c r="X424" i="5"/>
  <c r="W166" i="5"/>
  <c r="X166" i="5"/>
  <c r="W136" i="5"/>
  <c r="X136" i="5"/>
  <c r="W36" i="5"/>
  <c r="X36" i="5"/>
  <c r="X544" i="5"/>
  <c r="W544" i="5"/>
  <c r="X509" i="5"/>
  <c r="W509" i="5"/>
  <c r="X345" i="5"/>
  <c r="W345" i="5"/>
  <c r="X237" i="5"/>
  <c r="W237" i="5"/>
  <c r="X24" i="5"/>
  <c r="W24" i="5"/>
  <c r="X546" i="5"/>
  <c r="W546" i="5"/>
  <c r="X447" i="5"/>
  <c r="W447" i="5"/>
  <c r="W391" i="5"/>
  <c r="X391" i="5"/>
  <c r="X366" i="5"/>
  <c r="W366" i="5"/>
  <c r="X193" i="5"/>
  <c r="W193" i="5"/>
  <c r="W433" i="5"/>
  <c r="X433" i="5"/>
  <c r="W427" i="5"/>
  <c r="X427" i="5"/>
  <c r="X536" i="5"/>
  <c r="W536" i="5"/>
  <c r="AB265" i="5"/>
  <c r="W265" i="5"/>
  <c r="X265" i="5"/>
  <c r="X152" i="5"/>
  <c r="W152" i="5"/>
  <c r="X98" i="5"/>
  <c r="W98" i="5"/>
  <c r="X417" i="5"/>
  <c r="W417" i="5"/>
  <c r="X189" i="5"/>
  <c r="W189" i="5"/>
  <c r="X296" i="5"/>
  <c r="W296" i="5"/>
  <c r="W52" i="5"/>
  <c r="X52" i="5"/>
  <c r="W145" i="5"/>
  <c r="X145" i="5"/>
  <c r="W470" i="5"/>
  <c r="X470" i="5"/>
  <c r="X416" i="5"/>
  <c r="W416" i="5"/>
  <c r="X183" i="5"/>
  <c r="W183" i="5"/>
  <c r="X185" i="5"/>
  <c r="W185" i="5"/>
  <c r="W48" i="5"/>
  <c r="X48" i="5"/>
  <c r="X396" i="5"/>
  <c r="W396" i="5"/>
  <c r="X119" i="5"/>
  <c r="W119" i="5"/>
  <c r="W211" i="5"/>
  <c r="X211" i="5"/>
  <c r="W99" i="5"/>
  <c r="X99" i="5"/>
  <c r="X248" i="5"/>
  <c r="W248" i="5"/>
  <c r="W503" i="5"/>
  <c r="X503" i="5"/>
  <c r="X221" i="5"/>
  <c r="W221" i="5"/>
  <c r="X184" i="5"/>
  <c r="W184" i="5"/>
  <c r="X108" i="5"/>
  <c r="W108" i="5"/>
  <c r="W101" i="5"/>
  <c r="X101" i="5"/>
  <c r="X143" i="5"/>
  <c r="W143" i="5"/>
  <c r="X367" i="5"/>
  <c r="W367" i="5"/>
  <c r="W264" i="5"/>
  <c r="X264" i="5"/>
  <c r="X436" i="5"/>
  <c r="W436" i="5"/>
  <c r="W95" i="5"/>
  <c r="X95" i="5"/>
  <c r="X164" i="5"/>
  <c r="W164" i="5"/>
  <c r="W28" i="5"/>
  <c r="X28" i="5"/>
  <c r="X122" i="5"/>
  <c r="W122" i="5"/>
  <c r="X252" i="5"/>
  <c r="W252" i="5"/>
  <c r="W477" i="5"/>
  <c r="X477" i="5"/>
  <c r="X91" i="5"/>
  <c r="W91" i="5"/>
  <c r="W459" i="5"/>
  <c r="X459" i="5"/>
  <c r="X163" i="5"/>
  <c r="W163" i="5"/>
  <c r="W45" i="5"/>
  <c r="X45" i="5"/>
  <c r="X125" i="5"/>
  <c r="W125" i="5"/>
  <c r="X449" i="5"/>
  <c r="W449" i="5"/>
  <c r="X282" i="5"/>
  <c r="W282" i="5"/>
  <c r="AC133" i="5"/>
  <c r="AD133" i="5"/>
  <c r="BE133" i="5"/>
  <c r="AD207" i="5"/>
  <c r="AC207" i="5"/>
  <c r="BE207" i="5"/>
  <c r="AC107" i="5"/>
  <c r="AD107" i="5"/>
  <c r="BE107" i="5"/>
  <c r="AC369" i="5"/>
  <c r="AD284" i="5"/>
  <c r="AC284" i="5"/>
  <c r="BE284" i="5"/>
  <c r="AC400" i="5"/>
  <c r="AD400" i="5"/>
  <c r="BE400" i="5"/>
  <c r="X318" i="5"/>
  <c r="W318" i="5"/>
  <c r="X133" i="5"/>
  <c r="W133" i="5"/>
  <c r="W434" i="5"/>
  <c r="X434" i="5"/>
  <c r="X250" i="5"/>
  <c r="W250" i="5"/>
  <c r="X517" i="5"/>
  <c r="W517" i="5"/>
  <c r="W338" i="5"/>
  <c r="X338" i="5"/>
  <c r="X442" i="5"/>
  <c r="W442" i="5"/>
  <c r="W410" i="5"/>
  <c r="X410" i="5"/>
  <c r="W313" i="5"/>
  <c r="X313" i="5"/>
  <c r="X215" i="5"/>
  <c r="W215" i="5"/>
  <c r="X207" i="5"/>
  <c r="W207" i="5"/>
  <c r="X523" i="5"/>
  <c r="W523" i="5"/>
  <c r="X358" i="5"/>
  <c r="W358" i="5"/>
  <c r="X230" i="5"/>
  <c r="W230" i="5"/>
  <c r="W160" i="5"/>
  <c r="X160" i="5"/>
  <c r="W104" i="5"/>
  <c r="X104" i="5"/>
  <c r="W492" i="5"/>
  <c r="X492" i="5"/>
  <c r="W422" i="5"/>
  <c r="X422" i="5"/>
  <c r="X238" i="5"/>
  <c r="W238" i="5"/>
  <c r="W55" i="5"/>
  <c r="X55" i="5"/>
  <c r="X74" i="5"/>
  <c r="W74" i="5"/>
  <c r="X489" i="5"/>
  <c r="W489" i="5"/>
  <c r="W441" i="5"/>
  <c r="X441" i="5"/>
  <c r="W328" i="5"/>
  <c r="X328" i="5"/>
  <c r="X53" i="5"/>
  <c r="W53" i="5"/>
  <c r="W40" i="5"/>
  <c r="X40" i="5"/>
  <c r="X545" i="5"/>
  <c r="W545" i="5"/>
  <c r="X530" i="5"/>
  <c r="W530" i="5"/>
  <c r="W448" i="5"/>
  <c r="X448" i="5"/>
  <c r="X355" i="5"/>
  <c r="W355" i="5"/>
  <c r="W168" i="5"/>
  <c r="X168" i="5"/>
  <c r="X377" i="5"/>
  <c r="W377" i="5"/>
  <c r="W462" i="5"/>
  <c r="X462" i="5"/>
  <c r="W390" i="5"/>
  <c r="X390" i="5"/>
  <c r="W309" i="5"/>
  <c r="X309" i="5"/>
  <c r="W88" i="5"/>
  <c r="X88" i="5"/>
  <c r="X463" i="5"/>
  <c r="W463" i="5"/>
  <c r="X419" i="5"/>
  <c r="W419" i="5"/>
  <c r="X388" i="5"/>
  <c r="W388" i="5"/>
  <c r="W284" i="5"/>
  <c r="X284" i="5"/>
  <c r="W201" i="5"/>
  <c r="X201" i="5"/>
  <c r="W107" i="5"/>
  <c r="X107" i="5"/>
  <c r="X249" i="5"/>
  <c r="W249" i="5"/>
  <c r="X204" i="5"/>
  <c r="W204" i="5"/>
  <c r="W149" i="5"/>
  <c r="X149" i="5"/>
  <c r="W100" i="5"/>
  <c r="X100" i="5"/>
  <c r="X114" i="5"/>
  <c r="W114" i="5"/>
  <c r="X340" i="5"/>
  <c r="W340" i="5"/>
  <c r="W339" i="5"/>
  <c r="X339" i="5"/>
  <c r="W44" i="5"/>
  <c r="X44" i="5"/>
  <c r="W400" i="5"/>
  <c r="X400" i="5"/>
  <c r="X117" i="5"/>
  <c r="W117" i="5"/>
  <c r="W323" i="5"/>
  <c r="X323" i="5"/>
  <c r="X363" i="5"/>
  <c r="W363" i="5"/>
  <c r="X497" i="5"/>
  <c r="W497" i="5"/>
  <c r="W275" i="5"/>
  <c r="X275" i="5"/>
  <c r="X288" i="5"/>
  <c r="W288" i="5"/>
  <c r="X222" i="5"/>
  <c r="W222" i="5"/>
  <c r="X134" i="5"/>
  <c r="W134" i="5"/>
  <c r="X175" i="5"/>
  <c r="W175" i="5"/>
  <c r="X392" i="5"/>
  <c r="W392" i="5"/>
  <c r="X555" i="5"/>
  <c r="W555" i="5"/>
  <c r="X257" i="5"/>
  <c r="W257" i="5"/>
  <c r="X378" i="5"/>
  <c r="W378" i="5"/>
  <c r="X203" i="5"/>
  <c r="W203" i="5"/>
  <c r="X57" i="5"/>
  <c r="W57" i="5"/>
  <c r="X261" i="5"/>
  <c r="W261" i="5"/>
  <c r="W518" i="5"/>
  <c r="X518" i="5"/>
  <c r="W559" i="5"/>
  <c r="X559" i="5"/>
  <c r="BE373" i="5"/>
  <c r="AC522" i="5"/>
  <c r="AD522" i="5"/>
  <c r="BE522" i="5"/>
  <c r="AC342" i="5"/>
  <c r="AD342" i="5"/>
  <c r="BE342" i="5"/>
  <c r="AD497" i="5"/>
  <c r="AC497" i="5"/>
  <c r="BE497" i="5"/>
  <c r="AD319" i="5"/>
  <c r="BE319" i="5"/>
  <c r="AD83" i="5"/>
  <c r="AC83" i="5"/>
  <c r="BE83" i="5"/>
  <c r="AD323" i="5"/>
  <c r="AC323" i="5"/>
  <c r="BE323" i="5"/>
  <c r="AD97" i="5"/>
  <c r="AC97" i="5"/>
  <c r="BE97" i="5"/>
  <c r="AC511" i="5"/>
  <c r="BE511" i="5"/>
  <c r="AD511" i="5"/>
  <c r="AC502" i="5"/>
  <c r="AD502" i="5"/>
  <c r="BE502" i="5"/>
  <c r="X218" i="5"/>
  <c r="W218" i="5"/>
  <c r="W83" i="5"/>
  <c r="X83" i="5"/>
  <c r="W393" i="5"/>
  <c r="X393" i="5"/>
  <c r="X21" i="5"/>
  <c r="W21" i="5"/>
  <c r="W431" i="5"/>
  <c r="X431" i="5"/>
  <c r="X180" i="5"/>
  <c r="W180" i="5"/>
  <c r="W399" i="5"/>
  <c r="X399" i="5"/>
  <c r="X487" i="5"/>
  <c r="W487" i="5"/>
  <c r="W112" i="5"/>
  <c r="X112" i="5"/>
  <c r="X155" i="5"/>
  <c r="W155" i="5"/>
  <c r="X172" i="5"/>
  <c r="W172" i="5"/>
  <c r="W428" i="5"/>
  <c r="X428" i="5"/>
  <c r="W394" i="5"/>
  <c r="X394" i="5"/>
  <c r="X364" i="5"/>
  <c r="W364" i="5"/>
  <c r="W128" i="5"/>
  <c r="X128" i="5"/>
  <c r="W253" i="5"/>
  <c r="X253" i="5"/>
  <c r="W511" i="5"/>
  <c r="X511" i="5"/>
  <c r="X360" i="5"/>
  <c r="W360" i="5"/>
  <c r="W321" i="5"/>
  <c r="X321" i="5"/>
  <c r="X135" i="5"/>
  <c r="W135" i="5"/>
  <c r="X90" i="5"/>
  <c r="W90" i="5"/>
  <c r="X550" i="5"/>
  <c r="W550" i="5"/>
  <c r="X468" i="5"/>
  <c r="W468" i="5"/>
  <c r="X337" i="5"/>
  <c r="W337" i="5"/>
  <c r="X229" i="5"/>
  <c r="W229" i="5"/>
  <c r="W41" i="5"/>
  <c r="X41" i="5"/>
  <c r="W529" i="5"/>
  <c r="X529" i="5"/>
  <c r="W219" i="5"/>
  <c r="X219" i="5"/>
  <c r="X361" i="5"/>
  <c r="W361" i="5"/>
  <c r="X341" i="5"/>
  <c r="W341" i="5"/>
  <c r="X103" i="5"/>
  <c r="W103" i="5"/>
  <c r="X473" i="5"/>
  <c r="W473" i="5"/>
  <c r="X412" i="5"/>
  <c r="W412" i="5"/>
  <c r="X528" i="5"/>
  <c r="W528" i="5"/>
  <c r="X274" i="5"/>
  <c r="W274" i="5"/>
  <c r="W131" i="5"/>
  <c r="X131" i="5"/>
  <c r="X342" i="5"/>
  <c r="W342" i="5"/>
  <c r="W490" i="5"/>
  <c r="X490" i="5"/>
  <c r="X444" i="5"/>
  <c r="W444" i="5"/>
  <c r="W351" i="5"/>
  <c r="X351" i="5"/>
  <c r="W217" i="5"/>
  <c r="X217" i="5"/>
  <c r="W80" i="5"/>
  <c r="X80" i="5"/>
  <c r="X330" i="5"/>
  <c r="W330" i="5"/>
  <c r="X97" i="5"/>
  <c r="W97" i="5"/>
  <c r="W78" i="5"/>
  <c r="X78" i="5"/>
  <c r="X85" i="5"/>
  <c r="W85" i="5"/>
  <c r="W502" i="5"/>
  <c r="X502" i="5"/>
  <c r="X356" i="5"/>
  <c r="W356" i="5"/>
  <c r="W194" i="5"/>
  <c r="X194" i="5"/>
  <c r="W139" i="5"/>
  <c r="X139" i="5"/>
  <c r="W526" i="5"/>
  <c r="X526" i="5"/>
  <c r="W102" i="5"/>
  <c r="X102" i="5"/>
  <c r="W312" i="5"/>
  <c r="X312" i="5"/>
  <c r="W522" i="5"/>
  <c r="X522" i="5"/>
  <c r="W225" i="5"/>
  <c r="X225" i="5"/>
  <c r="X474" i="5"/>
  <c r="W474" i="5"/>
  <c r="W379" i="5"/>
  <c r="X379" i="5"/>
  <c r="W89" i="5"/>
  <c r="X89" i="5"/>
  <c r="X86" i="5"/>
  <c r="W86" i="5"/>
  <c r="X190" i="5"/>
  <c r="W190" i="5"/>
  <c r="X370" i="5"/>
  <c r="W370" i="5"/>
  <c r="W540" i="5"/>
  <c r="X540" i="5"/>
  <c r="W132" i="5"/>
  <c r="X132" i="5"/>
  <c r="X316" i="5"/>
  <c r="W316" i="5"/>
  <c r="X46" i="5"/>
  <c r="W46" i="5"/>
  <c r="X109" i="5"/>
  <c r="W109" i="5"/>
  <c r="X208" i="5"/>
  <c r="W208" i="5"/>
  <c r="W421" i="5"/>
  <c r="X421" i="5"/>
  <c r="X548" i="5"/>
  <c r="W548" i="5"/>
  <c r="I40" i="2"/>
  <c r="BE74" i="5" l="1"/>
  <c r="AC527" i="5"/>
  <c r="BE527" i="5"/>
  <c r="BE491" i="5"/>
  <c r="AD440" i="5"/>
  <c r="AC300" i="5"/>
  <c r="AC373" i="5"/>
  <c r="AU114" i="6"/>
  <c r="AW114" i="6" s="1"/>
  <c r="AU110" i="8"/>
  <c r="AW110" i="8" s="1"/>
  <c r="AD491" i="5"/>
  <c r="AU130" i="6"/>
  <c r="AW130" i="6" s="1"/>
  <c r="AU37" i="6"/>
  <c r="AW37" i="6" s="1"/>
  <c r="AU145" i="6"/>
  <c r="AW145" i="6" s="1"/>
  <c r="AU104" i="8"/>
  <c r="AW104" i="8" s="1"/>
  <c r="AC549" i="5"/>
  <c r="AD384" i="5"/>
  <c r="BE384" i="5"/>
  <c r="BG384" i="5" s="1"/>
  <c r="BL384" i="5" s="1"/>
  <c r="AU73" i="8"/>
  <c r="AW73" i="8" s="1"/>
  <c r="AD245" i="5"/>
  <c r="AU115" i="8"/>
  <c r="AW115" i="8" s="1"/>
  <c r="AC518" i="5"/>
  <c r="AO105" i="6"/>
  <c r="AU105" i="6" s="1"/>
  <c r="AW105" i="6" s="1"/>
  <c r="AU28" i="8"/>
  <c r="AW28" i="8" s="1"/>
  <c r="AO119" i="6"/>
  <c r="AU119" i="6" s="1"/>
  <c r="AW119" i="6" s="1"/>
  <c r="AU70" i="6"/>
  <c r="AW70" i="6" s="1"/>
  <c r="AD11" i="5"/>
  <c r="AD19" i="5"/>
  <c r="BE19" i="5"/>
  <c r="BE11" i="5"/>
  <c r="BG11" i="5" s="1"/>
  <c r="BL11" i="5" s="1"/>
  <c r="AO94" i="6"/>
  <c r="AU94" i="6" s="1"/>
  <c r="AW94" i="6" s="1"/>
  <c r="AU87" i="6"/>
  <c r="AW87" i="6" s="1"/>
  <c r="AU46" i="6"/>
  <c r="AW46" i="6" s="1"/>
  <c r="AC93" i="5"/>
  <c r="AU90" i="6"/>
  <c r="AW90" i="6" s="1"/>
  <c r="AU115" i="6"/>
  <c r="AW115" i="6" s="1"/>
  <c r="AO117" i="6"/>
  <c r="AU117" i="6" s="1"/>
  <c r="AW117" i="6" s="1"/>
  <c r="AU150" i="6"/>
  <c r="AW150" i="6" s="1"/>
  <c r="AU85" i="6"/>
  <c r="AW85" i="6" s="1"/>
  <c r="AO50" i="6"/>
  <c r="AU50" i="6" s="1"/>
  <c r="AW50" i="6" s="1"/>
  <c r="BE176" i="5"/>
  <c r="BF176" i="5" s="1"/>
  <c r="BK176" i="5" s="1"/>
  <c r="AC199" i="5"/>
  <c r="AC176" i="5"/>
  <c r="BE245" i="5"/>
  <c r="BF245" i="5" s="1"/>
  <c r="BK245" i="5" s="1"/>
  <c r="AD515" i="5"/>
  <c r="AU54" i="6"/>
  <c r="AW54" i="6" s="1"/>
  <c r="AU38" i="8"/>
  <c r="AW38" i="8" s="1"/>
  <c r="AU139" i="6"/>
  <c r="AW139" i="6" s="1"/>
  <c r="AU57" i="6"/>
  <c r="AW57" i="6" s="1"/>
  <c r="AC204" i="5"/>
  <c r="AD204" i="5"/>
  <c r="BE374" i="5"/>
  <c r="BE244" i="5"/>
  <c r="BF244" i="5" s="1"/>
  <c r="BK244" i="5" s="1"/>
  <c r="BE215" i="5"/>
  <c r="BF215" i="5" s="1"/>
  <c r="BK215" i="5" s="1"/>
  <c r="AC374" i="5"/>
  <c r="AU56" i="6"/>
  <c r="AW56" i="6" s="1"/>
  <c r="AC120" i="5"/>
  <c r="AD369" i="5"/>
  <c r="AC244" i="5"/>
  <c r="BE549" i="5"/>
  <c r="BF549" i="5" s="1"/>
  <c r="BK549" i="5" s="1"/>
  <c r="AD442" i="5"/>
  <c r="BE456" i="5"/>
  <c r="BF456" i="5" s="1"/>
  <c r="BK456" i="5" s="1"/>
  <c r="AD456" i="5"/>
  <c r="BE110" i="5"/>
  <c r="BF110" i="5" s="1"/>
  <c r="BK110" i="5" s="1"/>
  <c r="AD106" i="5"/>
  <c r="AU123" i="6"/>
  <c r="AW123" i="6" s="1"/>
  <c r="AC89" i="5"/>
  <c r="AC544" i="5"/>
  <c r="AC106" i="5"/>
  <c r="AU79" i="6"/>
  <c r="AW79" i="6" s="1"/>
  <c r="AC275" i="5"/>
  <c r="AD109" i="5"/>
  <c r="AU149" i="6"/>
  <c r="AW149" i="6" s="1"/>
  <c r="AD544" i="5"/>
  <c r="BE160" i="5"/>
  <c r="AC219" i="5"/>
  <c r="AD44" i="5"/>
  <c r="BE388" i="5"/>
  <c r="BF388" i="5" s="1"/>
  <c r="BK388" i="5" s="1"/>
  <c r="AD146" i="5"/>
  <c r="AC160" i="5"/>
  <c r="BE518" i="5"/>
  <c r="BG518" i="5" s="1"/>
  <c r="BL518" i="5" s="1"/>
  <c r="BE44" i="5"/>
  <c r="BF44" i="5" s="1"/>
  <c r="BK44" i="5" s="1"/>
  <c r="AC388" i="5"/>
  <c r="BE358" i="5"/>
  <c r="BG358" i="5" s="1"/>
  <c r="BL358" i="5" s="1"/>
  <c r="AC217" i="5"/>
  <c r="BE468" i="5"/>
  <c r="BG468" i="5" s="1"/>
  <c r="BL468" i="5" s="1"/>
  <c r="AC333" i="5"/>
  <c r="BE516" i="5"/>
  <c r="BG516" i="5" s="1"/>
  <c r="BL516" i="5" s="1"/>
  <c r="AD516" i="5"/>
  <c r="AD217" i="5"/>
  <c r="AD93" i="5"/>
  <c r="BE383" i="5"/>
  <c r="BG383" i="5" s="1"/>
  <c r="BL383" i="5" s="1"/>
  <c r="AC383" i="5"/>
  <c r="BE269" i="5"/>
  <c r="BF269" i="5" s="1"/>
  <c r="BK269" i="5" s="1"/>
  <c r="AC269" i="5"/>
  <c r="BE59" i="5"/>
  <c r="BF59" i="5" s="1"/>
  <c r="BK59" i="5" s="1"/>
  <c r="AC226" i="5"/>
  <c r="AU43" i="6"/>
  <c r="AW43" i="6" s="1"/>
  <c r="AD87" i="5"/>
  <c r="BE146" i="5"/>
  <c r="BF146" i="5" s="1"/>
  <c r="BK146" i="5" s="1"/>
  <c r="AC87" i="5"/>
  <c r="AD236" i="5"/>
  <c r="AC167" i="5"/>
  <c r="AC55" i="5"/>
  <c r="AD182" i="5"/>
  <c r="BE438" i="5"/>
  <c r="BG438" i="5" s="1"/>
  <c r="BL438" i="5" s="1"/>
  <c r="AD88" i="5"/>
  <c r="BE297" i="5"/>
  <c r="BG297" i="5" s="1"/>
  <c r="BL297" i="5" s="1"/>
  <c r="AD40" i="5"/>
  <c r="AC371" i="5"/>
  <c r="BE385" i="5"/>
  <c r="BF385" i="5" s="1"/>
  <c r="BK385" i="5" s="1"/>
  <c r="BE200" i="5"/>
  <c r="BF200" i="5" s="1"/>
  <c r="BK200" i="5" s="1"/>
  <c r="AD385" i="5"/>
  <c r="AC410" i="5"/>
  <c r="AD200" i="5"/>
  <c r="AC90" i="5"/>
  <c r="AC532" i="5"/>
  <c r="AU98" i="6"/>
  <c r="AW98" i="6" s="1"/>
  <c r="AU108" i="6"/>
  <c r="AW108" i="6" s="1"/>
  <c r="AO7" i="6"/>
  <c r="AU7" i="6" s="1"/>
  <c r="AW7" i="6" s="1"/>
  <c r="AC59" i="5"/>
  <c r="BE226" i="5"/>
  <c r="BG226" i="5" s="1"/>
  <c r="BL226" i="5" s="1"/>
  <c r="AD46" i="5"/>
  <c r="AU96" i="6"/>
  <c r="AW96" i="6" s="1"/>
  <c r="AC344" i="5"/>
  <c r="AC69" i="5"/>
  <c r="AD100" i="5"/>
  <c r="AC441" i="5"/>
  <c r="AD344" i="5"/>
  <c r="BE69" i="5"/>
  <c r="BG69" i="5" s="1"/>
  <c r="BL69" i="5" s="1"/>
  <c r="BE100" i="5"/>
  <c r="BF100" i="5" s="1"/>
  <c r="BK100" i="5" s="1"/>
  <c r="BE441" i="5"/>
  <c r="BG441" i="5" s="1"/>
  <c r="BL441" i="5" s="1"/>
  <c r="AU40" i="6"/>
  <c r="AW40" i="6" s="1"/>
  <c r="AU144" i="6"/>
  <c r="AW144" i="6" s="1"/>
  <c r="AC468" i="5"/>
  <c r="AD335" i="5"/>
  <c r="BE333" i="5"/>
  <c r="BF333" i="5" s="1"/>
  <c r="BK333" i="5" s="1"/>
  <c r="AC111" i="5"/>
  <c r="AU151" i="6"/>
  <c r="AW151" i="6" s="1"/>
  <c r="AD306" i="5"/>
  <c r="AD199" i="5"/>
  <c r="AC363" i="5"/>
  <c r="AD378" i="5"/>
  <c r="AD363" i="5"/>
  <c r="BE378" i="5"/>
  <c r="BF378" i="5" s="1"/>
  <c r="BK378" i="5" s="1"/>
  <c r="BE515" i="5"/>
  <c r="BG515" i="5" s="1"/>
  <c r="BL515" i="5" s="1"/>
  <c r="BE540" i="5"/>
  <c r="BF540" i="5" s="1"/>
  <c r="BK540" i="5" s="1"/>
  <c r="AD444" i="5"/>
  <c r="AD540" i="5"/>
  <c r="BE225" i="5"/>
  <c r="BF225" i="5" s="1"/>
  <c r="BK225" i="5" s="1"/>
  <c r="BE85" i="5"/>
  <c r="BF85" i="5" s="1"/>
  <c r="BK85" i="5" s="1"/>
  <c r="AC336" i="5"/>
  <c r="AC85" i="5"/>
  <c r="AD448" i="5"/>
  <c r="BE135" i="5"/>
  <c r="BG135" i="5" s="1"/>
  <c r="BL135" i="5" s="1"/>
  <c r="AD167" i="5"/>
  <c r="AC236" i="5"/>
  <c r="AC555" i="5"/>
  <c r="AC258" i="5"/>
  <c r="AC306" i="5"/>
  <c r="BE555" i="5"/>
  <c r="BF555" i="5" s="1"/>
  <c r="BK555" i="5" s="1"/>
  <c r="AD458" i="5"/>
  <c r="AD258" i="5"/>
  <c r="AD490" i="5"/>
  <c r="AD90" i="5"/>
  <c r="BE316" i="5"/>
  <c r="BG316" i="5" s="1"/>
  <c r="BL316" i="5" s="1"/>
  <c r="AC412" i="5"/>
  <c r="AC316" i="5"/>
  <c r="AC191" i="5"/>
  <c r="AC135" i="5"/>
  <c r="AC474" i="5"/>
  <c r="BE309" i="5"/>
  <c r="BF309" i="5" s="1"/>
  <c r="BK309" i="5" s="1"/>
  <c r="AC545" i="5"/>
  <c r="AD474" i="5"/>
  <c r="AC309" i="5"/>
  <c r="AD545" i="5"/>
  <c r="AC356" i="5"/>
  <c r="BE318" i="5"/>
  <c r="BG318" i="5" s="1"/>
  <c r="BL318" i="5" s="1"/>
  <c r="AC318" i="5"/>
  <c r="BE261" i="5"/>
  <c r="BF261" i="5" s="1"/>
  <c r="BK261" i="5" s="1"/>
  <c r="AD261" i="5"/>
  <c r="AC252" i="5"/>
  <c r="AC139" i="5"/>
  <c r="AC402" i="5"/>
  <c r="AD82" i="5"/>
  <c r="AD419" i="5"/>
  <c r="AC526" i="5"/>
  <c r="AC70" i="5"/>
  <c r="AC86" i="5"/>
  <c r="AC132" i="5"/>
  <c r="AD41" i="5"/>
  <c r="BE42" i="5"/>
  <c r="BG42" i="5" s="1"/>
  <c r="BL42" i="5" s="1"/>
  <c r="AC138" i="5"/>
  <c r="BE114" i="5"/>
  <c r="BG114" i="5" s="1"/>
  <c r="BL114" i="5" s="1"/>
  <c r="BE526" i="5"/>
  <c r="BF526" i="5" s="1"/>
  <c r="BK526" i="5" s="1"/>
  <c r="BE139" i="5"/>
  <c r="BF139" i="5" s="1"/>
  <c r="BK139" i="5" s="1"/>
  <c r="AD307" i="5"/>
  <c r="AD489" i="5"/>
  <c r="BE419" i="5"/>
  <c r="BF419" i="5" s="1"/>
  <c r="BK419" i="5" s="1"/>
  <c r="BE203" i="5"/>
  <c r="BF203" i="5" s="1"/>
  <c r="BK203" i="5" s="1"/>
  <c r="BE359" i="5"/>
  <c r="BF359" i="5" s="1"/>
  <c r="BK359" i="5" s="1"/>
  <c r="BE129" i="5"/>
  <c r="BF129" i="5" s="1"/>
  <c r="BK129" i="5" s="1"/>
  <c r="AD443" i="5"/>
  <c r="AC434" i="5"/>
  <c r="AC124" i="5"/>
  <c r="AC203" i="5"/>
  <c r="AC421" i="5"/>
  <c r="BE134" i="5"/>
  <c r="BF134" i="5" s="1"/>
  <c r="BK134" i="5" s="1"/>
  <c r="AC161" i="5"/>
  <c r="AC312" i="5"/>
  <c r="AD421" i="5"/>
  <c r="BE208" i="5"/>
  <c r="BF208" i="5" s="1"/>
  <c r="BK208" i="5" s="1"/>
  <c r="AD134" i="5"/>
  <c r="AD312" i="5"/>
  <c r="AD208" i="5"/>
  <c r="AD488" i="5"/>
  <c r="AC31" i="5"/>
  <c r="BE489" i="5"/>
  <c r="BG489" i="5" s="1"/>
  <c r="BL489" i="5" s="1"/>
  <c r="BE86" i="5"/>
  <c r="BG86" i="5" s="1"/>
  <c r="BL86" i="5" s="1"/>
  <c r="BE330" i="5"/>
  <c r="BF330" i="5" s="1"/>
  <c r="BK330" i="5" s="1"/>
  <c r="AC529" i="5"/>
  <c r="BE102" i="5"/>
  <c r="BF102" i="5" s="1"/>
  <c r="BK102" i="5" s="1"/>
  <c r="AC330" i="5"/>
  <c r="AD190" i="5"/>
  <c r="BE222" i="5"/>
  <c r="BF222" i="5" s="1"/>
  <c r="BK222" i="5" s="1"/>
  <c r="AD102" i="5"/>
  <c r="AD530" i="5"/>
  <c r="AC187" i="5"/>
  <c r="AC552" i="5"/>
  <c r="AC222" i="5"/>
  <c r="BE394" i="5"/>
  <c r="BF394" i="5" s="1"/>
  <c r="BK394" i="5" s="1"/>
  <c r="BE380" i="5"/>
  <c r="BG380" i="5" s="1"/>
  <c r="BL380" i="5" s="1"/>
  <c r="BE41" i="5"/>
  <c r="BF41" i="5" s="1"/>
  <c r="BK41" i="5" s="1"/>
  <c r="AD114" i="5"/>
  <c r="AD380" i="5"/>
  <c r="AC78" i="5"/>
  <c r="AC370" i="5"/>
  <c r="AC288" i="5"/>
  <c r="AC194" i="5"/>
  <c r="AD78" i="5"/>
  <c r="BE194" i="5"/>
  <c r="BG194" i="5" s="1"/>
  <c r="BL194" i="5" s="1"/>
  <c r="BE229" i="5"/>
  <c r="BG229" i="5" s="1"/>
  <c r="BL229" i="5" s="1"/>
  <c r="AD370" i="5"/>
  <c r="AC201" i="5"/>
  <c r="AC304" i="5"/>
  <c r="BE343" i="5"/>
  <c r="BF343" i="5" s="1"/>
  <c r="BK343" i="5" s="1"/>
  <c r="AC407" i="5"/>
  <c r="AD201" i="5"/>
  <c r="BE190" i="5"/>
  <c r="BF190" i="5" s="1"/>
  <c r="BK190" i="5" s="1"/>
  <c r="BE132" i="5"/>
  <c r="BG132" i="5" s="1"/>
  <c r="BL132" i="5" s="1"/>
  <c r="BE379" i="5"/>
  <c r="BF379" i="5" s="1"/>
  <c r="BK379" i="5" s="1"/>
  <c r="AC175" i="5"/>
  <c r="BE289" i="5"/>
  <c r="BF289" i="5" s="1"/>
  <c r="BK289" i="5" s="1"/>
  <c r="AD313" i="5"/>
  <c r="BE528" i="5"/>
  <c r="BF528" i="5" s="1"/>
  <c r="BK528" i="5" s="1"/>
  <c r="BE392" i="5"/>
  <c r="BG392" i="5" s="1"/>
  <c r="BL392" i="5" s="1"/>
  <c r="AD392" i="5"/>
  <c r="BE302" i="5"/>
  <c r="BG302" i="5" s="1"/>
  <c r="BL302" i="5" s="1"/>
  <c r="BE96" i="5"/>
  <c r="BG96" i="5" s="1"/>
  <c r="BL96" i="5" s="1"/>
  <c r="AC44" i="6"/>
  <c r="AD44" i="6" s="1"/>
  <c r="AQ44" i="6"/>
  <c r="AP44" i="6"/>
  <c r="AK44" i="6"/>
  <c r="AL44" i="6" s="1"/>
  <c r="AF44" i="6"/>
  <c r="AG44" i="6" s="1"/>
  <c r="AI44" i="6" s="1"/>
  <c r="AN44" i="6"/>
  <c r="AC48" i="6"/>
  <c r="AD48" i="6" s="1"/>
  <c r="AQ48" i="6"/>
  <c r="AP48" i="6"/>
  <c r="AP82" i="6"/>
  <c r="AQ82" i="6"/>
  <c r="AC82" i="6"/>
  <c r="AD82" i="6" s="1"/>
  <c r="AQ47" i="6"/>
  <c r="AC47" i="6"/>
  <c r="AD47" i="6" s="1"/>
  <c r="AP47" i="6"/>
  <c r="AN48" i="6"/>
  <c r="AF48" i="6"/>
  <c r="AG48" i="6" s="1"/>
  <c r="AI48" i="6" s="1"/>
  <c r="AK48" i="6"/>
  <c r="AL48" i="6" s="1"/>
  <c r="AF82" i="6"/>
  <c r="AG82" i="6" s="1"/>
  <c r="AI82" i="6" s="1"/>
  <c r="AK82" i="6"/>
  <c r="AL82" i="6" s="1"/>
  <c r="AN82" i="6"/>
  <c r="AF47" i="6"/>
  <c r="AG47" i="6" s="1"/>
  <c r="AI47" i="6" s="1"/>
  <c r="AN47" i="6"/>
  <c r="AO47" i="6" s="1"/>
  <c r="AP143" i="6"/>
  <c r="AQ143" i="6"/>
  <c r="AC143" i="6"/>
  <c r="AD143" i="6" s="1"/>
  <c r="AK143" i="6"/>
  <c r="AL143" i="6" s="1"/>
  <c r="AN143" i="6"/>
  <c r="AF143" i="6"/>
  <c r="AG143" i="6" s="1"/>
  <c r="AI143" i="6" s="1"/>
  <c r="AK132" i="6"/>
  <c r="AL132" i="6" s="1"/>
  <c r="AF132" i="6"/>
  <c r="AG132" i="6" s="1"/>
  <c r="AI132" i="6" s="1"/>
  <c r="AN132" i="6"/>
  <c r="AK89" i="6"/>
  <c r="AL89" i="6" s="1"/>
  <c r="AN89" i="6"/>
  <c r="AF89" i="6"/>
  <c r="AG89" i="6" s="1"/>
  <c r="AI89" i="6" s="1"/>
  <c r="AP141" i="6"/>
  <c r="AQ141" i="6"/>
  <c r="AC141" i="6"/>
  <c r="AD141" i="6" s="1"/>
  <c r="AQ132" i="6"/>
  <c r="AP132" i="6"/>
  <c r="AC132" i="6"/>
  <c r="AD132" i="6" s="1"/>
  <c r="AQ89" i="6"/>
  <c r="AC89" i="6"/>
  <c r="AD89" i="6" s="1"/>
  <c r="AP89" i="6"/>
  <c r="AF135" i="6"/>
  <c r="AG135" i="6" s="1"/>
  <c r="AI135" i="6" s="1"/>
  <c r="AN135" i="6"/>
  <c r="AK135" i="6"/>
  <c r="AL135" i="6" s="1"/>
  <c r="AN141" i="6"/>
  <c r="AF141" i="6"/>
  <c r="AG141" i="6" s="1"/>
  <c r="AI141" i="6" s="1"/>
  <c r="AK141" i="6"/>
  <c r="AL141" i="6" s="1"/>
  <c r="AP135" i="6"/>
  <c r="AC135" i="6"/>
  <c r="AD135" i="6" s="1"/>
  <c r="AQ135" i="6"/>
  <c r="BE328" i="5"/>
  <c r="BF328" i="5" s="1"/>
  <c r="BK328" i="5" s="1"/>
  <c r="AC512" i="5"/>
  <c r="AC541" i="5"/>
  <c r="AD492" i="5"/>
  <c r="AD403" i="5"/>
  <c r="AC117" i="5"/>
  <c r="BE53" i="5"/>
  <c r="BF53" i="5" s="1"/>
  <c r="BK53" i="5" s="1"/>
  <c r="AD117" i="5"/>
  <c r="BE149" i="5"/>
  <c r="BF149" i="5" s="1"/>
  <c r="BK149" i="5" s="1"/>
  <c r="AD524" i="5"/>
  <c r="AC149" i="5"/>
  <c r="AD340" i="5"/>
  <c r="BE337" i="5"/>
  <c r="BF337" i="5" s="1"/>
  <c r="BK337" i="5" s="1"/>
  <c r="BE21" i="5"/>
  <c r="BG21" i="5" s="1"/>
  <c r="BL21" i="5" s="1"/>
  <c r="AC460" i="5"/>
  <c r="AC488" i="5"/>
  <c r="AD402" i="5"/>
  <c r="AC232" i="5"/>
  <c r="AC490" i="5"/>
  <c r="AD434" i="5"/>
  <c r="AC358" i="5"/>
  <c r="BE82" i="5"/>
  <c r="BG82" i="5" s="1"/>
  <c r="BL82" i="5" s="1"/>
  <c r="AD31" i="5"/>
  <c r="BE70" i="5"/>
  <c r="BF70" i="5" s="1"/>
  <c r="BK70" i="5" s="1"/>
  <c r="BE124" i="5"/>
  <c r="BF124" i="5" s="1"/>
  <c r="BK124" i="5" s="1"/>
  <c r="BE253" i="5"/>
  <c r="BF253" i="5" s="1"/>
  <c r="BK253" i="5" s="1"/>
  <c r="AD379" i="5"/>
  <c r="BE356" i="5"/>
  <c r="BG356" i="5" s="1"/>
  <c r="BL356" i="5" s="1"/>
  <c r="AD253" i="5"/>
  <c r="AC415" i="5"/>
  <c r="BE560" i="5"/>
  <c r="BG560" i="5" s="1"/>
  <c r="BL560" i="5" s="1"/>
  <c r="AD205" i="5"/>
  <c r="AC341" i="5"/>
  <c r="AC42" i="5"/>
  <c r="AD129" i="5"/>
  <c r="AC229" i="5"/>
  <c r="BE341" i="5"/>
  <c r="BF341" i="5" s="1"/>
  <c r="BK341" i="5" s="1"/>
  <c r="AC305" i="5"/>
  <c r="BE471" i="5"/>
  <c r="BF471" i="5" s="1"/>
  <c r="BK471" i="5" s="1"/>
  <c r="BE113" i="5"/>
  <c r="BG113" i="5" s="1"/>
  <c r="BL113" i="5" s="1"/>
  <c r="BE168" i="5"/>
  <c r="BG168" i="5" s="1"/>
  <c r="BL168" i="5" s="1"/>
  <c r="BE80" i="5"/>
  <c r="BG80" i="5" s="1"/>
  <c r="BL80" i="5" s="1"/>
  <c r="AC443" i="5"/>
  <c r="BE240" i="5"/>
  <c r="BF240" i="5" s="1"/>
  <c r="BK240" i="5" s="1"/>
  <c r="BE368" i="5"/>
  <c r="BG368" i="5" s="1"/>
  <c r="BL368" i="5" s="1"/>
  <c r="AD257" i="5"/>
  <c r="BE437" i="5"/>
  <c r="BG437" i="5" s="1"/>
  <c r="BL437" i="5" s="1"/>
  <c r="AD422" i="5"/>
  <c r="BE243" i="5"/>
  <c r="BF243" i="5" s="1"/>
  <c r="BK243" i="5" s="1"/>
  <c r="AC168" i="5"/>
  <c r="AC80" i="5"/>
  <c r="BE457" i="5"/>
  <c r="BF457" i="5" s="1"/>
  <c r="BK457" i="5" s="1"/>
  <c r="AC262" i="5"/>
  <c r="BE103" i="5"/>
  <c r="BG103" i="5" s="1"/>
  <c r="BL103" i="5" s="1"/>
  <c r="AC368" i="5"/>
  <c r="BE250" i="5"/>
  <c r="BF250" i="5" s="1"/>
  <c r="BK250" i="5" s="1"/>
  <c r="AD54" i="5"/>
  <c r="AD128" i="5"/>
  <c r="AC257" i="5"/>
  <c r="BE462" i="5"/>
  <c r="BG462" i="5" s="1"/>
  <c r="BL462" i="5" s="1"/>
  <c r="AD560" i="5"/>
  <c r="BE205" i="5"/>
  <c r="BF205" i="5" s="1"/>
  <c r="BK205" i="5" s="1"/>
  <c r="BE444" i="5"/>
  <c r="BF444" i="5" s="1"/>
  <c r="BK444" i="5" s="1"/>
  <c r="AC243" i="5"/>
  <c r="AC457" i="5"/>
  <c r="BE288" i="5"/>
  <c r="BF288" i="5" s="1"/>
  <c r="BK288" i="5" s="1"/>
  <c r="BE262" i="5"/>
  <c r="BF262" i="5" s="1"/>
  <c r="BK262" i="5" s="1"/>
  <c r="AC103" i="5"/>
  <c r="AD231" i="5"/>
  <c r="AC462" i="5"/>
  <c r="AD539" i="5"/>
  <c r="BE187" i="5"/>
  <c r="BG187" i="5" s="1"/>
  <c r="BL187" i="5" s="1"/>
  <c r="AC48" i="5"/>
  <c r="BE292" i="5"/>
  <c r="BF292" i="5" s="1"/>
  <c r="BK292" i="5" s="1"/>
  <c r="AD155" i="5"/>
  <c r="AC250" i="5"/>
  <c r="AD393" i="5"/>
  <c r="BE54" i="5"/>
  <c r="BF54" i="5" s="1"/>
  <c r="BK54" i="5" s="1"/>
  <c r="AD175" i="5"/>
  <c r="AC338" i="5"/>
  <c r="AC238" i="5"/>
  <c r="AD460" i="5"/>
  <c r="AC131" i="5"/>
  <c r="AC46" i="5"/>
  <c r="AC21" i="5"/>
  <c r="AC524" i="5"/>
  <c r="AC290" i="5"/>
  <c r="BE548" i="5"/>
  <c r="BF548" i="5" s="1"/>
  <c r="BK548" i="5" s="1"/>
  <c r="BE428" i="5"/>
  <c r="BG428" i="5" s="1"/>
  <c r="BL428" i="5" s="1"/>
  <c r="AC548" i="5"/>
  <c r="AC523" i="5"/>
  <c r="AC428" i="5"/>
  <c r="AC463" i="5"/>
  <c r="BE351" i="5"/>
  <c r="BF351" i="5" s="1"/>
  <c r="BK351" i="5" s="1"/>
  <c r="AC476" i="5"/>
  <c r="BE340" i="5"/>
  <c r="BG340" i="5" s="1"/>
  <c r="BL340" i="5" s="1"/>
  <c r="AD523" i="5"/>
  <c r="AD351" i="5"/>
  <c r="AC387" i="5"/>
  <c r="AD148" i="5"/>
  <c r="BE131" i="5"/>
  <c r="BF131" i="5" s="1"/>
  <c r="BK131" i="5" s="1"/>
  <c r="AD308" i="5"/>
  <c r="BE23" i="5"/>
  <c r="BG23" i="5" s="1"/>
  <c r="BL23" i="5" s="1"/>
  <c r="BE88" i="5"/>
  <c r="BG88" i="5" s="1"/>
  <c r="BL88" i="5" s="1"/>
  <c r="AD110" i="5"/>
  <c r="BE514" i="5"/>
  <c r="BF514" i="5" s="1"/>
  <c r="BK514" i="5" s="1"/>
  <c r="AD55" i="5"/>
  <c r="BE130" i="5"/>
  <c r="BF130" i="5" s="1"/>
  <c r="BK130" i="5" s="1"/>
  <c r="AC40" i="5"/>
  <c r="AC514" i="5"/>
  <c r="BE335" i="5"/>
  <c r="BG335" i="5" s="1"/>
  <c r="BL335" i="5" s="1"/>
  <c r="BE182" i="5"/>
  <c r="BG182" i="5" s="1"/>
  <c r="BL182" i="5" s="1"/>
  <c r="BE532" i="5"/>
  <c r="BF532" i="5" s="1"/>
  <c r="BK532" i="5" s="1"/>
  <c r="BE111" i="5"/>
  <c r="BF111" i="5" s="1"/>
  <c r="BK111" i="5" s="1"/>
  <c r="AD96" i="5"/>
  <c r="AD297" i="5"/>
  <c r="AC94" i="5"/>
  <c r="AC51" i="5"/>
  <c r="BE171" i="5"/>
  <c r="BF171" i="5" s="1"/>
  <c r="BK171" i="5" s="1"/>
  <c r="AD438" i="5"/>
  <c r="BE442" i="5"/>
  <c r="BF442" i="5" s="1"/>
  <c r="BK442" i="5" s="1"/>
  <c r="AD186" i="5"/>
  <c r="BE94" i="5"/>
  <c r="BF94" i="5" s="1"/>
  <c r="BK94" i="5" s="1"/>
  <c r="AD51" i="5"/>
  <c r="AC186" i="5"/>
  <c r="AC43" i="5"/>
  <c r="AC171" i="5"/>
  <c r="AC347" i="5"/>
  <c r="AC302" i="5"/>
  <c r="AC68" i="5"/>
  <c r="AC343" i="5"/>
  <c r="AD89" i="5"/>
  <c r="BE412" i="5"/>
  <c r="BG412" i="5" s="1"/>
  <c r="BL412" i="5" s="1"/>
  <c r="AD219" i="5"/>
  <c r="BE508" i="5"/>
  <c r="BF508" i="5" s="1"/>
  <c r="BK508" i="5" s="1"/>
  <c r="BE172" i="5"/>
  <c r="BF172" i="5" s="1"/>
  <c r="BK172" i="5" s="1"/>
  <c r="BE423" i="5"/>
  <c r="BG423" i="5" s="1"/>
  <c r="BL423" i="5" s="1"/>
  <c r="BE355" i="5"/>
  <c r="BF355" i="5" s="1"/>
  <c r="BK355" i="5" s="1"/>
  <c r="BE390" i="5"/>
  <c r="BF390" i="5" s="1"/>
  <c r="BK390" i="5" s="1"/>
  <c r="AC508" i="5"/>
  <c r="AC172" i="5"/>
  <c r="AD423" i="5"/>
  <c r="AC104" i="5"/>
  <c r="AC355" i="5"/>
  <c r="AC390" i="5"/>
  <c r="AD104" i="5"/>
  <c r="AC401" i="5"/>
  <c r="AD196" i="5"/>
  <c r="AC361" i="5"/>
  <c r="AD304" i="5"/>
  <c r="AD407" i="5"/>
  <c r="BE381" i="5"/>
  <c r="BG381" i="5" s="1"/>
  <c r="BL381" i="5" s="1"/>
  <c r="BE141" i="5"/>
  <c r="BG141" i="5" s="1"/>
  <c r="BL141" i="5" s="1"/>
  <c r="BE196" i="5"/>
  <c r="BG196" i="5" s="1"/>
  <c r="BL196" i="5" s="1"/>
  <c r="AD361" i="5"/>
  <c r="BE294" i="5"/>
  <c r="BG294" i="5" s="1"/>
  <c r="BL294" i="5" s="1"/>
  <c r="AD242" i="5"/>
  <c r="AD401" i="5"/>
  <c r="AD138" i="5"/>
  <c r="BE496" i="5"/>
  <c r="BF496" i="5" s="1"/>
  <c r="BK496" i="5" s="1"/>
  <c r="AC381" i="5"/>
  <c r="BE50" i="5"/>
  <c r="BF50" i="5" s="1"/>
  <c r="BK50" i="5" s="1"/>
  <c r="AD141" i="5"/>
  <c r="BE473" i="5"/>
  <c r="BF473" i="5" s="1"/>
  <c r="BK473" i="5" s="1"/>
  <c r="AC294" i="5"/>
  <c r="AC496" i="5"/>
  <c r="AC50" i="5"/>
  <c r="AD473" i="5"/>
  <c r="BE109" i="5"/>
  <c r="BF109" i="5" s="1"/>
  <c r="BK109" i="5" s="1"/>
  <c r="BE33" i="5"/>
  <c r="BF33" i="5" s="1"/>
  <c r="BK33" i="5" s="1"/>
  <c r="AC272" i="5"/>
  <c r="AD126" i="5"/>
  <c r="BE499" i="5"/>
  <c r="BG499" i="5" s="1"/>
  <c r="BL499" i="5" s="1"/>
  <c r="AC112" i="5"/>
  <c r="AC274" i="5"/>
  <c r="AD198" i="5"/>
  <c r="BE156" i="5"/>
  <c r="BF156" i="5" s="1"/>
  <c r="BK156" i="5" s="1"/>
  <c r="AD418" i="5"/>
  <c r="AC33" i="5"/>
  <c r="AD215" i="5"/>
  <c r="BE377" i="5"/>
  <c r="BG377" i="5" s="1"/>
  <c r="BL377" i="5" s="1"/>
  <c r="AD301" i="5"/>
  <c r="BE123" i="5"/>
  <c r="BG123" i="5" s="1"/>
  <c r="BL123" i="5" s="1"/>
  <c r="AD272" i="5"/>
  <c r="AC418" i="5"/>
  <c r="BE484" i="5"/>
  <c r="BG484" i="5" s="1"/>
  <c r="BL484" i="5" s="1"/>
  <c r="AC126" i="5"/>
  <c r="BE458" i="5"/>
  <c r="BG458" i="5" s="1"/>
  <c r="BL458" i="5" s="1"/>
  <c r="AD499" i="5"/>
  <c r="AD472" i="5"/>
  <c r="AC230" i="5"/>
  <c r="BE224" i="5"/>
  <c r="BG224" i="5" s="1"/>
  <c r="BL224" i="5" s="1"/>
  <c r="AC123" i="5"/>
  <c r="AC484" i="5"/>
  <c r="AC58" i="5"/>
  <c r="AC224" i="5"/>
  <c r="AD377" i="5"/>
  <c r="BE301" i="5"/>
  <c r="BF301" i="5" s="1"/>
  <c r="BK301" i="5" s="1"/>
  <c r="AD230" i="5"/>
  <c r="BE472" i="5"/>
  <c r="BF472" i="5" s="1"/>
  <c r="BK472" i="5" s="1"/>
  <c r="AD247" i="5"/>
  <c r="BE58" i="5"/>
  <c r="BF58" i="5" s="1"/>
  <c r="BK58" i="5" s="1"/>
  <c r="BE270" i="5"/>
  <c r="BF270" i="5" s="1"/>
  <c r="BK270" i="5" s="1"/>
  <c r="BE247" i="5"/>
  <c r="BF247" i="5" s="1"/>
  <c r="BK247" i="5" s="1"/>
  <c r="BE550" i="5"/>
  <c r="BG550" i="5" s="1"/>
  <c r="BL550" i="5" s="1"/>
  <c r="AC270" i="5"/>
  <c r="AC92" i="5"/>
  <c r="BE92" i="5"/>
  <c r="BG92" i="5" s="1"/>
  <c r="BL92" i="5" s="1"/>
  <c r="BE112" i="5"/>
  <c r="BF112" i="5" s="1"/>
  <c r="BK112" i="5" s="1"/>
  <c r="AC550" i="5"/>
  <c r="BE274" i="5"/>
  <c r="BF274" i="5" s="1"/>
  <c r="BK274" i="5" s="1"/>
  <c r="BE198" i="5"/>
  <c r="BG198" i="5" s="1"/>
  <c r="BL198" i="5" s="1"/>
  <c r="AD156" i="5"/>
  <c r="AD426" i="5"/>
  <c r="AC346" i="5"/>
  <c r="AC179" i="5"/>
  <c r="AC315" i="5"/>
  <c r="AD354" i="5"/>
  <c r="AD553" i="5"/>
  <c r="AD191" i="5"/>
  <c r="BE410" i="5"/>
  <c r="BG410" i="5" s="1"/>
  <c r="BL410" i="5" s="1"/>
  <c r="AD336" i="5"/>
  <c r="BE529" i="5"/>
  <c r="BF529" i="5" s="1"/>
  <c r="BK529" i="5" s="1"/>
  <c r="BE408" i="5"/>
  <c r="BF408" i="5" s="1"/>
  <c r="BK408" i="5" s="1"/>
  <c r="AD252" i="5"/>
  <c r="BE426" i="5"/>
  <c r="BF426" i="5" s="1"/>
  <c r="BK426" i="5" s="1"/>
  <c r="AC528" i="5"/>
  <c r="BE346" i="5"/>
  <c r="BF346" i="5" s="1"/>
  <c r="BK346" i="5" s="1"/>
  <c r="AD425" i="5"/>
  <c r="AC394" i="5"/>
  <c r="BE179" i="5"/>
  <c r="BG179" i="5" s="1"/>
  <c r="BL179" i="5" s="1"/>
  <c r="AD347" i="5"/>
  <c r="AD328" i="5"/>
  <c r="AC504" i="5"/>
  <c r="AD411" i="5"/>
  <c r="BE425" i="5"/>
  <c r="BF425" i="5" s="1"/>
  <c r="BK425" i="5" s="1"/>
  <c r="AC408" i="5"/>
  <c r="BE495" i="5"/>
  <c r="BG495" i="5" s="1"/>
  <c r="BL495" i="5" s="1"/>
  <c r="BE504" i="5"/>
  <c r="BG504" i="5" s="1"/>
  <c r="BL504" i="5" s="1"/>
  <c r="AC360" i="5"/>
  <c r="AC350" i="5"/>
  <c r="BE350" i="5"/>
  <c r="BG350" i="5" s="1"/>
  <c r="BL350" i="5" s="1"/>
  <c r="AD495" i="5"/>
  <c r="AD360" i="5"/>
  <c r="AC553" i="5"/>
  <c r="BE354" i="5"/>
  <c r="BF354" i="5" s="1"/>
  <c r="BK354" i="5" s="1"/>
  <c r="AD338" i="5"/>
  <c r="AC231" i="5"/>
  <c r="AC158" i="5"/>
  <c r="BE403" i="5"/>
  <c r="BG403" i="5" s="1"/>
  <c r="BL403" i="5" s="1"/>
  <c r="AD305" i="5"/>
  <c r="BE128" i="5"/>
  <c r="BG128" i="5" s="1"/>
  <c r="BL128" i="5" s="1"/>
  <c r="AD238" i="5"/>
  <c r="BE431" i="5"/>
  <c r="BF431" i="5" s="1"/>
  <c r="BK431" i="5" s="1"/>
  <c r="BE276" i="5"/>
  <c r="BG276" i="5" s="1"/>
  <c r="BL276" i="5" s="1"/>
  <c r="BE299" i="5"/>
  <c r="BG299" i="5" s="1"/>
  <c r="BL299" i="5" s="1"/>
  <c r="AD513" i="5"/>
  <c r="AD431" i="5"/>
  <c r="AD517" i="5"/>
  <c r="AD276" i="5"/>
  <c r="BE435" i="5"/>
  <c r="BF435" i="5" s="1"/>
  <c r="BK435" i="5" s="1"/>
  <c r="BE556" i="5"/>
  <c r="BF556" i="5" s="1"/>
  <c r="BK556" i="5" s="1"/>
  <c r="AD22" i="5"/>
  <c r="AC299" i="5"/>
  <c r="AC60" i="5"/>
  <c r="BE513" i="5"/>
  <c r="BF513" i="5" s="1"/>
  <c r="BK513" i="5" s="1"/>
  <c r="BE228" i="5"/>
  <c r="BG228" i="5" s="1"/>
  <c r="BL228" i="5" s="1"/>
  <c r="AD49" i="5"/>
  <c r="BE558" i="5"/>
  <c r="BF558" i="5" s="1"/>
  <c r="BK558" i="5" s="1"/>
  <c r="BE517" i="5"/>
  <c r="BG517" i="5" s="1"/>
  <c r="BL517" i="5" s="1"/>
  <c r="AC435" i="5"/>
  <c r="AC556" i="5"/>
  <c r="BE22" i="5"/>
  <c r="BF22" i="5" s="1"/>
  <c r="BK22" i="5" s="1"/>
  <c r="AD279" i="5"/>
  <c r="BE324" i="5"/>
  <c r="BG324" i="5" s="1"/>
  <c r="BL324" i="5" s="1"/>
  <c r="AC492" i="5"/>
  <c r="AC228" i="5"/>
  <c r="BE49" i="5"/>
  <c r="BG49" i="5" s="1"/>
  <c r="BL49" i="5" s="1"/>
  <c r="AC558" i="5"/>
  <c r="BE279" i="5"/>
  <c r="BG279" i="5" s="1"/>
  <c r="BL279" i="5" s="1"/>
  <c r="AC324" i="5"/>
  <c r="AC23" i="5"/>
  <c r="BE463" i="5"/>
  <c r="BF463" i="5" s="1"/>
  <c r="BK463" i="5" s="1"/>
  <c r="BE180" i="5"/>
  <c r="BF180" i="5" s="1"/>
  <c r="BK180" i="5" s="1"/>
  <c r="AD525" i="5"/>
  <c r="AD53" i="5"/>
  <c r="AC397" i="5"/>
  <c r="AD476" i="5"/>
  <c r="BE214" i="5"/>
  <c r="BF214" i="5" s="1"/>
  <c r="BK214" i="5" s="1"/>
  <c r="AD180" i="5"/>
  <c r="BE525" i="5"/>
  <c r="BG525" i="5" s="1"/>
  <c r="BL525" i="5" s="1"/>
  <c r="BE397" i="5"/>
  <c r="BF397" i="5" s="1"/>
  <c r="BK397" i="5" s="1"/>
  <c r="AD420" i="5"/>
  <c r="AC214" i="5"/>
  <c r="BE173" i="5"/>
  <c r="BG173" i="5" s="1"/>
  <c r="BL173" i="5" s="1"/>
  <c r="AC420" i="5"/>
  <c r="BE290" i="5"/>
  <c r="BG290" i="5" s="1"/>
  <c r="BL290" i="5" s="1"/>
  <c r="AC337" i="5"/>
  <c r="AD348" i="5"/>
  <c r="BE140" i="5"/>
  <c r="BG140" i="5" s="1"/>
  <c r="BL140" i="5" s="1"/>
  <c r="BE543" i="5"/>
  <c r="BG543" i="5" s="1"/>
  <c r="BL543" i="5" s="1"/>
  <c r="AD173" i="5"/>
  <c r="BE308" i="5"/>
  <c r="BF308" i="5" s="1"/>
  <c r="BK308" i="5" s="1"/>
  <c r="AC348" i="5"/>
  <c r="AD140" i="5"/>
  <c r="AC543" i="5"/>
  <c r="BE387" i="5"/>
  <c r="BG387" i="5" s="1"/>
  <c r="BL387" i="5" s="1"/>
  <c r="AC148" i="5"/>
  <c r="AD541" i="5"/>
  <c r="AD292" i="5"/>
  <c r="AC251" i="5"/>
  <c r="AD467" i="5"/>
  <c r="BE251" i="5"/>
  <c r="BF251" i="5" s="1"/>
  <c r="BK251" i="5" s="1"/>
  <c r="AD113" i="5"/>
  <c r="AC357" i="5"/>
  <c r="AD291" i="5"/>
  <c r="AC150" i="5"/>
  <c r="BE535" i="5"/>
  <c r="BG535" i="5" s="1"/>
  <c r="BL535" i="5" s="1"/>
  <c r="BE415" i="5"/>
  <c r="BG415" i="5" s="1"/>
  <c r="BL415" i="5" s="1"/>
  <c r="BE411" i="5"/>
  <c r="BF411" i="5" s="1"/>
  <c r="BK411" i="5" s="1"/>
  <c r="AD469" i="5"/>
  <c r="AC405" i="5"/>
  <c r="BE422" i="5"/>
  <c r="BF422" i="5" s="1"/>
  <c r="BK422" i="5" s="1"/>
  <c r="AC291" i="5"/>
  <c r="BE393" i="5"/>
  <c r="BF393" i="5" s="1"/>
  <c r="BK393" i="5" s="1"/>
  <c r="BE530" i="5"/>
  <c r="BG530" i="5" s="1"/>
  <c r="BL530" i="5" s="1"/>
  <c r="BE242" i="5"/>
  <c r="BG242" i="5" s="1"/>
  <c r="BL242" i="5" s="1"/>
  <c r="AD512" i="5"/>
  <c r="AC313" i="5"/>
  <c r="BE467" i="5"/>
  <c r="BG467" i="5" s="1"/>
  <c r="BL467" i="5" s="1"/>
  <c r="AC67" i="5"/>
  <c r="BE405" i="5"/>
  <c r="BF405" i="5" s="1"/>
  <c r="BK405" i="5" s="1"/>
  <c r="BE155" i="5"/>
  <c r="BF155" i="5" s="1"/>
  <c r="BK155" i="5" s="1"/>
  <c r="AC240" i="5"/>
  <c r="BE195" i="5"/>
  <c r="BF195" i="5" s="1"/>
  <c r="BK195" i="5" s="1"/>
  <c r="AD67" i="5"/>
  <c r="BE357" i="5"/>
  <c r="BG357" i="5" s="1"/>
  <c r="BL357" i="5" s="1"/>
  <c r="AD150" i="5"/>
  <c r="AD195" i="5"/>
  <c r="AD535" i="5"/>
  <c r="BE469" i="5"/>
  <c r="BF469" i="5" s="1"/>
  <c r="BK469" i="5" s="1"/>
  <c r="AC375" i="5"/>
  <c r="AD151" i="5"/>
  <c r="BE66" i="5"/>
  <c r="BG66" i="5" s="1"/>
  <c r="BL66" i="5" s="1"/>
  <c r="BE267" i="5"/>
  <c r="BF267" i="5" s="1"/>
  <c r="BK267" i="5" s="1"/>
  <c r="AC271" i="5"/>
  <c r="AD375" i="5"/>
  <c r="AC174" i="5"/>
  <c r="AD439" i="5"/>
  <c r="BE480" i="5"/>
  <c r="BF480" i="5" s="1"/>
  <c r="BK480" i="5" s="1"/>
  <c r="AD60" i="5"/>
  <c r="AD436" i="5"/>
  <c r="BE439" i="5"/>
  <c r="BG439" i="5" s="1"/>
  <c r="BL439" i="5" s="1"/>
  <c r="AD480" i="5"/>
  <c r="BE151" i="5"/>
  <c r="BG151" i="5" s="1"/>
  <c r="BL151" i="5" s="1"/>
  <c r="AC223" i="5"/>
  <c r="BE315" i="5"/>
  <c r="BG315" i="5" s="1"/>
  <c r="BL315" i="5" s="1"/>
  <c r="AC130" i="5"/>
  <c r="BE223" i="5"/>
  <c r="BF223" i="5" s="1"/>
  <c r="BK223" i="5" s="1"/>
  <c r="BE43" i="5"/>
  <c r="BG43" i="5" s="1"/>
  <c r="BL43" i="5" s="1"/>
  <c r="BE115" i="5"/>
  <c r="BF115" i="5" s="1"/>
  <c r="BK115" i="5" s="1"/>
  <c r="BE26" i="5"/>
  <c r="BF26" i="5" s="1"/>
  <c r="BK26" i="5" s="1"/>
  <c r="AC494" i="5"/>
  <c r="BE237" i="5"/>
  <c r="BF237" i="5" s="1"/>
  <c r="BK237" i="5" s="1"/>
  <c r="AC115" i="5"/>
  <c r="AC137" i="5"/>
  <c r="AC26" i="5"/>
  <c r="BE68" i="5"/>
  <c r="BG68" i="5" s="1"/>
  <c r="BL68" i="5" s="1"/>
  <c r="AD237" i="5"/>
  <c r="BE95" i="5"/>
  <c r="BG95" i="5" s="1"/>
  <c r="BL95" i="5" s="1"/>
  <c r="BE158" i="5"/>
  <c r="BG158" i="5" s="1"/>
  <c r="BL158" i="5" s="1"/>
  <c r="AC437" i="5"/>
  <c r="BE542" i="5"/>
  <c r="BF542" i="5" s="1"/>
  <c r="BK542" i="5" s="1"/>
  <c r="AC289" i="5"/>
  <c r="AC539" i="5"/>
  <c r="AC542" i="5"/>
  <c r="BE48" i="5"/>
  <c r="BG48" i="5" s="1"/>
  <c r="BL48" i="5" s="1"/>
  <c r="BE271" i="5"/>
  <c r="BF271" i="5" s="1"/>
  <c r="BK271" i="5" s="1"/>
  <c r="BE73" i="5"/>
  <c r="BF73" i="5" s="1"/>
  <c r="BK73" i="5" s="1"/>
  <c r="AC211" i="5"/>
  <c r="AD66" i="5"/>
  <c r="AC267" i="5"/>
  <c r="AC73" i="5"/>
  <c r="AC143" i="5"/>
  <c r="BE409" i="5"/>
  <c r="BG409" i="5" s="1"/>
  <c r="BL409" i="5" s="1"/>
  <c r="AD471" i="5"/>
  <c r="BE366" i="5"/>
  <c r="BF366" i="5" s="1"/>
  <c r="BK366" i="5" s="1"/>
  <c r="AD210" i="5"/>
  <c r="AD483" i="5"/>
  <c r="BE211" i="5"/>
  <c r="BG211" i="5" s="1"/>
  <c r="BL211" i="5" s="1"/>
  <c r="AC409" i="5"/>
  <c r="AC366" i="5"/>
  <c r="BE210" i="5"/>
  <c r="BF210" i="5" s="1"/>
  <c r="BK210" i="5" s="1"/>
  <c r="BE483" i="5"/>
  <c r="BF483" i="5" s="1"/>
  <c r="BK483" i="5" s="1"/>
  <c r="AD429" i="5"/>
  <c r="AC246" i="5"/>
  <c r="BE64" i="5"/>
  <c r="BG64" i="5" s="1"/>
  <c r="BL64" i="5" s="1"/>
  <c r="AC436" i="5"/>
  <c r="BE429" i="5"/>
  <c r="BG429" i="5" s="1"/>
  <c r="BL429" i="5" s="1"/>
  <c r="AD246" i="5"/>
  <c r="AC296" i="5"/>
  <c r="BE399" i="5"/>
  <c r="BF399" i="5" s="1"/>
  <c r="BK399" i="5" s="1"/>
  <c r="AD296" i="5"/>
  <c r="AC399" i="5"/>
  <c r="AD47" i="5"/>
  <c r="BE349" i="5"/>
  <c r="BG349" i="5" s="1"/>
  <c r="BL349" i="5" s="1"/>
  <c r="AD105" i="5"/>
  <c r="BE169" i="5"/>
  <c r="BF169" i="5" s="1"/>
  <c r="BK169" i="5" s="1"/>
  <c r="AC165" i="5"/>
  <c r="BE281" i="5"/>
  <c r="BF281" i="5" s="1"/>
  <c r="BK281" i="5" s="1"/>
  <c r="AC56" i="5"/>
  <c r="AD406" i="5"/>
  <c r="AC183" i="5"/>
  <c r="AC372" i="5"/>
  <c r="AC307" i="5"/>
  <c r="AC432" i="5"/>
  <c r="AC359" i="5"/>
  <c r="AD71" i="5"/>
  <c r="BE455" i="5"/>
  <c r="BF455" i="5" s="1"/>
  <c r="BK455" i="5" s="1"/>
  <c r="AD432" i="5"/>
  <c r="BE71" i="5"/>
  <c r="BG71" i="5" s="1"/>
  <c r="BL71" i="5" s="1"/>
  <c r="AC455" i="5"/>
  <c r="BE235" i="5"/>
  <c r="BF235" i="5" s="1"/>
  <c r="BK235" i="5" s="1"/>
  <c r="AD235" i="5"/>
  <c r="BE116" i="5"/>
  <c r="BG116" i="5" s="1"/>
  <c r="BL116" i="5" s="1"/>
  <c r="AD161" i="5"/>
  <c r="AC116" i="5"/>
  <c r="BE519" i="5"/>
  <c r="BF519" i="5" s="1"/>
  <c r="BK519" i="5" s="1"/>
  <c r="AD34" i="5"/>
  <c r="AC519" i="5"/>
  <c r="AD183" i="5"/>
  <c r="BE406" i="5"/>
  <c r="BF406" i="5" s="1"/>
  <c r="BK406" i="5" s="1"/>
  <c r="AD165" i="5"/>
  <c r="AD298" i="5"/>
  <c r="AD449" i="5"/>
  <c r="AD322" i="5"/>
  <c r="AD281" i="5"/>
  <c r="BE105" i="5"/>
  <c r="BG105" i="5" s="1"/>
  <c r="BL105" i="5" s="1"/>
  <c r="AC298" i="5"/>
  <c r="BE56" i="5"/>
  <c r="BG56" i="5" s="1"/>
  <c r="BL56" i="5" s="1"/>
  <c r="AC322" i="5"/>
  <c r="BE372" i="5"/>
  <c r="BG372" i="5" s="1"/>
  <c r="BL372" i="5" s="1"/>
  <c r="AC349" i="5"/>
  <c r="BE152" i="5"/>
  <c r="BG152" i="5" s="1"/>
  <c r="BL152" i="5" s="1"/>
  <c r="BE470" i="5"/>
  <c r="BF470" i="5" s="1"/>
  <c r="BK470" i="5" s="1"/>
  <c r="AC169" i="5"/>
  <c r="BE209" i="5"/>
  <c r="BF209" i="5" s="1"/>
  <c r="BK209" i="5" s="1"/>
  <c r="AC152" i="5"/>
  <c r="AD451" i="5"/>
  <c r="AC470" i="5"/>
  <c r="AD501" i="5"/>
  <c r="AD209" i="5"/>
  <c r="BE34" i="5"/>
  <c r="BF34" i="5" s="1"/>
  <c r="BK34" i="5" s="1"/>
  <c r="BE451" i="5"/>
  <c r="BG451" i="5" s="1"/>
  <c r="BL451" i="5" s="1"/>
  <c r="BE144" i="5"/>
  <c r="BF144" i="5" s="1"/>
  <c r="BK144" i="5" s="1"/>
  <c r="AC334" i="5"/>
  <c r="AC481" i="5"/>
  <c r="BE501" i="5"/>
  <c r="BF501" i="5" s="1"/>
  <c r="BK501" i="5" s="1"/>
  <c r="BE505" i="5"/>
  <c r="BF505" i="5" s="1"/>
  <c r="BK505" i="5" s="1"/>
  <c r="BE433" i="5"/>
  <c r="BG433" i="5" s="1"/>
  <c r="BL433" i="5" s="1"/>
  <c r="AC367" i="5"/>
  <c r="AC144" i="5"/>
  <c r="BE334" i="5"/>
  <c r="BF334" i="5" s="1"/>
  <c r="BK334" i="5" s="1"/>
  <c r="AC449" i="5"/>
  <c r="AD481" i="5"/>
  <c r="AC505" i="5"/>
  <c r="AC433" i="5"/>
  <c r="BE367" i="5"/>
  <c r="BF367" i="5" s="1"/>
  <c r="BK367" i="5" s="1"/>
  <c r="AC185" i="5"/>
  <c r="AC233" i="5"/>
  <c r="BE79" i="5"/>
  <c r="BF79" i="5" s="1"/>
  <c r="BK79" i="5" s="1"/>
  <c r="BE35" i="5"/>
  <c r="BG35" i="5" s="1"/>
  <c r="BL35" i="5" s="1"/>
  <c r="AD510" i="5"/>
  <c r="BE260" i="5"/>
  <c r="BG260" i="5" s="1"/>
  <c r="BL260" i="5" s="1"/>
  <c r="BE537" i="5"/>
  <c r="BF537" i="5" s="1"/>
  <c r="BK537" i="5" s="1"/>
  <c r="AC35" i="5"/>
  <c r="BE233" i="5"/>
  <c r="BG233" i="5" s="1"/>
  <c r="BL233" i="5" s="1"/>
  <c r="AC537" i="5"/>
  <c r="AC303" i="5"/>
  <c r="BE303" i="5"/>
  <c r="BF303" i="5" s="1"/>
  <c r="BK303" i="5" s="1"/>
  <c r="AD416" i="5"/>
  <c r="AD266" i="5"/>
  <c r="BE163" i="5"/>
  <c r="BF163" i="5" s="1"/>
  <c r="BK163" i="5" s="1"/>
  <c r="AC317" i="5"/>
  <c r="BE364" i="5"/>
  <c r="BF364" i="5" s="1"/>
  <c r="BK364" i="5" s="1"/>
  <c r="AD317" i="5"/>
  <c r="AC19" i="5"/>
  <c r="BE389" i="5"/>
  <c r="BG389" i="5" s="1"/>
  <c r="BL389" i="5" s="1"/>
  <c r="BE122" i="5"/>
  <c r="BG122" i="5" s="1"/>
  <c r="BL122" i="5" s="1"/>
  <c r="AD260" i="5"/>
  <c r="AC36" i="5"/>
  <c r="AC79" i="5"/>
  <c r="AC389" i="5"/>
  <c r="AC447" i="5"/>
  <c r="BE465" i="5"/>
  <c r="BF465" i="5" s="1"/>
  <c r="BK465" i="5" s="1"/>
  <c r="BE239" i="5"/>
  <c r="BF239" i="5" s="1"/>
  <c r="BK239" i="5" s="1"/>
  <c r="AD552" i="5"/>
  <c r="BE47" i="5"/>
  <c r="BG47" i="5" s="1"/>
  <c r="BL47" i="5" s="1"/>
  <c r="AC188" i="5"/>
  <c r="AD8" i="5"/>
  <c r="BE254" i="5"/>
  <c r="BG254" i="5" s="1"/>
  <c r="BL254" i="5" s="1"/>
  <c r="AD332" i="5"/>
  <c r="AD188" i="5"/>
  <c r="AC254" i="5"/>
  <c r="BE332" i="5"/>
  <c r="BG332" i="5" s="1"/>
  <c r="BL332" i="5" s="1"/>
  <c r="BE206" i="5"/>
  <c r="BF206" i="5" s="1"/>
  <c r="BK206" i="5" s="1"/>
  <c r="AC206" i="5"/>
  <c r="BE331" i="5"/>
  <c r="BF331" i="5" s="1"/>
  <c r="BK331" i="5" s="1"/>
  <c r="BE232" i="5"/>
  <c r="BG232" i="5" s="1"/>
  <c r="BL232" i="5" s="1"/>
  <c r="AD331" i="5"/>
  <c r="AC454" i="5"/>
  <c r="BE325" i="5"/>
  <c r="BF325" i="5" s="1"/>
  <c r="BK325" i="5" s="1"/>
  <c r="AC325" i="5"/>
  <c r="AC479" i="5"/>
  <c r="BE108" i="5"/>
  <c r="BG108" i="5" s="1"/>
  <c r="BL108" i="5" s="1"/>
  <c r="AC8" i="5"/>
  <c r="BE37" i="5"/>
  <c r="BF37" i="5" s="1"/>
  <c r="BK37" i="5" s="1"/>
  <c r="AD137" i="5"/>
  <c r="AC95" i="5"/>
  <c r="BE32" i="5"/>
  <c r="BF32" i="5" s="1"/>
  <c r="BK32" i="5" s="1"/>
  <c r="BE395" i="5"/>
  <c r="BF395" i="5" s="1"/>
  <c r="BK395" i="5" s="1"/>
  <c r="AC551" i="5"/>
  <c r="AD212" i="5"/>
  <c r="AC32" i="5"/>
  <c r="AD37" i="5"/>
  <c r="AC178" i="5"/>
  <c r="BE101" i="5"/>
  <c r="BG101" i="5" s="1"/>
  <c r="BL101" i="5" s="1"/>
  <c r="AC395" i="5"/>
  <c r="BE212" i="5"/>
  <c r="BG212" i="5" s="1"/>
  <c r="BL212" i="5" s="1"/>
  <c r="AD282" i="5"/>
  <c r="BE178" i="5"/>
  <c r="BF178" i="5" s="1"/>
  <c r="BK178" i="5" s="1"/>
  <c r="AC101" i="5"/>
  <c r="AD391" i="5"/>
  <c r="AC534" i="5"/>
  <c r="BE282" i="5"/>
  <c r="BF282" i="5" s="1"/>
  <c r="BK282" i="5" s="1"/>
  <c r="AC170" i="5"/>
  <c r="BE216" i="5"/>
  <c r="BF216" i="5" s="1"/>
  <c r="BK216" i="5" s="1"/>
  <c r="BE259" i="5"/>
  <c r="BF259" i="5" s="1"/>
  <c r="BK259" i="5" s="1"/>
  <c r="BE391" i="5"/>
  <c r="BG391" i="5" s="1"/>
  <c r="BL391" i="5" s="1"/>
  <c r="AD534" i="5"/>
  <c r="BE494" i="5"/>
  <c r="BF494" i="5" s="1"/>
  <c r="BK494" i="5" s="1"/>
  <c r="AD170" i="5"/>
  <c r="AD216" i="5"/>
  <c r="BE72" i="5"/>
  <c r="BG72" i="5" s="1"/>
  <c r="BL72" i="5" s="1"/>
  <c r="AC259" i="5"/>
  <c r="BE454" i="5"/>
  <c r="BG454" i="5" s="1"/>
  <c r="BL454" i="5" s="1"/>
  <c r="BE283" i="5"/>
  <c r="BG283" i="5" s="1"/>
  <c r="BL283" i="5" s="1"/>
  <c r="AD286" i="5"/>
  <c r="AD365" i="5"/>
  <c r="AC464" i="5"/>
  <c r="AD283" i="5"/>
  <c r="BE28" i="5"/>
  <c r="BG28" i="5" s="1"/>
  <c r="BL28" i="5" s="1"/>
  <c r="AD464" i="5"/>
  <c r="AD479" i="5"/>
  <c r="BE185" i="5"/>
  <c r="BF185" i="5" s="1"/>
  <c r="BK185" i="5" s="1"/>
  <c r="AC466" i="5"/>
  <c r="BE45" i="5"/>
  <c r="BF45" i="5" s="1"/>
  <c r="BK45" i="5" s="1"/>
  <c r="BE557" i="5"/>
  <c r="BG557" i="5" s="1"/>
  <c r="BL557" i="5" s="1"/>
  <c r="AD108" i="5"/>
  <c r="BE286" i="5"/>
  <c r="BF286" i="5" s="1"/>
  <c r="BK286" i="5" s="1"/>
  <c r="BE365" i="5"/>
  <c r="BF365" i="5" s="1"/>
  <c r="BK365" i="5" s="1"/>
  <c r="AC557" i="5"/>
  <c r="AD10" i="5"/>
  <c r="BE174" i="5"/>
  <c r="BF174" i="5" s="1"/>
  <c r="BK174" i="5" s="1"/>
  <c r="AD64" i="5"/>
  <c r="AD143" i="5"/>
  <c r="AC159" i="5"/>
  <c r="AC72" i="5"/>
  <c r="BE234" i="5"/>
  <c r="BF234" i="5" s="1"/>
  <c r="BK234" i="5" s="1"/>
  <c r="AC396" i="5"/>
  <c r="AD157" i="5"/>
  <c r="AC264" i="5"/>
  <c r="AD396" i="5"/>
  <c r="AC157" i="5"/>
  <c r="BE264" i="5"/>
  <c r="BG264" i="5" s="1"/>
  <c r="BL264" i="5" s="1"/>
  <c r="AC45" i="5"/>
  <c r="BE453" i="5"/>
  <c r="BF453" i="5" s="1"/>
  <c r="BK453" i="5" s="1"/>
  <c r="BE241" i="5"/>
  <c r="BG241" i="5" s="1"/>
  <c r="BL241" i="5" s="1"/>
  <c r="AC28" i="5"/>
  <c r="AD241" i="5"/>
  <c r="AD453" i="5"/>
  <c r="BE125" i="5"/>
  <c r="BG125" i="5" s="1"/>
  <c r="BL125" i="5" s="1"/>
  <c r="BE193" i="5"/>
  <c r="BF193" i="5" s="1"/>
  <c r="BK193" i="5" s="1"/>
  <c r="BE65" i="5"/>
  <c r="BF65" i="5" s="1"/>
  <c r="BK65" i="5" s="1"/>
  <c r="AD466" i="5"/>
  <c r="AC125" i="5"/>
  <c r="BE177" i="5"/>
  <c r="BF177" i="5" s="1"/>
  <c r="BK177" i="5" s="1"/>
  <c r="AC193" i="5"/>
  <c r="AD65" i="5"/>
  <c r="AC177" i="5"/>
  <c r="AD507" i="5"/>
  <c r="AD459" i="5"/>
  <c r="AC189" i="5"/>
  <c r="AC329" i="5"/>
  <c r="AD192" i="5"/>
  <c r="BE521" i="5"/>
  <c r="BF521" i="5" s="1"/>
  <c r="BK521" i="5" s="1"/>
  <c r="AC256" i="5"/>
  <c r="BE39" i="5"/>
  <c r="BG39" i="5" s="1"/>
  <c r="BL39" i="5" s="1"/>
  <c r="AC192" i="5"/>
  <c r="AC521" i="5"/>
  <c r="BE91" i="5"/>
  <c r="BF91" i="5" s="1"/>
  <c r="BK91" i="5" s="1"/>
  <c r="AD256" i="5"/>
  <c r="AC184" i="5"/>
  <c r="AC39" i="5"/>
  <c r="AC362" i="5"/>
  <c r="BE417" i="5"/>
  <c r="BF417" i="5" s="1"/>
  <c r="BK417" i="5" s="1"/>
  <c r="BE75" i="5"/>
  <c r="BF75" i="5" s="1"/>
  <c r="BK75" i="5" s="1"/>
  <c r="BE184" i="5"/>
  <c r="BF184" i="5" s="1"/>
  <c r="BK184" i="5" s="1"/>
  <c r="BE362" i="5"/>
  <c r="BF362" i="5" s="1"/>
  <c r="BK362" i="5" s="1"/>
  <c r="AD417" i="5"/>
  <c r="AD91" i="5"/>
  <c r="AC311" i="5"/>
  <c r="AD75" i="5"/>
  <c r="AC500" i="5"/>
  <c r="BE353" i="5"/>
  <c r="BG353" i="5" s="1"/>
  <c r="BL353" i="5" s="1"/>
  <c r="BE119" i="5"/>
  <c r="BF119" i="5" s="1"/>
  <c r="BK119" i="5" s="1"/>
  <c r="AC181" i="5"/>
  <c r="BE99" i="5"/>
  <c r="BG99" i="5" s="1"/>
  <c r="BL99" i="5" s="1"/>
  <c r="BE213" i="5"/>
  <c r="BG213" i="5" s="1"/>
  <c r="BL213" i="5" s="1"/>
  <c r="AD311" i="5"/>
  <c r="BE218" i="5"/>
  <c r="BF218" i="5" s="1"/>
  <c r="BK218" i="5" s="1"/>
  <c r="AC119" i="5"/>
  <c r="BE181" i="5"/>
  <c r="BG181" i="5" s="1"/>
  <c r="BL181" i="5" s="1"/>
  <c r="AC99" i="5"/>
  <c r="BE414" i="5"/>
  <c r="BF414" i="5" s="1"/>
  <c r="BK414" i="5" s="1"/>
  <c r="AD213" i="5"/>
  <c r="AD500" i="5"/>
  <c r="BE424" i="5"/>
  <c r="BF424" i="5" s="1"/>
  <c r="BK424" i="5" s="1"/>
  <c r="BE459" i="5"/>
  <c r="BG459" i="5" s="1"/>
  <c r="BL459" i="5" s="1"/>
  <c r="AC424" i="5"/>
  <c r="AD189" i="5"/>
  <c r="AD414" i="5"/>
  <c r="BE329" i="5"/>
  <c r="BF329" i="5" s="1"/>
  <c r="BK329" i="5" s="1"/>
  <c r="AC416" i="5"/>
  <c r="BE510" i="5"/>
  <c r="BG510" i="5" s="1"/>
  <c r="BL510" i="5" s="1"/>
  <c r="AD13" i="5"/>
  <c r="AC465" i="5"/>
  <c r="AD364" i="5"/>
  <c r="AD163" i="5"/>
  <c r="AC239" i="5"/>
  <c r="AD122" i="5"/>
  <c r="AD447" i="5"/>
  <c r="AC13" i="5"/>
  <c r="BE36" i="5"/>
  <c r="BG36" i="5" s="1"/>
  <c r="BL36" i="5" s="1"/>
  <c r="BE280" i="5"/>
  <c r="BF280" i="5" s="1"/>
  <c r="BK280" i="5" s="1"/>
  <c r="AD77" i="5"/>
  <c r="AC280" i="5"/>
  <c r="AC554" i="5"/>
  <c r="BE77" i="5"/>
  <c r="BF77" i="5" s="1"/>
  <c r="BK77" i="5" s="1"/>
  <c r="BE554" i="5"/>
  <c r="BG554" i="5" s="1"/>
  <c r="BL554" i="5" s="1"/>
  <c r="BE145" i="5"/>
  <c r="BG145" i="5" s="1"/>
  <c r="BL145" i="5" s="1"/>
  <c r="BE287" i="5"/>
  <c r="BF287" i="5" s="1"/>
  <c r="BK287" i="5" s="1"/>
  <c r="AC145" i="5"/>
  <c r="AC287" i="5"/>
  <c r="BE266" i="5"/>
  <c r="BG266" i="5" s="1"/>
  <c r="BL266" i="5" s="1"/>
  <c r="BE382" i="5"/>
  <c r="BG382" i="5" s="1"/>
  <c r="BL382" i="5" s="1"/>
  <c r="AC382" i="5"/>
  <c r="AC427" i="5"/>
  <c r="BE52" i="5"/>
  <c r="BG52" i="5" s="1"/>
  <c r="BL52" i="5" s="1"/>
  <c r="AD486" i="5"/>
  <c r="BE509" i="5"/>
  <c r="BG509" i="5" s="1"/>
  <c r="BL509" i="5" s="1"/>
  <c r="AC509" i="5"/>
  <c r="AC498" i="5"/>
  <c r="AD427" i="5"/>
  <c r="BE98" i="5"/>
  <c r="BF98" i="5" s="1"/>
  <c r="BK98" i="5" s="1"/>
  <c r="AC486" i="5"/>
  <c r="BE376" i="5"/>
  <c r="BG376" i="5" s="1"/>
  <c r="BL376" i="5" s="1"/>
  <c r="AC52" i="5"/>
  <c r="AD153" i="5"/>
  <c r="BE248" i="5"/>
  <c r="BF248" i="5" s="1"/>
  <c r="BK248" i="5" s="1"/>
  <c r="BE498" i="5"/>
  <c r="BG498" i="5" s="1"/>
  <c r="BL498" i="5" s="1"/>
  <c r="AD98" i="5"/>
  <c r="AC376" i="5"/>
  <c r="BE153" i="5"/>
  <c r="BF153" i="5" s="1"/>
  <c r="BK153" i="5" s="1"/>
  <c r="AD248" i="5"/>
  <c r="BE345" i="5"/>
  <c r="BG345" i="5" s="1"/>
  <c r="BL345" i="5" s="1"/>
  <c r="BE352" i="5"/>
  <c r="BG352" i="5" s="1"/>
  <c r="BL352" i="5" s="1"/>
  <c r="AC345" i="5"/>
  <c r="AC352" i="5"/>
  <c r="AC10" i="5"/>
  <c r="AD202" i="5"/>
  <c r="AC142" i="5"/>
  <c r="AC503" i="5"/>
  <c r="AD538" i="5"/>
  <c r="BE24" i="5"/>
  <c r="BG24" i="5" s="1"/>
  <c r="BL24" i="5" s="1"/>
  <c r="AD142" i="5"/>
  <c r="BE81" i="5"/>
  <c r="BF81" i="5" s="1"/>
  <c r="BK81" i="5" s="1"/>
  <c r="AD503" i="5"/>
  <c r="BE268" i="5"/>
  <c r="BF268" i="5" s="1"/>
  <c r="BK268" i="5" s="1"/>
  <c r="AC136" i="5"/>
  <c r="AC81" i="5"/>
  <c r="AC268" i="5"/>
  <c r="AD24" i="5"/>
  <c r="BE538" i="5"/>
  <c r="BF538" i="5" s="1"/>
  <c r="BK538" i="5" s="1"/>
  <c r="AD20" i="5"/>
  <c r="BE136" i="5"/>
  <c r="BG136" i="5" s="1"/>
  <c r="BL136" i="5" s="1"/>
  <c r="BE398" i="5"/>
  <c r="BG398" i="5" s="1"/>
  <c r="BL398" i="5" s="1"/>
  <c r="BE162" i="5"/>
  <c r="BF162" i="5" s="1"/>
  <c r="BK162" i="5" s="1"/>
  <c r="BE20" i="5"/>
  <c r="BG20" i="5" s="1"/>
  <c r="BL20" i="5" s="1"/>
  <c r="AC398" i="5"/>
  <c r="BE263" i="5"/>
  <c r="BG263" i="5" s="1"/>
  <c r="BL263" i="5" s="1"/>
  <c r="BE536" i="5"/>
  <c r="BF536" i="5" s="1"/>
  <c r="BK536" i="5" s="1"/>
  <c r="AD310" i="5"/>
  <c r="BE546" i="5"/>
  <c r="BG546" i="5" s="1"/>
  <c r="BL546" i="5" s="1"/>
  <c r="AC162" i="5"/>
  <c r="AD227" i="5"/>
  <c r="AC263" i="5"/>
  <c r="AC536" i="5"/>
  <c r="BE310" i="5"/>
  <c r="BG310" i="5" s="1"/>
  <c r="BL310" i="5" s="1"/>
  <c r="AC546" i="5"/>
  <c r="AC227" i="5"/>
  <c r="BE202" i="5"/>
  <c r="BG202" i="5" s="1"/>
  <c r="BL202" i="5" s="1"/>
  <c r="BE507" i="5"/>
  <c r="BG507" i="5" s="1"/>
  <c r="BL507" i="5" s="1"/>
  <c r="BE487" i="5"/>
  <c r="BF487" i="5" s="1"/>
  <c r="BK487" i="5" s="1"/>
  <c r="BE76" i="5"/>
  <c r="BG76" i="5" s="1"/>
  <c r="BL76" i="5" s="1"/>
  <c r="AC487" i="5"/>
  <c r="AC76" i="5"/>
  <c r="AC218" i="5"/>
  <c r="BE127" i="5"/>
  <c r="BG127" i="5" s="1"/>
  <c r="BL127" i="5" s="1"/>
  <c r="BE321" i="5"/>
  <c r="BG321" i="5" s="1"/>
  <c r="BL321" i="5" s="1"/>
  <c r="AC353" i="5"/>
  <c r="BE27" i="5"/>
  <c r="BG27" i="5" s="1"/>
  <c r="BL27" i="5" s="1"/>
  <c r="AC127" i="5"/>
  <c r="AC321" i="5"/>
  <c r="AC485" i="5"/>
  <c r="AD27" i="5"/>
  <c r="BE493" i="5"/>
  <c r="BF493" i="5" s="1"/>
  <c r="BK493" i="5" s="1"/>
  <c r="AD485" i="5"/>
  <c r="BE551" i="5"/>
  <c r="BF551" i="5" s="1"/>
  <c r="BK551" i="5" s="1"/>
  <c r="AC493" i="5"/>
  <c r="AD12" i="5"/>
  <c r="AC12" i="5"/>
  <c r="AC475" i="5"/>
  <c r="AC234" i="5"/>
  <c r="BE475" i="5"/>
  <c r="BG475" i="5" s="1"/>
  <c r="BL475" i="5" s="1"/>
  <c r="BE314" i="5"/>
  <c r="BF314" i="5" s="1"/>
  <c r="BK314" i="5" s="1"/>
  <c r="AD159" i="5"/>
  <c r="AC314" i="5"/>
  <c r="BE25" i="5"/>
  <c r="BG25" i="5" s="1"/>
  <c r="BL25" i="5" s="1"/>
  <c r="BE506" i="5"/>
  <c r="BG506" i="5" s="1"/>
  <c r="BL506" i="5" s="1"/>
  <c r="AD25" i="5"/>
  <c r="AC506" i="5"/>
  <c r="AD326" i="5"/>
  <c r="AC255" i="5"/>
  <c r="AD255" i="5"/>
  <c r="BE277" i="5"/>
  <c r="BF277" i="5" s="1"/>
  <c r="BK277" i="5" s="1"/>
  <c r="AD277" i="5"/>
  <c r="BE273" i="5"/>
  <c r="BF273" i="5" s="1"/>
  <c r="BK273" i="5" s="1"/>
  <c r="AD273" i="5"/>
  <c r="BE326" i="5"/>
  <c r="BF326" i="5" s="1"/>
  <c r="BK326" i="5" s="1"/>
  <c r="AO545" i="5"/>
  <c r="AP545" i="5" s="1"/>
  <c r="AO297" i="5"/>
  <c r="AQ297" i="5" s="1"/>
  <c r="AO280" i="5"/>
  <c r="AP280" i="5" s="1"/>
  <c r="AO307" i="5"/>
  <c r="BH307" i="5" s="1"/>
  <c r="AO61" i="5"/>
  <c r="AQ61" i="5" s="1"/>
  <c r="AO256" i="5"/>
  <c r="AP256" i="5" s="1"/>
  <c r="AO383" i="5"/>
  <c r="AQ383" i="5" s="1"/>
  <c r="AO167" i="5"/>
  <c r="AQ167" i="5" s="1"/>
  <c r="AO537" i="5"/>
  <c r="BH537" i="5" s="1"/>
  <c r="AO289" i="5"/>
  <c r="AP289" i="5" s="1"/>
  <c r="AO41" i="5"/>
  <c r="AQ41" i="5" s="1"/>
  <c r="AO74" i="5"/>
  <c r="AP74" i="5" s="1"/>
  <c r="AO402" i="5"/>
  <c r="AP402" i="5" s="1"/>
  <c r="AO165" i="5"/>
  <c r="BH165" i="5" s="1"/>
  <c r="AO507" i="5"/>
  <c r="AP507" i="5" s="1"/>
  <c r="AO214" i="5"/>
  <c r="BH214" i="5" s="1"/>
  <c r="AO208" i="5"/>
  <c r="BH208" i="5" s="1"/>
  <c r="AO499" i="5"/>
  <c r="BH499" i="5" s="1"/>
  <c r="AB9" i="5"/>
  <c r="AD9" i="5" s="1"/>
  <c r="AO250" i="5"/>
  <c r="BH250" i="5" s="1"/>
  <c r="AO555" i="5"/>
  <c r="AQ555" i="5" s="1"/>
  <c r="AO59" i="5"/>
  <c r="AQ59" i="5" s="1"/>
  <c r="AO282" i="5"/>
  <c r="AQ282" i="5" s="1"/>
  <c r="AO262" i="5"/>
  <c r="AP262" i="5" s="1"/>
  <c r="AO557" i="5"/>
  <c r="AP557" i="5" s="1"/>
  <c r="AO504" i="5"/>
  <c r="AQ504" i="5" s="1"/>
  <c r="AO391" i="5"/>
  <c r="BH391" i="5" s="1"/>
  <c r="AO336" i="5"/>
  <c r="AQ336" i="5" s="1"/>
  <c r="AO24" i="5"/>
  <c r="AQ24" i="5" s="1"/>
  <c r="AO35" i="5"/>
  <c r="BH35" i="5" s="1"/>
  <c r="AO322" i="5"/>
  <c r="BH322" i="5" s="1"/>
  <c r="AO369" i="5"/>
  <c r="BH369" i="5" s="1"/>
  <c r="AO57" i="5"/>
  <c r="AQ57" i="5" s="1"/>
  <c r="AO68" i="5"/>
  <c r="AP68" i="5" s="1"/>
  <c r="AO363" i="5"/>
  <c r="BH363" i="5" s="1"/>
  <c r="AO115" i="5"/>
  <c r="AP115" i="5" s="1"/>
  <c r="AO90" i="5"/>
  <c r="AQ90" i="5" s="1"/>
  <c r="AO101" i="5"/>
  <c r="BH101" i="5" s="1"/>
  <c r="AO396" i="5"/>
  <c r="AP396" i="5" s="1"/>
  <c r="AO148" i="5"/>
  <c r="BH148" i="5" s="1"/>
  <c r="AO443" i="5"/>
  <c r="BH443" i="5" s="1"/>
  <c r="AO484" i="5"/>
  <c r="BH484" i="5" s="1"/>
  <c r="AO321" i="5"/>
  <c r="AP321" i="5" s="1"/>
  <c r="AO219" i="5"/>
  <c r="AQ219" i="5" s="1"/>
  <c r="AO131" i="5"/>
  <c r="AQ131" i="5" s="1"/>
  <c r="AO354" i="5"/>
  <c r="AQ354" i="5" s="1"/>
  <c r="AO42" i="5"/>
  <c r="AP42" i="5" s="1"/>
  <c r="AO164" i="5"/>
  <c r="AP164" i="5" s="1"/>
  <c r="AO395" i="5"/>
  <c r="BH395" i="5" s="1"/>
  <c r="AO83" i="5"/>
  <c r="BH83" i="5" s="1"/>
  <c r="AO197" i="5"/>
  <c r="BH197" i="5" s="1"/>
  <c r="AO428" i="5"/>
  <c r="AQ428" i="5" s="1"/>
  <c r="AO116" i="5"/>
  <c r="BH116" i="5" s="1"/>
  <c r="AO349" i="5"/>
  <c r="BH349" i="5" s="1"/>
  <c r="AO230" i="5"/>
  <c r="AQ230" i="5" s="1"/>
  <c r="AO149" i="5"/>
  <c r="AQ149" i="5" s="1"/>
  <c r="AO413" i="5"/>
  <c r="BH413" i="5" s="1"/>
  <c r="AO351" i="5"/>
  <c r="AP351" i="5" s="1"/>
  <c r="AO494" i="5"/>
  <c r="AQ494" i="5" s="1"/>
  <c r="AO182" i="5"/>
  <c r="AQ182" i="5" s="1"/>
  <c r="AO477" i="5"/>
  <c r="AP477" i="5" s="1"/>
  <c r="AO127" i="5"/>
  <c r="AQ127" i="5" s="1"/>
  <c r="AO535" i="5"/>
  <c r="AP535" i="5" s="1"/>
  <c r="AO541" i="5"/>
  <c r="BH541" i="5" s="1"/>
  <c r="AO457" i="5"/>
  <c r="BH457" i="5" s="1"/>
  <c r="AO337" i="5"/>
  <c r="AQ337" i="5" s="1"/>
  <c r="AO124" i="5"/>
  <c r="AQ124" i="5" s="1"/>
  <c r="BG511" i="5"/>
  <c r="BL511" i="5" s="1"/>
  <c r="BF511" i="5"/>
  <c r="BK511" i="5" s="1"/>
  <c r="BF67" i="5"/>
  <c r="BK67" i="5" s="1"/>
  <c r="BG67" i="5"/>
  <c r="BL67" i="5" s="1"/>
  <c r="AM465" i="5"/>
  <c r="AN465" i="5"/>
  <c r="AN517" i="5"/>
  <c r="AM517" i="5"/>
  <c r="AN288" i="5"/>
  <c r="AM288" i="5"/>
  <c r="AM225" i="5"/>
  <c r="AN225" i="5"/>
  <c r="AM528" i="5"/>
  <c r="AN528" i="5"/>
  <c r="AN283" i="5"/>
  <c r="AM283" i="5"/>
  <c r="AN552" i="5"/>
  <c r="AM552" i="5"/>
  <c r="AN301" i="5"/>
  <c r="AM301" i="5"/>
  <c r="AM358" i="5"/>
  <c r="AN358" i="5"/>
  <c r="AM23" i="5"/>
  <c r="AN23" i="5"/>
  <c r="AN247" i="5"/>
  <c r="AM247" i="5"/>
  <c r="AN241" i="5"/>
  <c r="AM241" i="5"/>
  <c r="AN316" i="5"/>
  <c r="AM316" i="5"/>
  <c r="AM438" i="5"/>
  <c r="AN438" i="5"/>
  <c r="AN281" i="5"/>
  <c r="AM281" i="5"/>
  <c r="AM376" i="5"/>
  <c r="AN376" i="5"/>
  <c r="AN445" i="5"/>
  <c r="AM445" i="5"/>
  <c r="AN313" i="5"/>
  <c r="AM313" i="5"/>
  <c r="AM224" i="5"/>
  <c r="AN224" i="5"/>
  <c r="AM243" i="5"/>
  <c r="AN243" i="5"/>
  <c r="AM377" i="5"/>
  <c r="AN377" i="5"/>
  <c r="AO49" i="5"/>
  <c r="AO260" i="5"/>
  <c r="AO309" i="5"/>
  <c r="AO552" i="5"/>
  <c r="AM209" i="5"/>
  <c r="AN209" i="5"/>
  <c r="AM128" i="5"/>
  <c r="AN128" i="5"/>
  <c r="AM476" i="5"/>
  <c r="AN476" i="5"/>
  <c r="AN560" i="5"/>
  <c r="AM560" i="5"/>
  <c r="AM461" i="5"/>
  <c r="AN461" i="5"/>
  <c r="AM538" i="5"/>
  <c r="AN538" i="5"/>
  <c r="BG307" i="5"/>
  <c r="BL307" i="5" s="1"/>
  <c r="BF307" i="5"/>
  <c r="BK307" i="5" s="1"/>
  <c r="BF161" i="5"/>
  <c r="BK161" i="5" s="1"/>
  <c r="BG161" i="5"/>
  <c r="BL161" i="5" s="1"/>
  <c r="AM9" i="5"/>
  <c r="AN9" i="5"/>
  <c r="BF447" i="5"/>
  <c r="BK447" i="5" s="1"/>
  <c r="BG447" i="5"/>
  <c r="BL447" i="5" s="1"/>
  <c r="BG430" i="5"/>
  <c r="BL430" i="5" s="1"/>
  <c r="BF430" i="5"/>
  <c r="BK430" i="5" s="1"/>
  <c r="BF553" i="5"/>
  <c r="BK553" i="5" s="1"/>
  <c r="BG553" i="5"/>
  <c r="BL553" i="5" s="1"/>
  <c r="BG305" i="5"/>
  <c r="BL305" i="5" s="1"/>
  <c r="BF305" i="5"/>
  <c r="BK305" i="5" s="1"/>
  <c r="AN342" i="5"/>
  <c r="AM342" i="5"/>
  <c r="AN276" i="5"/>
  <c r="AM276" i="5"/>
  <c r="AN257" i="5"/>
  <c r="AM257" i="5"/>
  <c r="AM49" i="5"/>
  <c r="AN49" i="5"/>
  <c r="AN56" i="5"/>
  <c r="AM56" i="5"/>
  <c r="AM299" i="5"/>
  <c r="AN299" i="5"/>
  <c r="AN246" i="5"/>
  <c r="AM246" i="5"/>
  <c r="BF30" i="5"/>
  <c r="BK30" i="5" s="1"/>
  <c r="BG30" i="5"/>
  <c r="BL30" i="5" s="1"/>
  <c r="BF258" i="5"/>
  <c r="BK258" i="5" s="1"/>
  <c r="BG258" i="5"/>
  <c r="BL258" i="5" s="1"/>
  <c r="BG278" i="5"/>
  <c r="BL278" i="5" s="1"/>
  <c r="BF278" i="5"/>
  <c r="BK278" i="5" s="1"/>
  <c r="BG404" i="5"/>
  <c r="BL404" i="5" s="1"/>
  <c r="BF404" i="5"/>
  <c r="BK404" i="5" s="1"/>
  <c r="BG373" i="5"/>
  <c r="BL373" i="5" s="1"/>
  <c r="BF373" i="5"/>
  <c r="BK373" i="5" s="1"/>
  <c r="AM462" i="5"/>
  <c r="AN462" i="5"/>
  <c r="AM239" i="5"/>
  <c r="AN239" i="5"/>
  <c r="AN180" i="5"/>
  <c r="AM180" i="5"/>
  <c r="AN160" i="5"/>
  <c r="AM160" i="5"/>
  <c r="AM330" i="5"/>
  <c r="AN330" i="5"/>
  <c r="AM417" i="5"/>
  <c r="AN417" i="5"/>
  <c r="AN367" i="5"/>
  <c r="AM367" i="5"/>
  <c r="BG448" i="5"/>
  <c r="BL448" i="5" s="1"/>
  <c r="BF448" i="5"/>
  <c r="BK448" i="5" s="1"/>
  <c r="BF541" i="5"/>
  <c r="BK541" i="5" s="1"/>
  <c r="BG541" i="5"/>
  <c r="BL541" i="5" s="1"/>
  <c r="BG133" i="5"/>
  <c r="BL133" i="5" s="1"/>
  <c r="BF133" i="5"/>
  <c r="BK133" i="5" s="1"/>
  <c r="AM324" i="5"/>
  <c r="AN324" i="5"/>
  <c r="AN25" i="5"/>
  <c r="AM25" i="5"/>
  <c r="AM267" i="5"/>
  <c r="AN267" i="5"/>
  <c r="AN319" i="5"/>
  <c r="AM319" i="5"/>
  <c r="AN22" i="5"/>
  <c r="AM22" i="5"/>
  <c r="AM30" i="5"/>
  <c r="AN30" i="5"/>
  <c r="AM357" i="5"/>
  <c r="AN357" i="5"/>
  <c r="AM122" i="5"/>
  <c r="AN122" i="5"/>
  <c r="BF478" i="5"/>
  <c r="BK478" i="5" s="1"/>
  <c r="BG478" i="5"/>
  <c r="BL478" i="5" s="1"/>
  <c r="BG272" i="5"/>
  <c r="BL272" i="5" s="1"/>
  <c r="BF272" i="5"/>
  <c r="BK272" i="5" s="1"/>
  <c r="AN260" i="5"/>
  <c r="AM260" i="5"/>
  <c r="AN333" i="5"/>
  <c r="AM333" i="5"/>
  <c r="AN309" i="5"/>
  <c r="AM309" i="5"/>
  <c r="AN421" i="5"/>
  <c r="AM421" i="5"/>
  <c r="AM203" i="5"/>
  <c r="AN203" i="5"/>
  <c r="AN184" i="5"/>
  <c r="AM184" i="5"/>
  <c r="BG497" i="5"/>
  <c r="BL497" i="5" s="1"/>
  <c r="BF497" i="5"/>
  <c r="BK497" i="5" s="1"/>
  <c r="BF522" i="5"/>
  <c r="BK522" i="5" s="1"/>
  <c r="BG522" i="5"/>
  <c r="BL522" i="5" s="1"/>
  <c r="BG221" i="5"/>
  <c r="BL221" i="5" s="1"/>
  <c r="BF221" i="5"/>
  <c r="BK221" i="5" s="1"/>
  <c r="AM439" i="5"/>
  <c r="AN439" i="5"/>
  <c r="AN378" i="5"/>
  <c r="AM378" i="5"/>
  <c r="AN459" i="5"/>
  <c r="AM459" i="5"/>
  <c r="AN72" i="5"/>
  <c r="AM72" i="5"/>
  <c r="AN175" i="5"/>
  <c r="AM175" i="5"/>
  <c r="AN320" i="5"/>
  <c r="AM320" i="5"/>
  <c r="AM554" i="5"/>
  <c r="AN554" i="5"/>
  <c r="BF231" i="5"/>
  <c r="BK231" i="5" s="1"/>
  <c r="BG231" i="5"/>
  <c r="BL231" i="5" s="1"/>
  <c r="BF434" i="5"/>
  <c r="BK434" i="5" s="1"/>
  <c r="BG434" i="5"/>
  <c r="BL434" i="5" s="1"/>
  <c r="BG488" i="5"/>
  <c r="BL488" i="5" s="1"/>
  <c r="BF488" i="5"/>
  <c r="BK488" i="5" s="1"/>
  <c r="BF319" i="5"/>
  <c r="BK319" i="5" s="1"/>
  <c r="BG319" i="5"/>
  <c r="BL319" i="5" s="1"/>
  <c r="BF107" i="5"/>
  <c r="BK107" i="5" s="1"/>
  <c r="BG107" i="5"/>
  <c r="BL107" i="5" s="1"/>
  <c r="AN473" i="5"/>
  <c r="AM473" i="5"/>
  <c r="AM455" i="5"/>
  <c r="AN455" i="5"/>
  <c r="AM480" i="5"/>
  <c r="AN480" i="5"/>
  <c r="AM434" i="5"/>
  <c r="AN434" i="5"/>
  <c r="AM120" i="5"/>
  <c r="AN120" i="5"/>
  <c r="AM162" i="5"/>
  <c r="AN162" i="5"/>
  <c r="BG252" i="5"/>
  <c r="BL252" i="5" s="1"/>
  <c r="BF252" i="5"/>
  <c r="BK252" i="5" s="1"/>
  <c r="BF160" i="5"/>
  <c r="BK160" i="5" s="1"/>
  <c r="BG160" i="5"/>
  <c r="BL160" i="5" s="1"/>
  <c r="BF63" i="5"/>
  <c r="BK63" i="5" s="1"/>
  <c r="BG63" i="5"/>
  <c r="BL63" i="5" s="1"/>
  <c r="AO283" i="5"/>
  <c r="AO316" i="5"/>
  <c r="AO461" i="5"/>
  <c r="AO224" i="5"/>
  <c r="BG492" i="5"/>
  <c r="BL492" i="5" s="1"/>
  <c r="BF492" i="5"/>
  <c r="BK492" i="5" s="1"/>
  <c r="BG97" i="5"/>
  <c r="BL97" i="5" s="1"/>
  <c r="BF97" i="5"/>
  <c r="BK97" i="5" s="1"/>
  <c r="BG420" i="5"/>
  <c r="BL420" i="5" s="1"/>
  <c r="BF420" i="5"/>
  <c r="BK420" i="5" s="1"/>
  <c r="BF83" i="5"/>
  <c r="BK83" i="5" s="1"/>
  <c r="BG83" i="5"/>
  <c r="BL83" i="5" s="1"/>
  <c r="BG400" i="5"/>
  <c r="BL400" i="5" s="1"/>
  <c r="BF400" i="5"/>
  <c r="BK400" i="5" s="1"/>
  <c r="BF199" i="5"/>
  <c r="BK199" i="5" s="1"/>
  <c r="BG199" i="5"/>
  <c r="BL199" i="5" s="1"/>
  <c r="BG157" i="5"/>
  <c r="BL157" i="5" s="1"/>
  <c r="BF157" i="5"/>
  <c r="BK157" i="5" s="1"/>
  <c r="BG165" i="5"/>
  <c r="BL165" i="5" s="1"/>
  <c r="BF165" i="5"/>
  <c r="BK165" i="5" s="1"/>
  <c r="BG164" i="5"/>
  <c r="BL164" i="5" s="1"/>
  <c r="BF164" i="5"/>
  <c r="BK164" i="5" s="1"/>
  <c r="BF386" i="5"/>
  <c r="BK386" i="5" s="1"/>
  <c r="BG386" i="5"/>
  <c r="BL386" i="5" s="1"/>
  <c r="BF320" i="5"/>
  <c r="BK320" i="5" s="1"/>
  <c r="BG320" i="5"/>
  <c r="BL320" i="5" s="1"/>
  <c r="BF204" i="5"/>
  <c r="BK204" i="5" s="1"/>
  <c r="BG204" i="5"/>
  <c r="BL204" i="5" s="1"/>
  <c r="BG219" i="5"/>
  <c r="BL219" i="5" s="1"/>
  <c r="BF219" i="5"/>
  <c r="BK219" i="5" s="1"/>
  <c r="BG150" i="5"/>
  <c r="BL150" i="5" s="1"/>
  <c r="BF150" i="5"/>
  <c r="BK150" i="5" s="1"/>
  <c r="BG170" i="5"/>
  <c r="BL170" i="5" s="1"/>
  <c r="BF170" i="5"/>
  <c r="BK170" i="5" s="1"/>
  <c r="BG126" i="5"/>
  <c r="BL126" i="5" s="1"/>
  <c r="BF126" i="5"/>
  <c r="BK126" i="5" s="1"/>
  <c r="BF120" i="5"/>
  <c r="BK120" i="5" s="1"/>
  <c r="BG120" i="5"/>
  <c r="BL120" i="5" s="1"/>
  <c r="BG29" i="5"/>
  <c r="BL29" i="5" s="1"/>
  <c r="BF29" i="5"/>
  <c r="BK29" i="5" s="1"/>
  <c r="BG167" i="5"/>
  <c r="BL167" i="5" s="1"/>
  <c r="BF167" i="5"/>
  <c r="BK167" i="5" s="1"/>
  <c r="BF62" i="5"/>
  <c r="BK62" i="5" s="1"/>
  <c r="BG62" i="5"/>
  <c r="BL62" i="5" s="1"/>
  <c r="BG121" i="5"/>
  <c r="BL121" i="5" s="1"/>
  <c r="BF121" i="5"/>
  <c r="BK121" i="5" s="1"/>
  <c r="AC482" i="5"/>
  <c r="AD482" i="5"/>
  <c r="BE482" i="5"/>
  <c r="AX9" i="5"/>
  <c r="AW9" i="5"/>
  <c r="BF60" i="5"/>
  <c r="BK60" i="5" s="1"/>
  <c r="BG60" i="5"/>
  <c r="BL60" i="5" s="1"/>
  <c r="BG531" i="5"/>
  <c r="BL531" i="5" s="1"/>
  <c r="BF531" i="5"/>
  <c r="BK531" i="5" s="1"/>
  <c r="BF401" i="5"/>
  <c r="BK401" i="5" s="1"/>
  <c r="BG401" i="5"/>
  <c r="BL401" i="5" s="1"/>
  <c r="BF93" i="5"/>
  <c r="BK93" i="5" s="1"/>
  <c r="BG93" i="5"/>
  <c r="BL93" i="5" s="1"/>
  <c r="BF450" i="5"/>
  <c r="BK450" i="5" s="1"/>
  <c r="BG450" i="5"/>
  <c r="BL450" i="5" s="1"/>
  <c r="AN11" i="5"/>
  <c r="AM11" i="5"/>
  <c r="AN291" i="5"/>
  <c r="AM291" i="5"/>
  <c r="AM500" i="5"/>
  <c r="AN500" i="5"/>
  <c r="AM379" i="5"/>
  <c r="AN379" i="5"/>
  <c r="AN419" i="5"/>
  <c r="AM419" i="5"/>
  <c r="AN543" i="5"/>
  <c r="AM543" i="5"/>
  <c r="AM336" i="5"/>
  <c r="AN336" i="5"/>
  <c r="AM551" i="5"/>
  <c r="AN551" i="5"/>
  <c r="AN539" i="5"/>
  <c r="AM539" i="5"/>
  <c r="AM112" i="5"/>
  <c r="AN112" i="5"/>
  <c r="AN430" i="5"/>
  <c r="AM430" i="5"/>
  <c r="AM86" i="5"/>
  <c r="AN86" i="5"/>
  <c r="AN510" i="5"/>
  <c r="AM510" i="5"/>
  <c r="AN436" i="5"/>
  <c r="AM436" i="5"/>
  <c r="AN429" i="5"/>
  <c r="AM429" i="5"/>
  <c r="AN228" i="5"/>
  <c r="AM228" i="5"/>
  <c r="AN146" i="5"/>
  <c r="AM146" i="5"/>
  <c r="AN535" i="5"/>
  <c r="AM535" i="5"/>
  <c r="AN136" i="5"/>
  <c r="AM136" i="5"/>
  <c r="AN134" i="5"/>
  <c r="AM134" i="5"/>
  <c r="AM149" i="5"/>
  <c r="AN149" i="5"/>
  <c r="AN403" i="5"/>
  <c r="AM403" i="5"/>
  <c r="AN519" i="5"/>
  <c r="AM519" i="5"/>
  <c r="AM374" i="5"/>
  <c r="AN374" i="5"/>
  <c r="AN487" i="5"/>
  <c r="AM487" i="5"/>
  <c r="AM107" i="5"/>
  <c r="AN107" i="5"/>
  <c r="AM306" i="5"/>
  <c r="AN306" i="5"/>
  <c r="AN226" i="5"/>
  <c r="AM226" i="5"/>
  <c r="AM261" i="5"/>
  <c r="AN261" i="5"/>
  <c r="AN311" i="5"/>
  <c r="AM311" i="5"/>
  <c r="AM10" i="5"/>
  <c r="AN10" i="5"/>
  <c r="AN118" i="5"/>
  <c r="AM118" i="5"/>
  <c r="AN345" i="5"/>
  <c r="AM345" i="5"/>
  <c r="AN67" i="5"/>
  <c r="AM67" i="5"/>
  <c r="AM450" i="5"/>
  <c r="AN450" i="5"/>
  <c r="AN204" i="5"/>
  <c r="AM204" i="5"/>
  <c r="AN518" i="5"/>
  <c r="AM518" i="5"/>
  <c r="AN431" i="5"/>
  <c r="AM431" i="5"/>
  <c r="AN304" i="5"/>
  <c r="AM304" i="5"/>
  <c r="AN170" i="5"/>
  <c r="AM170" i="5"/>
  <c r="AN244" i="5"/>
  <c r="AM244" i="5"/>
  <c r="AN533" i="5"/>
  <c r="AM533" i="5"/>
  <c r="AN168" i="5"/>
  <c r="AM168" i="5"/>
  <c r="AN104" i="5"/>
  <c r="AM104" i="5"/>
  <c r="AN307" i="5"/>
  <c r="AM307" i="5"/>
  <c r="AM547" i="5"/>
  <c r="AN547" i="5"/>
  <c r="AM399" i="5"/>
  <c r="AN399" i="5"/>
  <c r="AN206" i="5"/>
  <c r="AM206" i="5"/>
  <c r="AM556" i="5"/>
  <c r="AN556" i="5"/>
  <c r="AM163" i="5"/>
  <c r="AN163" i="5"/>
  <c r="AM61" i="5"/>
  <c r="AN61" i="5"/>
  <c r="AN132" i="5"/>
  <c r="AM132" i="5"/>
  <c r="AM454" i="5"/>
  <c r="AN454" i="5"/>
  <c r="AM407" i="5"/>
  <c r="AN407" i="5"/>
  <c r="AN503" i="5"/>
  <c r="AM503" i="5"/>
  <c r="AM335" i="5"/>
  <c r="AN335" i="5"/>
  <c r="AM156" i="5"/>
  <c r="AN156" i="5"/>
  <c r="AN82" i="5"/>
  <c r="AM82" i="5"/>
  <c r="AN157" i="5"/>
  <c r="AM157" i="5"/>
  <c r="AN92" i="5"/>
  <c r="AM92" i="5"/>
  <c r="AM91" i="5"/>
  <c r="AN91" i="5"/>
  <c r="AM362" i="5"/>
  <c r="AN362" i="5"/>
  <c r="AN269" i="5"/>
  <c r="AM269" i="5"/>
  <c r="AM186" i="5"/>
  <c r="AN186" i="5"/>
  <c r="AM76" i="5"/>
  <c r="AN76" i="5"/>
  <c r="AM181" i="5"/>
  <c r="AN181" i="5"/>
  <c r="AN108" i="5"/>
  <c r="AM108" i="5"/>
  <c r="AM137" i="5"/>
  <c r="AN137" i="5"/>
  <c r="AM392" i="5"/>
  <c r="AN392" i="5"/>
  <c r="AO227" i="5"/>
  <c r="AO514" i="5"/>
  <c r="AO266" i="5"/>
  <c r="AO19" i="5"/>
  <c r="AO249" i="5"/>
  <c r="AO229" i="5"/>
  <c r="AO524" i="5"/>
  <c r="AO276" i="5"/>
  <c r="AO28" i="5"/>
  <c r="AO422" i="5"/>
  <c r="AO95" i="5"/>
  <c r="AO526" i="5"/>
  <c r="AO278" i="5"/>
  <c r="AO30" i="5"/>
  <c r="AO473" i="5"/>
  <c r="AO225" i="5"/>
  <c r="AO520" i="5"/>
  <c r="AO272" i="5"/>
  <c r="AO12" i="5"/>
  <c r="AO506" i="5"/>
  <c r="AO258" i="5"/>
  <c r="AO553" i="5"/>
  <c r="AO305" i="5"/>
  <c r="AO536" i="5"/>
  <c r="AO547" i="5"/>
  <c r="AO299" i="5"/>
  <c r="AO51" i="5"/>
  <c r="AO338" i="5"/>
  <c r="AO26" i="5"/>
  <c r="AO37" i="5"/>
  <c r="AO332" i="5"/>
  <c r="AO84" i="5"/>
  <c r="AO379" i="5"/>
  <c r="AO515" i="5"/>
  <c r="AO70" i="5"/>
  <c r="AO365" i="5"/>
  <c r="AO117" i="5"/>
  <c r="AO412" i="5"/>
  <c r="AO67" i="5"/>
  <c r="AO290" i="5"/>
  <c r="AO521" i="5"/>
  <c r="AO306" i="5"/>
  <c r="AO100" i="5"/>
  <c r="AO331" i="5"/>
  <c r="AO554" i="5"/>
  <c r="AO347" i="5"/>
  <c r="AO133" i="5"/>
  <c r="AO364" i="5"/>
  <c r="AO52" i="5"/>
  <c r="AO380" i="5"/>
  <c r="AO166" i="5"/>
  <c r="AO397" i="5"/>
  <c r="AO85" i="5"/>
  <c r="AO444" i="5"/>
  <c r="AO407" i="5"/>
  <c r="AO430" i="5"/>
  <c r="AO118" i="5"/>
  <c r="AO508" i="5"/>
  <c r="AO160" i="5"/>
  <c r="AO247" i="5"/>
  <c r="AO23" i="5"/>
  <c r="AO29" i="5"/>
  <c r="AO193" i="5"/>
  <c r="AO424" i="5"/>
  <c r="AO273" i="5"/>
  <c r="AO178" i="5"/>
  <c r="AO426" i="5"/>
  <c r="AO401" i="5"/>
  <c r="AO155" i="5"/>
  <c r="BG402" i="5"/>
  <c r="BL402" i="5" s="1"/>
  <c r="BF402" i="5"/>
  <c r="BK402" i="5" s="1"/>
  <c r="BG344" i="5"/>
  <c r="BL344" i="5" s="1"/>
  <c r="BF344" i="5"/>
  <c r="BK344" i="5" s="1"/>
  <c r="BG336" i="5"/>
  <c r="BL336" i="5" s="1"/>
  <c r="BF336" i="5"/>
  <c r="BK336" i="5" s="1"/>
  <c r="BF183" i="5"/>
  <c r="BK183" i="5" s="1"/>
  <c r="BG183" i="5"/>
  <c r="BL183" i="5" s="1"/>
  <c r="BG217" i="5"/>
  <c r="BL217" i="5" s="1"/>
  <c r="BF217" i="5"/>
  <c r="BK217" i="5" s="1"/>
  <c r="BG40" i="5"/>
  <c r="BL40" i="5" s="1"/>
  <c r="BF40" i="5"/>
  <c r="BK40" i="5" s="1"/>
  <c r="BF166" i="5"/>
  <c r="BK166" i="5" s="1"/>
  <c r="BG166" i="5"/>
  <c r="BL166" i="5" s="1"/>
  <c r="BG57" i="5"/>
  <c r="BL57" i="5" s="1"/>
  <c r="BF57" i="5"/>
  <c r="BK57" i="5" s="1"/>
  <c r="BF547" i="5"/>
  <c r="BK547" i="5" s="1"/>
  <c r="BG547" i="5"/>
  <c r="BL547" i="5" s="1"/>
  <c r="BF293" i="5"/>
  <c r="BK293" i="5" s="1"/>
  <c r="BG293" i="5"/>
  <c r="BL293" i="5" s="1"/>
  <c r="BF236" i="5"/>
  <c r="BK236" i="5" s="1"/>
  <c r="BG236" i="5"/>
  <c r="BL236" i="5" s="1"/>
  <c r="BG255" i="5"/>
  <c r="BL255" i="5" s="1"/>
  <c r="BF255" i="5"/>
  <c r="BK255" i="5" s="1"/>
  <c r="BF197" i="5"/>
  <c r="BK197" i="5" s="1"/>
  <c r="BG197" i="5"/>
  <c r="BL197" i="5" s="1"/>
  <c r="BF143" i="5"/>
  <c r="BK143" i="5" s="1"/>
  <c r="BG143" i="5"/>
  <c r="BL143" i="5" s="1"/>
  <c r="BG192" i="5"/>
  <c r="BL192" i="5" s="1"/>
  <c r="BF192" i="5"/>
  <c r="BK192" i="5" s="1"/>
  <c r="BF137" i="5"/>
  <c r="BK137" i="5" s="1"/>
  <c r="BG137" i="5"/>
  <c r="BL137" i="5" s="1"/>
  <c r="AU9" i="5"/>
  <c r="AT9" i="5"/>
  <c r="BF106" i="5"/>
  <c r="BK106" i="5" s="1"/>
  <c r="BG106" i="5"/>
  <c r="BL106" i="5" s="1"/>
  <c r="BF300" i="5"/>
  <c r="BK300" i="5" s="1"/>
  <c r="BG300" i="5"/>
  <c r="BL300" i="5" s="1"/>
  <c r="BG512" i="5"/>
  <c r="BL512" i="5" s="1"/>
  <c r="BF512" i="5"/>
  <c r="BK512" i="5" s="1"/>
  <c r="AN7" i="5"/>
  <c r="AM7" i="5"/>
  <c r="AN453" i="5"/>
  <c r="AM453" i="5"/>
  <c r="AM534" i="5"/>
  <c r="AN534" i="5"/>
  <c r="AN344" i="5"/>
  <c r="AM344" i="5"/>
  <c r="AM315" i="5"/>
  <c r="AN315" i="5"/>
  <c r="AM478" i="5"/>
  <c r="AN478" i="5"/>
  <c r="AM369" i="5"/>
  <c r="AN369" i="5"/>
  <c r="AM219" i="5"/>
  <c r="AN219" i="5"/>
  <c r="AN293" i="5"/>
  <c r="AM293" i="5"/>
  <c r="AN51" i="5"/>
  <c r="AM51" i="5"/>
  <c r="AM329" i="5"/>
  <c r="AN329" i="5"/>
  <c r="AN471" i="5"/>
  <c r="AM471" i="5"/>
  <c r="AN435" i="5"/>
  <c r="AM435" i="5"/>
  <c r="AN513" i="5"/>
  <c r="AM513" i="5"/>
  <c r="AM485" i="5"/>
  <c r="AN485" i="5"/>
  <c r="AM248" i="5"/>
  <c r="AN248" i="5"/>
  <c r="AM183" i="5"/>
  <c r="AN183" i="5"/>
  <c r="AN398" i="5"/>
  <c r="AM398" i="5"/>
  <c r="AM43" i="5"/>
  <c r="AN43" i="5"/>
  <c r="AM101" i="5"/>
  <c r="AN101" i="5"/>
  <c r="AM347" i="5"/>
  <c r="AN347" i="5"/>
  <c r="AM385" i="5"/>
  <c r="AN385" i="5"/>
  <c r="AM386" i="5"/>
  <c r="AN386" i="5"/>
  <c r="AM154" i="5"/>
  <c r="AN154" i="5"/>
  <c r="AN37" i="5"/>
  <c r="AM37" i="5"/>
  <c r="AN536" i="5"/>
  <c r="AM536" i="5"/>
  <c r="AM95" i="5"/>
  <c r="AN95" i="5"/>
  <c r="AM93" i="5"/>
  <c r="AN93" i="5"/>
  <c r="AN142" i="5"/>
  <c r="AM142" i="5"/>
  <c r="AM418" i="5"/>
  <c r="AN418" i="5"/>
  <c r="AM382" i="5"/>
  <c r="AN382" i="5"/>
  <c r="AN199" i="5"/>
  <c r="AM199" i="5"/>
  <c r="AN189" i="5"/>
  <c r="AM189" i="5"/>
  <c r="AM322" i="5"/>
  <c r="AN322" i="5"/>
  <c r="AM194" i="5"/>
  <c r="AN194" i="5"/>
  <c r="AM233" i="5"/>
  <c r="AN233" i="5"/>
  <c r="AN544" i="5"/>
  <c r="AM544" i="5"/>
  <c r="AN514" i="5"/>
  <c r="AM514" i="5"/>
  <c r="AN354" i="5"/>
  <c r="AM354" i="5"/>
  <c r="AN188" i="5"/>
  <c r="AM188" i="5"/>
  <c r="AM27" i="5"/>
  <c r="AN27" i="5"/>
  <c r="AM42" i="5"/>
  <c r="AN42" i="5"/>
  <c r="AN161" i="5"/>
  <c r="AM161" i="5"/>
  <c r="AN77" i="5"/>
  <c r="AM77" i="5"/>
  <c r="AM348" i="5"/>
  <c r="AN348" i="5"/>
  <c r="AN523" i="5"/>
  <c r="AM523" i="5"/>
  <c r="AN256" i="5"/>
  <c r="AM256" i="5"/>
  <c r="AN21" i="5"/>
  <c r="AM21" i="5"/>
  <c r="AM361" i="5"/>
  <c r="AN361" i="5"/>
  <c r="AM176" i="5"/>
  <c r="AN176" i="5"/>
  <c r="AN302" i="5"/>
  <c r="AM302" i="5"/>
  <c r="AN268" i="5"/>
  <c r="AM268" i="5"/>
  <c r="AN363" i="5"/>
  <c r="AM363" i="5"/>
  <c r="AM482" i="5"/>
  <c r="AN482" i="5"/>
  <c r="AM346" i="5"/>
  <c r="AN346" i="5"/>
  <c r="AM314" i="5"/>
  <c r="AN314" i="5"/>
  <c r="AN303" i="5"/>
  <c r="AM303" i="5"/>
  <c r="AM350" i="5"/>
  <c r="AN350" i="5"/>
  <c r="AM173" i="5"/>
  <c r="AN173" i="5"/>
  <c r="AN532" i="5"/>
  <c r="AM532" i="5"/>
  <c r="AM251" i="5"/>
  <c r="AN251" i="5"/>
  <c r="AN466" i="5"/>
  <c r="AM466" i="5"/>
  <c r="AN284" i="5"/>
  <c r="AM284" i="5"/>
  <c r="AM196" i="5"/>
  <c r="AN196" i="5"/>
  <c r="AN475" i="5"/>
  <c r="AM475" i="5"/>
  <c r="AN36" i="5"/>
  <c r="AM36" i="5"/>
  <c r="AN215" i="5"/>
  <c r="AM215" i="5"/>
  <c r="AM273" i="5"/>
  <c r="AN273" i="5"/>
  <c r="AN373" i="5"/>
  <c r="AM373" i="5"/>
  <c r="AO196" i="5"/>
  <c r="AO491" i="5"/>
  <c r="AO243" i="5"/>
  <c r="AO530" i="5"/>
  <c r="AO218" i="5"/>
  <c r="AO198" i="5"/>
  <c r="AO493" i="5"/>
  <c r="AO245" i="5"/>
  <c r="AO540" i="5"/>
  <c r="AO440" i="5"/>
  <c r="AO192" i="5"/>
  <c r="AO503" i="5"/>
  <c r="AO223" i="5"/>
  <c r="AO542" i="5"/>
  <c r="AO442" i="5"/>
  <c r="AO194" i="5"/>
  <c r="AO489" i="5"/>
  <c r="AO241" i="5"/>
  <c r="AO472" i="5"/>
  <c r="AO483" i="5"/>
  <c r="AO235" i="5"/>
  <c r="AO522" i="5"/>
  <c r="AO274" i="5"/>
  <c r="AO505" i="5"/>
  <c r="AO516" i="5"/>
  <c r="AO268" i="5"/>
  <c r="AO20" i="5"/>
  <c r="AO315" i="5"/>
  <c r="AO538" i="5"/>
  <c r="AO549" i="5"/>
  <c r="AO301" i="5"/>
  <c r="AO53" i="5"/>
  <c r="AO348" i="5"/>
  <c r="AO203" i="5"/>
  <c r="AO199" i="5"/>
  <c r="AO334" i="5"/>
  <c r="AO86" i="5"/>
  <c r="AO381" i="5"/>
  <c r="AO36" i="5"/>
  <c r="AO267" i="5"/>
  <c r="AO490" i="5"/>
  <c r="AO370" i="5"/>
  <c r="AO69" i="5"/>
  <c r="AO300" i="5"/>
  <c r="AO531" i="5"/>
  <c r="AO411" i="5"/>
  <c r="AO102" i="5"/>
  <c r="AO333" i="5"/>
  <c r="AO21" i="5"/>
  <c r="AO475" i="5"/>
  <c r="AO463" i="5"/>
  <c r="AO366" i="5"/>
  <c r="AO54" i="5"/>
  <c r="AO539" i="5"/>
  <c r="AO96" i="5"/>
  <c r="AO303" i="5"/>
  <c r="AO79" i="5"/>
  <c r="AO60" i="5"/>
  <c r="AO129" i="5"/>
  <c r="AO360" i="5"/>
  <c r="AO304" i="5"/>
  <c r="AO319" i="5"/>
  <c r="AO162" i="5"/>
  <c r="AO393" i="5"/>
  <c r="AO368" i="5"/>
  <c r="AO172" i="5"/>
  <c r="AO403" i="5"/>
  <c r="AO465" i="5"/>
  <c r="AO7" i="5"/>
  <c r="BH7" i="5" s="1"/>
  <c r="BF416" i="5"/>
  <c r="BK416" i="5" s="1"/>
  <c r="BG416" i="5"/>
  <c r="BL416" i="5" s="1"/>
  <c r="BG142" i="5"/>
  <c r="BL142" i="5" s="1"/>
  <c r="BF142" i="5"/>
  <c r="BK142" i="5" s="1"/>
  <c r="BG246" i="5"/>
  <c r="BL246" i="5" s="1"/>
  <c r="BF246" i="5"/>
  <c r="BK246" i="5" s="1"/>
  <c r="BG207" i="5"/>
  <c r="BL207" i="5" s="1"/>
  <c r="BF207" i="5"/>
  <c r="BK207" i="5" s="1"/>
  <c r="BF256" i="5"/>
  <c r="BK256" i="5" s="1"/>
  <c r="BG256" i="5"/>
  <c r="BL256" i="5" s="1"/>
  <c r="AD265" i="5"/>
  <c r="AC265" i="5"/>
  <c r="BE265" i="5"/>
  <c r="BG78" i="5"/>
  <c r="BL78" i="5" s="1"/>
  <c r="BF78" i="5"/>
  <c r="BK78" i="5" s="1"/>
  <c r="BG523" i="5"/>
  <c r="BL523" i="5" s="1"/>
  <c r="BF523" i="5"/>
  <c r="BK523" i="5" s="1"/>
  <c r="BF51" i="5"/>
  <c r="BK51" i="5" s="1"/>
  <c r="BG51" i="5"/>
  <c r="BL51" i="5" s="1"/>
  <c r="BF552" i="5"/>
  <c r="BK552" i="5" s="1"/>
  <c r="BG552" i="5"/>
  <c r="BL552" i="5" s="1"/>
  <c r="BF291" i="5"/>
  <c r="BK291" i="5" s="1"/>
  <c r="BG291" i="5"/>
  <c r="BL291" i="5" s="1"/>
  <c r="BG449" i="5"/>
  <c r="BL449" i="5" s="1"/>
  <c r="BF449" i="5"/>
  <c r="BK449" i="5" s="1"/>
  <c r="BG461" i="5"/>
  <c r="BL461" i="5" s="1"/>
  <c r="BF461" i="5"/>
  <c r="BK461" i="5" s="1"/>
  <c r="BF375" i="5"/>
  <c r="BK375" i="5" s="1"/>
  <c r="BG375" i="5"/>
  <c r="BL375" i="5" s="1"/>
  <c r="BF55" i="5"/>
  <c r="BK55" i="5" s="1"/>
  <c r="BG55" i="5"/>
  <c r="BL55" i="5" s="1"/>
  <c r="BG503" i="5"/>
  <c r="BL503" i="5" s="1"/>
  <c r="BF503" i="5"/>
  <c r="BK503" i="5" s="1"/>
  <c r="BG230" i="5"/>
  <c r="BL230" i="5" s="1"/>
  <c r="BF230" i="5"/>
  <c r="BK230" i="5" s="1"/>
  <c r="BG31" i="5"/>
  <c r="BL31" i="5" s="1"/>
  <c r="BF31" i="5"/>
  <c r="BK31" i="5" s="1"/>
  <c r="BG238" i="5"/>
  <c r="BL238" i="5" s="1"/>
  <c r="BF238" i="5"/>
  <c r="BK238" i="5" s="1"/>
  <c r="BG545" i="5"/>
  <c r="BL545" i="5" s="1"/>
  <c r="BF545" i="5"/>
  <c r="BK545" i="5" s="1"/>
  <c r="AA9" i="5"/>
  <c r="Z9" i="5"/>
  <c r="BF374" i="5"/>
  <c r="BK374" i="5" s="1"/>
  <c r="BG374" i="5"/>
  <c r="BL374" i="5" s="1"/>
  <c r="AM530" i="5"/>
  <c r="AN530" i="5"/>
  <c r="AM130" i="5"/>
  <c r="AN130" i="5"/>
  <c r="AN506" i="5"/>
  <c r="AM506" i="5"/>
  <c r="AN477" i="5"/>
  <c r="AM477" i="5"/>
  <c r="AM271" i="5"/>
  <c r="AN271" i="5"/>
  <c r="AN351" i="5"/>
  <c r="AM351" i="5"/>
  <c r="AM234" i="5"/>
  <c r="AN234" i="5"/>
  <c r="AM40" i="5"/>
  <c r="AN40" i="5"/>
  <c r="AM119" i="5"/>
  <c r="AN119" i="5"/>
  <c r="AM409" i="5"/>
  <c r="AN409" i="5"/>
  <c r="AN66" i="5"/>
  <c r="AM66" i="5"/>
  <c r="AM220" i="5"/>
  <c r="AN220" i="5"/>
  <c r="AN463" i="5"/>
  <c r="AM463" i="5"/>
  <c r="AN19" i="5"/>
  <c r="AM19" i="5"/>
  <c r="AN326" i="5"/>
  <c r="AM326" i="5"/>
  <c r="AM216" i="5"/>
  <c r="AN216" i="5"/>
  <c r="AN406" i="5"/>
  <c r="AM406" i="5"/>
  <c r="AM262" i="5"/>
  <c r="AN262" i="5"/>
  <c r="AM498" i="5"/>
  <c r="AN498" i="5"/>
  <c r="AN99" i="5"/>
  <c r="AM99" i="5"/>
  <c r="AN511" i="5"/>
  <c r="AM511" i="5"/>
  <c r="AN440" i="5"/>
  <c r="AM440" i="5"/>
  <c r="AM393" i="5"/>
  <c r="AN393" i="5"/>
  <c r="AM255" i="5"/>
  <c r="AN255" i="5"/>
  <c r="AM182" i="5"/>
  <c r="AN182" i="5"/>
  <c r="AN73" i="5"/>
  <c r="AM73" i="5"/>
  <c r="AN54" i="5"/>
  <c r="AM54" i="5"/>
  <c r="AN295" i="5"/>
  <c r="AM295" i="5"/>
  <c r="AN158" i="5"/>
  <c r="AM158" i="5"/>
  <c r="AN502" i="5"/>
  <c r="AM502" i="5"/>
  <c r="AN105" i="5"/>
  <c r="AM105" i="5"/>
  <c r="AM94" i="5"/>
  <c r="AN94" i="5"/>
  <c r="AN341" i="5"/>
  <c r="AM341" i="5"/>
  <c r="AM81" i="5"/>
  <c r="AN81" i="5"/>
  <c r="AM100" i="5"/>
  <c r="AN100" i="5"/>
  <c r="AN153" i="5"/>
  <c r="AM153" i="5"/>
  <c r="AN512" i="5"/>
  <c r="AM512" i="5"/>
  <c r="AN410" i="5"/>
  <c r="AM410" i="5"/>
  <c r="AM396" i="5"/>
  <c r="AN396" i="5"/>
  <c r="AM46" i="5"/>
  <c r="AN46" i="5"/>
  <c r="AM365" i="5"/>
  <c r="AN365" i="5"/>
  <c r="AN89" i="5"/>
  <c r="AM89" i="5"/>
  <c r="AN96" i="5"/>
  <c r="AM96" i="5"/>
  <c r="AN198" i="5"/>
  <c r="AM198" i="5"/>
  <c r="AN449" i="5"/>
  <c r="AM449" i="5"/>
  <c r="AN460" i="5"/>
  <c r="AM460" i="5"/>
  <c r="AN290" i="5"/>
  <c r="AM290" i="5"/>
  <c r="AM124" i="5"/>
  <c r="AN124" i="5"/>
  <c r="AM509" i="5"/>
  <c r="AN509" i="5"/>
  <c r="AM550" i="5"/>
  <c r="AN550" i="5"/>
  <c r="AN230" i="5"/>
  <c r="AM230" i="5"/>
  <c r="AN113" i="5"/>
  <c r="AM113" i="5"/>
  <c r="AM334" i="5"/>
  <c r="AN334" i="5"/>
  <c r="AM559" i="5"/>
  <c r="AN559" i="5"/>
  <c r="AM481" i="5"/>
  <c r="AN481" i="5"/>
  <c r="AM339" i="5"/>
  <c r="AN339" i="5"/>
  <c r="AM38" i="5"/>
  <c r="AN38" i="5"/>
  <c r="AM127" i="5"/>
  <c r="AN127" i="5"/>
  <c r="AN529" i="5"/>
  <c r="AM529" i="5"/>
  <c r="AM270" i="5"/>
  <c r="AN270" i="5"/>
  <c r="AM212" i="5"/>
  <c r="AN212" i="5"/>
  <c r="AM349" i="5"/>
  <c r="AN349" i="5"/>
  <c r="AM52" i="5"/>
  <c r="AN52" i="5"/>
  <c r="AN152" i="5"/>
  <c r="AM152" i="5"/>
  <c r="AN197" i="5"/>
  <c r="AM197" i="5"/>
  <c r="AN537" i="5"/>
  <c r="AM537" i="5"/>
  <c r="AN53" i="5"/>
  <c r="AM53" i="5"/>
  <c r="AN505" i="5"/>
  <c r="AM505" i="5"/>
  <c r="AN433" i="5"/>
  <c r="AM433" i="5"/>
  <c r="AO460" i="5"/>
  <c r="AO212" i="5"/>
  <c r="AO453" i="5"/>
  <c r="AO151" i="5"/>
  <c r="AO462" i="5"/>
  <c r="AO509" i="5"/>
  <c r="AO409" i="5"/>
  <c r="AO161" i="5"/>
  <c r="AO456" i="5"/>
  <c r="AO511" i="5"/>
  <c r="AO419" i="5"/>
  <c r="AO171" i="5"/>
  <c r="AO458" i="5"/>
  <c r="AO210" i="5"/>
  <c r="AO441" i="5"/>
  <c r="AO452" i="5"/>
  <c r="AO204" i="5"/>
  <c r="AO251" i="5"/>
  <c r="AO474" i="5"/>
  <c r="AO485" i="5"/>
  <c r="AO237" i="5"/>
  <c r="AO532" i="5"/>
  <c r="AO284" i="5"/>
  <c r="AO226" i="5"/>
  <c r="AO518" i="5"/>
  <c r="AO270" i="5"/>
  <c r="AO22" i="5"/>
  <c r="AO317" i="5"/>
  <c r="AO248" i="5"/>
  <c r="AO255" i="5"/>
  <c r="AO103" i="5"/>
  <c r="AO327" i="5"/>
  <c r="AO350" i="5"/>
  <c r="AO548" i="5"/>
  <c r="AO236" i="5"/>
  <c r="AO467" i="5"/>
  <c r="AO434" i="5"/>
  <c r="AO38" i="5"/>
  <c r="AO269" i="5"/>
  <c r="AO500" i="5"/>
  <c r="AO498" i="5"/>
  <c r="AO455" i="5"/>
  <c r="AO302" i="5"/>
  <c r="AO533" i="5"/>
  <c r="AO27" i="5"/>
  <c r="AO32" i="5"/>
  <c r="AO359" i="5"/>
  <c r="AO71" i="5"/>
  <c r="AO91" i="5"/>
  <c r="AO65" i="5"/>
  <c r="AO296" i="5"/>
  <c r="AO9" i="5"/>
  <c r="AO240" i="5"/>
  <c r="AO98" i="5"/>
  <c r="AO329" i="5"/>
  <c r="AO13" i="5"/>
  <c r="AO451" i="5"/>
  <c r="AO139" i="5"/>
  <c r="AO362" i="5"/>
  <c r="AO432" i="5"/>
  <c r="AO141" i="5"/>
  <c r="AO372" i="5"/>
  <c r="AO560" i="5"/>
  <c r="BG502" i="5"/>
  <c r="BL502" i="5" s="1"/>
  <c r="BF502" i="5"/>
  <c r="BK502" i="5" s="1"/>
  <c r="BF191" i="5"/>
  <c r="BK191" i="5" s="1"/>
  <c r="BG191" i="5"/>
  <c r="BL191" i="5" s="1"/>
  <c r="BG436" i="5"/>
  <c r="BL436" i="5" s="1"/>
  <c r="BF436" i="5"/>
  <c r="BK436" i="5" s="1"/>
  <c r="BF323" i="5"/>
  <c r="BK323" i="5" s="1"/>
  <c r="BG323" i="5"/>
  <c r="BL323" i="5" s="1"/>
  <c r="BG342" i="5"/>
  <c r="BL342" i="5" s="1"/>
  <c r="BF342" i="5"/>
  <c r="BK342" i="5" s="1"/>
  <c r="BG527" i="5"/>
  <c r="BL527" i="5" s="1"/>
  <c r="BF527" i="5"/>
  <c r="BK527" i="5" s="1"/>
  <c r="BF370" i="5"/>
  <c r="BK370" i="5" s="1"/>
  <c r="BG370" i="5"/>
  <c r="BL370" i="5" s="1"/>
  <c r="BF249" i="5"/>
  <c r="BK249" i="5" s="1"/>
  <c r="BG249" i="5"/>
  <c r="BL249" i="5" s="1"/>
  <c r="BG371" i="5"/>
  <c r="BL371" i="5" s="1"/>
  <c r="BF371" i="5"/>
  <c r="BK371" i="5" s="1"/>
  <c r="BG443" i="5"/>
  <c r="BL443" i="5" s="1"/>
  <c r="BF443" i="5"/>
  <c r="BK443" i="5" s="1"/>
  <c r="BF296" i="5"/>
  <c r="BK296" i="5" s="1"/>
  <c r="BG296" i="5"/>
  <c r="BL296" i="5" s="1"/>
  <c r="BF147" i="5"/>
  <c r="BK147" i="5" s="1"/>
  <c r="BG147" i="5"/>
  <c r="BL147" i="5" s="1"/>
  <c r="BF220" i="5"/>
  <c r="BK220" i="5" s="1"/>
  <c r="BG220" i="5"/>
  <c r="BL220" i="5" s="1"/>
  <c r="BF486" i="5"/>
  <c r="BK486" i="5" s="1"/>
  <c r="BG486" i="5"/>
  <c r="BL486" i="5" s="1"/>
  <c r="BF413" i="5"/>
  <c r="BK413" i="5" s="1"/>
  <c r="BG413" i="5"/>
  <c r="BL413" i="5" s="1"/>
  <c r="BG295" i="5"/>
  <c r="BL295" i="5" s="1"/>
  <c r="BF295" i="5"/>
  <c r="BK295" i="5" s="1"/>
  <c r="BF464" i="5"/>
  <c r="BK464" i="5" s="1"/>
  <c r="BG464" i="5"/>
  <c r="BL464" i="5" s="1"/>
  <c r="BG84" i="5"/>
  <c r="BL84" i="5" s="1"/>
  <c r="BF84" i="5"/>
  <c r="BK84" i="5" s="1"/>
  <c r="BG175" i="5"/>
  <c r="BL175" i="5" s="1"/>
  <c r="BF175" i="5"/>
  <c r="BK175" i="5" s="1"/>
  <c r="BF257" i="5"/>
  <c r="BK257" i="5" s="1"/>
  <c r="BG257" i="5"/>
  <c r="BL257" i="5" s="1"/>
  <c r="BF327" i="5"/>
  <c r="BK327" i="5" s="1"/>
  <c r="BG327" i="5"/>
  <c r="BL327" i="5" s="1"/>
  <c r="BF446" i="5"/>
  <c r="BK446" i="5" s="1"/>
  <c r="BG446" i="5"/>
  <c r="BL446" i="5" s="1"/>
  <c r="R9" i="5"/>
  <c r="Q9" i="5"/>
  <c r="X9" i="5"/>
  <c r="W9" i="5"/>
  <c r="BF476" i="5"/>
  <c r="BK476" i="5" s="1"/>
  <c r="BG476" i="5"/>
  <c r="BL476" i="5" s="1"/>
  <c r="BF188" i="5"/>
  <c r="BK188" i="5" s="1"/>
  <c r="BG188" i="5"/>
  <c r="BL188" i="5" s="1"/>
  <c r="BF148" i="5"/>
  <c r="BK148" i="5" s="1"/>
  <c r="BG148" i="5"/>
  <c r="BL148" i="5" s="1"/>
  <c r="BF539" i="5"/>
  <c r="BK539" i="5" s="1"/>
  <c r="BG539" i="5"/>
  <c r="BL539" i="5" s="1"/>
  <c r="AN489" i="5"/>
  <c r="AM489" i="5"/>
  <c r="AN553" i="5"/>
  <c r="AM553" i="5"/>
  <c r="AM308" i="5"/>
  <c r="AN308" i="5"/>
  <c r="AN457" i="5"/>
  <c r="AM457" i="5"/>
  <c r="AN8" i="5"/>
  <c r="AM8" i="5"/>
  <c r="AN495" i="5"/>
  <c r="AM495" i="5"/>
  <c r="AN274" i="5"/>
  <c r="AM274" i="5"/>
  <c r="AM143" i="5"/>
  <c r="AN143" i="5"/>
  <c r="AM555" i="5"/>
  <c r="AN555" i="5"/>
  <c r="AN139" i="5"/>
  <c r="AM139" i="5"/>
  <c r="AN62" i="5"/>
  <c r="AM62" i="5"/>
  <c r="AM117" i="5"/>
  <c r="AN117" i="5"/>
  <c r="AN372" i="5"/>
  <c r="AM372" i="5"/>
  <c r="AN557" i="5"/>
  <c r="AM557" i="5"/>
  <c r="AN352" i="5"/>
  <c r="AM352" i="5"/>
  <c r="AN50" i="5"/>
  <c r="AM50" i="5"/>
  <c r="AM213" i="5"/>
  <c r="AN213" i="5"/>
  <c r="AN102" i="5"/>
  <c r="AM102" i="5"/>
  <c r="AN420" i="5"/>
  <c r="AM420" i="5"/>
  <c r="AN171" i="5"/>
  <c r="AM171" i="5"/>
  <c r="AN474" i="5"/>
  <c r="AM474" i="5"/>
  <c r="AN527" i="5"/>
  <c r="AM527" i="5"/>
  <c r="AM441" i="5"/>
  <c r="AN441" i="5"/>
  <c r="AN264" i="5"/>
  <c r="AM264" i="5"/>
  <c r="AN190" i="5"/>
  <c r="AM190" i="5"/>
  <c r="AN106" i="5"/>
  <c r="AM106" i="5"/>
  <c r="AN428" i="5"/>
  <c r="AM428" i="5"/>
  <c r="AN368" i="5"/>
  <c r="AM368" i="5"/>
  <c r="AM140" i="5"/>
  <c r="AN140" i="5"/>
  <c r="AN491" i="5"/>
  <c r="AM491" i="5"/>
  <c r="AM110" i="5"/>
  <c r="AN110" i="5"/>
  <c r="AM166" i="5"/>
  <c r="AN166" i="5"/>
  <c r="AN205" i="5"/>
  <c r="AM205" i="5"/>
  <c r="AN35" i="5"/>
  <c r="AM35" i="5"/>
  <c r="AN159" i="5"/>
  <c r="AM159" i="5"/>
  <c r="AN408" i="5"/>
  <c r="AM408" i="5"/>
  <c r="AM404" i="5"/>
  <c r="AN404" i="5"/>
  <c r="AM508" i="5"/>
  <c r="AN508" i="5"/>
  <c r="AN231" i="5"/>
  <c r="AM231" i="5"/>
  <c r="AN75" i="5"/>
  <c r="AM75" i="5"/>
  <c r="AM165" i="5"/>
  <c r="AN165" i="5"/>
  <c r="AN48" i="5"/>
  <c r="AM48" i="5"/>
  <c r="AM317" i="5"/>
  <c r="AN317" i="5"/>
  <c r="AN208" i="5"/>
  <c r="AM208" i="5"/>
  <c r="AM300" i="5"/>
  <c r="AN300" i="5"/>
  <c r="AN507" i="5"/>
  <c r="AM507" i="5"/>
  <c r="AM340" i="5"/>
  <c r="AN340" i="5"/>
  <c r="AN172" i="5"/>
  <c r="AM172" i="5"/>
  <c r="AN57" i="5"/>
  <c r="AM57" i="5"/>
  <c r="AN254" i="5"/>
  <c r="AM254" i="5"/>
  <c r="AN58" i="5"/>
  <c r="AM58" i="5"/>
  <c r="AN84" i="5"/>
  <c r="AM84" i="5"/>
  <c r="AN356" i="5"/>
  <c r="AM356" i="5"/>
  <c r="AN13" i="5"/>
  <c r="AM13" i="5"/>
  <c r="AM312" i="5"/>
  <c r="AN312" i="5"/>
  <c r="AN298" i="5"/>
  <c r="AM298" i="5"/>
  <c r="AN155" i="5"/>
  <c r="AM155" i="5"/>
  <c r="AM41" i="5"/>
  <c r="AN41" i="5"/>
  <c r="AM337" i="5"/>
  <c r="AN337" i="5"/>
  <c r="AN74" i="5"/>
  <c r="AM74" i="5"/>
  <c r="AM97" i="5"/>
  <c r="AN97" i="5"/>
  <c r="AM318" i="5"/>
  <c r="AN318" i="5"/>
  <c r="AM546" i="5"/>
  <c r="AN546" i="5"/>
  <c r="AN442" i="5"/>
  <c r="AM442" i="5"/>
  <c r="AM20" i="5"/>
  <c r="AN20" i="5"/>
  <c r="AN286" i="5"/>
  <c r="AM286" i="5"/>
  <c r="AM402" i="5"/>
  <c r="AN402" i="5"/>
  <c r="AN412" i="5"/>
  <c r="AM412" i="5"/>
  <c r="AN499" i="5"/>
  <c r="AM499" i="5"/>
  <c r="AO134" i="5"/>
  <c r="AO429" i="5"/>
  <c r="AO181" i="5"/>
  <c r="AO476" i="5"/>
  <c r="AO376" i="5"/>
  <c r="AO128" i="5"/>
  <c r="AO559" i="5"/>
  <c r="AO279" i="5"/>
  <c r="AO478" i="5"/>
  <c r="AO378" i="5"/>
  <c r="AO130" i="5"/>
  <c r="AO425" i="5"/>
  <c r="AO177" i="5"/>
  <c r="AO408" i="5"/>
  <c r="AO388" i="5"/>
  <c r="AO140" i="5"/>
  <c r="AO435" i="5"/>
  <c r="AO187" i="5"/>
  <c r="AO410" i="5"/>
  <c r="AO421" i="5"/>
  <c r="AO173" i="5"/>
  <c r="AO468" i="5"/>
  <c r="AO220" i="5"/>
  <c r="AO257" i="5"/>
  <c r="AO454" i="5"/>
  <c r="AO206" i="5"/>
  <c r="AO501" i="5"/>
  <c r="AO253" i="5"/>
  <c r="AO184" i="5"/>
  <c r="AO439" i="5"/>
  <c r="AO159" i="5"/>
  <c r="AO534" i="5"/>
  <c r="AO286" i="5"/>
  <c r="AO217" i="5"/>
  <c r="AO512" i="5"/>
  <c r="AO264" i="5"/>
  <c r="AO8" i="5"/>
  <c r="AO231" i="5"/>
  <c r="AO517" i="5"/>
  <c r="AO205" i="5"/>
  <c r="AO436" i="5"/>
  <c r="AO529" i="5"/>
  <c r="AO550" i="5"/>
  <c r="AO238" i="5"/>
  <c r="AO469" i="5"/>
  <c r="AO50" i="5"/>
  <c r="AO11" i="5"/>
  <c r="AO415" i="5"/>
  <c r="AO502" i="5"/>
  <c r="AO114" i="5"/>
  <c r="AO544" i="5"/>
  <c r="AO232" i="5"/>
  <c r="AO191" i="5"/>
  <c r="AO135" i="5"/>
  <c r="AO34" i="5"/>
  <c r="AO265" i="5"/>
  <c r="AO143" i="5"/>
  <c r="AO387" i="5"/>
  <c r="AO75" i="5"/>
  <c r="AO298" i="5"/>
  <c r="AO87" i="5"/>
  <c r="AO420" i="5"/>
  <c r="AO108" i="5"/>
  <c r="AO339" i="5"/>
  <c r="AO496" i="5"/>
  <c r="AO110" i="5"/>
  <c r="AO341" i="5"/>
  <c r="AO112" i="5"/>
  <c r="BF138" i="5"/>
  <c r="BK138" i="5" s="1"/>
  <c r="BG138" i="5"/>
  <c r="BL138" i="5" s="1"/>
  <c r="BG427" i="5"/>
  <c r="BL427" i="5" s="1"/>
  <c r="BF427" i="5"/>
  <c r="BK427" i="5" s="1"/>
  <c r="BF524" i="5"/>
  <c r="BK524" i="5" s="1"/>
  <c r="BG524" i="5"/>
  <c r="BL524" i="5" s="1"/>
  <c r="BG490" i="5"/>
  <c r="BL490" i="5" s="1"/>
  <c r="BF490" i="5"/>
  <c r="BK490" i="5" s="1"/>
  <c r="BF339" i="5"/>
  <c r="BK339" i="5" s="1"/>
  <c r="BG339" i="5"/>
  <c r="BL339" i="5" s="1"/>
  <c r="BF500" i="5"/>
  <c r="BK500" i="5" s="1"/>
  <c r="BG500" i="5"/>
  <c r="BL500" i="5" s="1"/>
  <c r="BG74" i="5"/>
  <c r="BL74" i="5" s="1"/>
  <c r="BF74" i="5"/>
  <c r="BK74" i="5" s="1"/>
  <c r="BG38" i="5"/>
  <c r="BL38" i="5" s="1"/>
  <c r="BF38" i="5"/>
  <c r="BK38" i="5" s="1"/>
  <c r="BF61" i="5"/>
  <c r="BK61" i="5" s="1"/>
  <c r="BG61" i="5"/>
  <c r="BL61" i="5" s="1"/>
  <c r="BF491" i="5"/>
  <c r="BK491" i="5" s="1"/>
  <c r="BG491" i="5"/>
  <c r="BL491" i="5" s="1"/>
  <c r="BG520" i="5"/>
  <c r="BL520" i="5" s="1"/>
  <c r="BF520" i="5"/>
  <c r="BK520" i="5" s="1"/>
  <c r="BG313" i="5"/>
  <c r="BL313" i="5" s="1"/>
  <c r="BF313" i="5"/>
  <c r="BK313" i="5" s="1"/>
  <c r="BF227" i="5"/>
  <c r="BK227" i="5" s="1"/>
  <c r="BG227" i="5"/>
  <c r="BL227" i="5" s="1"/>
  <c r="BF322" i="5"/>
  <c r="BK322" i="5" s="1"/>
  <c r="BG322" i="5"/>
  <c r="BL322" i="5" s="1"/>
  <c r="BG189" i="5"/>
  <c r="BL189" i="5" s="1"/>
  <c r="BF189" i="5"/>
  <c r="BK189" i="5" s="1"/>
  <c r="BF154" i="5"/>
  <c r="BK154" i="5" s="1"/>
  <c r="BG154" i="5"/>
  <c r="BL154" i="5" s="1"/>
  <c r="BG118" i="5"/>
  <c r="BL118" i="5" s="1"/>
  <c r="BF118" i="5"/>
  <c r="BK118" i="5" s="1"/>
  <c r="AH9" i="5"/>
  <c r="AG9" i="5"/>
  <c r="U9" i="5"/>
  <c r="T9" i="5"/>
  <c r="BF87" i="5"/>
  <c r="BK87" i="5" s="1"/>
  <c r="BG87" i="5"/>
  <c r="BL87" i="5" s="1"/>
  <c r="BF479" i="5"/>
  <c r="BK479" i="5" s="1"/>
  <c r="BG479" i="5"/>
  <c r="BL479" i="5" s="1"/>
  <c r="AN488" i="5"/>
  <c r="AM488" i="5"/>
  <c r="AN521" i="5"/>
  <c r="AM521" i="5"/>
  <c r="AN232" i="5"/>
  <c r="AM232" i="5"/>
  <c r="AN401" i="5"/>
  <c r="AM401" i="5"/>
  <c r="AN504" i="5"/>
  <c r="AM504" i="5"/>
  <c r="AN249" i="5"/>
  <c r="AM249" i="5"/>
  <c r="AN359" i="5"/>
  <c r="AM359" i="5"/>
  <c r="AM135" i="5"/>
  <c r="AN135" i="5"/>
  <c r="AM366" i="5"/>
  <c r="AN366" i="5"/>
  <c r="AM47" i="5"/>
  <c r="AN47" i="5"/>
  <c r="AM321" i="5"/>
  <c r="AN321" i="5"/>
  <c r="AN83" i="5"/>
  <c r="AM83" i="5"/>
  <c r="AM493" i="5"/>
  <c r="AN493" i="5"/>
  <c r="AM520" i="5"/>
  <c r="AN520" i="5"/>
  <c r="AN126" i="5"/>
  <c r="AM126" i="5"/>
  <c r="AN416" i="5"/>
  <c r="AM416" i="5"/>
  <c r="AM26" i="5"/>
  <c r="AN26" i="5"/>
  <c r="AM458" i="5"/>
  <c r="AN458" i="5"/>
  <c r="AM235" i="5"/>
  <c r="AN235" i="5"/>
  <c r="AN236" i="5"/>
  <c r="AM236" i="5"/>
  <c r="AN515" i="5"/>
  <c r="AM515" i="5"/>
  <c r="AM285" i="5"/>
  <c r="AN285" i="5"/>
  <c r="AN33" i="5"/>
  <c r="AM33" i="5"/>
  <c r="AM141" i="5"/>
  <c r="AN141" i="5"/>
  <c r="AN540" i="5"/>
  <c r="AM540" i="5"/>
  <c r="AM39" i="5"/>
  <c r="AN39" i="5"/>
  <c r="AM98" i="5"/>
  <c r="AN98" i="5"/>
  <c r="AN151" i="5"/>
  <c r="AM151" i="5"/>
  <c r="AM469" i="5"/>
  <c r="AN469" i="5"/>
  <c r="AM193" i="5"/>
  <c r="AN193" i="5"/>
  <c r="AN294" i="5"/>
  <c r="AM294" i="5"/>
  <c r="AN178" i="5"/>
  <c r="AM178" i="5"/>
  <c r="AM353" i="5"/>
  <c r="AN353" i="5"/>
  <c r="AN138" i="5"/>
  <c r="AM138" i="5"/>
  <c r="AN282" i="5"/>
  <c r="AM282" i="5"/>
  <c r="AN456" i="5"/>
  <c r="AM456" i="5"/>
  <c r="AM447" i="5"/>
  <c r="AN447" i="5"/>
  <c r="AN343" i="5"/>
  <c r="AM343" i="5"/>
  <c r="AM207" i="5"/>
  <c r="AN207" i="5"/>
  <c r="AM44" i="5"/>
  <c r="AN44" i="5"/>
  <c r="AN483" i="5"/>
  <c r="AM483" i="5"/>
  <c r="AM55" i="5"/>
  <c r="AN55" i="5"/>
  <c r="AN80" i="5"/>
  <c r="AM80" i="5"/>
  <c r="AM277" i="5"/>
  <c r="AN277" i="5"/>
  <c r="AM380" i="5"/>
  <c r="AN380" i="5"/>
  <c r="AN310" i="5"/>
  <c r="AM310" i="5"/>
  <c r="AM45" i="5"/>
  <c r="AN45" i="5"/>
  <c r="AN468" i="5"/>
  <c r="AM468" i="5"/>
  <c r="AM360" i="5"/>
  <c r="AN360" i="5"/>
  <c r="AM524" i="5"/>
  <c r="AN524" i="5"/>
  <c r="AN217" i="5"/>
  <c r="AM217" i="5"/>
  <c r="AM451" i="5"/>
  <c r="AN451" i="5"/>
  <c r="AM531" i="5"/>
  <c r="AN531" i="5"/>
  <c r="AM516" i="5"/>
  <c r="AN516" i="5"/>
  <c r="AM280" i="5"/>
  <c r="AN280" i="5"/>
  <c r="AN214" i="5"/>
  <c r="AM214" i="5"/>
  <c r="AM437" i="5"/>
  <c r="AN437" i="5"/>
  <c r="AM103" i="5"/>
  <c r="AN103" i="5"/>
  <c r="AM90" i="5"/>
  <c r="AN90" i="5"/>
  <c r="AM448" i="5"/>
  <c r="AN448" i="5"/>
  <c r="AM331" i="5"/>
  <c r="AN331" i="5"/>
  <c r="AN78" i="5"/>
  <c r="AM78" i="5"/>
  <c r="AM167" i="5"/>
  <c r="AN167" i="5"/>
  <c r="AN338" i="5"/>
  <c r="AM338" i="5"/>
  <c r="AM131" i="5"/>
  <c r="AN131" i="5"/>
  <c r="AN174" i="5"/>
  <c r="AM174" i="5"/>
  <c r="AM383" i="5"/>
  <c r="AN383" i="5"/>
  <c r="AN545" i="5"/>
  <c r="AM545" i="5"/>
  <c r="AO207" i="5"/>
  <c r="AO398" i="5"/>
  <c r="AO150" i="5"/>
  <c r="AO445" i="5"/>
  <c r="AO345" i="5"/>
  <c r="AO97" i="5"/>
  <c r="AO392" i="5"/>
  <c r="AO144" i="5"/>
  <c r="AO119" i="5"/>
  <c r="AO355" i="5"/>
  <c r="AO107" i="5"/>
  <c r="AO394" i="5"/>
  <c r="AO146" i="5"/>
  <c r="AO377" i="5"/>
  <c r="AO357" i="5"/>
  <c r="AO109" i="5"/>
  <c r="AO404" i="5"/>
  <c r="AO156" i="5"/>
  <c r="AO288" i="5"/>
  <c r="AO390" i="5"/>
  <c r="AO142" i="5"/>
  <c r="AO437" i="5"/>
  <c r="AO189" i="5"/>
  <c r="AO120" i="5"/>
  <c r="AO495" i="5"/>
  <c r="AO215" i="5"/>
  <c r="AO470" i="5"/>
  <c r="AO222" i="5"/>
  <c r="AO153" i="5"/>
  <c r="AO448" i="5"/>
  <c r="AO200" i="5"/>
  <c r="AO447" i="5"/>
  <c r="AO287" i="5"/>
  <c r="AO186" i="5"/>
  <c r="AO481" i="5"/>
  <c r="AO233" i="5"/>
  <c r="AO528" i="5"/>
  <c r="AO216" i="5"/>
  <c r="AO486" i="5"/>
  <c r="AO174" i="5"/>
  <c r="AO405" i="5"/>
  <c r="AO81" i="5"/>
  <c r="AO63" i="5"/>
  <c r="AO471" i="5"/>
  <c r="AO438" i="5"/>
  <c r="AO145" i="5"/>
  <c r="AO480" i="5"/>
  <c r="AO168" i="5"/>
  <c r="AO311" i="5"/>
  <c r="AO62" i="5"/>
  <c r="AO513" i="5"/>
  <c r="AO201" i="5"/>
  <c r="AO126" i="5"/>
  <c r="AO323" i="5"/>
  <c r="AO546" i="5"/>
  <c r="AO234" i="5"/>
  <c r="AO190" i="5"/>
  <c r="AO356" i="5"/>
  <c r="AO44" i="5"/>
  <c r="AO275" i="5"/>
  <c r="AO31" i="5"/>
  <c r="AO389" i="5"/>
  <c r="AO77" i="5"/>
  <c r="AO308" i="5"/>
  <c r="AO48" i="5"/>
  <c r="AO519" i="5"/>
  <c r="AO310" i="5"/>
  <c r="AO431" i="5"/>
  <c r="BG8" i="5"/>
  <c r="BL8" i="5" s="1"/>
  <c r="BF8" i="5"/>
  <c r="BK8" i="5" s="1"/>
  <c r="BF10" i="5"/>
  <c r="BK10" i="5" s="1"/>
  <c r="BG10" i="5"/>
  <c r="BL10" i="5" s="1"/>
  <c r="BG304" i="5"/>
  <c r="BL304" i="5" s="1"/>
  <c r="BF304" i="5"/>
  <c r="BK304" i="5" s="1"/>
  <c r="BG13" i="5"/>
  <c r="BL13" i="5" s="1"/>
  <c r="BF13" i="5"/>
  <c r="BK13" i="5" s="1"/>
  <c r="BF284" i="5"/>
  <c r="BK284" i="5" s="1"/>
  <c r="BG284" i="5"/>
  <c r="BL284" i="5" s="1"/>
  <c r="BG407" i="5"/>
  <c r="BL407" i="5" s="1"/>
  <c r="BF407" i="5"/>
  <c r="BK407" i="5" s="1"/>
  <c r="BG89" i="5"/>
  <c r="BL89" i="5" s="1"/>
  <c r="BF89" i="5"/>
  <c r="BK89" i="5" s="1"/>
  <c r="BF311" i="5"/>
  <c r="BK311" i="5" s="1"/>
  <c r="BG311" i="5"/>
  <c r="BL311" i="5" s="1"/>
  <c r="BG396" i="5"/>
  <c r="BL396" i="5" s="1"/>
  <c r="BF396" i="5"/>
  <c r="BK396" i="5" s="1"/>
  <c r="BF369" i="5"/>
  <c r="BK369" i="5" s="1"/>
  <c r="BG369" i="5"/>
  <c r="BL369" i="5" s="1"/>
  <c r="BG432" i="5"/>
  <c r="BL432" i="5" s="1"/>
  <c r="BF432" i="5"/>
  <c r="BK432" i="5" s="1"/>
  <c r="BF477" i="5"/>
  <c r="BK477" i="5" s="1"/>
  <c r="BG477" i="5"/>
  <c r="BL477" i="5" s="1"/>
  <c r="BF474" i="5"/>
  <c r="BK474" i="5" s="1"/>
  <c r="BG474" i="5"/>
  <c r="BL474" i="5" s="1"/>
  <c r="BG544" i="5"/>
  <c r="BL544" i="5" s="1"/>
  <c r="BF544" i="5"/>
  <c r="BK544" i="5" s="1"/>
  <c r="BF298" i="5"/>
  <c r="BK298" i="5" s="1"/>
  <c r="BG298" i="5"/>
  <c r="BL298" i="5" s="1"/>
  <c r="BF440" i="5"/>
  <c r="BK440" i="5" s="1"/>
  <c r="BG440" i="5"/>
  <c r="BL440" i="5" s="1"/>
  <c r="BF418" i="5"/>
  <c r="BK418" i="5" s="1"/>
  <c r="BG418" i="5"/>
  <c r="BL418" i="5" s="1"/>
  <c r="BF159" i="5"/>
  <c r="BK159" i="5" s="1"/>
  <c r="BG159" i="5"/>
  <c r="BL159" i="5" s="1"/>
  <c r="BF90" i="5"/>
  <c r="BK90" i="5" s="1"/>
  <c r="BG90" i="5"/>
  <c r="BL90" i="5" s="1"/>
  <c r="BG445" i="5"/>
  <c r="BL445" i="5" s="1"/>
  <c r="BF445" i="5"/>
  <c r="BK445" i="5" s="1"/>
  <c r="BG104" i="5"/>
  <c r="BL104" i="5" s="1"/>
  <c r="BF104" i="5"/>
  <c r="BK104" i="5" s="1"/>
  <c r="AK9" i="5"/>
  <c r="AJ9" i="5"/>
  <c r="BF312" i="5"/>
  <c r="BK312" i="5" s="1"/>
  <c r="BG312" i="5"/>
  <c r="BL312" i="5" s="1"/>
  <c r="AM328" i="5"/>
  <c r="AN328" i="5"/>
  <c r="AM355" i="5"/>
  <c r="AN355" i="5"/>
  <c r="AN484" i="5"/>
  <c r="AM484" i="5"/>
  <c r="AN296" i="5"/>
  <c r="AM296" i="5"/>
  <c r="AM522" i="5"/>
  <c r="AN522" i="5"/>
  <c r="AN443" i="5"/>
  <c r="AM443" i="5"/>
  <c r="AM364" i="5"/>
  <c r="AN364" i="5"/>
  <c r="AM115" i="5"/>
  <c r="AN115" i="5"/>
  <c r="AM202" i="5"/>
  <c r="AN202" i="5"/>
  <c r="AN413" i="5"/>
  <c r="AM413" i="5"/>
  <c r="AM63" i="5"/>
  <c r="AN63" i="5"/>
  <c r="AM245" i="5"/>
  <c r="AN245" i="5"/>
  <c r="AN389" i="5"/>
  <c r="AM389" i="5"/>
  <c r="AM470" i="5"/>
  <c r="AN470" i="5"/>
  <c r="AM242" i="5"/>
  <c r="AN242" i="5"/>
  <c r="AM121" i="5"/>
  <c r="AN121" i="5"/>
  <c r="AM548" i="5"/>
  <c r="AN548" i="5"/>
  <c r="AM191" i="5"/>
  <c r="AN191" i="5"/>
  <c r="AM29" i="5"/>
  <c r="AN29" i="5"/>
  <c r="AM125" i="5"/>
  <c r="AN125" i="5"/>
  <c r="AM387" i="5"/>
  <c r="AN387" i="5"/>
  <c r="AN549" i="5"/>
  <c r="AM549" i="5"/>
  <c r="AM490" i="5"/>
  <c r="AN490" i="5"/>
  <c r="AN222" i="5"/>
  <c r="AM222" i="5"/>
  <c r="AN164" i="5"/>
  <c r="AM164" i="5"/>
  <c r="AN238" i="5"/>
  <c r="AM238" i="5"/>
  <c r="AN65" i="5"/>
  <c r="AM65" i="5"/>
  <c r="AN133" i="5"/>
  <c r="AM133" i="5"/>
  <c r="AN375" i="5"/>
  <c r="AM375" i="5"/>
  <c r="AN394" i="5"/>
  <c r="AM394" i="5"/>
  <c r="AN201" i="5"/>
  <c r="AM201" i="5"/>
  <c r="AN111" i="5"/>
  <c r="AM111" i="5"/>
  <c r="AM69" i="5"/>
  <c r="AN69" i="5"/>
  <c r="AN227" i="5"/>
  <c r="AM227" i="5"/>
  <c r="AN87" i="5"/>
  <c r="AM87" i="5"/>
  <c r="AM275" i="5"/>
  <c r="AN275" i="5"/>
  <c r="AN541" i="5"/>
  <c r="AM541" i="5"/>
  <c r="AN415" i="5"/>
  <c r="AM415" i="5"/>
  <c r="AN391" i="5"/>
  <c r="AM391" i="5"/>
  <c r="AM558" i="5"/>
  <c r="AN558" i="5"/>
  <c r="AM425" i="5"/>
  <c r="AN425" i="5"/>
  <c r="AN34" i="5"/>
  <c r="AM34" i="5"/>
  <c r="AN542" i="5"/>
  <c r="AM542" i="5"/>
  <c r="AN192" i="5"/>
  <c r="AM192" i="5"/>
  <c r="AM292" i="5"/>
  <c r="AN292" i="5"/>
  <c r="AM467" i="5"/>
  <c r="AN467" i="5"/>
  <c r="AN195" i="5"/>
  <c r="AM195" i="5"/>
  <c r="AN28" i="5"/>
  <c r="AM28" i="5"/>
  <c r="AN240" i="5"/>
  <c r="AM240" i="5"/>
  <c r="AN32" i="5"/>
  <c r="AM32" i="5"/>
  <c r="AN221" i="5"/>
  <c r="AM221" i="5"/>
  <c r="AM211" i="5"/>
  <c r="AN211" i="5"/>
  <c r="AN327" i="5"/>
  <c r="AM327" i="5"/>
  <c r="AM492" i="5"/>
  <c r="AN492" i="5"/>
  <c r="AM395" i="5"/>
  <c r="AN395" i="5"/>
  <c r="AN150" i="5"/>
  <c r="AM150" i="5"/>
  <c r="AM218" i="5"/>
  <c r="AN218" i="5"/>
  <c r="AN144" i="5"/>
  <c r="AM144" i="5"/>
  <c r="AN525" i="5"/>
  <c r="AM525" i="5"/>
  <c r="AM259" i="5"/>
  <c r="AN259" i="5"/>
  <c r="AN496" i="5"/>
  <c r="AM496" i="5"/>
  <c r="AN432" i="5"/>
  <c r="AM432" i="5"/>
  <c r="AN147" i="5"/>
  <c r="AM147" i="5"/>
  <c r="AM64" i="5"/>
  <c r="AN64" i="5"/>
  <c r="AN266" i="5"/>
  <c r="AM266" i="5"/>
  <c r="AM70" i="5"/>
  <c r="AN70" i="5"/>
  <c r="AN116" i="5"/>
  <c r="AM116" i="5"/>
  <c r="AM370" i="5"/>
  <c r="AN370" i="5"/>
  <c r="AO312" i="5"/>
  <c r="AO64" i="5"/>
  <c r="AO47" i="5"/>
  <c r="AO335" i="5"/>
  <c r="AO414" i="5"/>
  <c r="AO314" i="5"/>
  <c r="AO66" i="5"/>
  <c r="AO361" i="5"/>
  <c r="AO113" i="5"/>
  <c r="AO344" i="5"/>
  <c r="AO324" i="5"/>
  <c r="AO76" i="5"/>
  <c r="AO371" i="5"/>
  <c r="AO123" i="5"/>
  <c r="AO346" i="5"/>
  <c r="AO326" i="5"/>
  <c r="AO78" i="5"/>
  <c r="AO373" i="5"/>
  <c r="AO125" i="5"/>
  <c r="AO56" i="5"/>
  <c r="AO551" i="5"/>
  <c r="AO271" i="5"/>
  <c r="AO406" i="5"/>
  <c r="AO158" i="5"/>
  <c r="AO89" i="5"/>
  <c r="AO384" i="5"/>
  <c r="AO136" i="5"/>
  <c r="AO55" i="5"/>
  <c r="AO343" i="5"/>
  <c r="AO122" i="5"/>
  <c r="AO417" i="5"/>
  <c r="AO169" i="5"/>
  <c r="AO464" i="5"/>
  <c r="AO152" i="5"/>
  <c r="AO163" i="5"/>
  <c r="AO450" i="5"/>
  <c r="AO202" i="5"/>
  <c r="AO497" i="5"/>
  <c r="AO185" i="5"/>
  <c r="AO183" i="5"/>
  <c r="AO527" i="5"/>
  <c r="AO374" i="5"/>
  <c r="AO176" i="5"/>
  <c r="AO416" i="5"/>
  <c r="AO104" i="5"/>
  <c r="AO367" i="5"/>
  <c r="AO93" i="5"/>
  <c r="AO449" i="5"/>
  <c r="AO137" i="5"/>
  <c r="AO157" i="5"/>
  <c r="AO259" i="5"/>
  <c r="AO482" i="5"/>
  <c r="AO170" i="5"/>
  <c r="AO221" i="5"/>
  <c r="AO292" i="5"/>
  <c r="AO523" i="5"/>
  <c r="AO211" i="5"/>
  <c r="AO254" i="5"/>
  <c r="AO325" i="5"/>
  <c r="AO556" i="5"/>
  <c r="AO244" i="5"/>
  <c r="AO543" i="5"/>
  <c r="AO358" i="5"/>
  <c r="AO46" i="5"/>
  <c r="AO277" i="5"/>
  <c r="AO487" i="5"/>
  <c r="AO10" i="5"/>
  <c r="AO479" i="5"/>
  <c r="AO510" i="5"/>
  <c r="BF559" i="5"/>
  <c r="BK559" i="5" s="1"/>
  <c r="BG559" i="5"/>
  <c r="BL559" i="5" s="1"/>
  <c r="BG421" i="5"/>
  <c r="BL421" i="5" s="1"/>
  <c r="BF421" i="5"/>
  <c r="BK421" i="5" s="1"/>
  <c r="BF46" i="5"/>
  <c r="BK46" i="5" s="1"/>
  <c r="BG46" i="5"/>
  <c r="BL46" i="5" s="1"/>
  <c r="BG347" i="5"/>
  <c r="BL347" i="5" s="1"/>
  <c r="BF347" i="5"/>
  <c r="BK347" i="5" s="1"/>
  <c r="BF466" i="5"/>
  <c r="BK466" i="5" s="1"/>
  <c r="BG466" i="5"/>
  <c r="BL466" i="5" s="1"/>
  <c r="BG533" i="5"/>
  <c r="BL533" i="5" s="1"/>
  <c r="BF533" i="5"/>
  <c r="BK533" i="5" s="1"/>
  <c r="BF384" i="5"/>
  <c r="BK384" i="5" s="1"/>
  <c r="BF348" i="5"/>
  <c r="BK348" i="5" s="1"/>
  <c r="BG348" i="5"/>
  <c r="BL348" i="5" s="1"/>
  <c r="BG117" i="5"/>
  <c r="BL117" i="5" s="1"/>
  <c r="BF117" i="5"/>
  <c r="BK117" i="5" s="1"/>
  <c r="BF338" i="5"/>
  <c r="BK338" i="5" s="1"/>
  <c r="BG338" i="5"/>
  <c r="BL338" i="5" s="1"/>
  <c r="BG285" i="5"/>
  <c r="BL285" i="5" s="1"/>
  <c r="BF285" i="5"/>
  <c r="BK285" i="5" s="1"/>
  <c r="BF481" i="5"/>
  <c r="BK481" i="5" s="1"/>
  <c r="BG481" i="5"/>
  <c r="BL481" i="5" s="1"/>
  <c r="BF306" i="5"/>
  <c r="BK306" i="5" s="1"/>
  <c r="BG306" i="5"/>
  <c r="BL306" i="5" s="1"/>
  <c r="BG360" i="5"/>
  <c r="BL360" i="5" s="1"/>
  <c r="BF360" i="5"/>
  <c r="BK360" i="5" s="1"/>
  <c r="BG485" i="5"/>
  <c r="BL485" i="5" s="1"/>
  <c r="BF485" i="5"/>
  <c r="BK485" i="5" s="1"/>
  <c r="BF361" i="5"/>
  <c r="BK361" i="5" s="1"/>
  <c r="BG361" i="5"/>
  <c r="BL361" i="5" s="1"/>
  <c r="BF452" i="5"/>
  <c r="BK452" i="5" s="1"/>
  <c r="BG452" i="5"/>
  <c r="BL452" i="5" s="1"/>
  <c r="BG317" i="5"/>
  <c r="BL317" i="5" s="1"/>
  <c r="BF317" i="5"/>
  <c r="BK317" i="5" s="1"/>
  <c r="BA9" i="5"/>
  <c r="AZ9" i="5"/>
  <c r="BF201" i="5"/>
  <c r="BK201" i="5" s="1"/>
  <c r="BG201" i="5"/>
  <c r="BL201" i="5" s="1"/>
  <c r="BG460" i="5"/>
  <c r="BL460" i="5" s="1"/>
  <c r="BF460" i="5"/>
  <c r="BK460" i="5" s="1"/>
  <c r="BF363" i="5"/>
  <c r="BK363" i="5" s="1"/>
  <c r="BG363" i="5"/>
  <c r="BL363" i="5" s="1"/>
  <c r="BG186" i="5"/>
  <c r="BL186" i="5" s="1"/>
  <c r="BF186" i="5"/>
  <c r="BK186" i="5" s="1"/>
  <c r="BG534" i="5"/>
  <c r="BL534" i="5" s="1"/>
  <c r="BF534" i="5"/>
  <c r="BK534" i="5" s="1"/>
  <c r="BF275" i="5"/>
  <c r="BK275" i="5" s="1"/>
  <c r="BG275" i="5"/>
  <c r="BL275" i="5" s="1"/>
  <c r="AN472" i="5"/>
  <c r="AM472" i="5"/>
  <c r="AM371" i="5"/>
  <c r="AN371" i="5"/>
  <c r="AN501" i="5"/>
  <c r="AM501" i="5"/>
  <c r="AN12" i="5"/>
  <c r="AM12" i="5"/>
  <c r="AM426" i="5"/>
  <c r="AN426" i="5"/>
  <c r="AN424" i="5"/>
  <c r="AM424" i="5"/>
  <c r="AN253" i="5"/>
  <c r="AM253" i="5"/>
  <c r="AM148" i="5"/>
  <c r="AN148" i="5"/>
  <c r="AM59" i="5"/>
  <c r="AN59" i="5"/>
  <c r="AN250" i="5"/>
  <c r="AM250" i="5"/>
  <c r="AM252" i="5"/>
  <c r="AN252" i="5"/>
  <c r="AM145" i="5"/>
  <c r="AN145" i="5"/>
  <c r="AM397" i="5"/>
  <c r="AN397" i="5"/>
  <c r="AM446" i="5"/>
  <c r="AN446" i="5"/>
  <c r="AN265" i="5"/>
  <c r="AM265" i="5"/>
  <c r="AN179" i="5"/>
  <c r="AM179" i="5"/>
  <c r="AM210" i="5"/>
  <c r="AN210" i="5"/>
  <c r="AN60" i="5"/>
  <c r="AM60" i="5"/>
  <c r="AN384" i="5"/>
  <c r="AM384" i="5"/>
  <c r="AM85" i="5"/>
  <c r="AN85" i="5"/>
  <c r="AN497" i="5"/>
  <c r="AM497" i="5"/>
  <c r="AN464" i="5"/>
  <c r="AM464" i="5"/>
  <c r="AM272" i="5"/>
  <c r="AN272" i="5"/>
  <c r="AM185" i="5"/>
  <c r="AN185" i="5"/>
  <c r="AN444" i="5"/>
  <c r="AM444" i="5"/>
  <c r="AN123" i="5"/>
  <c r="AM123" i="5"/>
  <c r="AN325" i="5"/>
  <c r="AM325" i="5"/>
  <c r="AN114" i="5"/>
  <c r="AM114" i="5"/>
  <c r="AN279" i="5"/>
  <c r="AM279" i="5"/>
  <c r="AN452" i="5"/>
  <c r="AM452" i="5"/>
  <c r="AN223" i="5"/>
  <c r="AM223" i="5"/>
  <c r="AN68" i="5"/>
  <c r="AM68" i="5"/>
  <c r="AN390" i="5"/>
  <c r="AM390" i="5"/>
  <c r="AN169" i="5"/>
  <c r="AM169" i="5"/>
  <c r="AN71" i="5"/>
  <c r="AM71" i="5"/>
  <c r="AM323" i="5"/>
  <c r="AN323" i="5"/>
  <c r="AN427" i="5"/>
  <c r="AM427" i="5"/>
  <c r="AM411" i="5"/>
  <c r="AN411" i="5"/>
  <c r="AN31" i="5"/>
  <c r="AM31" i="5"/>
  <c r="AM187" i="5"/>
  <c r="AN187" i="5"/>
  <c r="AN263" i="5"/>
  <c r="AM263" i="5"/>
  <c r="AN79" i="5"/>
  <c r="AM79" i="5"/>
  <c r="AM237" i="5"/>
  <c r="AN237" i="5"/>
  <c r="AN423" i="5"/>
  <c r="AM423" i="5"/>
  <c r="AM405" i="5"/>
  <c r="AN405" i="5"/>
  <c r="AM388" i="5"/>
  <c r="AN388" i="5"/>
  <c r="AM332" i="5"/>
  <c r="AN332" i="5"/>
  <c r="AN200" i="5"/>
  <c r="AM200" i="5"/>
  <c r="AM24" i="5"/>
  <c r="AN24" i="5"/>
  <c r="AM305" i="5"/>
  <c r="AN305" i="5"/>
  <c r="AN258" i="5"/>
  <c r="AM258" i="5"/>
  <c r="AN88" i="5"/>
  <c r="AM88" i="5"/>
  <c r="AN297" i="5"/>
  <c r="AM297" i="5"/>
  <c r="AM526" i="5"/>
  <c r="AN526" i="5"/>
  <c r="AM287" i="5"/>
  <c r="AN287" i="5"/>
  <c r="AM109" i="5"/>
  <c r="AN109" i="5"/>
  <c r="AM278" i="5"/>
  <c r="AN278" i="5"/>
  <c r="AM177" i="5"/>
  <c r="AN177" i="5"/>
  <c r="AN479" i="5"/>
  <c r="AM479" i="5"/>
  <c r="AM289" i="5"/>
  <c r="AN289" i="5"/>
  <c r="AM381" i="5"/>
  <c r="AN381" i="5"/>
  <c r="AM494" i="5"/>
  <c r="AN494" i="5"/>
  <c r="AM229" i="5"/>
  <c r="AN229" i="5"/>
  <c r="AM414" i="5"/>
  <c r="AN414" i="5"/>
  <c r="AN129" i="5"/>
  <c r="AM129" i="5"/>
  <c r="AN422" i="5"/>
  <c r="AM422" i="5"/>
  <c r="AN400" i="5"/>
  <c r="AM400" i="5"/>
  <c r="AN486" i="5"/>
  <c r="AM486" i="5"/>
  <c r="AO281" i="5"/>
  <c r="AO33" i="5"/>
  <c r="AO328" i="5"/>
  <c r="AO80" i="5"/>
  <c r="AO175" i="5"/>
  <c r="AO291" i="5"/>
  <c r="AO43" i="5"/>
  <c r="AO330" i="5"/>
  <c r="AO82" i="5"/>
  <c r="AO313" i="5"/>
  <c r="AO293" i="5"/>
  <c r="AO45" i="5"/>
  <c r="AO340" i="5"/>
  <c r="AO92" i="5"/>
  <c r="AO239" i="5"/>
  <c r="AO39" i="5"/>
  <c r="AO263" i="5"/>
  <c r="AO342" i="5"/>
  <c r="AO94" i="5"/>
  <c r="AO25" i="5"/>
  <c r="AO320" i="5"/>
  <c r="AO72" i="5"/>
  <c r="AO111" i="5"/>
  <c r="AO399" i="5"/>
  <c r="AO58" i="5"/>
  <c r="AO353" i="5"/>
  <c r="AO105" i="5"/>
  <c r="AO400" i="5"/>
  <c r="AO88" i="5"/>
  <c r="AO99" i="5"/>
  <c r="AO386" i="5"/>
  <c r="AO138" i="5"/>
  <c r="AO433" i="5"/>
  <c r="AO121" i="5"/>
  <c r="AO132" i="5"/>
  <c r="AO427" i="5"/>
  <c r="AO179" i="5"/>
  <c r="AO466" i="5"/>
  <c r="AO154" i="5"/>
  <c r="AO352" i="5"/>
  <c r="AO40" i="5"/>
  <c r="AO423" i="5"/>
  <c r="AO375" i="5"/>
  <c r="AO385" i="5"/>
  <c r="AO73" i="5"/>
  <c r="AO188" i="5"/>
  <c r="AO195" i="5"/>
  <c r="AO418" i="5"/>
  <c r="AO106" i="5"/>
  <c r="AO252" i="5"/>
  <c r="AO228" i="5"/>
  <c r="AO459" i="5"/>
  <c r="AO147" i="5"/>
  <c r="AO285" i="5"/>
  <c r="AO261" i="5"/>
  <c r="AO492" i="5"/>
  <c r="AO180" i="5"/>
  <c r="AO318" i="5"/>
  <c r="AO294" i="5"/>
  <c r="AO525" i="5"/>
  <c r="AO213" i="5"/>
  <c r="AO382" i="5"/>
  <c r="AO295" i="5"/>
  <c r="AO558" i="5"/>
  <c r="AO246" i="5"/>
  <c r="AO446" i="5"/>
  <c r="AO488" i="5"/>
  <c r="AO242" i="5"/>
  <c r="AO209" i="5"/>
  <c r="BF12" i="5"/>
  <c r="BK12" i="5" s="1"/>
  <c r="BG12" i="5"/>
  <c r="BL12" i="5" s="1"/>
  <c r="O7" i="5"/>
  <c r="R7" i="5"/>
  <c r="BG549" i="5" l="1"/>
  <c r="BL549" i="5" s="1"/>
  <c r="BG215" i="5"/>
  <c r="BL215" i="5" s="1"/>
  <c r="BG388" i="5"/>
  <c r="BL388" i="5" s="1"/>
  <c r="BG245" i="5"/>
  <c r="BL245" i="5" s="1"/>
  <c r="BF468" i="5"/>
  <c r="BK468" i="5" s="1"/>
  <c r="BG456" i="5"/>
  <c r="BL456" i="5" s="1"/>
  <c r="BG244" i="5"/>
  <c r="BL244" i="5" s="1"/>
  <c r="BE9" i="5"/>
  <c r="BG59" i="5"/>
  <c r="BL59" i="5" s="1"/>
  <c r="BG110" i="5"/>
  <c r="BL110" i="5" s="1"/>
  <c r="BF516" i="5"/>
  <c r="BK516" i="5" s="1"/>
  <c r="BG176" i="5"/>
  <c r="BL176" i="5" s="1"/>
  <c r="BG44" i="5"/>
  <c r="BL44" i="5" s="1"/>
  <c r="BF518" i="5"/>
  <c r="BK518" i="5" s="1"/>
  <c r="BN518" i="5" s="1"/>
  <c r="BO518" i="5" s="1"/>
  <c r="BF358" i="5"/>
  <c r="BK358" i="5" s="1"/>
  <c r="BN358" i="5" s="1"/>
  <c r="BO358" i="5" s="1"/>
  <c r="BF441" i="5"/>
  <c r="BK441" i="5" s="1"/>
  <c r="BN441" i="5" s="1"/>
  <c r="BO441" i="5" s="1"/>
  <c r="BG146" i="5"/>
  <c r="BL146" i="5" s="1"/>
  <c r="BF297" i="5"/>
  <c r="BK297" i="5" s="1"/>
  <c r="BN297" i="5" s="1"/>
  <c r="BO297" i="5" s="1"/>
  <c r="BF383" i="5"/>
  <c r="BK383" i="5" s="1"/>
  <c r="BN383" i="5" s="1"/>
  <c r="BO383" i="5" s="1"/>
  <c r="BF316" i="5"/>
  <c r="BK316" i="5" s="1"/>
  <c r="BN316" i="5" s="1"/>
  <c r="BO316" i="5" s="1"/>
  <c r="BG269" i="5"/>
  <c r="BL269" i="5" s="1"/>
  <c r="BG225" i="5"/>
  <c r="BL225" i="5" s="1"/>
  <c r="BF19" i="5"/>
  <c r="BK19" i="5" s="1"/>
  <c r="BG222" i="5"/>
  <c r="BL222" i="5" s="1"/>
  <c r="BG555" i="5"/>
  <c r="BL555" i="5" s="1"/>
  <c r="BG41" i="5"/>
  <c r="BL41" i="5" s="1"/>
  <c r="BG378" i="5"/>
  <c r="BL378" i="5" s="1"/>
  <c r="BG333" i="5"/>
  <c r="BL333" i="5" s="1"/>
  <c r="BF194" i="5"/>
  <c r="BK194" i="5" s="1"/>
  <c r="BN193" i="5" s="1"/>
  <c r="BO193" i="5" s="1"/>
  <c r="BG200" i="5"/>
  <c r="BL200" i="5" s="1"/>
  <c r="BF438" i="5"/>
  <c r="BK438" i="5" s="1"/>
  <c r="BF69" i="5"/>
  <c r="BK69" i="5" s="1"/>
  <c r="BN69" i="5" s="1"/>
  <c r="BO69" i="5" s="1"/>
  <c r="BF226" i="5"/>
  <c r="BK226" i="5" s="1"/>
  <c r="BN225" i="5" s="1"/>
  <c r="BO225" i="5" s="1"/>
  <c r="BF515" i="5"/>
  <c r="BK515" i="5" s="1"/>
  <c r="BG540" i="5"/>
  <c r="BL540" i="5" s="1"/>
  <c r="BG100" i="5"/>
  <c r="BL100" i="5" s="1"/>
  <c r="BF135" i="5"/>
  <c r="BK135" i="5" s="1"/>
  <c r="BN134" i="5" s="1"/>
  <c r="BO134" i="5" s="1"/>
  <c r="BF350" i="5"/>
  <c r="BK350" i="5" s="1"/>
  <c r="BN350" i="5" s="1"/>
  <c r="BO350" i="5" s="1"/>
  <c r="BG385" i="5"/>
  <c r="BL385" i="5" s="1"/>
  <c r="BG85" i="5"/>
  <c r="BL85" i="5" s="1"/>
  <c r="BG419" i="5"/>
  <c r="BL419" i="5" s="1"/>
  <c r="BG337" i="5"/>
  <c r="BL337" i="5" s="1"/>
  <c r="BG309" i="5"/>
  <c r="BL309" i="5" s="1"/>
  <c r="BG261" i="5"/>
  <c r="BL261" i="5" s="1"/>
  <c r="BF114" i="5"/>
  <c r="BK114" i="5" s="1"/>
  <c r="BF318" i="5"/>
  <c r="BK318" i="5" s="1"/>
  <c r="BN318" i="5" s="1"/>
  <c r="BO318" i="5" s="1"/>
  <c r="BF132" i="5"/>
  <c r="BK132" i="5" s="1"/>
  <c r="BN131" i="5" s="1"/>
  <c r="BO131" i="5" s="1"/>
  <c r="BG473" i="5"/>
  <c r="BL473" i="5" s="1"/>
  <c r="BF380" i="5"/>
  <c r="BK380" i="5" s="1"/>
  <c r="BN379" i="5" s="1"/>
  <c r="BO379" i="5" s="1"/>
  <c r="BG171" i="5"/>
  <c r="BL171" i="5" s="1"/>
  <c r="BF42" i="5"/>
  <c r="BK42" i="5" s="1"/>
  <c r="BN41" i="5" s="1"/>
  <c r="BO41" i="5" s="1"/>
  <c r="BF437" i="5"/>
  <c r="BK437" i="5" s="1"/>
  <c r="BG444" i="5"/>
  <c r="BL444" i="5" s="1"/>
  <c r="BF392" i="5"/>
  <c r="BK392" i="5" s="1"/>
  <c r="BN392" i="5" s="1"/>
  <c r="BO392" i="5" s="1"/>
  <c r="BG144" i="5"/>
  <c r="BL144" i="5" s="1"/>
  <c r="AQ256" i="5"/>
  <c r="BG471" i="5"/>
  <c r="BL471" i="5" s="1"/>
  <c r="BF335" i="5"/>
  <c r="BK335" i="5" s="1"/>
  <c r="BN334" i="5" s="1"/>
  <c r="BO334" i="5" s="1"/>
  <c r="BG134" i="5"/>
  <c r="BL134" i="5" s="1"/>
  <c r="BG203" i="5"/>
  <c r="BL203" i="5" s="1"/>
  <c r="BF23" i="5"/>
  <c r="BK23" i="5" s="1"/>
  <c r="BN22" i="5" s="1"/>
  <c r="BO22" i="5" s="1"/>
  <c r="BF560" i="5"/>
  <c r="BK560" i="5" s="1"/>
  <c r="BN559" i="5" s="1"/>
  <c r="BO559" i="5" s="1"/>
  <c r="BG53" i="5"/>
  <c r="BL53" i="5" s="1"/>
  <c r="BG508" i="5"/>
  <c r="BL508" i="5" s="1"/>
  <c r="BF242" i="5"/>
  <c r="BK242" i="5" s="1"/>
  <c r="BN242" i="5" s="1"/>
  <c r="BO242" i="5" s="1"/>
  <c r="BH280" i="5"/>
  <c r="BI280" i="5" s="1"/>
  <c r="BG359" i="5"/>
  <c r="BL359" i="5" s="1"/>
  <c r="BG190" i="5"/>
  <c r="BL190" i="5" s="1"/>
  <c r="BG343" i="5"/>
  <c r="BL343" i="5" s="1"/>
  <c r="BG102" i="5"/>
  <c r="BL102" i="5" s="1"/>
  <c r="BG394" i="5"/>
  <c r="BL394" i="5" s="1"/>
  <c r="BG528" i="5"/>
  <c r="BL528" i="5" s="1"/>
  <c r="BG431" i="5"/>
  <c r="BL431" i="5" s="1"/>
  <c r="BF21" i="5"/>
  <c r="BK21" i="5" s="1"/>
  <c r="BN21" i="5" s="1"/>
  <c r="BO21" i="5" s="1"/>
  <c r="BG301" i="5"/>
  <c r="BL301" i="5" s="1"/>
  <c r="BG354" i="5"/>
  <c r="BL354" i="5" s="1"/>
  <c r="BG180" i="5"/>
  <c r="BL180" i="5" s="1"/>
  <c r="BF458" i="5"/>
  <c r="BK458" i="5" s="1"/>
  <c r="BN457" i="5" s="1"/>
  <c r="BO457" i="5" s="1"/>
  <c r="BF356" i="5"/>
  <c r="BK356" i="5" s="1"/>
  <c r="BN355" i="5" s="1"/>
  <c r="BO355" i="5" s="1"/>
  <c r="BG289" i="5"/>
  <c r="BL289" i="5" s="1"/>
  <c r="BG346" i="5"/>
  <c r="BL346" i="5" s="1"/>
  <c r="BF140" i="5"/>
  <c r="BK140" i="5" s="1"/>
  <c r="BF198" i="5"/>
  <c r="BK198" i="5" s="1"/>
  <c r="BN197" i="5" s="1"/>
  <c r="BO197" i="5" s="1"/>
  <c r="BG397" i="5"/>
  <c r="BL397" i="5" s="1"/>
  <c r="BG330" i="5"/>
  <c r="BL330" i="5" s="1"/>
  <c r="BF96" i="5"/>
  <c r="BK96" i="5" s="1"/>
  <c r="BN96" i="5" s="1"/>
  <c r="BO96" i="5" s="1"/>
  <c r="BG270" i="5"/>
  <c r="BL270" i="5" s="1"/>
  <c r="BG208" i="5"/>
  <c r="BL208" i="5" s="1"/>
  <c r="BG379" i="5"/>
  <c r="BL379" i="5" s="1"/>
  <c r="BF86" i="5"/>
  <c r="BK86" i="5" s="1"/>
  <c r="BN86" i="5" s="1"/>
  <c r="BO86" i="5" s="1"/>
  <c r="BG526" i="5"/>
  <c r="BL526" i="5" s="1"/>
  <c r="BG139" i="5"/>
  <c r="BL139" i="5" s="1"/>
  <c r="BG111" i="5"/>
  <c r="BL111" i="5" s="1"/>
  <c r="BF80" i="5"/>
  <c r="BK80" i="5" s="1"/>
  <c r="BN80" i="5" s="1"/>
  <c r="BO80" i="5" s="1"/>
  <c r="BG129" i="5"/>
  <c r="BL129" i="5" s="1"/>
  <c r="BF489" i="5"/>
  <c r="BK489" i="5" s="1"/>
  <c r="BN488" i="5" s="1"/>
  <c r="BO488" i="5" s="1"/>
  <c r="BF229" i="5"/>
  <c r="BK229" i="5" s="1"/>
  <c r="BN229" i="5" s="1"/>
  <c r="BO229" i="5" s="1"/>
  <c r="BG328" i="5"/>
  <c r="BL328" i="5" s="1"/>
  <c r="BG288" i="5"/>
  <c r="BL288" i="5" s="1"/>
  <c r="BG26" i="5"/>
  <c r="BL26" i="5" s="1"/>
  <c r="BG292" i="5"/>
  <c r="BL292" i="5" s="1"/>
  <c r="BG514" i="5"/>
  <c r="BL514" i="5" s="1"/>
  <c r="BG253" i="5"/>
  <c r="BL253" i="5" s="1"/>
  <c r="BG513" i="5"/>
  <c r="BL513" i="5" s="1"/>
  <c r="BF467" i="5"/>
  <c r="BK467" i="5" s="1"/>
  <c r="BN467" i="5" s="1"/>
  <c r="BO467" i="5" s="1"/>
  <c r="BG50" i="5"/>
  <c r="BL50" i="5" s="1"/>
  <c r="AO143" i="6"/>
  <c r="AU143" i="6" s="1"/>
  <c r="AW143" i="6" s="1"/>
  <c r="BG274" i="5"/>
  <c r="BL274" i="5" s="1"/>
  <c r="AO141" i="6"/>
  <c r="AU141" i="6" s="1"/>
  <c r="AW141" i="6" s="1"/>
  <c r="AO48" i="6"/>
  <c r="AU48" i="6" s="1"/>
  <c r="AW48" i="6" s="1"/>
  <c r="BG341" i="5"/>
  <c r="BL341" i="5" s="1"/>
  <c r="BG131" i="5"/>
  <c r="BL131" i="5" s="1"/>
  <c r="BF495" i="5"/>
  <c r="BK495" i="5" s="1"/>
  <c r="BN494" i="5" s="1"/>
  <c r="BO494" i="5" s="1"/>
  <c r="BG480" i="5"/>
  <c r="BL480" i="5" s="1"/>
  <c r="BG556" i="5"/>
  <c r="BL556" i="5" s="1"/>
  <c r="BF499" i="5"/>
  <c r="BK499" i="5" s="1"/>
  <c r="BN499" i="5" s="1"/>
  <c r="BO499" i="5" s="1"/>
  <c r="BG70" i="5"/>
  <c r="BL70" i="5" s="1"/>
  <c r="BF187" i="5"/>
  <c r="BK187" i="5" s="1"/>
  <c r="BN187" i="5" s="1"/>
  <c r="BO187" i="5" s="1"/>
  <c r="BG472" i="5"/>
  <c r="BL472" i="5" s="1"/>
  <c r="BF279" i="5"/>
  <c r="BK279" i="5" s="1"/>
  <c r="BN278" i="5" s="1"/>
  <c r="BO278" i="5" s="1"/>
  <c r="BF182" i="5"/>
  <c r="BK182" i="5" s="1"/>
  <c r="BN182" i="5" s="1"/>
  <c r="BO182" i="5" s="1"/>
  <c r="BF88" i="5"/>
  <c r="BK88" i="5" s="1"/>
  <c r="BN88" i="5" s="1"/>
  <c r="BO88" i="5" s="1"/>
  <c r="BF113" i="5"/>
  <c r="BK113" i="5" s="1"/>
  <c r="BN112" i="5" s="1"/>
  <c r="BG250" i="5"/>
  <c r="BL250" i="5" s="1"/>
  <c r="BG205" i="5"/>
  <c r="BL205" i="5" s="1"/>
  <c r="BF530" i="5"/>
  <c r="BK530" i="5" s="1"/>
  <c r="BN530" i="5" s="1"/>
  <c r="BO530" i="5" s="1"/>
  <c r="BF233" i="5"/>
  <c r="BK233" i="5" s="1"/>
  <c r="BN233" i="5" s="1"/>
  <c r="BO233" i="5" s="1"/>
  <c r="BG351" i="5"/>
  <c r="BL351" i="5" s="1"/>
  <c r="BF103" i="5"/>
  <c r="BK103" i="5" s="1"/>
  <c r="BN103" i="5" s="1"/>
  <c r="BO103" i="5" s="1"/>
  <c r="BF49" i="5"/>
  <c r="BK49" i="5" s="1"/>
  <c r="BN49" i="5" s="1"/>
  <c r="BO49" i="5" s="1"/>
  <c r="BF517" i="5"/>
  <c r="BK517" i="5" s="1"/>
  <c r="BN516" i="5" s="1"/>
  <c r="BO516" i="5" s="1"/>
  <c r="BF82" i="5"/>
  <c r="BK82" i="5" s="1"/>
  <c r="BN81" i="5" s="1"/>
  <c r="BO81" i="5" s="1"/>
  <c r="BG54" i="5"/>
  <c r="BL54" i="5" s="1"/>
  <c r="BF535" i="5"/>
  <c r="BK535" i="5" s="1"/>
  <c r="BN534" i="5" s="1"/>
  <c r="BO534" i="5" s="1"/>
  <c r="BG331" i="5"/>
  <c r="BL331" i="5" s="1"/>
  <c r="BF302" i="5"/>
  <c r="BK302" i="5" s="1"/>
  <c r="BN302" i="5" s="1"/>
  <c r="BO302" i="5" s="1"/>
  <c r="AO44" i="6"/>
  <c r="AU44" i="6" s="1"/>
  <c r="AW44" i="6" s="1"/>
  <c r="AO135" i="6"/>
  <c r="AU135" i="6" s="1"/>
  <c r="AW135" i="6" s="1"/>
  <c r="AO82" i="6"/>
  <c r="AU82" i="6" s="1"/>
  <c r="AW82" i="6" s="1"/>
  <c r="AU47" i="6"/>
  <c r="AW47" i="6" s="1"/>
  <c r="AO89" i="6"/>
  <c r="AU89" i="6" s="1"/>
  <c r="AW89" i="6" s="1"/>
  <c r="AO132" i="6"/>
  <c r="AU132" i="6" s="1"/>
  <c r="AW132" i="6" s="1"/>
  <c r="BF357" i="5"/>
  <c r="BK357" i="5" s="1"/>
  <c r="BF228" i="5"/>
  <c r="BK228" i="5" s="1"/>
  <c r="BN227" i="5" s="1"/>
  <c r="BO227" i="5" s="1"/>
  <c r="BF387" i="5"/>
  <c r="BK387" i="5" s="1"/>
  <c r="BN386" i="5" s="1"/>
  <c r="BO386" i="5" s="1"/>
  <c r="BG94" i="5"/>
  <c r="BL94" i="5" s="1"/>
  <c r="BG463" i="5"/>
  <c r="BL463" i="5" s="1"/>
  <c r="BG262" i="5"/>
  <c r="BL262" i="5" s="1"/>
  <c r="BF141" i="5"/>
  <c r="BK141" i="5" s="1"/>
  <c r="BN141" i="5" s="1"/>
  <c r="BO141" i="5" s="1"/>
  <c r="BG109" i="5"/>
  <c r="BL109" i="5" s="1"/>
  <c r="BG243" i="5"/>
  <c r="BL243" i="5" s="1"/>
  <c r="BG156" i="5"/>
  <c r="BL156" i="5" s="1"/>
  <c r="BF168" i="5"/>
  <c r="BK168" i="5" s="1"/>
  <c r="BN167" i="5" s="1"/>
  <c r="BO167" i="5" s="1"/>
  <c r="BG442" i="5"/>
  <c r="BL442" i="5" s="1"/>
  <c r="BG124" i="5"/>
  <c r="BL124" i="5" s="1"/>
  <c r="BG149" i="5"/>
  <c r="BL149" i="5" s="1"/>
  <c r="BG112" i="5"/>
  <c r="BL112" i="5" s="1"/>
  <c r="BG115" i="5"/>
  <c r="BL115" i="5" s="1"/>
  <c r="BG22" i="5"/>
  <c r="BL22" i="5" s="1"/>
  <c r="BG214" i="5"/>
  <c r="BL214" i="5" s="1"/>
  <c r="BF428" i="5"/>
  <c r="BK428" i="5" s="1"/>
  <c r="BN427" i="5" s="1"/>
  <c r="BO427" i="5" s="1"/>
  <c r="BG532" i="5"/>
  <c r="BL532" i="5" s="1"/>
  <c r="BF423" i="5"/>
  <c r="BK423" i="5" s="1"/>
  <c r="BN422" i="5" s="1"/>
  <c r="BO422" i="5" s="1"/>
  <c r="BG425" i="5"/>
  <c r="BL425" i="5" s="1"/>
  <c r="BG240" i="5"/>
  <c r="BL240" i="5" s="1"/>
  <c r="BF128" i="5"/>
  <c r="BK128" i="5" s="1"/>
  <c r="BN128" i="5" s="1"/>
  <c r="BO128" i="5" s="1"/>
  <c r="BF294" i="5"/>
  <c r="BK294" i="5" s="1"/>
  <c r="BN293" i="5" s="1"/>
  <c r="BO293" i="5" s="1"/>
  <c r="BG130" i="5"/>
  <c r="BL130" i="5" s="1"/>
  <c r="BF368" i="5"/>
  <c r="BK368" i="5" s="1"/>
  <c r="BN368" i="5" s="1"/>
  <c r="BO368" i="5" s="1"/>
  <c r="BF550" i="5"/>
  <c r="BK550" i="5" s="1"/>
  <c r="BN550" i="5" s="1"/>
  <c r="BO550" i="5" s="1"/>
  <c r="BF412" i="5"/>
  <c r="BK412" i="5" s="1"/>
  <c r="BN412" i="5" s="1"/>
  <c r="BO412" i="5" s="1"/>
  <c r="BF462" i="5"/>
  <c r="BK462" i="5" s="1"/>
  <c r="BN462" i="5" s="1"/>
  <c r="BO462" i="5" s="1"/>
  <c r="BF377" i="5"/>
  <c r="BK377" i="5" s="1"/>
  <c r="BN377" i="5" s="1"/>
  <c r="BO377" i="5" s="1"/>
  <c r="BG247" i="5"/>
  <c r="BL247" i="5" s="1"/>
  <c r="BG457" i="5"/>
  <c r="BL457" i="5" s="1"/>
  <c r="BG390" i="5"/>
  <c r="BL390" i="5" s="1"/>
  <c r="BF340" i="5"/>
  <c r="BK340" i="5" s="1"/>
  <c r="BN339" i="5" s="1"/>
  <c r="BO339" i="5" s="1"/>
  <c r="BG548" i="5"/>
  <c r="BL548" i="5" s="1"/>
  <c r="BF299" i="5"/>
  <c r="BK299" i="5" s="1"/>
  <c r="BN298" i="5" s="1"/>
  <c r="BO298" i="5" s="1"/>
  <c r="BF381" i="5"/>
  <c r="BK381" i="5" s="1"/>
  <c r="BF224" i="5"/>
  <c r="BK224" i="5" s="1"/>
  <c r="BN224" i="5" s="1"/>
  <c r="BO224" i="5" s="1"/>
  <c r="BG411" i="5"/>
  <c r="BL411" i="5" s="1"/>
  <c r="BF43" i="5"/>
  <c r="BK43" i="5" s="1"/>
  <c r="BN43" i="5" s="1"/>
  <c r="BO43" i="5" s="1"/>
  <c r="BG172" i="5"/>
  <c r="BL172" i="5" s="1"/>
  <c r="BG496" i="5"/>
  <c r="BL496" i="5" s="1"/>
  <c r="BF92" i="5"/>
  <c r="BK92" i="5" s="1"/>
  <c r="BN91" i="5" s="1"/>
  <c r="BO91" i="5" s="1"/>
  <c r="BG399" i="5"/>
  <c r="BL399" i="5" s="1"/>
  <c r="BG33" i="5"/>
  <c r="BL33" i="5" s="1"/>
  <c r="BF95" i="5"/>
  <c r="BK95" i="5" s="1"/>
  <c r="BN94" i="5" s="1"/>
  <c r="BO94" i="5" s="1"/>
  <c r="BF403" i="5"/>
  <c r="BK403" i="5" s="1"/>
  <c r="BN403" i="5" s="1"/>
  <c r="BO403" i="5" s="1"/>
  <c r="BF372" i="5"/>
  <c r="BK372" i="5" s="1"/>
  <c r="BN372" i="5" s="1"/>
  <c r="BO372" i="5" s="1"/>
  <c r="BG271" i="5"/>
  <c r="BL271" i="5" s="1"/>
  <c r="BG355" i="5"/>
  <c r="BL355" i="5" s="1"/>
  <c r="BG58" i="5"/>
  <c r="BL58" i="5" s="1"/>
  <c r="BF484" i="5"/>
  <c r="BK484" i="5" s="1"/>
  <c r="BN484" i="5" s="1"/>
  <c r="BO484" i="5" s="1"/>
  <c r="BF196" i="5"/>
  <c r="BK196" i="5" s="1"/>
  <c r="BN196" i="5" s="1"/>
  <c r="BO196" i="5" s="1"/>
  <c r="BG426" i="5"/>
  <c r="BL426" i="5" s="1"/>
  <c r="BF173" i="5"/>
  <c r="BK173" i="5" s="1"/>
  <c r="BN172" i="5" s="1"/>
  <c r="BO172" i="5" s="1"/>
  <c r="BG280" i="5"/>
  <c r="BL280" i="5" s="1"/>
  <c r="BG195" i="5"/>
  <c r="BL195" i="5" s="1"/>
  <c r="BF123" i="5"/>
  <c r="BK123" i="5" s="1"/>
  <c r="BN123" i="5" s="1"/>
  <c r="BO123" i="5" s="1"/>
  <c r="BG235" i="5"/>
  <c r="BL235" i="5" s="1"/>
  <c r="BG529" i="5"/>
  <c r="BL529" i="5" s="1"/>
  <c r="BG223" i="5"/>
  <c r="BL223" i="5" s="1"/>
  <c r="BF504" i="5"/>
  <c r="BK504" i="5" s="1"/>
  <c r="BN503" i="5" s="1"/>
  <c r="BO503" i="5" s="1"/>
  <c r="BF179" i="5"/>
  <c r="BK179" i="5" s="1"/>
  <c r="BN179" i="5" s="1"/>
  <c r="BO179" i="5" s="1"/>
  <c r="BF429" i="5"/>
  <c r="BK429" i="5" s="1"/>
  <c r="BF415" i="5"/>
  <c r="BK415" i="5" s="1"/>
  <c r="BN414" i="5" s="1"/>
  <c r="BO414" i="5" s="1"/>
  <c r="BF232" i="5"/>
  <c r="BK232" i="5" s="1"/>
  <c r="BN231" i="5" s="1"/>
  <c r="BO231" i="5" s="1"/>
  <c r="BG308" i="5"/>
  <c r="BL308" i="5" s="1"/>
  <c r="BG408" i="5"/>
  <c r="BL408" i="5" s="1"/>
  <c r="BG469" i="5"/>
  <c r="BL469" i="5" s="1"/>
  <c r="BG155" i="5"/>
  <c r="BL155" i="5" s="1"/>
  <c r="BF543" i="5"/>
  <c r="BK543" i="5" s="1"/>
  <c r="BN542" i="5" s="1"/>
  <c r="BO542" i="5" s="1"/>
  <c r="BG393" i="5"/>
  <c r="BL393" i="5" s="1"/>
  <c r="BG558" i="5"/>
  <c r="BL558" i="5" s="1"/>
  <c r="BG435" i="5"/>
  <c r="BL435" i="5" s="1"/>
  <c r="BF410" i="5"/>
  <c r="BK410" i="5" s="1"/>
  <c r="BN410" i="5" s="1"/>
  <c r="BO410" i="5" s="1"/>
  <c r="BF315" i="5"/>
  <c r="BK315" i="5" s="1"/>
  <c r="BF254" i="5"/>
  <c r="BK254" i="5" s="1"/>
  <c r="BN254" i="5" s="1"/>
  <c r="BO254" i="5" s="1"/>
  <c r="BG79" i="5"/>
  <c r="BL79" i="5" s="1"/>
  <c r="BF525" i="5"/>
  <c r="BK525" i="5" s="1"/>
  <c r="BN524" i="5" s="1"/>
  <c r="BO524" i="5" s="1"/>
  <c r="BF151" i="5"/>
  <c r="BK151" i="5" s="1"/>
  <c r="BN150" i="5" s="1"/>
  <c r="BO150" i="5" s="1"/>
  <c r="BF324" i="5"/>
  <c r="BK324" i="5" s="1"/>
  <c r="BN324" i="5" s="1"/>
  <c r="BO324" i="5" s="1"/>
  <c r="BG422" i="5"/>
  <c r="BL422" i="5" s="1"/>
  <c r="BG209" i="5"/>
  <c r="BL209" i="5" s="1"/>
  <c r="BG334" i="5"/>
  <c r="BL334" i="5" s="1"/>
  <c r="BF276" i="5"/>
  <c r="BK276" i="5" s="1"/>
  <c r="BN276" i="5" s="1"/>
  <c r="BO276" i="5" s="1"/>
  <c r="BG267" i="5"/>
  <c r="BL267" i="5" s="1"/>
  <c r="BF439" i="5"/>
  <c r="BK439" i="5" s="1"/>
  <c r="BF290" i="5"/>
  <c r="BK290" i="5" s="1"/>
  <c r="BN289" i="5" s="1"/>
  <c r="BO289" i="5" s="1"/>
  <c r="BG251" i="5"/>
  <c r="BL251" i="5" s="1"/>
  <c r="BG303" i="5"/>
  <c r="BL303" i="5" s="1"/>
  <c r="BG210" i="5"/>
  <c r="BL210" i="5" s="1"/>
  <c r="BG237" i="5"/>
  <c r="BL237" i="5" s="1"/>
  <c r="BG405" i="5"/>
  <c r="BL405" i="5" s="1"/>
  <c r="BF68" i="5"/>
  <c r="BK68" i="5" s="1"/>
  <c r="BN67" i="5" s="1"/>
  <c r="BO67" i="5" s="1"/>
  <c r="BF66" i="5"/>
  <c r="BK66" i="5" s="1"/>
  <c r="BN65" i="5" s="1"/>
  <c r="BO65" i="5" s="1"/>
  <c r="BF64" i="5"/>
  <c r="BK64" i="5" s="1"/>
  <c r="BN63" i="5" s="1"/>
  <c r="BO63" i="5" s="1"/>
  <c r="BG542" i="5"/>
  <c r="BL542" i="5" s="1"/>
  <c r="BF101" i="5"/>
  <c r="BK101" i="5" s="1"/>
  <c r="BN101" i="5" s="1"/>
  <c r="BO101" i="5" s="1"/>
  <c r="BF409" i="5"/>
  <c r="BK409" i="5" s="1"/>
  <c r="BN408" i="5" s="1"/>
  <c r="BO408" i="5" s="1"/>
  <c r="BF116" i="5"/>
  <c r="BK116" i="5" s="1"/>
  <c r="BN116" i="5" s="1"/>
  <c r="BO116" i="5" s="1"/>
  <c r="BG282" i="5"/>
  <c r="BL282" i="5" s="1"/>
  <c r="BF389" i="5"/>
  <c r="BK389" i="5" s="1"/>
  <c r="BN389" i="5" s="1"/>
  <c r="BO389" i="5" s="1"/>
  <c r="BG465" i="5"/>
  <c r="BL465" i="5" s="1"/>
  <c r="BF48" i="5"/>
  <c r="BK48" i="5" s="1"/>
  <c r="BF158" i="5"/>
  <c r="BK158" i="5" s="1"/>
  <c r="BN157" i="5" s="1"/>
  <c r="BO157" i="5" s="1"/>
  <c r="BG73" i="5"/>
  <c r="BL73" i="5" s="1"/>
  <c r="BG366" i="5"/>
  <c r="BL366" i="5" s="1"/>
  <c r="BG483" i="5"/>
  <c r="BL483" i="5" s="1"/>
  <c r="BF349" i="5"/>
  <c r="BK349" i="5" s="1"/>
  <c r="BN348" i="5" s="1"/>
  <c r="BO348" i="5" s="1"/>
  <c r="BF451" i="5"/>
  <c r="BK451" i="5" s="1"/>
  <c r="BN450" i="5" s="1"/>
  <c r="BO450" i="5" s="1"/>
  <c r="AP165" i="5"/>
  <c r="BG364" i="5"/>
  <c r="BL364" i="5" s="1"/>
  <c r="BF105" i="5"/>
  <c r="BK105" i="5" s="1"/>
  <c r="BN105" i="5" s="1"/>
  <c r="BO105" i="5" s="1"/>
  <c r="BF506" i="5"/>
  <c r="BK506" i="5" s="1"/>
  <c r="BN505" i="5" s="1"/>
  <c r="BO505" i="5" s="1"/>
  <c r="BF56" i="5"/>
  <c r="BK56" i="5" s="1"/>
  <c r="BN55" i="5" s="1"/>
  <c r="BO55" i="5" s="1"/>
  <c r="BF211" i="5"/>
  <c r="BK211" i="5" s="1"/>
  <c r="BN210" i="5" s="1"/>
  <c r="BO210" i="5" s="1"/>
  <c r="AQ165" i="5"/>
  <c r="BG406" i="5"/>
  <c r="BL406" i="5" s="1"/>
  <c r="BG169" i="5"/>
  <c r="BL169" i="5" s="1"/>
  <c r="BF35" i="5"/>
  <c r="BK35" i="5" s="1"/>
  <c r="BN34" i="5" s="1"/>
  <c r="BO34" i="5" s="1"/>
  <c r="BG248" i="5"/>
  <c r="BL248" i="5" s="1"/>
  <c r="BF433" i="5"/>
  <c r="BK433" i="5" s="1"/>
  <c r="BN432" i="5" s="1"/>
  <c r="BO432" i="5" s="1"/>
  <c r="BG501" i="5"/>
  <c r="BL501" i="5" s="1"/>
  <c r="BG281" i="5"/>
  <c r="BL281" i="5" s="1"/>
  <c r="BF260" i="5"/>
  <c r="BK260" i="5" s="1"/>
  <c r="BN259" i="5" s="1"/>
  <c r="BF28" i="5"/>
  <c r="BK28" i="5" s="1"/>
  <c r="BN28" i="5" s="1"/>
  <c r="BO28" i="5" s="1"/>
  <c r="BG537" i="5"/>
  <c r="BL537" i="5" s="1"/>
  <c r="BF398" i="5"/>
  <c r="BK398" i="5" s="1"/>
  <c r="BN398" i="5" s="1"/>
  <c r="BO398" i="5" s="1"/>
  <c r="BG367" i="5"/>
  <c r="BL367" i="5" s="1"/>
  <c r="BF332" i="5"/>
  <c r="BK332" i="5" s="1"/>
  <c r="BN332" i="5" s="1"/>
  <c r="BO332" i="5" s="1"/>
  <c r="BF152" i="5"/>
  <c r="BK152" i="5" s="1"/>
  <c r="BG470" i="5"/>
  <c r="BL470" i="5" s="1"/>
  <c r="BG19" i="5"/>
  <c r="BL19" i="5" s="1"/>
  <c r="BF71" i="5"/>
  <c r="BK71" i="5" s="1"/>
  <c r="BN70" i="5" s="1"/>
  <c r="BO70" i="5" s="1"/>
  <c r="BG455" i="5"/>
  <c r="BL455" i="5" s="1"/>
  <c r="BG505" i="5"/>
  <c r="BL505" i="5" s="1"/>
  <c r="BG216" i="5"/>
  <c r="BL216" i="5" s="1"/>
  <c r="BF108" i="5"/>
  <c r="BK108" i="5" s="1"/>
  <c r="BN107" i="5" s="1"/>
  <c r="BO107" i="5" s="1"/>
  <c r="BG519" i="5"/>
  <c r="BL519" i="5" s="1"/>
  <c r="BG34" i="5"/>
  <c r="BL34" i="5" s="1"/>
  <c r="BG395" i="5"/>
  <c r="BL395" i="5" s="1"/>
  <c r="BG163" i="5"/>
  <c r="BL163" i="5" s="1"/>
  <c r="BF212" i="5"/>
  <c r="BK212" i="5" s="1"/>
  <c r="BF11" i="5"/>
  <c r="BK11" i="5" s="1"/>
  <c r="BH41" i="5"/>
  <c r="BJ41" i="5" s="1"/>
  <c r="BF122" i="5"/>
  <c r="BK122" i="5" s="1"/>
  <c r="BG32" i="5"/>
  <c r="BL32" i="5" s="1"/>
  <c r="BG206" i="5"/>
  <c r="BL206" i="5" s="1"/>
  <c r="BF47" i="5"/>
  <c r="BK47" i="5" s="1"/>
  <c r="BG325" i="5"/>
  <c r="BL325" i="5" s="1"/>
  <c r="AP41" i="5"/>
  <c r="BG286" i="5"/>
  <c r="BL286" i="5" s="1"/>
  <c r="BG239" i="5"/>
  <c r="BL239" i="5" s="1"/>
  <c r="BG65" i="5"/>
  <c r="BL65" i="5" s="1"/>
  <c r="BF72" i="5"/>
  <c r="BK72" i="5" s="1"/>
  <c r="BN72" i="5" s="1"/>
  <c r="BO72" i="5" s="1"/>
  <c r="BF125" i="5"/>
  <c r="BK125" i="5" s="1"/>
  <c r="BN124" i="5" s="1"/>
  <c r="BO124" i="5" s="1"/>
  <c r="BF557" i="5"/>
  <c r="BK557" i="5" s="1"/>
  <c r="BN556" i="5" s="1"/>
  <c r="BO556" i="5" s="1"/>
  <c r="BF39" i="5"/>
  <c r="BK39" i="5" s="1"/>
  <c r="BN38" i="5" s="1"/>
  <c r="BO38" i="5" s="1"/>
  <c r="BG37" i="5"/>
  <c r="BL37" i="5" s="1"/>
  <c r="BF24" i="5"/>
  <c r="BK24" i="5" s="1"/>
  <c r="BG417" i="5"/>
  <c r="BL417" i="5" s="1"/>
  <c r="BG218" i="5"/>
  <c r="BL218" i="5" s="1"/>
  <c r="BF509" i="5"/>
  <c r="BK509" i="5" s="1"/>
  <c r="BN508" i="5" s="1"/>
  <c r="BO508" i="5" s="1"/>
  <c r="BF459" i="5"/>
  <c r="BK459" i="5" s="1"/>
  <c r="BG273" i="5"/>
  <c r="BL273" i="5" s="1"/>
  <c r="BG45" i="5"/>
  <c r="BL45" i="5" s="1"/>
  <c r="BG494" i="5"/>
  <c r="BL494" i="5" s="1"/>
  <c r="AQ280" i="5"/>
  <c r="BF99" i="5"/>
  <c r="BK99" i="5" s="1"/>
  <c r="BN98" i="5" s="1"/>
  <c r="BO98" i="5" s="1"/>
  <c r="AP383" i="5"/>
  <c r="BH383" i="5"/>
  <c r="BI383" i="5" s="1"/>
  <c r="BG551" i="5"/>
  <c r="BL551" i="5" s="1"/>
  <c r="BG185" i="5"/>
  <c r="BL185" i="5" s="1"/>
  <c r="BF283" i="5"/>
  <c r="BK283" i="5" s="1"/>
  <c r="BN283" i="5" s="1"/>
  <c r="BO283" i="5" s="1"/>
  <c r="BF454" i="5"/>
  <c r="BK454" i="5" s="1"/>
  <c r="BN454" i="5" s="1"/>
  <c r="BO454" i="5" s="1"/>
  <c r="BF507" i="5"/>
  <c r="BK507" i="5" s="1"/>
  <c r="BN507" i="5" s="1"/>
  <c r="BO507" i="5" s="1"/>
  <c r="BF554" i="5"/>
  <c r="BK554" i="5" s="1"/>
  <c r="BN553" i="5" s="1"/>
  <c r="BO553" i="5" s="1"/>
  <c r="BF241" i="5"/>
  <c r="BK241" i="5" s="1"/>
  <c r="BG153" i="5"/>
  <c r="BL153" i="5" s="1"/>
  <c r="BG259" i="5"/>
  <c r="BL259" i="5" s="1"/>
  <c r="BH256" i="5"/>
  <c r="BJ256" i="5" s="1"/>
  <c r="BG424" i="5"/>
  <c r="BL424" i="5" s="1"/>
  <c r="BG177" i="5"/>
  <c r="BL177" i="5" s="1"/>
  <c r="BF391" i="5"/>
  <c r="BK391" i="5" s="1"/>
  <c r="BN390" i="5" s="1"/>
  <c r="BO390" i="5" s="1"/>
  <c r="BG178" i="5"/>
  <c r="BL178" i="5" s="1"/>
  <c r="BG174" i="5"/>
  <c r="BL174" i="5" s="1"/>
  <c r="BF36" i="5"/>
  <c r="BK36" i="5" s="1"/>
  <c r="BN36" i="5" s="1"/>
  <c r="BO36" i="5" s="1"/>
  <c r="BG287" i="5"/>
  <c r="BL287" i="5" s="1"/>
  <c r="BG521" i="5"/>
  <c r="BL521" i="5" s="1"/>
  <c r="BF345" i="5"/>
  <c r="BK345" i="5" s="1"/>
  <c r="BN345" i="5" s="1"/>
  <c r="BO345" i="5" s="1"/>
  <c r="BG453" i="5"/>
  <c r="BL453" i="5" s="1"/>
  <c r="BG365" i="5"/>
  <c r="BL365" i="5" s="1"/>
  <c r="BG414" i="5"/>
  <c r="BL414" i="5" s="1"/>
  <c r="BG234" i="5"/>
  <c r="BL234" i="5" s="1"/>
  <c r="BG75" i="5"/>
  <c r="BL75" i="5" s="1"/>
  <c r="AQ42" i="5"/>
  <c r="BG193" i="5"/>
  <c r="BL193" i="5" s="1"/>
  <c r="BF264" i="5"/>
  <c r="BK264" i="5" s="1"/>
  <c r="BF266" i="5"/>
  <c r="BK266" i="5" s="1"/>
  <c r="BN266" i="5" s="1"/>
  <c r="BO266" i="5" s="1"/>
  <c r="BF353" i="5"/>
  <c r="BK353" i="5" s="1"/>
  <c r="BN353" i="5" s="1"/>
  <c r="BO353" i="5" s="1"/>
  <c r="BF181" i="5"/>
  <c r="BK181" i="5" s="1"/>
  <c r="BN180" i="5" s="1"/>
  <c r="BO180" i="5" s="1"/>
  <c r="BG77" i="5"/>
  <c r="BL77" i="5" s="1"/>
  <c r="BG184" i="5"/>
  <c r="BL184" i="5" s="1"/>
  <c r="BF382" i="5"/>
  <c r="BK382" i="5" s="1"/>
  <c r="BG119" i="5"/>
  <c r="BL119" i="5" s="1"/>
  <c r="BG329" i="5"/>
  <c r="BL329" i="5" s="1"/>
  <c r="BG91" i="5"/>
  <c r="BL91" i="5" s="1"/>
  <c r="BG362" i="5"/>
  <c r="BL362" i="5" s="1"/>
  <c r="BN533" i="5"/>
  <c r="BO533" i="5" s="1"/>
  <c r="BF52" i="5"/>
  <c r="BK52" i="5" s="1"/>
  <c r="BN51" i="5" s="1"/>
  <c r="BO51" i="5" s="1"/>
  <c r="BG162" i="5"/>
  <c r="BL162" i="5" s="1"/>
  <c r="BF145" i="5"/>
  <c r="BK145" i="5" s="1"/>
  <c r="BN145" i="5" s="1"/>
  <c r="BO145" i="5" s="1"/>
  <c r="BF27" i="5"/>
  <c r="BK27" i="5" s="1"/>
  <c r="BN26" i="5" s="1"/>
  <c r="BO26" i="5" s="1"/>
  <c r="BF376" i="5"/>
  <c r="BK376" i="5" s="1"/>
  <c r="BN375" i="5" s="1"/>
  <c r="BO375" i="5" s="1"/>
  <c r="BF213" i="5"/>
  <c r="BK213" i="5" s="1"/>
  <c r="BN213" i="5" s="1"/>
  <c r="BO213" i="5" s="1"/>
  <c r="BG487" i="5"/>
  <c r="BL487" i="5" s="1"/>
  <c r="AP336" i="5"/>
  <c r="BH230" i="5"/>
  <c r="BJ230" i="5" s="1"/>
  <c r="AP307" i="5"/>
  <c r="BF510" i="5"/>
  <c r="BK510" i="5" s="1"/>
  <c r="BF321" i="5"/>
  <c r="BK321" i="5" s="1"/>
  <c r="BN320" i="5" s="1"/>
  <c r="BO320" i="5" s="1"/>
  <c r="BN219" i="5"/>
  <c r="BO219" i="5" s="1"/>
  <c r="BG98" i="5"/>
  <c r="BL98" i="5" s="1"/>
  <c r="BF263" i="5"/>
  <c r="BK263" i="5" s="1"/>
  <c r="BN262" i="5" s="1"/>
  <c r="BO262" i="5" s="1"/>
  <c r="BG536" i="5"/>
  <c r="BL536" i="5" s="1"/>
  <c r="BG81" i="5"/>
  <c r="BL81" i="5" s="1"/>
  <c r="BG538" i="5"/>
  <c r="BL538" i="5" s="1"/>
  <c r="BF310" i="5"/>
  <c r="BK310" i="5" s="1"/>
  <c r="BN310" i="5" s="1"/>
  <c r="BO310" i="5" s="1"/>
  <c r="BF498" i="5"/>
  <c r="BK498" i="5" s="1"/>
  <c r="BN110" i="5"/>
  <c r="BO110" i="5" s="1"/>
  <c r="BF352" i="5"/>
  <c r="BK352" i="5" s="1"/>
  <c r="BN351" i="5" s="1"/>
  <c r="BO351" i="5" s="1"/>
  <c r="BH182" i="5"/>
  <c r="BI182" i="5" s="1"/>
  <c r="BF475" i="5"/>
  <c r="BK475" i="5" s="1"/>
  <c r="BN475" i="5" s="1"/>
  <c r="BO475" i="5" s="1"/>
  <c r="BG493" i="5"/>
  <c r="BL493" i="5" s="1"/>
  <c r="BH545" i="5"/>
  <c r="BI545" i="5" s="1"/>
  <c r="BF127" i="5"/>
  <c r="BK127" i="5" s="1"/>
  <c r="AQ545" i="5"/>
  <c r="BF136" i="5"/>
  <c r="BK136" i="5" s="1"/>
  <c r="AP499" i="5"/>
  <c r="BG314" i="5"/>
  <c r="BL314" i="5" s="1"/>
  <c r="AQ289" i="5"/>
  <c r="BN476" i="5"/>
  <c r="BO476" i="5" s="1"/>
  <c r="BN249" i="5"/>
  <c r="BO249" i="5" s="1"/>
  <c r="AQ83" i="5"/>
  <c r="BF546" i="5"/>
  <c r="BK546" i="5" s="1"/>
  <c r="BN546" i="5" s="1"/>
  <c r="BO546" i="5" s="1"/>
  <c r="BG268" i="5"/>
  <c r="BL268" i="5" s="1"/>
  <c r="BF202" i="5"/>
  <c r="BK202" i="5" s="1"/>
  <c r="BN202" i="5" s="1"/>
  <c r="BO202" i="5" s="1"/>
  <c r="BN465" i="5"/>
  <c r="BO465" i="5" s="1"/>
  <c r="BH61" i="5"/>
  <c r="BI61" i="5" s="1"/>
  <c r="BF76" i="5"/>
  <c r="BK76" i="5" s="1"/>
  <c r="BN75" i="5" s="1"/>
  <c r="BO75" i="5" s="1"/>
  <c r="BF20" i="5"/>
  <c r="BK20" i="5" s="1"/>
  <c r="BH354" i="5"/>
  <c r="BI354" i="5" s="1"/>
  <c r="AP101" i="5"/>
  <c r="BH127" i="5"/>
  <c r="BI127" i="5" s="1"/>
  <c r="AP61" i="5"/>
  <c r="AQ402" i="5"/>
  <c r="BH402" i="5"/>
  <c r="BJ402" i="5" s="1"/>
  <c r="BN176" i="5"/>
  <c r="BO176" i="5" s="1"/>
  <c r="BH336" i="5"/>
  <c r="BJ336" i="5" s="1"/>
  <c r="AQ307" i="5"/>
  <c r="AP250" i="5"/>
  <c r="BH115" i="5"/>
  <c r="BJ115" i="5" s="1"/>
  <c r="AQ115" i="5"/>
  <c r="AQ74" i="5"/>
  <c r="BH74" i="5"/>
  <c r="BI74" i="5" s="1"/>
  <c r="BN284" i="5"/>
  <c r="BO284" i="5" s="1"/>
  <c r="BN366" i="5"/>
  <c r="BO366" i="5" s="1"/>
  <c r="BN280" i="5"/>
  <c r="BO280" i="5" s="1"/>
  <c r="BN456" i="5"/>
  <c r="BO456" i="5" s="1"/>
  <c r="BF25" i="5"/>
  <c r="BK25" i="5" s="1"/>
  <c r="BN539" i="5"/>
  <c r="BO539" i="5" s="1"/>
  <c r="BN555" i="5"/>
  <c r="BO555" i="5" s="1"/>
  <c r="BN307" i="5"/>
  <c r="BO307" i="5" s="1"/>
  <c r="BN50" i="5"/>
  <c r="BO50" i="5" s="1"/>
  <c r="BN45" i="5"/>
  <c r="BO45" i="5" s="1"/>
  <c r="BG277" i="5"/>
  <c r="BL277" i="5" s="1"/>
  <c r="AP349" i="5"/>
  <c r="AQ349" i="5"/>
  <c r="BN325" i="5"/>
  <c r="BO325" i="5" s="1"/>
  <c r="BN528" i="5"/>
  <c r="BO528" i="5" s="1"/>
  <c r="BN119" i="5"/>
  <c r="BO119" i="5" s="1"/>
  <c r="AQ214" i="5"/>
  <c r="AP214" i="5"/>
  <c r="AQ541" i="5"/>
  <c r="BG326" i="5"/>
  <c r="BL326" i="5" s="1"/>
  <c r="BN417" i="5"/>
  <c r="BO417" i="5" s="1"/>
  <c r="BH164" i="5"/>
  <c r="BJ164" i="5" s="1"/>
  <c r="BH149" i="5"/>
  <c r="BI149" i="5" s="1"/>
  <c r="AQ164" i="5"/>
  <c r="AP167" i="5"/>
  <c r="AP541" i="5"/>
  <c r="AP149" i="5"/>
  <c r="BH167" i="5"/>
  <c r="BI167" i="5" s="1"/>
  <c r="AP369" i="5"/>
  <c r="AQ262" i="5"/>
  <c r="AQ148" i="5"/>
  <c r="AQ369" i="5"/>
  <c r="BH289" i="5"/>
  <c r="BJ289" i="5" s="1"/>
  <c r="BH297" i="5"/>
  <c r="BJ297" i="5" s="1"/>
  <c r="AP297" i="5"/>
  <c r="AP504" i="5"/>
  <c r="AQ499" i="5"/>
  <c r="BH351" i="5"/>
  <c r="BI351" i="5" s="1"/>
  <c r="AP484" i="5"/>
  <c r="AP337" i="5"/>
  <c r="AQ351" i="5"/>
  <c r="BN247" i="5"/>
  <c r="BO247" i="5" s="1"/>
  <c r="BN473" i="5"/>
  <c r="BO473" i="5" s="1"/>
  <c r="AQ537" i="5"/>
  <c r="BN83" i="5"/>
  <c r="BO83" i="5" s="1"/>
  <c r="BN184" i="5"/>
  <c r="BO184" i="5" s="1"/>
  <c r="BN236" i="5"/>
  <c r="BO236" i="5" s="1"/>
  <c r="BN37" i="5"/>
  <c r="BO37" i="5" s="1"/>
  <c r="BN31" i="5"/>
  <c r="BO31" i="5" s="1"/>
  <c r="BN146" i="5"/>
  <c r="BO146" i="5" s="1"/>
  <c r="BN190" i="5"/>
  <c r="BO190" i="5" s="1"/>
  <c r="AP395" i="5"/>
  <c r="AQ443" i="5"/>
  <c r="AQ395" i="5"/>
  <c r="AQ208" i="5"/>
  <c r="AP537" i="5"/>
  <c r="AP208" i="5"/>
  <c r="AQ457" i="5"/>
  <c r="BH557" i="5"/>
  <c r="BJ557" i="5" s="1"/>
  <c r="AP428" i="5"/>
  <c r="AQ250" i="5"/>
  <c r="BN354" i="5"/>
  <c r="BO354" i="5" s="1"/>
  <c r="BH428" i="5"/>
  <c r="BI428" i="5" s="1"/>
  <c r="BN378" i="5"/>
  <c r="BO378" i="5" s="1"/>
  <c r="BN346" i="5"/>
  <c r="BO346" i="5" s="1"/>
  <c r="BN246" i="5"/>
  <c r="BO246" i="5" s="1"/>
  <c r="BH219" i="5"/>
  <c r="BI219" i="5" s="1"/>
  <c r="BN129" i="5"/>
  <c r="BO129" i="5" s="1"/>
  <c r="BN252" i="5"/>
  <c r="BO252" i="5" s="1"/>
  <c r="AP182" i="5"/>
  <c r="AP219" i="5"/>
  <c r="BN287" i="5"/>
  <c r="BO287" i="5" s="1"/>
  <c r="BN244" i="5"/>
  <c r="BO244" i="5" s="1"/>
  <c r="BN30" i="5"/>
  <c r="BO30" i="5" s="1"/>
  <c r="BN522" i="5"/>
  <c r="BO522" i="5" s="1"/>
  <c r="BH337" i="5"/>
  <c r="BI337" i="5" s="1"/>
  <c r="AP127" i="5"/>
  <c r="AP354" i="5"/>
  <c r="AQ101" i="5"/>
  <c r="BH68" i="5"/>
  <c r="BI68" i="5" s="1"/>
  <c r="AP35" i="5"/>
  <c r="BH504" i="5"/>
  <c r="BJ504" i="5" s="1"/>
  <c r="AP59" i="5"/>
  <c r="AQ68" i="5"/>
  <c r="AQ35" i="5"/>
  <c r="BH59" i="5"/>
  <c r="BI59" i="5" s="1"/>
  <c r="AQ484" i="5"/>
  <c r="AP83" i="5"/>
  <c r="BN478" i="5"/>
  <c r="BO478" i="5" s="1"/>
  <c r="BN238" i="5"/>
  <c r="BO238" i="5" s="1"/>
  <c r="BN292" i="5"/>
  <c r="BO292" i="5" s="1"/>
  <c r="BN395" i="5"/>
  <c r="BO395" i="5" s="1"/>
  <c r="BN359" i="5"/>
  <c r="BO359" i="5" s="1"/>
  <c r="BN426" i="5"/>
  <c r="BO426" i="5" s="1"/>
  <c r="BN405" i="5"/>
  <c r="BO405" i="5" s="1"/>
  <c r="BN536" i="5"/>
  <c r="BO536" i="5" s="1"/>
  <c r="BN470" i="5"/>
  <c r="BO470" i="5" s="1"/>
  <c r="BN204" i="5"/>
  <c r="BO204" i="5" s="1"/>
  <c r="BN216" i="5"/>
  <c r="BO216" i="5" s="1"/>
  <c r="BN343" i="5"/>
  <c r="BO343" i="5" s="1"/>
  <c r="BG9" i="5"/>
  <c r="BL9" i="5" s="1"/>
  <c r="BH494" i="5"/>
  <c r="BJ494" i="5" s="1"/>
  <c r="AC9" i="5"/>
  <c r="AP391" i="5"/>
  <c r="BN60" i="5"/>
  <c r="BO60" i="5" s="1"/>
  <c r="AP363" i="5"/>
  <c r="AP197" i="5"/>
  <c r="BN221" i="5"/>
  <c r="BO221" i="5" s="1"/>
  <c r="BN209" i="5"/>
  <c r="BO209" i="5" s="1"/>
  <c r="BN373" i="5"/>
  <c r="BO373" i="5" s="1"/>
  <c r="AP413" i="5"/>
  <c r="AP230" i="5"/>
  <c r="BN455" i="5"/>
  <c r="BO455" i="5" s="1"/>
  <c r="BN430" i="5"/>
  <c r="BO430" i="5" s="1"/>
  <c r="AQ507" i="5"/>
  <c r="BH535" i="5"/>
  <c r="BJ535" i="5" s="1"/>
  <c r="AQ413" i="5"/>
  <c r="BH396" i="5"/>
  <c r="BJ396" i="5" s="1"/>
  <c r="BH57" i="5"/>
  <c r="BI57" i="5" s="1"/>
  <c r="AP322" i="5"/>
  <c r="AP282" i="5"/>
  <c r="BN274" i="5"/>
  <c r="BH507" i="5"/>
  <c r="BJ507" i="5" s="1"/>
  <c r="AQ535" i="5"/>
  <c r="AQ396" i="5"/>
  <c r="AP57" i="5"/>
  <c r="AQ322" i="5"/>
  <c r="AQ557" i="5"/>
  <c r="BN272" i="5"/>
  <c r="BO272" i="5" s="1"/>
  <c r="BN235" i="5"/>
  <c r="BO235" i="5" s="1"/>
  <c r="AP457" i="5"/>
  <c r="BH42" i="5"/>
  <c r="BI42" i="5" s="1"/>
  <c r="BN337" i="5"/>
  <c r="BN448" i="5"/>
  <c r="BO448" i="5" s="1"/>
  <c r="AP443" i="5"/>
  <c r="BH282" i="5"/>
  <c r="BI282" i="5" s="1"/>
  <c r="BN270" i="5"/>
  <c r="BN217" i="5"/>
  <c r="BO217" i="5" s="1"/>
  <c r="BN97" i="5"/>
  <c r="BO97" i="5" s="1"/>
  <c r="BN57" i="5"/>
  <c r="BO57" i="5" s="1"/>
  <c r="BN548" i="5"/>
  <c r="BO548" i="5" s="1"/>
  <c r="BN165" i="5"/>
  <c r="BO165" i="5" s="1"/>
  <c r="AP494" i="5"/>
  <c r="AQ197" i="5"/>
  <c r="AQ391" i="5"/>
  <c r="AP124" i="5"/>
  <c r="AQ363" i="5"/>
  <c r="BH124" i="5"/>
  <c r="BI124" i="5" s="1"/>
  <c r="BN521" i="5"/>
  <c r="BO521" i="5" s="1"/>
  <c r="BH321" i="5"/>
  <c r="BJ321" i="5" s="1"/>
  <c r="BN447" i="5"/>
  <c r="BO447" i="5" s="1"/>
  <c r="AQ321" i="5"/>
  <c r="BN32" i="5"/>
  <c r="BO32" i="5" s="1"/>
  <c r="BN362" i="5"/>
  <c r="BO362" i="5" s="1"/>
  <c r="BN200" i="5"/>
  <c r="BO200" i="5" s="1"/>
  <c r="BN161" i="5"/>
  <c r="BO161" i="5" s="1"/>
  <c r="BN185" i="5"/>
  <c r="BO185" i="5" s="1"/>
  <c r="BN319" i="5"/>
  <c r="BO319" i="5" s="1"/>
  <c r="BN214" i="5"/>
  <c r="BO214" i="5" s="1"/>
  <c r="BN490" i="5"/>
  <c r="BO490" i="5" s="1"/>
  <c r="BN137" i="5"/>
  <c r="BO137" i="5" s="1"/>
  <c r="BN531" i="5"/>
  <c r="BO531" i="5" s="1"/>
  <c r="BN328" i="5"/>
  <c r="BO328" i="5" s="1"/>
  <c r="BN401" i="5"/>
  <c r="BO401" i="5" s="1"/>
  <c r="BN526" i="5"/>
  <c r="BO526" i="5" s="1"/>
  <c r="BN558" i="5"/>
  <c r="BO558" i="5" s="1"/>
  <c r="BN330" i="5"/>
  <c r="BO330" i="5" s="1"/>
  <c r="BN513" i="5"/>
  <c r="BO513" i="5" s="1"/>
  <c r="BN547" i="5"/>
  <c r="BO547" i="5" s="1"/>
  <c r="BN480" i="5"/>
  <c r="BO480" i="5" s="1"/>
  <c r="BN443" i="5"/>
  <c r="BO443" i="5" s="1"/>
  <c r="BN333" i="5"/>
  <c r="BO333" i="5" s="1"/>
  <c r="BN492" i="5"/>
  <c r="BO492" i="5" s="1"/>
  <c r="BN360" i="5"/>
  <c r="BO360" i="5" s="1"/>
  <c r="BN256" i="5"/>
  <c r="BO256" i="5" s="1"/>
  <c r="BN258" i="5"/>
  <c r="BO258" i="5" s="1"/>
  <c r="BN532" i="5"/>
  <c r="BO532" i="5" s="1"/>
  <c r="BH131" i="5"/>
  <c r="BI131" i="5" s="1"/>
  <c r="BN188" i="5"/>
  <c r="BO188" i="5" s="1"/>
  <c r="BN215" i="5"/>
  <c r="BO215" i="5" s="1"/>
  <c r="BN329" i="5"/>
  <c r="BO329" i="5" s="1"/>
  <c r="BN420" i="5"/>
  <c r="BO420" i="5" s="1"/>
  <c r="BN40" i="5"/>
  <c r="BO40" i="5" s="1"/>
  <c r="BN463" i="5"/>
  <c r="BO463" i="5" s="1"/>
  <c r="BN109" i="5"/>
  <c r="BO109" i="5" s="1"/>
  <c r="BN434" i="5"/>
  <c r="BO434" i="5" s="1"/>
  <c r="BN479" i="5"/>
  <c r="BO479" i="5" s="1"/>
  <c r="BN442" i="5"/>
  <c r="BO442" i="5" s="1"/>
  <c r="BN255" i="5"/>
  <c r="BO255" i="5" s="1"/>
  <c r="BN199" i="5"/>
  <c r="BO199" i="5" s="1"/>
  <c r="BN311" i="5"/>
  <c r="BO311" i="5" s="1"/>
  <c r="BN538" i="5"/>
  <c r="BO538" i="5" s="1"/>
  <c r="AP131" i="5"/>
  <c r="BN370" i="5"/>
  <c r="BO370" i="5" s="1"/>
  <c r="BN203" i="5"/>
  <c r="BO203" i="5" s="1"/>
  <c r="BN471" i="5"/>
  <c r="BO471" i="5" s="1"/>
  <c r="BN133" i="5"/>
  <c r="BO133" i="5" s="1"/>
  <c r="BN523" i="5"/>
  <c r="BO523" i="5" s="1"/>
  <c r="BN393" i="5"/>
  <c r="BO393" i="5" s="1"/>
  <c r="BN404" i="5"/>
  <c r="BO404" i="5" s="1"/>
  <c r="BN171" i="5"/>
  <c r="BO171" i="5" s="1"/>
  <c r="BH90" i="5"/>
  <c r="BI90" i="5" s="1"/>
  <c r="AP555" i="5"/>
  <c r="BN58" i="5"/>
  <c r="BO58" i="5" s="1"/>
  <c r="BN73" i="5"/>
  <c r="BO73" i="5" s="1"/>
  <c r="BN183" i="5"/>
  <c r="BO183" i="5" s="1"/>
  <c r="AQ477" i="5"/>
  <c r="AP90" i="5"/>
  <c r="BH555" i="5"/>
  <c r="BJ555" i="5" s="1"/>
  <c r="BN365" i="5"/>
  <c r="BO365" i="5" s="1"/>
  <c r="BN208" i="5"/>
  <c r="BO208" i="5" s="1"/>
  <c r="BH477" i="5"/>
  <c r="BI477" i="5" s="1"/>
  <c r="AQ116" i="5"/>
  <c r="BH24" i="5"/>
  <c r="BJ24" i="5" s="1"/>
  <c r="BN305" i="5"/>
  <c r="BO305" i="5" s="1"/>
  <c r="BN406" i="5"/>
  <c r="BO406" i="5" s="1"/>
  <c r="BN511" i="5"/>
  <c r="BO511" i="5" s="1"/>
  <c r="AP116" i="5"/>
  <c r="AP24" i="5"/>
  <c r="BN153" i="5"/>
  <c r="BO153" i="5" s="1"/>
  <c r="BN155" i="5"/>
  <c r="BO155" i="5" s="1"/>
  <c r="BN431" i="5"/>
  <c r="BO431" i="5" s="1"/>
  <c r="BN303" i="5"/>
  <c r="BO303" i="5" s="1"/>
  <c r="BN424" i="5"/>
  <c r="BO424" i="5" s="1"/>
  <c r="BN364" i="5"/>
  <c r="BO364" i="5" s="1"/>
  <c r="BN148" i="5"/>
  <c r="BO148" i="5" s="1"/>
  <c r="BN435" i="5"/>
  <c r="BO435" i="5" s="1"/>
  <c r="BN444" i="5"/>
  <c r="BO444" i="5" s="1"/>
  <c r="BN205" i="5"/>
  <c r="BO205" i="5" s="1"/>
  <c r="BN496" i="5"/>
  <c r="BO496" i="5" s="1"/>
  <c r="BN308" i="5"/>
  <c r="BO308" i="5" s="1"/>
  <c r="BN468" i="5"/>
  <c r="BO468" i="5" s="1"/>
  <c r="BN418" i="5"/>
  <c r="BO418" i="5" s="1"/>
  <c r="BN445" i="5"/>
  <c r="BO445" i="5" s="1"/>
  <c r="BN295" i="5"/>
  <c r="BO295" i="5" s="1"/>
  <c r="BN248" i="5"/>
  <c r="BO248" i="5" s="1"/>
  <c r="BN90" i="5"/>
  <c r="BO90" i="5" s="1"/>
  <c r="BN374" i="5"/>
  <c r="BO374" i="5" s="1"/>
  <c r="BN551" i="5"/>
  <c r="BO551" i="5" s="1"/>
  <c r="BN206" i="5"/>
  <c r="BO206" i="5" s="1"/>
  <c r="BN269" i="5"/>
  <c r="BO269" i="5" s="1"/>
  <c r="BN486" i="5"/>
  <c r="BO486" i="5" s="1"/>
  <c r="BN300" i="5"/>
  <c r="BO300" i="5" s="1"/>
  <c r="BN449" i="5"/>
  <c r="BO449" i="5" s="1"/>
  <c r="BN59" i="5"/>
  <c r="BO59" i="5" s="1"/>
  <c r="BN120" i="5"/>
  <c r="BO120" i="5" s="1"/>
  <c r="BN149" i="5"/>
  <c r="BO149" i="5" s="1"/>
  <c r="BN164" i="5"/>
  <c r="BO164" i="5" s="1"/>
  <c r="BN156" i="5"/>
  <c r="BO156" i="5" s="1"/>
  <c r="BN230" i="5"/>
  <c r="BO230" i="5" s="1"/>
  <c r="BN118" i="5"/>
  <c r="BO118" i="5" s="1"/>
  <c r="BN541" i="5"/>
  <c r="BO541" i="5" s="1"/>
  <c r="BN446" i="5"/>
  <c r="BO446" i="5" s="1"/>
  <c r="BN416" i="5"/>
  <c r="BO416" i="5" s="1"/>
  <c r="BN520" i="5"/>
  <c r="BO520" i="5" s="1"/>
  <c r="BN162" i="5"/>
  <c r="BO162" i="5" s="1"/>
  <c r="BN347" i="5"/>
  <c r="BO347" i="5" s="1"/>
  <c r="BN312" i="5"/>
  <c r="BO312" i="5" s="1"/>
  <c r="BN501" i="5"/>
  <c r="BO501" i="5" s="1"/>
  <c r="BN222" i="5"/>
  <c r="BO222" i="5" s="1"/>
  <c r="BN237" i="5"/>
  <c r="BO237" i="5" s="1"/>
  <c r="BN394" i="5"/>
  <c r="BO394" i="5" s="1"/>
  <c r="BN396" i="5"/>
  <c r="BO396" i="5" s="1"/>
  <c r="BN363" i="5"/>
  <c r="BO363" i="5" s="1"/>
  <c r="BN425" i="5"/>
  <c r="BO425" i="5" s="1"/>
  <c r="BN469" i="5"/>
  <c r="BO469" i="5" s="1"/>
  <c r="BN291" i="5"/>
  <c r="BO291" i="5" s="1"/>
  <c r="BN487" i="5"/>
  <c r="BO487" i="5" s="1"/>
  <c r="BN89" i="5"/>
  <c r="BO89" i="5" s="1"/>
  <c r="BN338" i="5"/>
  <c r="BO338" i="5" s="1"/>
  <c r="BN326" i="5"/>
  <c r="BO326" i="5" s="1"/>
  <c r="BN485" i="5"/>
  <c r="BO485" i="5" s="1"/>
  <c r="BN285" i="5"/>
  <c r="BO285" i="5" s="1"/>
  <c r="BN245" i="5"/>
  <c r="BO245" i="5" s="1"/>
  <c r="BN191" i="5"/>
  <c r="BO191" i="5" s="1"/>
  <c r="BN111" i="5"/>
  <c r="BO111" i="5" s="1"/>
  <c r="BN169" i="5"/>
  <c r="BO169" i="5" s="1"/>
  <c r="BN472" i="5"/>
  <c r="BO472" i="5" s="1"/>
  <c r="BN313" i="5"/>
  <c r="BO313" i="5" s="1"/>
  <c r="BN491" i="5"/>
  <c r="BO491" i="5" s="1"/>
  <c r="BN62" i="5"/>
  <c r="BO62" i="5" s="1"/>
  <c r="BN243" i="5"/>
  <c r="BO243" i="5" s="1"/>
  <c r="BN477" i="5"/>
  <c r="BO477" i="5" s="1"/>
  <c r="BN138" i="5"/>
  <c r="BO138" i="5" s="1"/>
  <c r="BN261" i="5"/>
  <c r="BO261" i="5" s="1"/>
  <c r="BN342" i="5"/>
  <c r="BO342" i="5" s="1"/>
  <c r="BN117" i="5"/>
  <c r="BO117" i="5" s="1"/>
  <c r="BN519" i="5"/>
  <c r="BO519" i="5" s="1"/>
  <c r="BN502" i="5"/>
  <c r="BO502" i="5" s="1"/>
  <c r="BN527" i="5"/>
  <c r="BO527" i="5" s="1"/>
  <c r="BN61" i="5"/>
  <c r="BO61" i="5" s="1"/>
  <c r="BN189" i="5"/>
  <c r="BO189" i="5" s="1"/>
  <c r="BN251" i="5"/>
  <c r="BO251" i="5" s="1"/>
  <c r="BN277" i="5"/>
  <c r="BO277" i="5" s="1"/>
  <c r="BN44" i="5"/>
  <c r="BO44" i="5" s="1"/>
  <c r="BN306" i="5"/>
  <c r="BO306" i="5" s="1"/>
  <c r="BN239" i="5"/>
  <c r="BO239" i="5" s="1"/>
  <c r="BN267" i="5"/>
  <c r="BO267" i="5" s="1"/>
  <c r="BN33" i="5"/>
  <c r="BO33" i="5" s="1"/>
  <c r="BN147" i="5"/>
  <c r="BO147" i="5" s="1"/>
  <c r="BN500" i="5"/>
  <c r="BO500" i="5" s="1"/>
  <c r="BN369" i="5"/>
  <c r="BO369" i="5" s="1"/>
  <c r="BN154" i="5"/>
  <c r="BO154" i="5" s="1"/>
  <c r="BN400" i="5"/>
  <c r="BO400" i="5" s="1"/>
  <c r="BN413" i="5"/>
  <c r="BO413" i="5" s="1"/>
  <c r="BN166" i="5"/>
  <c r="BO166" i="5" s="1"/>
  <c r="BN218" i="5"/>
  <c r="BO218" i="5" s="1"/>
  <c r="BN163" i="5"/>
  <c r="BO163" i="5" s="1"/>
  <c r="BN336" i="5"/>
  <c r="BO336" i="5" s="1"/>
  <c r="BN273" i="5"/>
  <c r="BO273" i="5" s="1"/>
  <c r="BN106" i="5"/>
  <c r="BO106" i="5" s="1"/>
  <c r="BN540" i="5"/>
  <c r="BO540" i="5" s="1"/>
  <c r="BN93" i="5"/>
  <c r="BO93" i="5" s="1"/>
  <c r="BN29" i="5"/>
  <c r="BO29" i="5" s="1"/>
  <c r="BN552" i="5"/>
  <c r="BO552" i="5" s="1"/>
  <c r="BN286" i="5"/>
  <c r="BO286" i="5" s="1"/>
  <c r="BN192" i="5"/>
  <c r="BO192" i="5" s="1"/>
  <c r="AP148" i="5"/>
  <c r="BN421" i="5"/>
  <c r="BO421" i="5" s="1"/>
  <c r="BN174" i="5"/>
  <c r="BO174" i="5" s="1"/>
  <c r="BN341" i="5"/>
  <c r="BO341" i="5" s="1"/>
  <c r="BN460" i="5"/>
  <c r="BO460" i="5" s="1"/>
  <c r="BN77" i="5"/>
  <c r="BO77" i="5" s="1"/>
  <c r="BN142" i="5"/>
  <c r="BO142" i="5" s="1"/>
  <c r="BN327" i="5"/>
  <c r="BO327" i="5" s="1"/>
  <c r="BN361" i="5"/>
  <c r="BO361" i="5" s="1"/>
  <c r="BN512" i="5"/>
  <c r="BO512" i="5" s="1"/>
  <c r="BN250" i="5"/>
  <c r="BO250" i="5" s="1"/>
  <c r="BN84" i="5"/>
  <c r="BO84" i="5" s="1"/>
  <c r="BN407" i="5"/>
  <c r="BO407" i="5" s="1"/>
  <c r="BN234" i="5"/>
  <c r="BO234" i="5" s="1"/>
  <c r="BN271" i="5"/>
  <c r="BN384" i="5"/>
  <c r="BO384" i="5" s="1"/>
  <c r="BN268" i="5"/>
  <c r="BO268" i="5" s="1"/>
  <c r="BN281" i="5"/>
  <c r="BO281" i="5" s="1"/>
  <c r="BN452" i="5"/>
  <c r="BO452" i="5" s="1"/>
  <c r="BN322" i="5"/>
  <c r="BO322" i="5" s="1"/>
  <c r="BN130" i="5"/>
  <c r="BO130" i="5" s="1"/>
  <c r="BN53" i="5"/>
  <c r="BO53" i="5" s="1"/>
  <c r="BN54" i="5"/>
  <c r="BO54" i="5" s="1"/>
  <c r="BN288" i="5"/>
  <c r="BO288" i="5" s="1"/>
  <c r="BN175" i="5"/>
  <c r="BO175" i="5" s="1"/>
  <c r="BN78" i="5"/>
  <c r="BO78" i="5" s="1"/>
  <c r="BN399" i="5"/>
  <c r="BO399" i="5" s="1"/>
  <c r="BN419" i="5"/>
  <c r="BO419" i="5" s="1"/>
  <c r="BN159" i="5"/>
  <c r="BO159" i="5" s="1"/>
  <c r="BN257" i="5"/>
  <c r="BO257" i="5" s="1"/>
  <c r="BN74" i="5"/>
  <c r="BO74" i="5" s="1"/>
  <c r="BN160" i="5"/>
  <c r="BO160" i="5" s="1"/>
  <c r="BN177" i="5"/>
  <c r="BO177" i="5" s="1"/>
  <c r="BN544" i="5"/>
  <c r="BO544" i="5" s="1"/>
  <c r="BN537" i="5"/>
  <c r="BO537" i="5" s="1"/>
  <c r="BN207" i="5"/>
  <c r="BO207" i="5" s="1"/>
  <c r="BN385" i="5"/>
  <c r="BO385" i="5" s="1"/>
  <c r="BN464" i="5"/>
  <c r="BO464" i="5" s="1"/>
  <c r="BN220" i="5"/>
  <c r="BO220" i="5" s="1"/>
  <c r="BN143" i="5"/>
  <c r="BO143" i="5" s="1"/>
  <c r="BN304" i="5"/>
  <c r="BO304" i="5" s="1"/>
  <c r="BN170" i="5"/>
  <c r="BO170" i="5" s="1"/>
  <c r="BN493" i="5"/>
  <c r="BO493" i="5" s="1"/>
  <c r="BH262" i="5"/>
  <c r="BJ262" i="5" s="1"/>
  <c r="BH313" i="5"/>
  <c r="AP313" i="5"/>
  <c r="AQ313" i="5"/>
  <c r="AP343" i="5"/>
  <c r="BH343" i="5"/>
  <c r="AQ343" i="5"/>
  <c r="AP492" i="5"/>
  <c r="AQ492" i="5"/>
  <c r="BH492" i="5"/>
  <c r="AQ399" i="5"/>
  <c r="BH399" i="5"/>
  <c r="AP399" i="5"/>
  <c r="AQ176" i="5"/>
  <c r="AP176" i="5"/>
  <c r="BH176" i="5"/>
  <c r="BH47" i="5"/>
  <c r="AQ47" i="5"/>
  <c r="AP47" i="5"/>
  <c r="AP546" i="5"/>
  <c r="BH546" i="5"/>
  <c r="AQ546" i="5"/>
  <c r="BH392" i="5"/>
  <c r="AP392" i="5"/>
  <c r="AQ392" i="5"/>
  <c r="AQ11" i="5"/>
  <c r="BH11" i="5"/>
  <c r="AP11" i="5"/>
  <c r="BH388" i="5"/>
  <c r="AP388" i="5"/>
  <c r="AQ388" i="5"/>
  <c r="BH533" i="5"/>
  <c r="AQ533" i="5"/>
  <c r="AP533" i="5"/>
  <c r="AQ485" i="5"/>
  <c r="BH485" i="5"/>
  <c r="AP485" i="5"/>
  <c r="AQ7" i="5"/>
  <c r="AP7" i="5"/>
  <c r="AQ86" i="5"/>
  <c r="BH86" i="5"/>
  <c r="AP86" i="5"/>
  <c r="BH223" i="5"/>
  <c r="AP223" i="5"/>
  <c r="AQ223" i="5"/>
  <c r="AP193" i="5"/>
  <c r="BH193" i="5"/>
  <c r="AQ193" i="5"/>
  <c r="AP133" i="5"/>
  <c r="AQ133" i="5"/>
  <c r="BH133" i="5"/>
  <c r="AQ524" i="5"/>
  <c r="BH524" i="5"/>
  <c r="AP524" i="5"/>
  <c r="BH295" i="5"/>
  <c r="AQ295" i="5"/>
  <c r="AP295" i="5"/>
  <c r="BH261" i="5"/>
  <c r="AQ261" i="5"/>
  <c r="AP261" i="5"/>
  <c r="BH195" i="5"/>
  <c r="AP195" i="5"/>
  <c r="AQ195" i="5"/>
  <c r="AQ154" i="5"/>
  <c r="AP154" i="5"/>
  <c r="BH154" i="5"/>
  <c r="AQ386" i="5"/>
  <c r="BH386" i="5"/>
  <c r="AP386" i="5"/>
  <c r="AQ111" i="5"/>
  <c r="BH111" i="5"/>
  <c r="AP111" i="5"/>
  <c r="BH239" i="5"/>
  <c r="AP239" i="5"/>
  <c r="AQ239" i="5"/>
  <c r="AP43" i="5"/>
  <c r="BH43" i="5"/>
  <c r="AQ43" i="5"/>
  <c r="BH487" i="5"/>
  <c r="AP487" i="5"/>
  <c r="AQ487" i="5"/>
  <c r="AQ254" i="5"/>
  <c r="AP254" i="5"/>
  <c r="BH254" i="5"/>
  <c r="AQ157" i="5"/>
  <c r="BH157" i="5"/>
  <c r="AP157" i="5"/>
  <c r="AQ374" i="5"/>
  <c r="BH374" i="5"/>
  <c r="AP374" i="5"/>
  <c r="AP152" i="5"/>
  <c r="BH152" i="5"/>
  <c r="AQ152" i="5"/>
  <c r="BH384" i="5"/>
  <c r="AP384" i="5"/>
  <c r="AQ384" i="5"/>
  <c r="BH373" i="5"/>
  <c r="AQ373" i="5"/>
  <c r="AP373" i="5"/>
  <c r="AP344" i="5"/>
  <c r="AQ344" i="5"/>
  <c r="BH344" i="5"/>
  <c r="AQ64" i="5"/>
  <c r="BH64" i="5"/>
  <c r="AP64" i="5"/>
  <c r="BH389" i="5"/>
  <c r="AP389" i="5"/>
  <c r="AQ389" i="5"/>
  <c r="AQ323" i="5"/>
  <c r="AP323" i="5"/>
  <c r="BH323" i="5"/>
  <c r="BH145" i="5"/>
  <c r="AP145" i="5"/>
  <c r="AQ145" i="5"/>
  <c r="AQ216" i="5"/>
  <c r="AP216" i="5"/>
  <c r="BH216" i="5"/>
  <c r="BH448" i="5"/>
  <c r="AQ448" i="5"/>
  <c r="AP448" i="5"/>
  <c r="BH437" i="5"/>
  <c r="AQ437" i="5"/>
  <c r="AP437" i="5"/>
  <c r="AP377" i="5"/>
  <c r="BH377" i="5"/>
  <c r="AQ377" i="5"/>
  <c r="BH97" i="5"/>
  <c r="AP97" i="5"/>
  <c r="AQ97" i="5"/>
  <c r="AQ420" i="5"/>
  <c r="AP420" i="5"/>
  <c r="BH420" i="5"/>
  <c r="AP135" i="5"/>
  <c r="BH135" i="5"/>
  <c r="AQ135" i="5"/>
  <c r="AP50" i="5"/>
  <c r="AQ50" i="5"/>
  <c r="BH50" i="5"/>
  <c r="AP231" i="5"/>
  <c r="AQ231" i="5"/>
  <c r="BH231" i="5"/>
  <c r="BH439" i="5"/>
  <c r="AQ439" i="5"/>
  <c r="AP439" i="5"/>
  <c r="AP468" i="5"/>
  <c r="AQ468" i="5"/>
  <c r="BH468" i="5"/>
  <c r="AP408" i="5"/>
  <c r="AQ408" i="5"/>
  <c r="BH408" i="5"/>
  <c r="AQ128" i="5"/>
  <c r="AP128" i="5"/>
  <c r="BH128" i="5"/>
  <c r="AP362" i="5"/>
  <c r="BH362" i="5"/>
  <c r="AQ362" i="5"/>
  <c r="AQ296" i="5"/>
  <c r="AP296" i="5"/>
  <c r="BH296" i="5"/>
  <c r="BH302" i="5"/>
  <c r="AP302" i="5"/>
  <c r="AQ302" i="5"/>
  <c r="BH236" i="5"/>
  <c r="AQ236" i="5"/>
  <c r="AP236" i="5"/>
  <c r="BH22" i="5"/>
  <c r="AP22" i="5"/>
  <c r="AQ22" i="5"/>
  <c r="AQ474" i="5"/>
  <c r="BH474" i="5"/>
  <c r="AP474" i="5"/>
  <c r="BH210" i="5"/>
  <c r="AP210" i="5"/>
  <c r="AQ210" i="5"/>
  <c r="BH456" i="5"/>
  <c r="AQ456" i="5"/>
  <c r="AP456" i="5"/>
  <c r="AQ151" i="5"/>
  <c r="AP151" i="5"/>
  <c r="BH151" i="5"/>
  <c r="AQ465" i="5"/>
  <c r="AP465" i="5"/>
  <c r="BH465" i="5"/>
  <c r="AQ360" i="5"/>
  <c r="AP360" i="5"/>
  <c r="BH360" i="5"/>
  <c r="BH366" i="5"/>
  <c r="AP366" i="5"/>
  <c r="AQ366" i="5"/>
  <c r="BH300" i="5"/>
  <c r="AP300" i="5"/>
  <c r="AQ300" i="5"/>
  <c r="AQ334" i="5"/>
  <c r="BH334" i="5"/>
  <c r="AP334" i="5"/>
  <c r="AQ315" i="5"/>
  <c r="BH315" i="5"/>
  <c r="AP315" i="5"/>
  <c r="AP483" i="5"/>
  <c r="AQ483" i="5"/>
  <c r="BH483" i="5"/>
  <c r="AQ503" i="5"/>
  <c r="BH503" i="5"/>
  <c r="AP503" i="5"/>
  <c r="BH530" i="5"/>
  <c r="AP530" i="5"/>
  <c r="AQ530" i="5"/>
  <c r="BH29" i="5"/>
  <c r="AP29" i="5"/>
  <c r="AQ29" i="5"/>
  <c r="BH444" i="5"/>
  <c r="AP444" i="5"/>
  <c r="AQ444" i="5"/>
  <c r="AP347" i="5"/>
  <c r="AQ347" i="5"/>
  <c r="BH347" i="5"/>
  <c r="AP412" i="5"/>
  <c r="BH412" i="5"/>
  <c r="AQ412" i="5"/>
  <c r="AP37" i="5"/>
  <c r="BH37" i="5"/>
  <c r="AQ37" i="5"/>
  <c r="AP553" i="5"/>
  <c r="BH553" i="5"/>
  <c r="AQ553" i="5"/>
  <c r="BH30" i="5"/>
  <c r="AP30" i="5"/>
  <c r="AQ30" i="5"/>
  <c r="BH229" i="5"/>
  <c r="AQ229" i="5"/>
  <c r="AP229" i="5"/>
  <c r="BI413" i="5"/>
  <c r="BJ413" i="5"/>
  <c r="BJ83" i="5"/>
  <c r="BI83" i="5"/>
  <c r="AQ283" i="5"/>
  <c r="AP283" i="5"/>
  <c r="BH283" i="5"/>
  <c r="BJ101" i="5"/>
  <c r="BI101" i="5"/>
  <c r="AP309" i="5"/>
  <c r="AQ309" i="5"/>
  <c r="BH309" i="5"/>
  <c r="BJ250" i="5"/>
  <c r="BI250" i="5"/>
  <c r="AP318" i="5"/>
  <c r="AQ318" i="5"/>
  <c r="BH318" i="5"/>
  <c r="AQ353" i="5"/>
  <c r="AP353" i="5"/>
  <c r="BH353" i="5"/>
  <c r="AP244" i="5"/>
  <c r="BH244" i="5"/>
  <c r="AQ244" i="5"/>
  <c r="AQ551" i="5"/>
  <c r="AP551" i="5"/>
  <c r="BH551" i="5"/>
  <c r="AP352" i="5"/>
  <c r="AQ352" i="5"/>
  <c r="BH352" i="5"/>
  <c r="AQ330" i="5"/>
  <c r="AP330" i="5"/>
  <c r="BH330" i="5"/>
  <c r="AQ10" i="5"/>
  <c r="AP10" i="5"/>
  <c r="BH10" i="5"/>
  <c r="AP163" i="5"/>
  <c r="AQ163" i="5"/>
  <c r="BH163" i="5"/>
  <c r="BH125" i="5"/>
  <c r="AP125" i="5"/>
  <c r="AQ125" i="5"/>
  <c r="BH480" i="5"/>
  <c r="AP480" i="5"/>
  <c r="AQ480" i="5"/>
  <c r="AP200" i="5"/>
  <c r="BH200" i="5"/>
  <c r="AQ200" i="5"/>
  <c r="AP517" i="5"/>
  <c r="AQ517" i="5"/>
  <c r="BH517" i="5"/>
  <c r="AP559" i="5"/>
  <c r="AQ559" i="5"/>
  <c r="BH559" i="5"/>
  <c r="AP467" i="5"/>
  <c r="AQ467" i="5"/>
  <c r="BH467" i="5"/>
  <c r="AQ441" i="5"/>
  <c r="BH441" i="5"/>
  <c r="AP441" i="5"/>
  <c r="AP54" i="5"/>
  <c r="AQ54" i="5"/>
  <c r="BH54" i="5"/>
  <c r="AP538" i="5"/>
  <c r="BH538" i="5"/>
  <c r="AQ538" i="5"/>
  <c r="AQ218" i="5"/>
  <c r="AP218" i="5"/>
  <c r="BH218" i="5"/>
  <c r="AP407" i="5"/>
  <c r="AQ407" i="5"/>
  <c r="BH407" i="5"/>
  <c r="BH332" i="5"/>
  <c r="AP332" i="5"/>
  <c r="AQ332" i="5"/>
  <c r="AQ305" i="5"/>
  <c r="AP305" i="5"/>
  <c r="BH305" i="5"/>
  <c r="AP49" i="5"/>
  <c r="BH49" i="5"/>
  <c r="AQ49" i="5"/>
  <c r="BH382" i="5"/>
  <c r="AQ382" i="5"/>
  <c r="AP382" i="5"/>
  <c r="BH285" i="5"/>
  <c r="AQ285" i="5"/>
  <c r="AP285" i="5"/>
  <c r="AP188" i="5"/>
  <c r="AQ188" i="5"/>
  <c r="BH188" i="5"/>
  <c r="AQ466" i="5"/>
  <c r="BH466" i="5"/>
  <c r="AP466" i="5"/>
  <c r="AQ99" i="5"/>
  <c r="BH99" i="5"/>
  <c r="AP99" i="5"/>
  <c r="AQ72" i="5"/>
  <c r="BH72" i="5"/>
  <c r="AP72" i="5"/>
  <c r="AP92" i="5"/>
  <c r="AQ92" i="5"/>
  <c r="BH92" i="5"/>
  <c r="AQ291" i="5"/>
  <c r="AP291" i="5"/>
  <c r="BH291" i="5"/>
  <c r="AP277" i="5"/>
  <c r="AQ277" i="5"/>
  <c r="BH277" i="5"/>
  <c r="BH211" i="5"/>
  <c r="AQ211" i="5"/>
  <c r="AP211" i="5"/>
  <c r="AP137" i="5"/>
  <c r="BH137" i="5"/>
  <c r="AQ137" i="5"/>
  <c r="BH527" i="5"/>
  <c r="AP527" i="5"/>
  <c r="AQ527" i="5"/>
  <c r="BH464" i="5"/>
  <c r="AP464" i="5"/>
  <c r="AQ464" i="5"/>
  <c r="AP89" i="5"/>
  <c r="BH89" i="5"/>
  <c r="AQ89" i="5"/>
  <c r="AP78" i="5"/>
  <c r="AQ78" i="5"/>
  <c r="BH78" i="5"/>
  <c r="AP113" i="5"/>
  <c r="BH113" i="5"/>
  <c r="AQ113" i="5"/>
  <c r="AQ312" i="5"/>
  <c r="AP312" i="5"/>
  <c r="BH312" i="5"/>
  <c r="AQ31" i="5"/>
  <c r="AP31" i="5"/>
  <c r="BH31" i="5"/>
  <c r="AQ126" i="5"/>
  <c r="BH126" i="5"/>
  <c r="AP126" i="5"/>
  <c r="AP438" i="5"/>
  <c r="AQ438" i="5"/>
  <c r="BH438" i="5"/>
  <c r="AQ528" i="5"/>
  <c r="BH528" i="5"/>
  <c r="AP528" i="5"/>
  <c r="BH153" i="5"/>
  <c r="AQ153" i="5"/>
  <c r="AP153" i="5"/>
  <c r="AQ142" i="5"/>
  <c r="BH142" i="5"/>
  <c r="AP142" i="5"/>
  <c r="BH146" i="5"/>
  <c r="AP146" i="5"/>
  <c r="AQ146" i="5"/>
  <c r="AP345" i="5"/>
  <c r="AQ345" i="5"/>
  <c r="BH345" i="5"/>
  <c r="BH87" i="5"/>
  <c r="AQ87" i="5"/>
  <c r="AP87" i="5"/>
  <c r="AQ191" i="5"/>
  <c r="AP191" i="5"/>
  <c r="BH191" i="5"/>
  <c r="AQ469" i="5"/>
  <c r="BH469" i="5"/>
  <c r="AP469" i="5"/>
  <c r="AP8" i="5"/>
  <c r="BH8" i="5"/>
  <c r="AQ8" i="5"/>
  <c r="AP184" i="5"/>
  <c r="AQ184" i="5"/>
  <c r="BH184" i="5"/>
  <c r="AP173" i="5"/>
  <c r="AQ173" i="5"/>
  <c r="BH173" i="5"/>
  <c r="AQ177" i="5"/>
  <c r="AP177" i="5"/>
  <c r="BH177" i="5"/>
  <c r="AP376" i="5"/>
  <c r="BH376" i="5"/>
  <c r="AQ376" i="5"/>
  <c r="BH139" i="5"/>
  <c r="AQ139" i="5"/>
  <c r="AP139" i="5"/>
  <c r="AQ65" i="5"/>
  <c r="AP65" i="5"/>
  <c r="BH65" i="5"/>
  <c r="AP455" i="5"/>
  <c r="BH455" i="5"/>
  <c r="AQ455" i="5"/>
  <c r="AQ548" i="5"/>
  <c r="BH548" i="5"/>
  <c r="AP548" i="5"/>
  <c r="AQ270" i="5"/>
  <c r="AP270" i="5"/>
  <c r="BH270" i="5"/>
  <c r="AP251" i="5"/>
  <c r="BH251" i="5"/>
  <c r="AQ251" i="5"/>
  <c r="AP458" i="5"/>
  <c r="AQ458" i="5"/>
  <c r="BH458" i="5"/>
  <c r="BH161" i="5"/>
  <c r="AQ161" i="5"/>
  <c r="AP161" i="5"/>
  <c r="AQ453" i="5"/>
  <c r="AP453" i="5"/>
  <c r="BH453" i="5"/>
  <c r="AP403" i="5"/>
  <c r="AQ403" i="5"/>
  <c r="BH403" i="5"/>
  <c r="AQ129" i="5"/>
  <c r="AP129" i="5"/>
  <c r="BH129" i="5"/>
  <c r="AQ463" i="5"/>
  <c r="BH463" i="5"/>
  <c r="AP463" i="5"/>
  <c r="AP69" i="5"/>
  <c r="AQ69" i="5"/>
  <c r="BH69" i="5"/>
  <c r="AQ199" i="5"/>
  <c r="AP199" i="5"/>
  <c r="BH199" i="5"/>
  <c r="BH20" i="5"/>
  <c r="AQ20" i="5"/>
  <c r="AP20" i="5"/>
  <c r="AP472" i="5"/>
  <c r="BH472" i="5"/>
  <c r="AQ472" i="5"/>
  <c r="AQ192" i="5"/>
  <c r="AP192" i="5"/>
  <c r="BH192" i="5"/>
  <c r="BH243" i="5"/>
  <c r="AP243" i="5"/>
  <c r="AQ243" i="5"/>
  <c r="BH155" i="5"/>
  <c r="AP155" i="5"/>
  <c r="AQ155" i="5"/>
  <c r="AP23" i="5"/>
  <c r="BH23" i="5"/>
  <c r="AQ23" i="5"/>
  <c r="AP85" i="5"/>
  <c r="AQ85" i="5"/>
  <c r="BH85" i="5"/>
  <c r="BH554" i="5"/>
  <c r="AP554" i="5"/>
  <c r="AQ554" i="5"/>
  <c r="BH117" i="5"/>
  <c r="AP117" i="5"/>
  <c r="AQ117" i="5"/>
  <c r="AP26" i="5"/>
  <c r="BH26" i="5"/>
  <c r="AQ26" i="5"/>
  <c r="AQ258" i="5"/>
  <c r="BH258" i="5"/>
  <c r="AP258" i="5"/>
  <c r="BH278" i="5"/>
  <c r="AQ278" i="5"/>
  <c r="AP278" i="5"/>
  <c r="AP249" i="5"/>
  <c r="AQ249" i="5"/>
  <c r="BH249" i="5"/>
  <c r="BJ457" i="5"/>
  <c r="BI457" i="5"/>
  <c r="AQ446" i="5"/>
  <c r="BH446" i="5"/>
  <c r="AP446" i="5"/>
  <c r="AQ33" i="5"/>
  <c r="AP33" i="5"/>
  <c r="BH33" i="5"/>
  <c r="AP202" i="5"/>
  <c r="BH202" i="5"/>
  <c r="AQ202" i="5"/>
  <c r="AP418" i="5"/>
  <c r="AQ418" i="5"/>
  <c r="BH418" i="5"/>
  <c r="AQ39" i="5"/>
  <c r="BH39" i="5"/>
  <c r="AP39" i="5"/>
  <c r="AQ259" i="5"/>
  <c r="AP259" i="5"/>
  <c r="BH259" i="5"/>
  <c r="AP324" i="5"/>
  <c r="AQ324" i="5"/>
  <c r="BH324" i="5"/>
  <c r="AP486" i="5"/>
  <c r="AQ486" i="5"/>
  <c r="BH486" i="5"/>
  <c r="AQ357" i="5"/>
  <c r="BH357" i="5"/>
  <c r="AP357" i="5"/>
  <c r="AQ34" i="5"/>
  <c r="BH34" i="5"/>
  <c r="AP34" i="5"/>
  <c r="AP159" i="5"/>
  <c r="BH159" i="5"/>
  <c r="AQ159" i="5"/>
  <c r="BH432" i="5"/>
  <c r="AQ432" i="5"/>
  <c r="AP432" i="5"/>
  <c r="BH317" i="5"/>
  <c r="AQ317" i="5"/>
  <c r="AP317" i="5"/>
  <c r="BJ165" i="5"/>
  <c r="BI165" i="5"/>
  <c r="AQ304" i="5"/>
  <c r="BH304" i="5"/>
  <c r="AP304" i="5"/>
  <c r="BH531" i="5"/>
  <c r="AQ531" i="5"/>
  <c r="AP531" i="5"/>
  <c r="BH235" i="5"/>
  <c r="AP235" i="5"/>
  <c r="AQ235" i="5"/>
  <c r="BC9" i="5"/>
  <c r="BD9" i="5"/>
  <c r="AQ67" i="5"/>
  <c r="AP67" i="5"/>
  <c r="BH67" i="5"/>
  <c r="BH473" i="5"/>
  <c r="AQ473" i="5"/>
  <c r="AP473" i="5"/>
  <c r="BJ116" i="5"/>
  <c r="BI116" i="5"/>
  <c r="BH209" i="5"/>
  <c r="AP209" i="5"/>
  <c r="AQ209" i="5"/>
  <c r="BH213" i="5"/>
  <c r="AQ213" i="5"/>
  <c r="AP213" i="5"/>
  <c r="BH147" i="5"/>
  <c r="AQ147" i="5"/>
  <c r="AP147" i="5"/>
  <c r="AP73" i="5"/>
  <c r="AQ73" i="5"/>
  <c r="BH73" i="5"/>
  <c r="BH179" i="5"/>
  <c r="AQ179" i="5"/>
  <c r="AP179" i="5"/>
  <c r="AQ88" i="5"/>
  <c r="AP88" i="5"/>
  <c r="BH88" i="5"/>
  <c r="AP320" i="5"/>
  <c r="AQ320" i="5"/>
  <c r="BH320" i="5"/>
  <c r="AP340" i="5"/>
  <c r="BH340" i="5"/>
  <c r="AQ340" i="5"/>
  <c r="AQ175" i="5"/>
  <c r="BH175" i="5"/>
  <c r="AP175" i="5"/>
  <c r="AP46" i="5"/>
  <c r="AQ46" i="5"/>
  <c r="BH46" i="5"/>
  <c r="AP523" i="5"/>
  <c r="BH523" i="5"/>
  <c r="AQ523" i="5"/>
  <c r="BH449" i="5"/>
  <c r="AP449" i="5"/>
  <c r="AQ449" i="5"/>
  <c r="AP183" i="5"/>
  <c r="AQ183" i="5"/>
  <c r="BH183" i="5"/>
  <c r="AP169" i="5"/>
  <c r="AQ169" i="5"/>
  <c r="BH169" i="5"/>
  <c r="AP158" i="5"/>
  <c r="BH158" i="5"/>
  <c r="AQ158" i="5"/>
  <c r="AQ326" i="5"/>
  <c r="AP326" i="5"/>
  <c r="BH326" i="5"/>
  <c r="AQ361" i="5"/>
  <c r="AP361" i="5"/>
  <c r="BH361" i="5"/>
  <c r="BH431" i="5"/>
  <c r="AQ431" i="5"/>
  <c r="AP431" i="5"/>
  <c r="BH275" i="5"/>
  <c r="AQ275" i="5"/>
  <c r="AP275" i="5"/>
  <c r="AQ201" i="5"/>
  <c r="AP201" i="5"/>
  <c r="BH201" i="5"/>
  <c r="AQ471" i="5"/>
  <c r="AP471" i="5"/>
  <c r="BH471" i="5"/>
  <c r="AP233" i="5"/>
  <c r="AQ233" i="5"/>
  <c r="BH233" i="5"/>
  <c r="AQ222" i="5"/>
  <c r="AP222" i="5"/>
  <c r="BH222" i="5"/>
  <c r="AQ390" i="5"/>
  <c r="AP390" i="5"/>
  <c r="BH390" i="5"/>
  <c r="BH394" i="5"/>
  <c r="AQ394" i="5"/>
  <c r="AP394" i="5"/>
  <c r="BH445" i="5"/>
  <c r="AP445" i="5"/>
  <c r="AQ445" i="5"/>
  <c r="AP112" i="5"/>
  <c r="AQ112" i="5"/>
  <c r="BH112" i="5"/>
  <c r="AQ298" i="5"/>
  <c r="AP298" i="5"/>
  <c r="BH298" i="5"/>
  <c r="AQ232" i="5"/>
  <c r="AP232" i="5"/>
  <c r="BH232" i="5"/>
  <c r="AP238" i="5"/>
  <c r="AQ238" i="5"/>
  <c r="BH238" i="5"/>
  <c r="AP264" i="5"/>
  <c r="BH264" i="5"/>
  <c r="AQ264" i="5"/>
  <c r="AQ253" i="5"/>
  <c r="BH253" i="5"/>
  <c r="AP253" i="5"/>
  <c r="AP421" i="5"/>
  <c r="AQ421" i="5"/>
  <c r="BH421" i="5"/>
  <c r="AQ425" i="5"/>
  <c r="AP425" i="5"/>
  <c r="BH425" i="5"/>
  <c r="AQ476" i="5"/>
  <c r="AP476" i="5"/>
  <c r="BH476" i="5"/>
  <c r="BH451" i="5"/>
  <c r="AQ451" i="5"/>
  <c r="AP451" i="5"/>
  <c r="BH91" i="5"/>
  <c r="AQ91" i="5"/>
  <c r="AP91" i="5"/>
  <c r="BH498" i="5"/>
  <c r="AQ498" i="5"/>
  <c r="AP498" i="5"/>
  <c r="AQ350" i="5"/>
  <c r="AP350" i="5"/>
  <c r="BH350" i="5"/>
  <c r="AP518" i="5"/>
  <c r="AQ518" i="5"/>
  <c r="BH518" i="5"/>
  <c r="BH171" i="5"/>
  <c r="AP171" i="5"/>
  <c r="AQ171" i="5"/>
  <c r="BH409" i="5"/>
  <c r="AQ409" i="5"/>
  <c r="AP409" i="5"/>
  <c r="BH172" i="5"/>
  <c r="AQ172" i="5"/>
  <c r="AP172" i="5"/>
  <c r="AP60" i="5"/>
  <c r="AQ60" i="5"/>
  <c r="BH60" i="5"/>
  <c r="AQ475" i="5"/>
  <c r="AP475" i="5"/>
  <c r="BH475" i="5"/>
  <c r="BH370" i="5"/>
  <c r="AQ370" i="5"/>
  <c r="AP370" i="5"/>
  <c r="BH203" i="5"/>
  <c r="AP203" i="5"/>
  <c r="AQ203" i="5"/>
  <c r="AQ268" i="5"/>
  <c r="BH268" i="5"/>
  <c r="AP268" i="5"/>
  <c r="AQ241" i="5"/>
  <c r="BH241" i="5"/>
  <c r="AP241" i="5"/>
  <c r="AP440" i="5"/>
  <c r="AQ440" i="5"/>
  <c r="BH440" i="5"/>
  <c r="AQ491" i="5"/>
  <c r="BH491" i="5"/>
  <c r="AP491" i="5"/>
  <c r="AP401" i="5"/>
  <c r="BH401" i="5"/>
  <c r="AQ401" i="5"/>
  <c r="BH247" i="5"/>
  <c r="AQ247" i="5"/>
  <c r="AP247" i="5"/>
  <c r="BH397" i="5"/>
  <c r="AQ397" i="5"/>
  <c r="AP397" i="5"/>
  <c r="BH331" i="5"/>
  <c r="AQ331" i="5"/>
  <c r="AP331" i="5"/>
  <c r="AP365" i="5"/>
  <c r="BH365" i="5"/>
  <c r="AQ365" i="5"/>
  <c r="BH338" i="5"/>
  <c r="AQ338" i="5"/>
  <c r="AP338" i="5"/>
  <c r="AQ506" i="5"/>
  <c r="AP506" i="5"/>
  <c r="BH506" i="5"/>
  <c r="BH526" i="5"/>
  <c r="AP526" i="5"/>
  <c r="AQ526" i="5"/>
  <c r="AP19" i="5"/>
  <c r="AQ19" i="5"/>
  <c r="BH19" i="5"/>
  <c r="BI349" i="5"/>
  <c r="BJ349" i="5"/>
  <c r="BJ148" i="5"/>
  <c r="BI148" i="5"/>
  <c r="BI363" i="5"/>
  <c r="BJ363" i="5"/>
  <c r="AP294" i="5"/>
  <c r="AQ294" i="5"/>
  <c r="BH294" i="5"/>
  <c r="AQ423" i="5"/>
  <c r="AP423" i="5"/>
  <c r="BH423" i="5"/>
  <c r="AP170" i="5"/>
  <c r="BH170" i="5"/>
  <c r="AQ170" i="5"/>
  <c r="AP558" i="5"/>
  <c r="BH558" i="5"/>
  <c r="AQ558" i="5"/>
  <c r="AP138" i="5"/>
  <c r="AQ138" i="5"/>
  <c r="BH138" i="5"/>
  <c r="BH325" i="5"/>
  <c r="AP325" i="5"/>
  <c r="AQ325" i="5"/>
  <c r="BH136" i="5"/>
  <c r="AQ136" i="5"/>
  <c r="AP136" i="5"/>
  <c r="AP77" i="5"/>
  <c r="BH77" i="5"/>
  <c r="AQ77" i="5"/>
  <c r="BH189" i="5"/>
  <c r="AQ189" i="5"/>
  <c r="AP189" i="5"/>
  <c r="BH108" i="5"/>
  <c r="AP108" i="5"/>
  <c r="AQ108" i="5"/>
  <c r="AP220" i="5"/>
  <c r="AQ220" i="5"/>
  <c r="BH220" i="5"/>
  <c r="AP9" i="5"/>
  <c r="AQ9" i="5"/>
  <c r="BH9" i="5"/>
  <c r="AP462" i="5"/>
  <c r="AQ462" i="5"/>
  <c r="BH462" i="5"/>
  <c r="AQ242" i="5"/>
  <c r="AP242" i="5"/>
  <c r="BH242" i="5"/>
  <c r="AQ525" i="5"/>
  <c r="AP525" i="5"/>
  <c r="BH525" i="5"/>
  <c r="AQ459" i="5"/>
  <c r="BH459" i="5"/>
  <c r="AP459" i="5"/>
  <c r="BH385" i="5"/>
  <c r="AQ385" i="5"/>
  <c r="AP385" i="5"/>
  <c r="BH427" i="5"/>
  <c r="AQ427" i="5"/>
  <c r="AP427" i="5"/>
  <c r="AP400" i="5"/>
  <c r="BH400" i="5"/>
  <c r="AQ400" i="5"/>
  <c r="AP25" i="5"/>
  <c r="AQ25" i="5"/>
  <c r="BH25" i="5"/>
  <c r="AQ45" i="5"/>
  <c r="AP45" i="5"/>
  <c r="BH45" i="5"/>
  <c r="BH80" i="5"/>
  <c r="AP80" i="5"/>
  <c r="AQ80" i="5"/>
  <c r="BH358" i="5"/>
  <c r="AP358" i="5"/>
  <c r="AQ358" i="5"/>
  <c r="AP292" i="5"/>
  <c r="BH292" i="5"/>
  <c r="AQ292" i="5"/>
  <c r="AP93" i="5"/>
  <c r="AQ93" i="5"/>
  <c r="BH93" i="5"/>
  <c r="BH185" i="5"/>
  <c r="AQ185" i="5"/>
  <c r="AP185" i="5"/>
  <c r="AP417" i="5"/>
  <c r="BH417" i="5"/>
  <c r="AQ417" i="5"/>
  <c r="BH406" i="5"/>
  <c r="AP406" i="5"/>
  <c r="AQ406" i="5"/>
  <c r="BH346" i="5"/>
  <c r="AP346" i="5"/>
  <c r="AQ346" i="5"/>
  <c r="AP66" i="5"/>
  <c r="BH66" i="5"/>
  <c r="AQ66" i="5"/>
  <c r="AP310" i="5"/>
  <c r="AQ310" i="5"/>
  <c r="BH310" i="5"/>
  <c r="AQ44" i="5"/>
  <c r="AP44" i="5"/>
  <c r="BH44" i="5"/>
  <c r="AQ513" i="5"/>
  <c r="BH513" i="5"/>
  <c r="AP513" i="5"/>
  <c r="BH63" i="5"/>
  <c r="AP63" i="5"/>
  <c r="AQ63" i="5"/>
  <c r="BH481" i="5"/>
  <c r="AQ481" i="5"/>
  <c r="AP481" i="5"/>
  <c r="AQ470" i="5"/>
  <c r="AP470" i="5"/>
  <c r="BH470" i="5"/>
  <c r="AQ288" i="5"/>
  <c r="BH288" i="5"/>
  <c r="AP288" i="5"/>
  <c r="AP107" i="5"/>
  <c r="BH107" i="5"/>
  <c r="AQ107" i="5"/>
  <c r="BH150" i="5"/>
  <c r="AQ150" i="5"/>
  <c r="AP150" i="5"/>
  <c r="AP341" i="5"/>
  <c r="BH341" i="5"/>
  <c r="AQ341" i="5"/>
  <c r="AQ75" i="5"/>
  <c r="AP75" i="5"/>
  <c r="BH75" i="5"/>
  <c r="BH544" i="5"/>
  <c r="AP544" i="5"/>
  <c r="AQ544" i="5"/>
  <c r="AQ550" i="5"/>
  <c r="BH550" i="5"/>
  <c r="AP550" i="5"/>
  <c r="AP512" i="5"/>
  <c r="AQ512" i="5"/>
  <c r="BH512" i="5"/>
  <c r="BH501" i="5"/>
  <c r="AP501" i="5"/>
  <c r="AQ501" i="5"/>
  <c r="AP410" i="5"/>
  <c r="AQ410" i="5"/>
  <c r="BH410" i="5"/>
  <c r="AQ130" i="5"/>
  <c r="AP130" i="5"/>
  <c r="BH130" i="5"/>
  <c r="BH181" i="5"/>
  <c r="AQ181" i="5"/>
  <c r="AP181" i="5"/>
  <c r="AQ13" i="5"/>
  <c r="AP13" i="5"/>
  <c r="BH13" i="5"/>
  <c r="BH71" i="5"/>
  <c r="AQ71" i="5"/>
  <c r="AP71" i="5"/>
  <c r="AQ500" i="5"/>
  <c r="BH500" i="5"/>
  <c r="AP500" i="5"/>
  <c r="AP327" i="5"/>
  <c r="AQ327" i="5"/>
  <c r="BH327" i="5"/>
  <c r="BH226" i="5"/>
  <c r="AQ226" i="5"/>
  <c r="AP226" i="5"/>
  <c r="BI499" i="5"/>
  <c r="BJ499" i="5"/>
  <c r="AQ419" i="5"/>
  <c r="AP419" i="5"/>
  <c r="BH419" i="5"/>
  <c r="BH509" i="5"/>
  <c r="AQ509" i="5"/>
  <c r="AP509" i="5"/>
  <c r="AQ368" i="5"/>
  <c r="AP368" i="5"/>
  <c r="BH368" i="5"/>
  <c r="AQ79" i="5"/>
  <c r="AP79" i="5"/>
  <c r="BH79" i="5"/>
  <c r="AP21" i="5"/>
  <c r="AQ21" i="5"/>
  <c r="BH21" i="5"/>
  <c r="BH490" i="5"/>
  <c r="AQ490" i="5"/>
  <c r="AP490" i="5"/>
  <c r="BH348" i="5"/>
  <c r="AP348" i="5"/>
  <c r="AQ348" i="5"/>
  <c r="BH516" i="5"/>
  <c r="AQ516" i="5"/>
  <c r="AP516" i="5"/>
  <c r="AP489" i="5"/>
  <c r="AQ489" i="5"/>
  <c r="BH489" i="5"/>
  <c r="AP540" i="5"/>
  <c r="BH540" i="5"/>
  <c r="AQ540" i="5"/>
  <c r="AQ196" i="5"/>
  <c r="AP196" i="5"/>
  <c r="BH196" i="5"/>
  <c r="AQ426" i="5"/>
  <c r="AP426" i="5"/>
  <c r="BH426" i="5"/>
  <c r="AP160" i="5"/>
  <c r="AQ160" i="5"/>
  <c r="BH160" i="5"/>
  <c r="BH166" i="5"/>
  <c r="AQ166" i="5"/>
  <c r="AP166" i="5"/>
  <c r="AP100" i="5"/>
  <c r="AQ100" i="5"/>
  <c r="BH100" i="5"/>
  <c r="BH70" i="5"/>
  <c r="AQ70" i="5"/>
  <c r="AP70" i="5"/>
  <c r="BH51" i="5"/>
  <c r="AQ51" i="5"/>
  <c r="AP51" i="5"/>
  <c r="BH12" i="5"/>
  <c r="AP12" i="5"/>
  <c r="AQ12" i="5"/>
  <c r="AP95" i="5"/>
  <c r="AQ95" i="5"/>
  <c r="BH95" i="5"/>
  <c r="AP266" i="5"/>
  <c r="AQ266" i="5"/>
  <c r="BH266" i="5"/>
  <c r="BH224" i="5"/>
  <c r="AQ224" i="5"/>
  <c r="AP224" i="5"/>
  <c r="BI197" i="5"/>
  <c r="BJ197" i="5"/>
  <c r="BI395" i="5"/>
  <c r="BJ395" i="5"/>
  <c r="BI322" i="5"/>
  <c r="BJ322" i="5"/>
  <c r="AP260" i="5"/>
  <c r="BH260" i="5"/>
  <c r="AQ260" i="5"/>
  <c r="AP228" i="5"/>
  <c r="AQ228" i="5"/>
  <c r="BH228" i="5"/>
  <c r="AP375" i="5"/>
  <c r="AQ375" i="5"/>
  <c r="BH375" i="5"/>
  <c r="BH132" i="5"/>
  <c r="AQ132" i="5"/>
  <c r="AP132" i="5"/>
  <c r="AQ105" i="5"/>
  <c r="AP105" i="5"/>
  <c r="BH105" i="5"/>
  <c r="AQ94" i="5"/>
  <c r="AP94" i="5"/>
  <c r="BH94" i="5"/>
  <c r="AP293" i="5"/>
  <c r="AQ293" i="5"/>
  <c r="BH293" i="5"/>
  <c r="AQ328" i="5"/>
  <c r="BH328" i="5"/>
  <c r="AP328" i="5"/>
  <c r="AQ543" i="5"/>
  <c r="BH543" i="5"/>
  <c r="AP543" i="5"/>
  <c r="BH221" i="5"/>
  <c r="AP221" i="5"/>
  <c r="AQ221" i="5"/>
  <c r="AQ367" i="5"/>
  <c r="BH367" i="5"/>
  <c r="AP367" i="5"/>
  <c r="AQ497" i="5"/>
  <c r="AP497" i="5"/>
  <c r="BH497" i="5"/>
  <c r="AQ122" i="5"/>
  <c r="AP122" i="5"/>
  <c r="BH122" i="5"/>
  <c r="AP271" i="5"/>
  <c r="AQ271" i="5"/>
  <c r="BH271" i="5"/>
  <c r="AQ123" i="5"/>
  <c r="BH123" i="5"/>
  <c r="AP123" i="5"/>
  <c r="AP314" i="5"/>
  <c r="BH314" i="5"/>
  <c r="AQ314" i="5"/>
  <c r="BH519" i="5"/>
  <c r="AQ519" i="5"/>
  <c r="AP519" i="5"/>
  <c r="AP356" i="5"/>
  <c r="BH356" i="5"/>
  <c r="AQ356" i="5"/>
  <c r="BH62" i="5"/>
  <c r="AQ62" i="5"/>
  <c r="AP62" i="5"/>
  <c r="BH81" i="5"/>
  <c r="AQ81" i="5"/>
  <c r="AP81" i="5"/>
  <c r="AQ186" i="5"/>
  <c r="AP186" i="5"/>
  <c r="BH186" i="5"/>
  <c r="AQ215" i="5"/>
  <c r="BH215" i="5"/>
  <c r="AP215" i="5"/>
  <c r="AP156" i="5"/>
  <c r="AQ156" i="5"/>
  <c r="BH156" i="5"/>
  <c r="BH355" i="5"/>
  <c r="AQ355" i="5"/>
  <c r="AP355" i="5"/>
  <c r="BH398" i="5"/>
  <c r="AP398" i="5"/>
  <c r="AQ398" i="5"/>
  <c r="BH110" i="5"/>
  <c r="AP110" i="5"/>
  <c r="AQ110" i="5"/>
  <c r="AQ387" i="5"/>
  <c r="BH387" i="5"/>
  <c r="AP387" i="5"/>
  <c r="AP114" i="5"/>
  <c r="AQ114" i="5"/>
  <c r="BH114" i="5"/>
  <c r="BH529" i="5"/>
  <c r="AP529" i="5"/>
  <c r="AQ529" i="5"/>
  <c r="AQ217" i="5"/>
  <c r="BH217" i="5"/>
  <c r="AP217" i="5"/>
  <c r="AQ206" i="5"/>
  <c r="BH206" i="5"/>
  <c r="AP206" i="5"/>
  <c r="AP187" i="5"/>
  <c r="AQ187" i="5"/>
  <c r="BH187" i="5"/>
  <c r="BH378" i="5"/>
  <c r="AQ378" i="5"/>
  <c r="AP378" i="5"/>
  <c r="BH429" i="5"/>
  <c r="AQ429" i="5"/>
  <c r="AP429" i="5"/>
  <c r="AQ560" i="5"/>
  <c r="BH560" i="5"/>
  <c r="AP560" i="5"/>
  <c r="BH329" i="5"/>
  <c r="AP329" i="5"/>
  <c r="AQ329" i="5"/>
  <c r="AP359" i="5"/>
  <c r="AQ359" i="5"/>
  <c r="BH359" i="5"/>
  <c r="AP269" i="5"/>
  <c r="BH269" i="5"/>
  <c r="AQ269" i="5"/>
  <c r="AQ103" i="5"/>
  <c r="AP103" i="5"/>
  <c r="BH103" i="5"/>
  <c r="AQ284" i="5"/>
  <c r="AP284" i="5"/>
  <c r="BH284" i="5"/>
  <c r="AQ511" i="5"/>
  <c r="BH511" i="5"/>
  <c r="AP511" i="5"/>
  <c r="AQ393" i="5"/>
  <c r="AP393" i="5"/>
  <c r="BH393" i="5"/>
  <c r="AQ303" i="5"/>
  <c r="AP303" i="5"/>
  <c r="BH303" i="5"/>
  <c r="AP333" i="5"/>
  <c r="AQ333" i="5"/>
  <c r="BH333" i="5"/>
  <c r="AQ267" i="5"/>
  <c r="AP267" i="5"/>
  <c r="BH267" i="5"/>
  <c r="AQ53" i="5"/>
  <c r="AP53" i="5"/>
  <c r="BH53" i="5"/>
  <c r="AP505" i="5"/>
  <c r="AQ505" i="5"/>
  <c r="BH505" i="5"/>
  <c r="BH194" i="5"/>
  <c r="AQ194" i="5"/>
  <c r="AP194" i="5"/>
  <c r="BH245" i="5"/>
  <c r="AP245" i="5"/>
  <c r="AQ245" i="5"/>
  <c r="BH178" i="5"/>
  <c r="AQ178" i="5"/>
  <c r="AP178" i="5"/>
  <c r="AQ508" i="5"/>
  <c r="AP508" i="5"/>
  <c r="BH508" i="5"/>
  <c r="BH380" i="5"/>
  <c r="AP380" i="5"/>
  <c r="AQ380" i="5"/>
  <c r="AP306" i="5"/>
  <c r="AQ306" i="5"/>
  <c r="BH306" i="5"/>
  <c r="AQ515" i="5"/>
  <c r="BH515" i="5"/>
  <c r="AP515" i="5"/>
  <c r="BH299" i="5"/>
  <c r="AQ299" i="5"/>
  <c r="AP299" i="5"/>
  <c r="AQ272" i="5"/>
  <c r="BH272" i="5"/>
  <c r="AP272" i="5"/>
  <c r="AP422" i="5"/>
  <c r="AQ422" i="5"/>
  <c r="BH422" i="5"/>
  <c r="BH514" i="5"/>
  <c r="AQ514" i="5"/>
  <c r="AP514" i="5"/>
  <c r="BF482" i="5"/>
  <c r="BK482" i="5" s="1"/>
  <c r="BN481" i="5" s="1"/>
  <c r="BO481" i="5" s="1"/>
  <c r="BG482" i="5"/>
  <c r="BL482" i="5" s="1"/>
  <c r="BJ541" i="5"/>
  <c r="BI541" i="5"/>
  <c r="BI484" i="5"/>
  <c r="BJ484" i="5"/>
  <c r="BJ537" i="5"/>
  <c r="BI537" i="5"/>
  <c r="AP488" i="5"/>
  <c r="AQ488" i="5"/>
  <c r="BH488" i="5"/>
  <c r="AP121" i="5"/>
  <c r="AQ121" i="5"/>
  <c r="BH121" i="5"/>
  <c r="AQ405" i="5"/>
  <c r="BH405" i="5"/>
  <c r="AP405" i="5"/>
  <c r="BH495" i="5"/>
  <c r="AP495" i="5"/>
  <c r="AQ495" i="5"/>
  <c r="AP496" i="5"/>
  <c r="BH496" i="5"/>
  <c r="AQ496" i="5"/>
  <c r="AQ502" i="5"/>
  <c r="BH502" i="5"/>
  <c r="AP502" i="5"/>
  <c r="AP478" i="5"/>
  <c r="AQ478" i="5"/>
  <c r="BH478" i="5"/>
  <c r="BH204" i="5"/>
  <c r="AQ204" i="5"/>
  <c r="AP204" i="5"/>
  <c r="AQ162" i="5"/>
  <c r="AP162" i="5"/>
  <c r="BH162" i="5"/>
  <c r="AQ96" i="5"/>
  <c r="BH96" i="5"/>
  <c r="AP96" i="5"/>
  <c r="BH102" i="5"/>
  <c r="AQ102" i="5"/>
  <c r="AP102" i="5"/>
  <c r="BH36" i="5"/>
  <c r="AQ36" i="5"/>
  <c r="AP36" i="5"/>
  <c r="AQ301" i="5"/>
  <c r="AP301" i="5"/>
  <c r="BH301" i="5"/>
  <c r="AP274" i="5"/>
  <c r="BH274" i="5"/>
  <c r="AQ274" i="5"/>
  <c r="AQ442" i="5"/>
  <c r="BH442" i="5"/>
  <c r="AP442" i="5"/>
  <c r="BH493" i="5"/>
  <c r="AQ493" i="5"/>
  <c r="AP493" i="5"/>
  <c r="BH273" i="5"/>
  <c r="AP273" i="5"/>
  <c r="AQ273" i="5"/>
  <c r="AP118" i="5"/>
  <c r="AQ118" i="5"/>
  <c r="BH118" i="5"/>
  <c r="AP52" i="5"/>
  <c r="AQ52" i="5"/>
  <c r="BH52" i="5"/>
  <c r="AQ521" i="5"/>
  <c r="AP521" i="5"/>
  <c r="BH521" i="5"/>
  <c r="AP379" i="5"/>
  <c r="AQ379" i="5"/>
  <c r="BH379" i="5"/>
  <c r="AQ547" i="5"/>
  <c r="AP547" i="5"/>
  <c r="BH547" i="5"/>
  <c r="BH520" i="5"/>
  <c r="AP520" i="5"/>
  <c r="AQ520" i="5"/>
  <c r="AP28" i="5"/>
  <c r="AQ28" i="5"/>
  <c r="BH28" i="5"/>
  <c r="AP227" i="5"/>
  <c r="BH227" i="5"/>
  <c r="AQ227" i="5"/>
  <c r="BJ443" i="5"/>
  <c r="BI443" i="5"/>
  <c r="BI369" i="5"/>
  <c r="BJ369" i="5"/>
  <c r="BI35" i="5"/>
  <c r="BJ35" i="5"/>
  <c r="BI307" i="5"/>
  <c r="BJ307" i="5"/>
  <c r="AP252" i="5"/>
  <c r="AQ252" i="5"/>
  <c r="BH252" i="5"/>
  <c r="AP342" i="5"/>
  <c r="BH342" i="5"/>
  <c r="AQ342" i="5"/>
  <c r="AP510" i="5"/>
  <c r="BH510" i="5"/>
  <c r="AQ510" i="5"/>
  <c r="AQ104" i="5"/>
  <c r="AP104" i="5"/>
  <c r="BH104" i="5"/>
  <c r="AQ371" i="5"/>
  <c r="AP371" i="5"/>
  <c r="BH371" i="5"/>
  <c r="BH414" i="5"/>
  <c r="AP414" i="5"/>
  <c r="AQ414" i="5"/>
  <c r="AQ48" i="5"/>
  <c r="BH48" i="5"/>
  <c r="AP48" i="5"/>
  <c r="BH190" i="5"/>
  <c r="AP190" i="5"/>
  <c r="AQ190" i="5"/>
  <c r="AQ311" i="5"/>
  <c r="AP311" i="5"/>
  <c r="BH311" i="5"/>
  <c r="AP287" i="5"/>
  <c r="AQ287" i="5"/>
  <c r="BH287" i="5"/>
  <c r="BH404" i="5"/>
  <c r="AQ404" i="5"/>
  <c r="AP404" i="5"/>
  <c r="AP119" i="5"/>
  <c r="AQ119" i="5"/>
  <c r="BH119" i="5"/>
  <c r="AQ207" i="5"/>
  <c r="AP207" i="5"/>
  <c r="BH207" i="5"/>
  <c r="BH143" i="5"/>
  <c r="AP143" i="5"/>
  <c r="AQ143" i="5"/>
  <c r="BH436" i="5"/>
  <c r="AQ436" i="5"/>
  <c r="AP436" i="5"/>
  <c r="AQ286" i="5"/>
  <c r="AP286" i="5"/>
  <c r="BH286" i="5"/>
  <c r="AP454" i="5"/>
  <c r="AQ454" i="5"/>
  <c r="BH454" i="5"/>
  <c r="AQ435" i="5"/>
  <c r="BH435" i="5"/>
  <c r="AP435" i="5"/>
  <c r="BH134" i="5"/>
  <c r="AQ134" i="5"/>
  <c r="AP134" i="5"/>
  <c r="AQ372" i="5"/>
  <c r="BH372" i="5"/>
  <c r="AP372" i="5"/>
  <c r="AP98" i="5"/>
  <c r="AQ98" i="5"/>
  <c r="BH98" i="5"/>
  <c r="AQ32" i="5"/>
  <c r="AP32" i="5"/>
  <c r="BH32" i="5"/>
  <c r="AQ38" i="5"/>
  <c r="BH38" i="5"/>
  <c r="AP38" i="5"/>
  <c r="AQ255" i="5"/>
  <c r="BH255" i="5"/>
  <c r="AP255" i="5"/>
  <c r="BH532" i="5"/>
  <c r="AP532" i="5"/>
  <c r="AQ532" i="5"/>
  <c r="AQ212" i="5"/>
  <c r="BH212" i="5"/>
  <c r="AP212" i="5"/>
  <c r="BH246" i="5"/>
  <c r="AQ246" i="5"/>
  <c r="AP246" i="5"/>
  <c r="BH180" i="5"/>
  <c r="AP180" i="5"/>
  <c r="AQ180" i="5"/>
  <c r="AP106" i="5"/>
  <c r="AQ106" i="5"/>
  <c r="BH106" i="5"/>
  <c r="AP40" i="5"/>
  <c r="BH40" i="5"/>
  <c r="AQ40" i="5"/>
  <c r="AP433" i="5"/>
  <c r="AQ433" i="5"/>
  <c r="BH433" i="5"/>
  <c r="BH58" i="5"/>
  <c r="AP58" i="5"/>
  <c r="AQ58" i="5"/>
  <c r="AQ263" i="5"/>
  <c r="AP263" i="5"/>
  <c r="BH263" i="5"/>
  <c r="AP82" i="5"/>
  <c r="BH82" i="5"/>
  <c r="AQ82" i="5"/>
  <c r="AP281" i="5"/>
  <c r="BH281" i="5"/>
  <c r="AQ281" i="5"/>
  <c r="AQ479" i="5"/>
  <c r="BH479" i="5"/>
  <c r="AP479" i="5"/>
  <c r="BH556" i="5"/>
  <c r="AQ556" i="5"/>
  <c r="AP556" i="5"/>
  <c r="AQ482" i="5"/>
  <c r="AP482" i="5"/>
  <c r="BH482" i="5"/>
  <c r="AQ416" i="5"/>
  <c r="AP416" i="5"/>
  <c r="BH416" i="5"/>
  <c r="BH450" i="5"/>
  <c r="AP450" i="5"/>
  <c r="AQ450" i="5"/>
  <c r="AQ55" i="5"/>
  <c r="AP55" i="5"/>
  <c r="BH55" i="5"/>
  <c r="AP56" i="5"/>
  <c r="AQ56" i="5"/>
  <c r="BH56" i="5"/>
  <c r="BH76" i="5"/>
  <c r="AQ76" i="5"/>
  <c r="AP76" i="5"/>
  <c r="BH335" i="5"/>
  <c r="AQ335" i="5"/>
  <c r="AP335" i="5"/>
  <c r="AP308" i="5"/>
  <c r="BH308" i="5"/>
  <c r="AQ308" i="5"/>
  <c r="AP234" i="5"/>
  <c r="AQ234" i="5"/>
  <c r="BH234" i="5"/>
  <c r="BH168" i="5"/>
  <c r="AQ168" i="5"/>
  <c r="AP168" i="5"/>
  <c r="AP174" i="5"/>
  <c r="BH174" i="5"/>
  <c r="AQ174" i="5"/>
  <c r="AP447" i="5"/>
  <c r="AQ447" i="5"/>
  <c r="BH447" i="5"/>
  <c r="AQ120" i="5"/>
  <c r="BH120" i="5"/>
  <c r="AP120" i="5"/>
  <c r="BH109" i="5"/>
  <c r="AP109" i="5"/>
  <c r="AQ109" i="5"/>
  <c r="AP144" i="5"/>
  <c r="BH144" i="5"/>
  <c r="AQ144" i="5"/>
  <c r="AQ339" i="5"/>
  <c r="BH339" i="5"/>
  <c r="AP339" i="5"/>
  <c r="AP265" i="5"/>
  <c r="BH265" i="5"/>
  <c r="AQ265" i="5"/>
  <c r="BH415" i="5"/>
  <c r="AQ415" i="5"/>
  <c r="AP415" i="5"/>
  <c r="AP205" i="5"/>
  <c r="BH205" i="5"/>
  <c r="AQ205" i="5"/>
  <c r="BH534" i="5"/>
  <c r="AP534" i="5"/>
  <c r="AQ534" i="5"/>
  <c r="AP257" i="5"/>
  <c r="AQ257" i="5"/>
  <c r="BH257" i="5"/>
  <c r="BH140" i="5"/>
  <c r="AP140" i="5"/>
  <c r="AQ140" i="5"/>
  <c r="AQ279" i="5"/>
  <c r="BH279" i="5"/>
  <c r="AP279" i="5"/>
  <c r="AQ141" i="5"/>
  <c r="AP141" i="5"/>
  <c r="BH141" i="5"/>
  <c r="AP240" i="5"/>
  <c r="BH240" i="5"/>
  <c r="AQ240" i="5"/>
  <c r="AQ27" i="5"/>
  <c r="AP27" i="5"/>
  <c r="BH27" i="5"/>
  <c r="AQ434" i="5"/>
  <c r="BH434" i="5"/>
  <c r="AP434" i="5"/>
  <c r="BH248" i="5"/>
  <c r="AQ248" i="5"/>
  <c r="AP248" i="5"/>
  <c r="AQ237" i="5"/>
  <c r="AP237" i="5"/>
  <c r="BH237" i="5"/>
  <c r="BH452" i="5"/>
  <c r="AQ452" i="5"/>
  <c r="AP452" i="5"/>
  <c r="BI208" i="5"/>
  <c r="BJ208" i="5"/>
  <c r="BJ214" i="5"/>
  <c r="BI214" i="5"/>
  <c r="AP460" i="5"/>
  <c r="BH460" i="5"/>
  <c r="AQ460" i="5"/>
  <c r="BG265" i="5"/>
  <c r="BL265" i="5" s="1"/>
  <c r="BF265" i="5"/>
  <c r="BK265" i="5" s="1"/>
  <c r="AQ319" i="5"/>
  <c r="AP319" i="5"/>
  <c r="BH319" i="5"/>
  <c r="BH539" i="5"/>
  <c r="AQ539" i="5"/>
  <c r="AP539" i="5"/>
  <c r="AP411" i="5"/>
  <c r="BH411" i="5"/>
  <c r="AQ411" i="5"/>
  <c r="AP381" i="5"/>
  <c r="AQ381" i="5"/>
  <c r="BH381" i="5"/>
  <c r="BH549" i="5"/>
  <c r="AP549" i="5"/>
  <c r="AQ549" i="5"/>
  <c r="AQ522" i="5"/>
  <c r="BH522" i="5"/>
  <c r="AP522" i="5"/>
  <c r="AP542" i="5"/>
  <c r="AQ542" i="5"/>
  <c r="BH542" i="5"/>
  <c r="AQ198" i="5"/>
  <c r="AP198" i="5"/>
  <c r="BH198" i="5"/>
  <c r="AQ424" i="5"/>
  <c r="AP424" i="5"/>
  <c r="BH424" i="5"/>
  <c r="AQ430" i="5"/>
  <c r="BH430" i="5"/>
  <c r="AP430" i="5"/>
  <c r="BH364" i="5"/>
  <c r="AQ364" i="5"/>
  <c r="AP364" i="5"/>
  <c r="AQ290" i="5"/>
  <c r="AP290" i="5"/>
  <c r="BH290" i="5"/>
  <c r="AP84" i="5"/>
  <c r="AQ84" i="5"/>
  <c r="BH84" i="5"/>
  <c r="BH536" i="5"/>
  <c r="AQ536" i="5"/>
  <c r="AP536" i="5"/>
  <c r="AQ225" i="5"/>
  <c r="AP225" i="5"/>
  <c r="BH225" i="5"/>
  <c r="AP276" i="5"/>
  <c r="AQ276" i="5"/>
  <c r="BH276" i="5"/>
  <c r="AP461" i="5"/>
  <c r="AQ461" i="5"/>
  <c r="BH461" i="5"/>
  <c r="AQ316" i="5"/>
  <c r="BH316" i="5"/>
  <c r="AP316" i="5"/>
  <c r="AP552" i="5"/>
  <c r="AQ552" i="5"/>
  <c r="BH552" i="5"/>
  <c r="BJ391" i="5"/>
  <c r="BI391" i="5"/>
  <c r="AB7" i="5"/>
  <c r="BE7" i="5" s="1"/>
  <c r="BO274" i="5" l="1"/>
  <c r="BO270" i="5"/>
  <c r="BN357" i="5"/>
  <c r="BO357" i="5" s="1"/>
  <c r="BN440" i="5"/>
  <c r="BO440" i="5" s="1"/>
  <c r="BO337" i="5"/>
  <c r="BN515" i="5"/>
  <c r="BO515" i="5" s="1"/>
  <c r="BN296" i="5"/>
  <c r="BO296" i="5" s="1"/>
  <c r="BN438" i="5"/>
  <c r="BO438" i="5" s="1"/>
  <c r="BN315" i="5"/>
  <c r="BO315" i="5" s="1"/>
  <c r="BO112" i="5"/>
  <c r="BN198" i="5"/>
  <c r="BO198" i="5" s="1"/>
  <c r="BN19" i="5"/>
  <c r="BO19" i="5" s="1"/>
  <c r="BN194" i="5"/>
  <c r="BO194" i="5" s="1"/>
  <c r="BN132" i="5"/>
  <c r="BO132" i="5" s="1"/>
  <c r="BN226" i="5"/>
  <c r="BO226" i="5" s="1"/>
  <c r="BN514" i="5"/>
  <c r="BO514" i="5" s="1"/>
  <c r="BN113" i="5"/>
  <c r="BO113" i="5" s="1"/>
  <c r="BN114" i="5"/>
  <c r="BO114" i="5" s="1"/>
  <c r="BN23" i="5"/>
  <c r="BO23" i="5" s="1"/>
  <c r="BN135" i="5"/>
  <c r="BO135" i="5" s="1"/>
  <c r="BN437" i="5"/>
  <c r="BO437" i="5" s="1"/>
  <c r="BN122" i="5"/>
  <c r="BO122" i="5" s="1"/>
  <c r="BN317" i="5"/>
  <c r="BO317" i="5" s="1"/>
  <c r="BO271" i="5"/>
  <c r="BN380" i="5"/>
  <c r="BO380" i="5" s="1"/>
  <c r="BN436" i="5"/>
  <c r="BO436" i="5" s="1"/>
  <c r="BO259" i="5"/>
  <c r="BN381" i="5"/>
  <c r="BO381" i="5" s="1"/>
  <c r="BN301" i="5"/>
  <c r="BO301" i="5" s="1"/>
  <c r="BN489" i="5"/>
  <c r="BO489" i="5" s="1"/>
  <c r="BN279" i="5"/>
  <c r="BO279" i="5" s="1"/>
  <c r="BN504" i="5"/>
  <c r="BO504" i="5" s="1"/>
  <c r="BJ280" i="5"/>
  <c r="BN335" i="5"/>
  <c r="BO335" i="5" s="1"/>
  <c r="BN466" i="5"/>
  <c r="BO466" i="5" s="1"/>
  <c r="BN241" i="5"/>
  <c r="BO241" i="5" s="1"/>
  <c r="BN102" i="5"/>
  <c r="BO102" i="5" s="1"/>
  <c r="BN356" i="5"/>
  <c r="BO356" i="5" s="1"/>
  <c r="BN79" i="5"/>
  <c r="BO79" i="5" s="1"/>
  <c r="BN140" i="5"/>
  <c r="BO140" i="5" s="1"/>
  <c r="BN458" i="5"/>
  <c r="BO458" i="5" s="1"/>
  <c r="BN85" i="5"/>
  <c r="BO85" i="5" s="1"/>
  <c r="BN139" i="5"/>
  <c r="BO139" i="5" s="1"/>
  <c r="BN517" i="5"/>
  <c r="BO517" i="5" s="1"/>
  <c r="BN498" i="5"/>
  <c r="BO498" i="5" s="1"/>
  <c r="BN95" i="5"/>
  <c r="BO95" i="5" s="1"/>
  <c r="BN495" i="5"/>
  <c r="BO495" i="5" s="1"/>
  <c r="BN223" i="5"/>
  <c r="BO223" i="5" s="1"/>
  <c r="BN525" i="5"/>
  <c r="BO525" i="5" s="1"/>
  <c r="BN173" i="5"/>
  <c r="BO173" i="5" s="1"/>
  <c r="BN186" i="5"/>
  <c r="BO186" i="5" s="1"/>
  <c r="BN66" i="5"/>
  <c r="BO66" i="5" s="1"/>
  <c r="BN439" i="5"/>
  <c r="BO439" i="5" s="1"/>
  <c r="BN127" i="5"/>
  <c r="BO127" i="5" s="1"/>
  <c r="BN82" i="5"/>
  <c r="BO82" i="5" s="1"/>
  <c r="BN402" i="5"/>
  <c r="BO402" i="5" s="1"/>
  <c r="BN543" i="5"/>
  <c r="BO543" i="5" s="1"/>
  <c r="BN178" i="5"/>
  <c r="BO178" i="5" s="1"/>
  <c r="BN87" i="5"/>
  <c r="BO87" i="5" s="1"/>
  <c r="BN48" i="5"/>
  <c r="BO48" i="5" s="1"/>
  <c r="BN529" i="5"/>
  <c r="BO529" i="5" s="1"/>
  <c r="BN535" i="5"/>
  <c r="BO535" i="5" s="1"/>
  <c r="BN228" i="5"/>
  <c r="BO228" i="5" s="1"/>
  <c r="BN549" i="5"/>
  <c r="BO549" i="5" s="1"/>
  <c r="BN387" i="5"/>
  <c r="BO387" i="5" s="1"/>
  <c r="BN340" i="5"/>
  <c r="BO340" i="5" s="1"/>
  <c r="BN367" i="5"/>
  <c r="BO367" i="5" s="1"/>
  <c r="BN428" i="5"/>
  <c r="BO428" i="5" s="1"/>
  <c r="BN168" i="5"/>
  <c r="BO168" i="5" s="1"/>
  <c r="BN294" i="5"/>
  <c r="BO294" i="5" s="1"/>
  <c r="BN371" i="5"/>
  <c r="BO371" i="5" s="1"/>
  <c r="BN429" i="5"/>
  <c r="BO429" i="5" s="1"/>
  <c r="BN42" i="5"/>
  <c r="BO42" i="5" s="1"/>
  <c r="BN195" i="5"/>
  <c r="BO195" i="5" s="1"/>
  <c r="BN275" i="5"/>
  <c r="BO275" i="5" s="1"/>
  <c r="BN423" i="5"/>
  <c r="BO423" i="5" s="1"/>
  <c r="BN92" i="5"/>
  <c r="BO92" i="5" s="1"/>
  <c r="BN461" i="5"/>
  <c r="BO461" i="5" s="1"/>
  <c r="BN253" i="5"/>
  <c r="BO253" i="5" s="1"/>
  <c r="BN232" i="5"/>
  <c r="BO232" i="5" s="1"/>
  <c r="BN411" i="5"/>
  <c r="BO411" i="5" s="1"/>
  <c r="BN299" i="5"/>
  <c r="BO299" i="5" s="1"/>
  <c r="BN483" i="5"/>
  <c r="BO483" i="5" s="1"/>
  <c r="BN415" i="5"/>
  <c r="BO415" i="5" s="1"/>
  <c r="BN104" i="5"/>
  <c r="BO104" i="5" s="1"/>
  <c r="BI41" i="5"/>
  <c r="BN158" i="5"/>
  <c r="BO158" i="5" s="1"/>
  <c r="BN323" i="5"/>
  <c r="BO323" i="5" s="1"/>
  <c r="BN314" i="5"/>
  <c r="BO314" i="5" s="1"/>
  <c r="BN151" i="5"/>
  <c r="BO151" i="5" s="1"/>
  <c r="BN290" i="5"/>
  <c r="BO290" i="5" s="1"/>
  <c r="BN64" i="5"/>
  <c r="BO64" i="5" s="1"/>
  <c r="BN68" i="5"/>
  <c r="BO68" i="5" s="1"/>
  <c r="BN100" i="5"/>
  <c r="BO100" i="5" s="1"/>
  <c r="BN409" i="5"/>
  <c r="BO409" i="5" s="1"/>
  <c r="BN115" i="5"/>
  <c r="BO115" i="5" s="1"/>
  <c r="BN349" i="5"/>
  <c r="BO349" i="5" s="1"/>
  <c r="BN47" i="5"/>
  <c r="BO47" i="5" s="1"/>
  <c r="BN451" i="5"/>
  <c r="BO451" i="5" s="1"/>
  <c r="BN388" i="5"/>
  <c r="BO388" i="5" s="1"/>
  <c r="BN56" i="5"/>
  <c r="BO56" i="5" s="1"/>
  <c r="BN125" i="5"/>
  <c r="BO125" i="5" s="1"/>
  <c r="BN152" i="5"/>
  <c r="BO152" i="5" s="1"/>
  <c r="BN433" i="5"/>
  <c r="BO433" i="5" s="1"/>
  <c r="BN331" i="5"/>
  <c r="BO331" i="5" s="1"/>
  <c r="BN121" i="5"/>
  <c r="BO121" i="5" s="1"/>
  <c r="BN108" i="5"/>
  <c r="BO108" i="5" s="1"/>
  <c r="BN211" i="5"/>
  <c r="BO211" i="5" s="1"/>
  <c r="BN260" i="5"/>
  <c r="BO260" i="5" s="1"/>
  <c r="BN46" i="5"/>
  <c r="BO46" i="5" s="1"/>
  <c r="BN397" i="5"/>
  <c r="BO397" i="5" s="1"/>
  <c r="BN264" i="5"/>
  <c r="BO264" i="5" s="1"/>
  <c r="BN459" i="5"/>
  <c r="BO459" i="5" s="1"/>
  <c r="BN71" i="5"/>
  <c r="BO71" i="5" s="1"/>
  <c r="BN557" i="5"/>
  <c r="BO557" i="5" s="1"/>
  <c r="BN453" i="5"/>
  <c r="BO453" i="5" s="1"/>
  <c r="BJ354" i="5"/>
  <c r="BN506" i="5"/>
  <c r="BO506" i="5" s="1"/>
  <c r="BJ545" i="5"/>
  <c r="BN24" i="5"/>
  <c r="BO24" i="5" s="1"/>
  <c r="BN39" i="5"/>
  <c r="BO39" i="5" s="1"/>
  <c r="BN282" i="5"/>
  <c r="BO282" i="5" s="1"/>
  <c r="BN99" i="5"/>
  <c r="BO99" i="5" s="1"/>
  <c r="BJ383" i="5"/>
  <c r="BN509" i="5"/>
  <c r="BO509" i="5" s="1"/>
  <c r="BN391" i="5"/>
  <c r="BO391" i="5" s="1"/>
  <c r="BI504" i="5"/>
  <c r="BN240" i="5"/>
  <c r="BO240" i="5" s="1"/>
  <c r="BN554" i="5"/>
  <c r="BO554" i="5" s="1"/>
  <c r="BN144" i="5"/>
  <c r="BO144" i="5" s="1"/>
  <c r="BI256" i="5"/>
  <c r="BN382" i="5"/>
  <c r="BO382" i="5" s="1"/>
  <c r="BN52" i="5"/>
  <c r="BO52" i="5" s="1"/>
  <c r="BI230" i="5"/>
  <c r="BN35" i="5"/>
  <c r="BO35" i="5" s="1"/>
  <c r="BJ61" i="5"/>
  <c r="BN510" i="5"/>
  <c r="BO510" i="5" s="1"/>
  <c r="BN344" i="5"/>
  <c r="BO344" i="5" s="1"/>
  <c r="BN181" i="5"/>
  <c r="BO181" i="5" s="1"/>
  <c r="BN27" i="5"/>
  <c r="BO27" i="5" s="1"/>
  <c r="BN321" i="5"/>
  <c r="BO321" i="5" s="1"/>
  <c r="BN212" i="5"/>
  <c r="BO212" i="5" s="1"/>
  <c r="BN376" i="5"/>
  <c r="BO376" i="5" s="1"/>
  <c r="BN201" i="5"/>
  <c r="BO201" i="5" s="1"/>
  <c r="BJ42" i="5"/>
  <c r="BJ182" i="5"/>
  <c r="BI164" i="5"/>
  <c r="BI402" i="5"/>
  <c r="BN309" i="5"/>
  <c r="BO309" i="5" s="1"/>
  <c r="BN474" i="5"/>
  <c r="BO474" i="5" s="1"/>
  <c r="BN263" i="5"/>
  <c r="BO263" i="5" s="1"/>
  <c r="BN497" i="5"/>
  <c r="BO497" i="5" s="1"/>
  <c r="BN76" i="5"/>
  <c r="BO76" i="5" s="1"/>
  <c r="BJ74" i="5"/>
  <c r="BN352" i="5"/>
  <c r="BO352" i="5" s="1"/>
  <c r="BN20" i="5"/>
  <c r="BO20" i="5" s="1"/>
  <c r="BN126" i="5"/>
  <c r="BO126" i="5" s="1"/>
  <c r="BN136" i="5"/>
  <c r="BO136" i="5" s="1"/>
  <c r="BI336" i="5"/>
  <c r="BJ337" i="5"/>
  <c r="BN545" i="5"/>
  <c r="BO545" i="5" s="1"/>
  <c r="BJ127" i="5"/>
  <c r="BI115" i="5"/>
  <c r="BI289" i="5"/>
  <c r="BJ149" i="5"/>
  <c r="BI297" i="5"/>
  <c r="BJ131" i="5"/>
  <c r="BN25" i="5"/>
  <c r="BO25" i="5" s="1"/>
  <c r="BJ68" i="5"/>
  <c r="BJ351" i="5"/>
  <c r="BJ167" i="5"/>
  <c r="BJ124" i="5"/>
  <c r="BJ282" i="5"/>
  <c r="BJ428" i="5"/>
  <c r="BJ219" i="5"/>
  <c r="BI535" i="5"/>
  <c r="BI557" i="5"/>
  <c r="BJ59" i="5"/>
  <c r="BI494" i="5"/>
  <c r="BJ57" i="5"/>
  <c r="BI321" i="5"/>
  <c r="BF9" i="5"/>
  <c r="BK9" i="5" s="1"/>
  <c r="BI396" i="5"/>
  <c r="BJ477" i="5"/>
  <c r="BI507" i="5"/>
  <c r="BI24" i="5"/>
  <c r="BI555" i="5"/>
  <c r="BJ90" i="5"/>
  <c r="BI262" i="5"/>
  <c r="BN482" i="5"/>
  <c r="BO482" i="5" s="1"/>
  <c r="BN265" i="5"/>
  <c r="BO265" i="5" s="1"/>
  <c r="BJ424" i="5"/>
  <c r="BI424" i="5"/>
  <c r="BI522" i="5"/>
  <c r="BJ522" i="5"/>
  <c r="BJ144" i="5"/>
  <c r="BI144" i="5"/>
  <c r="BJ168" i="5"/>
  <c r="BI168" i="5"/>
  <c r="BI263" i="5"/>
  <c r="BJ263" i="5"/>
  <c r="BI454" i="5"/>
  <c r="BJ454" i="5"/>
  <c r="BJ276" i="5"/>
  <c r="BI276" i="5"/>
  <c r="BJ536" i="5"/>
  <c r="BI536" i="5"/>
  <c r="BJ198" i="5"/>
  <c r="BI198" i="5"/>
  <c r="BJ411" i="5"/>
  <c r="BI411" i="5"/>
  <c r="BI234" i="5"/>
  <c r="BJ234" i="5"/>
  <c r="BI335" i="5"/>
  <c r="BJ335" i="5"/>
  <c r="BJ482" i="5"/>
  <c r="BI482" i="5"/>
  <c r="BJ180" i="5"/>
  <c r="BI180" i="5"/>
  <c r="BJ32" i="5"/>
  <c r="BI32" i="5"/>
  <c r="BI52" i="5"/>
  <c r="BJ52" i="5"/>
  <c r="BI273" i="5"/>
  <c r="BJ273" i="5"/>
  <c r="BI274" i="5"/>
  <c r="BJ274" i="5"/>
  <c r="BI502" i="5"/>
  <c r="BJ502" i="5"/>
  <c r="BJ505" i="5"/>
  <c r="BI505" i="5"/>
  <c r="BJ103" i="5"/>
  <c r="BI103" i="5"/>
  <c r="BJ529" i="5"/>
  <c r="BI529" i="5"/>
  <c r="BJ156" i="5"/>
  <c r="BI156" i="5"/>
  <c r="BJ356" i="5"/>
  <c r="BI356" i="5"/>
  <c r="BJ293" i="5"/>
  <c r="BI293" i="5"/>
  <c r="BJ509" i="5"/>
  <c r="BI509" i="5"/>
  <c r="BJ226" i="5"/>
  <c r="BI226" i="5"/>
  <c r="BJ130" i="5"/>
  <c r="BI130" i="5"/>
  <c r="BI501" i="5"/>
  <c r="BJ501" i="5"/>
  <c r="BI310" i="5"/>
  <c r="BJ310" i="5"/>
  <c r="BI346" i="5"/>
  <c r="BJ346" i="5"/>
  <c r="BJ525" i="5"/>
  <c r="BI525" i="5"/>
  <c r="BJ338" i="5"/>
  <c r="BI338" i="5"/>
  <c r="BI171" i="5"/>
  <c r="BJ171" i="5"/>
  <c r="BI476" i="5"/>
  <c r="BJ476" i="5"/>
  <c r="BI112" i="5"/>
  <c r="BJ112" i="5"/>
  <c r="BJ394" i="5"/>
  <c r="BI394" i="5"/>
  <c r="BJ209" i="5"/>
  <c r="BI209" i="5"/>
  <c r="BJ278" i="5"/>
  <c r="BI278" i="5"/>
  <c r="BJ243" i="5"/>
  <c r="BI243" i="5"/>
  <c r="BJ113" i="5"/>
  <c r="BI113" i="5"/>
  <c r="BJ49" i="5"/>
  <c r="BI49" i="5"/>
  <c r="BI318" i="5"/>
  <c r="BJ318" i="5"/>
  <c r="BJ30" i="5"/>
  <c r="BI30" i="5"/>
  <c r="BI412" i="5"/>
  <c r="BJ412" i="5"/>
  <c r="BI334" i="5"/>
  <c r="BJ334" i="5"/>
  <c r="BJ360" i="5"/>
  <c r="BI360" i="5"/>
  <c r="BI474" i="5"/>
  <c r="BJ474" i="5"/>
  <c r="BI50" i="5"/>
  <c r="BJ50" i="5"/>
  <c r="BI389" i="5"/>
  <c r="BJ389" i="5"/>
  <c r="BJ154" i="5"/>
  <c r="BI154" i="5"/>
  <c r="BI261" i="5"/>
  <c r="BJ261" i="5"/>
  <c r="BJ392" i="5"/>
  <c r="BI392" i="5"/>
  <c r="BI84" i="5"/>
  <c r="BJ84" i="5"/>
  <c r="BI265" i="5"/>
  <c r="BJ265" i="5"/>
  <c r="BJ40" i="5"/>
  <c r="BI40" i="5"/>
  <c r="BJ532" i="5"/>
  <c r="BI532" i="5"/>
  <c r="BI28" i="5"/>
  <c r="BJ28" i="5"/>
  <c r="BI405" i="5"/>
  <c r="BJ405" i="5"/>
  <c r="BJ514" i="5"/>
  <c r="BI514" i="5"/>
  <c r="BI178" i="5"/>
  <c r="BJ178" i="5"/>
  <c r="BI333" i="5"/>
  <c r="BJ333" i="5"/>
  <c r="BI429" i="5"/>
  <c r="BJ429" i="5"/>
  <c r="BJ206" i="5"/>
  <c r="BI206" i="5"/>
  <c r="BI114" i="5"/>
  <c r="BJ114" i="5"/>
  <c r="BJ110" i="5"/>
  <c r="BI110" i="5"/>
  <c r="BI123" i="5"/>
  <c r="BJ123" i="5"/>
  <c r="BJ497" i="5"/>
  <c r="BI497" i="5"/>
  <c r="BI221" i="5"/>
  <c r="BJ221" i="5"/>
  <c r="BJ95" i="5"/>
  <c r="BI95" i="5"/>
  <c r="BJ51" i="5"/>
  <c r="BI51" i="5"/>
  <c r="BI196" i="5"/>
  <c r="BJ196" i="5"/>
  <c r="BJ368" i="5"/>
  <c r="BI368" i="5"/>
  <c r="BJ419" i="5"/>
  <c r="BI419" i="5"/>
  <c r="BI327" i="5"/>
  <c r="BJ327" i="5"/>
  <c r="BJ71" i="5"/>
  <c r="BI71" i="5"/>
  <c r="BI512" i="5"/>
  <c r="BJ512" i="5"/>
  <c r="BJ544" i="5"/>
  <c r="BI544" i="5"/>
  <c r="BJ470" i="5"/>
  <c r="BI470" i="5"/>
  <c r="BJ63" i="5"/>
  <c r="BI63" i="5"/>
  <c r="BJ185" i="5"/>
  <c r="BI185" i="5"/>
  <c r="BJ25" i="5"/>
  <c r="BI25" i="5"/>
  <c r="BJ427" i="5"/>
  <c r="BI427" i="5"/>
  <c r="BJ9" i="5"/>
  <c r="BI9" i="5"/>
  <c r="BI108" i="5"/>
  <c r="BJ108" i="5"/>
  <c r="BI397" i="5"/>
  <c r="BJ397" i="5"/>
  <c r="BI491" i="5"/>
  <c r="BJ491" i="5"/>
  <c r="BI370" i="5"/>
  <c r="BJ370" i="5"/>
  <c r="BJ518" i="5"/>
  <c r="BI518" i="5"/>
  <c r="BI498" i="5"/>
  <c r="BJ498" i="5"/>
  <c r="BJ390" i="5"/>
  <c r="BI390" i="5"/>
  <c r="BI326" i="5"/>
  <c r="BJ326" i="5"/>
  <c r="BJ523" i="5"/>
  <c r="BI523" i="5"/>
  <c r="BI473" i="5"/>
  <c r="BJ473" i="5"/>
  <c r="BJ235" i="5"/>
  <c r="BI235" i="5"/>
  <c r="BI159" i="5"/>
  <c r="BJ159" i="5"/>
  <c r="BI486" i="5"/>
  <c r="BJ486" i="5"/>
  <c r="BJ202" i="5"/>
  <c r="BI202" i="5"/>
  <c r="BI117" i="5"/>
  <c r="BJ117" i="5"/>
  <c r="BJ23" i="5"/>
  <c r="BI23" i="5"/>
  <c r="BI192" i="5"/>
  <c r="BJ192" i="5"/>
  <c r="BJ20" i="5"/>
  <c r="BI20" i="5"/>
  <c r="BI463" i="5"/>
  <c r="BJ463" i="5"/>
  <c r="BJ453" i="5"/>
  <c r="BI453" i="5"/>
  <c r="BI548" i="5"/>
  <c r="BJ548" i="5"/>
  <c r="BI8" i="5"/>
  <c r="BJ8" i="5"/>
  <c r="BJ146" i="5"/>
  <c r="BI146" i="5"/>
  <c r="BJ528" i="5"/>
  <c r="BI528" i="5"/>
  <c r="BJ31" i="5"/>
  <c r="BI31" i="5"/>
  <c r="BJ99" i="5"/>
  <c r="BI99" i="5"/>
  <c r="BI332" i="5"/>
  <c r="BJ332" i="5"/>
  <c r="BJ538" i="5"/>
  <c r="BI538" i="5"/>
  <c r="BI467" i="5"/>
  <c r="BJ467" i="5"/>
  <c r="BJ330" i="5"/>
  <c r="BI330" i="5"/>
  <c r="BJ309" i="5"/>
  <c r="BI309" i="5"/>
  <c r="BJ483" i="5"/>
  <c r="BI483" i="5"/>
  <c r="BJ128" i="5"/>
  <c r="BI128" i="5"/>
  <c r="BI437" i="5"/>
  <c r="BJ437" i="5"/>
  <c r="BJ373" i="5"/>
  <c r="BI373" i="5"/>
  <c r="BJ374" i="5"/>
  <c r="BI374" i="5"/>
  <c r="BI239" i="5"/>
  <c r="BJ239" i="5"/>
  <c r="BJ524" i="5"/>
  <c r="BI524" i="5"/>
  <c r="BJ7" i="5"/>
  <c r="BI7" i="5"/>
  <c r="BJ343" i="5"/>
  <c r="BI343" i="5"/>
  <c r="BI364" i="5"/>
  <c r="BJ364" i="5"/>
  <c r="BJ534" i="5"/>
  <c r="BI534" i="5"/>
  <c r="BI281" i="5"/>
  <c r="BJ281" i="5"/>
  <c r="BJ286" i="5"/>
  <c r="BI286" i="5"/>
  <c r="BJ143" i="5"/>
  <c r="BI143" i="5"/>
  <c r="BJ414" i="5"/>
  <c r="BI414" i="5"/>
  <c r="BJ510" i="5"/>
  <c r="BI510" i="5"/>
  <c r="BJ379" i="5"/>
  <c r="BI379" i="5"/>
  <c r="BI301" i="5"/>
  <c r="BJ301" i="5"/>
  <c r="BI102" i="5"/>
  <c r="BJ102" i="5"/>
  <c r="BI422" i="5"/>
  <c r="BJ422" i="5"/>
  <c r="BJ299" i="5"/>
  <c r="BI299" i="5"/>
  <c r="BJ166" i="5"/>
  <c r="BI166" i="5"/>
  <c r="BI490" i="5"/>
  <c r="BJ490" i="5"/>
  <c r="BJ13" i="5"/>
  <c r="BI13" i="5"/>
  <c r="BJ75" i="5"/>
  <c r="BI75" i="5"/>
  <c r="BJ150" i="5"/>
  <c r="BI150" i="5"/>
  <c r="BI93" i="5"/>
  <c r="BJ93" i="5"/>
  <c r="BI358" i="5"/>
  <c r="BJ358" i="5"/>
  <c r="BI136" i="5"/>
  <c r="BJ136" i="5"/>
  <c r="BJ558" i="5"/>
  <c r="BI558" i="5"/>
  <c r="BI294" i="5"/>
  <c r="BJ294" i="5"/>
  <c r="BJ526" i="5"/>
  <c r="BI526" i="5"/>
  <c r="BI365" i="5"/>
  <c r="BJ365" i="5"/>
  <c r="BJ268" i="5"/>
  <c r="BI268" i="5"/>
  <c r="BJ475" i="5"/>
  <c r="BI475" i="5"/>
  <c r="BI172" i="5"/>
  <c r="BJ172" i="5"/>
  <c r="BI253" i="5"/>
  <c r="BJ253" i="5"/>
  <c r="BJ232" i="5"/>
  <c r="BI232" i="5"/>
  <c r="BJ471" i="5"/>
  <c r="BI471" i="5"/>
  <c r="BI275" i="5"/>
  <c r="BJ275" i="5"/>
  <c r="BI183" i="5"/>
  <c r="BJ183" i="5"/>
  <c r="BI340" i="5"/>
  <c r="BJ340" i="5"/>
  <c r="BI147" i="5"/>
  <c r="BJ147" i="5"/>
  <c r="BI67" i="5"/>
  <c r="BJ67" i="5"/>
  <c r="BJ258" i="5"/>
  <c r="BI258" i="5"/>
  <c r="BJ199" i="5"/>
  <c r="BI199" i="5"/>
  <c r="BI173" i="5"/>
  <c r="BJ173" i="5"/>
  <c r="BJ78" i="5"/>
  <c r="BI78" i="5"/>
  <c r="BJ464" i="5"/>
  <c r="BI464" i="5"/>
  <c r="BI92" i="5"/>
  <c r="BJ92" i="5"/>
  <c r="BJ407" i="5"/>
  <c r="BI407" i="5"/>
  <c r="BJ125" i="5"/>
  <c r="BI125" i="5"/>
  <c r="BJ553" i="5"/>
  <c r="BI553" i="5"/>
  <c r="BJ347" i="5"/>
  <c r="BI347" i="5"/>
  <c r="BI29" i="5"/>
  <c r="BJ29" i="5"/>
  <c r="BI302" i="5"/>
  <c r="BJ302" i="5"/>
  <c r="BI145" i="5"/>
  <c r="BJ145" i="5"/>
  <c r="BJ64" i="5"/>
  <c r="BI64" i="5"/>
  <c r="BI388" i="5"/>
  <c r="BJ388" i="5"/>
  <c r="BJ546" i="5"/>
  <c r="BI546" i="5"/>
  <c r="BJ240" i="5"/>
  <c r="BI240" i="5"/>
  <c r="BI461" i="5"/>
  <c r="BJ461" i="5"/>
  <c r="BJ225" i="5"/>
  <c r="BI225" i="5"/>
  <c r="BI430" i="5"/>
  <c r="BJ430" i="5"/>
  <c r="BI542" i="5"/>
  <c r="BJ542" i="5"/>
  <c r="BJ549" i="5"/>
  <c r="BI549" i="5"/>
  <c r="BI460" i="5"/>
  <c r="BJ460" i="5"/>
  <c r="BJ452" i="5"/>
  <c r="BI452" i="5"/>
  <c r="BI434" i="5"/>
  <c r="BJ434" i="5"/>
  <c r="BJ141" i="5"/>
  <c r="BI141" i="5"/>
  <c r="BI140" i="5"/>
  <c r="BJ140" i="5"/>
  <c r="BI205" i="5"/>
  <c r="BJ205" i="5"/>
  <c r="BI109" i="5"/>
  <c r="BJ109" i="5"/>
  <c r="BI174" i="5"/>
  <c r="BJ174" i="5"/>
  <c r="BJ76" i="5"/>
  <c r="BI76" i="5"/>
  <c r="BI106" i="5"/>
  <c r="BJ106" i="5"/>
  <c r="BJ246" i="5"/>
  <c r="BI246" i="5"/>
  <c r="BJ255" i="5"/>
  <c r="BI255" i="5"/>
  <c r="BI98" i="5"/>
  <c r="BJ98" i="5"/>
  <c r="BJ134" i="5"/>
  <c r="BI134" i="5"/>
  <c r="BI207" i="5"/>
  <c r="BJ207" i="5"/>
  <c r="BI404" i="5"/>
  <c r="BJ404" i="5"/>
  <c r="BI371" i="5"/>
  <c r="BJ371" i="5"/>
  <c r="BJ118" i="5"/>
  <c r="BI118" i="5"/>
  <c r="BI493" i="5"/>
  <c r="BJ493" i="5"/>
  <c r="BJ204" i="5"/>
  <c r="BI204" i="5"/>
  <c r="BJ496" i="5"/>
  <c r="BI496" i="5"/>
  <c r="BJ121" i="5"/>
  <c r="BI121" i="5"/>
  <c r="BJ380" i="5"/>
  <c r="BI380" i="5"/>
  <c r="BJ53" i="5"/>
  <c r="BI53" i="5"/>
  <c r="BI511" i="5"/>
  <c r="BJ511" i="5"/>
  <c r="BJ329" i="5"/>
  <c r="BI329" i="5"/>
  <c r="BI81" i="5"/>
  <c r="BJ81" i="5"/>
  <c r="BI271" i="5"/>
  <c r="BJ271" i="5"/>
  <c r="BI543" i="5"/>
  <c r="BJ543" i="5"/>
  <c r="BJ94" i="5"/>
  <c r="BI94" i="5"/>
  <c r="BJ132" i="5"/>
  <c r="BI132" i="5"/>
  <c r="BJ160" i="5"/>
  <c r="BI160" i="5"/>
  <c r="BI21" i="5"/>
  <c r="BJ21" i="5"/>
  <c r="BJ410" i="5"/>
  <c r="BI410" i="5"/>
  <c r="BI513" i="5"/>
  <c r="BJ513" i="5"/>
  <c r="BJ406" i="5"/>
  <c r="BI406" i="5"/>
  <c r="BI242" i="5"/>
  <c r="BJ242" i="5"/>
  <c r="BJ506" i="5"/>
  <c r="BI506" i="5"/>
  <c r="BJ440" i="5"/>
  <c r="BI440" i="5"/>
  <c r="BI425" i="5"/>
  <c r="BJ425" i="5"/>
  <c r="BI46" i="5"/>
  <c r="BJ46" i="5"/>
  <c r="BI39" i="5"/>
  <c r="BJ39" i="5"/>
  <c r="BI33" i="5"/>
  <c r="BJ33" i="5"/>
  <c r="BI249" i="5"/>
  <c r="BJ249" i="5"/>
  <c r="BI129" i="5"/>
  <c r="BJ129" i="5"/>
  <c r="BJ251" i="5"/>
  <c r="BI251" i="5"/>
  <c r="BJ139" i="5"/>
  <c r="BI139" i="5"/>
  <c r="BJ87" i="5"/>
  <c r="BI87" i="5"/>
  <c r="BJ142" i="5"/>
  <c r="BI142" i="5"/>
  <c r="BI438" i="5"/>
  <c r="BJ438" i="5"/>
  <c r="BJ211" i="5"/>
  <c r="BI211" i="5"/>
  <c r="BJ285" i="5"/>
  <c r="BI285" i="5"/>
  <c r="BI54" i="5"/>
  <c r="BJ54" i="5"/>
  <c r="BI200" i="5"/>
  <c r="BJ200" i="5"/>
  <c r="BJ163" i="5"/>
  <c r="BI163" i="5"/>
  <c r="BJ244" i="5"/>
  <c r="BI244" i="5"/>
  <c r="BI465" i="5"/>
  <c r="BJ465" i="5"/>
  <c r="BJ456" i="5"/>
  <c r="BI456" i="5"/>
  <c r="BI296" i="5"/>
  <c r="BJ296" i="5"/>
  <c r="BI97" i="5"/>
  <c r="BJ97" i="5"/>
  <c r="BJ323" i="5"/>
  <c r="BI323" i="5"/>
  <c r="BI487" i="5"/>
  <c r="BJ487" i="5"/>
  <c r="BJ111" i="5"/>
  <c r="BI111" i="5"/>
  <c r="BI295" i="5"/>
  <c r="BJ295" i="5"/>
  <c r="BJ133" i="5"/>
  <c r="BI133" i="5"/>
  <c r="BI223" i="5"/>
  <c r="BJ223" i="5"/>
  <c r="BI485" i="5"/>
  <c r="BJ485" i="5"/>
  <c r="BI399" i="5"/>
  <c r="BJ399" i="5"/>
  <c r="BI381" i="5"/>
  <c r="BJ381" i="5"/>
  <c r="BI539" i="5"/>
  <c r="BJ539" i="5"/>
  <c r="BI237" i="5"/>
  <c r="BJ237" i="5"/>
  <c r="BJ257" i="5"/>
  <c r="BI257" i="5"/>
  <c r="BJ339" i="5"/>
  <c r="BI339" i="5"/>
  <c r="BI308" i="5"/>
  <c r="BJ308" i="5"/>
  <c r="BJ56" i="5"/>
  <c r="BI56" i="5"/>
  <c r="BJ450" i="5"/>
  <c r="BI450" i="5"/>
  <c r="BI58" i="5"/>
  <c r="BJ58" i="5"/>
  <c r="BI287" i="5"/>
  <c r="BJ287" i="5"/>
  <c r="BI190" i="5"/>
  <c r="BJ190" i="5"/>
  <c r="BI96" i="5"/>
  <c r="BJ96" i="5"/>
  <c r="BJ478" i="5"/>
  <c r="BI478" i="5"/>
  <c r="BI515" i="5"/>
  <c r="BJ515" i="5"/>
  <c r="BJ508" i="5"/>
  <c r="BI508" i="5"/>
  <c r="BI245" i="5"/>
  <c r="BJ245" i="5"/>
  <c r="BJ303" i="5"/>
  <c r="BI303" i="5"/>
  <c r="BJ269" i="5"/>
  <c r="BI269" i="5"/>
  <c r="BJ378" i="5"/>
  <c r="BI378" i="5"/>
  <c r="BI217" i="5"/>
  <c r="BJ217" i="5"/>
  <c r="BJ398" i="5"/>
  <c r="BI398" i="5"/>
  <c r="BI215" i="5"/>
  <c r="BJ215" i="5"/>
  <c r="BI519" i="5"/>
  <c r="BJ519" i="5"/>
  <c r="BI375" i="5"/>
  <c r="BJ375" i="5"/>
  <c r="BJ70" i="5"/>
  <c r="BI70" i="5"/>
  <c r="BJ516" i="5"/>
  <c r="BI516" i="5"/>
  <c r="BJ107" i="5"/>
  <c r="BI107" i="5"/>
  <c r="BJ66" i="5"/>
  <c r="BI66" i="5"/>
  <c r="BJ385" i="5"/>
  <c r="BI385" i="5"/>
  <c r="BI220" i="5"/>
  <c r="BJ220" i="5"/>
  <c r="BI189" i="5"/>
  <c r="BJ189" i="5"/>
  <c r="BI247" i="5"/>
  <c r="BJ247" i="5"/>
  <c r="BJ350" i="5"/>
  <c r="BI350" i="5"/>
  <c r="BI91" i="5"/>
  <c r="BJ91" i="5"/>
  <c r="BI222" i="5"/>
  <c r="BJ222" i="5"/>
  <c r="BI320" i="5"/>
  <c r="BJ320" i="5"/>
  <c r="BJ179" i="5"/>
  <c r="BI179" i="5"/>
  <c r="BJ531" i="5"/>
  <c r="BI531" i="5"/>
  <c r="BJ317" i="5"/>
  <c r="BI317" i="5"/>
  <c r="BI34" i="5"/>
  <c r="BJ34" i="5"/>
  <c r="BI324" i="5"/>
  <c r="BJ324" i="5"/>
  <c r="BI554" i="5"/>
  <c r="BJ554" i="5"/>
  <c r="BI455" i="5"/>
  <c r="BJ455" i="5"/>
  <c r="BJ469" i="5"/>
  <c r="BI469" i="5"/>
  <c r="BI345" i="5"/>
  <c r="BJ345" i="5"/>
  <c r="BJ312" i="5"/>
  <c r="BI312" i="5"/>
  <c r="BJ277" i="5"/>
  <c r="BI277" i="5"/>
  <c r="BI466" i="5"/>
  <c r="BJ466" i="5"/>
  <c r="BJ305" i="5"/>
  <c r="BI305" i="5"/>
  <c r="BJ559" i="5"/>
  <c r="BI559" i="5"/>
  <c r="BJ352" i="5"/>
  <c r="BI352" i="5"/>
  <c r="BI283" i="5"/>
  <c r="BJ283" i="5"/>
  <c r="BJ300" i="5"/>
  <c r="BI300" i="5"/>
  <c r="BI22" i="5"/>
  <c r="BJ22" i="5"/>
  <c r="BI408" i="5"/>
  <c r="BJ408" i="5"/>
  <c r="BJ439" i="5"/>
  <c r="BI439" i="5"/>
  <c r="BJ135" i="5"/>
  <c r="BI135" i="5"/>
  <c r="BJ448" i="5"/>
  <c r="BI448" i="5"/>
  <c r="BI344" i="5"/>
  <c r="BJ344" i="5"/>
  <c r="BI384" i="5"/>
  <c r="BJ384" i="5"/>
  <c r="BJ157" i="5"/>
  <c r="BI157" i="5"/>
  <c r="BJ11" i="5"/>
  <c r="BI11" i="5"/>
  <c r="BJ290" i="5"/>
  <c r="BI290" i="5"/>
  <c r="BI27" i="5"/>
  <c r="BJ27" i="5"/>
  <c r="BI120" i="5"/>
  <c r="BJ120" i="5"/>
  <c r="BI416" i="5"/>
  <c r="BJ416" i="5"/>
  <c r="BJ556" i="5"/>
  <c r="BI556" i="5"/>
  <c r="BI82" i="5"/>
  <c r="BJ82" i="5"/>
  <c r="BJ433" i="5"/>
  <c r="BI433" i="5"/>
  <c r="BJ212" i="5"/>
  <c r="BI212" i="5"/>
  <c r="BI435" i="5"/>
  <c r="BJ435" i="5"/>
  <c r="BJ342" i="5"/>
  <c r="BI342" i="5"/>
  <c r="BI521" i="5"/>
  <c r="BJ521" i="5"/>
  <c r="BJ442" i="5"/>
  <c r="BI442" i="5"/>
  <c r="BJ284" i="5"/>
  <c r="BI284" i="5"/>
  <c r="BJ560" i="5"/>
  <c r="BI560" i="5"/>
  <c r="BJ187" i="5"/>
  <c r="BI187" i="5"/>
  <c r="BJ387" i="5"/>
  <c r="BI387" i="5"/>
  <c r="BI367" i="5"/>
  <c r="BJ367" i="5"/>
  <c r="BJ260" i="5"/>
  <c r="BI260" i="5"/>
  <c r="BI224" i="5"/>
  <c r="BJ224" i="5"/>
  <c r="BJ100" i="5"/>
  <c r="BI100" i="5"/>
  <c r="BJ540" i="5"/>
  <c r="BI540" i="5"/>
  <c r="BJ500" i="5"/>
  <c r="BI500" i="5"/>
  <c r="BJ550" i="5"/>
  <c r="BI550" i="5"/>
  <c r="BJ44" i="5"/>
  <c r="BI44" i="5"/>
  <c r="BJ417" i="5"/>
  <c r="BI417" i="5"/>
  <c r="BJ80" i="5"/>
  <c r="BI80" i="5"/>
  <c r="BJ400" i="5"/>
  <c r="BI400" i="5"/>
  <c r="BJ325" i="5"/>
  <c r="BI325" i="5"/>
  <c r="BI170" i="5"/>
  <c r="BJ170" i="5"/>
  <c r="BJ19" i="5"/>
  <c r="BI19" i="5"/>
  <c r="BI60" i="5"/>
  <c r="BJ60" i="5"/>
  <c r="BI409" i="5"/>
  <c r="BJ409" i="5"/>
  <c r="BI264" i="5"/>
  <c r="BJ264" i="5"/>
  <c r="BI298" i="5"/>
  <c r="BJ298" i="5"/>
  <c r="BI445" i="5"/>
  <c r="BJ445" i="5"/>
  <c r="BI201" i="5"/>
  <c r="BJ201" i="5"/>
  <c r="BI431" i="5"/>
  <c r="BJ431" i="5"/>
  <c r="BJ158" i="5"/>
  <c r="BI158" i="5"/>
  <c r="BJ73" i="5"/>
  <c r="BI73" i="5"/>
  <c r="BJ213" i="5"/>
  <c r="BI213" i="5"/>
  <c r="BI418" i="5"/>
  <c r="BJ418" i="5"/>
  <c r="BJ26" i="5"/>
  <c r="BI26" i="5"/>
  <c r="BJ85" i="5"/>
  <c r="BI85" i="5"/>
  <c r="BI155" i="5"/>
  <c r="BJ155" i="5"/>
  <c r="BJ472" i="5"/>
  <c r="BI472" i="5"/>
  <c r="BJ69" i="5"/>
  <c r="BI69" i="5"/>
  <c r="BJ270" i="5"/>
  <c r="BI270" i="5"/>
  <c r="BI376" i="5"/>
  <c r="BJ376" i="5"/>
  <c r="BI184" i="5"/>
  <c r="BJ184" i="5"/>
  <c r="BI527" i="5"/>
  <c r="BJ527" i="5"/>
  <c r="BI218" i="5"/>
  <c r="BJ218" i="5"/>
  <c r="BI353" i="5"/>
  <c r="BJ353" i="5"/>
  <c r="BI229" i="5"/>
  <c r="BJ229" i="5"/>
  <c r="BI37" i="5"/>
  <c r="BJ37" i="5"/>
  <c r="BJ530" i="5"/>
  <c r="BI530" i="5"/>
  <c r="BJ315" i="5"/>
  <c r="BI315" i="5"/>
  <c r="BJ231" i="5"/>
  <c r="BI231" i="5"/>
  <c r="BI377" i="5"/>
  <c r="BJ377" i="5"/>
  <c r="BI216" i="5"/>
  <c r="BJ216" i="5"/>
  <c r="BI43" i="5"/>
  <c r="BJ43" i="5"/>
  <c r="BJ195" i="5"/>
  <c r="BI195" i="5"/>
  <c r="BJ86" i="5"/>
  <c r="BI86" i="5"/>
  <c r="BI492" i="5"/>
  <c r="BJ492" i="5"/>
  <c r="BI313" i="5"/>
  <c r="BJ313" i="5"/>
  <c r="BI248" i="5"/>
  <c r="BJ248" i="5"/>
  <c r="BJ319" i="5"/>
  <c r="BI319" i="5"/>
  <c r="BJ38" i="5"/>
  <c r="BI38" i="5"/>
  <c r="BJ119" i="5"/>
  <c r="BI119" i="5"/>
  <c r="BI48" i="5"/>
  <c r="BJ48" i="5"/>
  <c r="BJ104" i="5"/>
  <c r="BI104" i="5"/>
  <c r="BI520" i="5"/>
  <c r="BJ520" i="5"/>
  <c r="BI162" i="5"/>
  <c r="BJ162" i="5"/>
  <c r="BJ488" i="5"/>
  <c r="BI488" i="5"/>
  <c r="BI272" i="5"/>
  <c r="BJ272" i="5"/>
  <c r="BI306" i="5"/>
  <c r="BJ306" i="5"/>
  <c r="BI267" i="5"/>
  <c r="BJ267" i="5"/>
  <c r="BI359" i="5"/>
  <c r="BJ359" i="5"/>
  <c r="BJ186" i="5"/>
  <c r="BI186" i="5"/>
  <c r="BJ62" i="5"/>
  <c r="BI62" i="5"/>
  <c r="BJ314" i="5"/>
  <c r="BI314" i="5"/>
  <c r="BJ122" i="5"/>
  <c r="BI122" i="5"/>
  <c r="BJ328" i="5"/>
  <c r="BI328" i="5"/>
  <c r="BI105" i="5"/>
  <c r="BJ105" i="5"/>
  <c r="BI266" i="5"/>
  <c r="BJ266" i="5"/>
  <c r="BJ12" i="5"/>
  <c r="BI12" i="5"/>
  <c r="BI426" i="5"/>
  <c r="BJ426" i="5"/>
  <c r="BJ79" i="5"/>
  <c r="BI79" i="5"/>
  <c r="BJ341" i="5"/>
  <c r="BI341" i="5"/>
  <c r="BI481" i="5"/>
  <c r="BJ481" i="5"/>
  <c r="BJ292" i="5"/>
  <c r="BI292" i="5"/>
  <c r="BJ45" i="5"/>
  <c r="BI45" i="5"/>
  <c r="BJ459" i="5"/>
  <c r="BI459" i="5"/>
  <c r="BJ462" i="5"/>
  <c r="BI462" i="5"/>
  <c r="BJ77" i="5"/>
  <c r="BI77" i="5"/>
  <c r="BJ138" i="5"/>
  <c r="BI138" i="5"/>
  <c r="BI331" i="5"/>
  <c r="BJ331" i="5"/>
  <c r="BJ401" i="5"/>
  <c r="BI401" i="5"/>
  <c r="BJ203" i="5"/>
  <c r="BI203" i="5"/>
  <c r="BJ421" i="5"/>
  <c r="BI421" i="5"/>
  <c r="BJ361" i="5"/>
  <c r="BI361" i="5"/>
  <c r="BI304" i="5"/>
  <c r="BJ304" i="5"/>
  <c r="BJ403" i="5"/>
  <c r="BI403" i="5"/>
  <c r="BJ161" i="5"/>
  <c r="BI161" i="5"/>
  <c r="BJ65" i="5"/>
  <c r="BI65" i="5"/>
  <c r="BJ191" i="5"/>
  <c r="BI191" i="5"/>
  <c r="BJ89" i="5"/>
  <c r="BI89" i="5"/>
  <c r="BJ72" i="5"/>
  <c r="BI72" i="5"/>
  <c r="BJ188" i="5"/>
  <c r="BI188" i="5"/>
  <c r="BI382" i="5"/>
  <c r="BJ382" i="5"/>
  <c r="BJ10" i="5"/>
  <c r="BI10" i="5"/>
  <c r="BJ151" i="5"/>
  <c r="BI151" i="5"/>
  <c r="BI210" i="5"/>
  <c r="BJ210" i="5"/>
  <c r="BI420" i="5"/>
  <c r="BJ420" i="5"/>
  <c r="BJ152" i="5"/>
  <c r="BI152" i="5"/>
  <c r="BJ254" i="5"/>
  <c r="BI254" i="5"/>
  <c r="BI386" i="5"/>
  <c r="BJ386" i="5"/>
  <c r="BI47" i="5"/>
  <c r="BJ47" i="5"/>
  <c r="BI316" i="5"/>
  <c r="BJ316" i="5"/>
  <c r="BI552" i="5"/>
  <c r="BJ552" i="5"/>
  <c r="BI279" i="5"/>
  <c r="BJ279" i="5"/>
  <c r="BI415" i="5"/>
  <c r="BJ415" i="5"/>
  <c r="BI447" i="5"/>
  <c r="BJ447" i="5"/>
  <c r="BJ55" i="5"/>
  <c r="BI55" i="5"/>
  <c r="BI479" i="5"/>
  <c r="BJ479" i="5"/>
  <c r="BJ372" i="5"/>
  <c r="BI372" i="5"/>
  <c r="BJ436" i="5"/>
  <c r="BI436" i="5"/>
  <c r="BJ311" i="5"/>
  <c r="BI311" i="5"/>
  <c r="BI252" i="5"/>
  <c r="BJ252" i="5"/>
  <c r="BJ227" i="5"/>
  <c r="BI227" i="5"/>
  <c r="BI547" i="5"/>
  <c r="BJ547" i="5"/>
  <c r="BI36" i="5"/>
  <c r="BJ36" i="5"/>
  <c r="BI495" i="5"/>
  <c r="BJ495" i="5"/>
  <c r="BJ194" i="5"/>
  <c r="BI194" i="5"/>
  <c r="BI393" i="5"/>
  <c r="BJ393" i="5"/>
  <c r="BJ355" i="5"/>
  <c r="BI355" i="5"/>
  <c r="BJ228" i="5"/>
  <c r="BI228" i="5"/>
  <c r="BJ489" i="5"/>
  <c r="BI489" i="5"/>
  <c r="BJ348" i="5"/>
  <c r="BI348" i="5"/>
  <c r="BI181" i="5"/>
  <c r="BJ181" i="5"/>
  <c r="BJ288" i="5"/>
  <c r="BI288" i="5"/>
  <c r="BJ423" i="5"/>
  <c r="BI423" i="5"/>
  <c r="BI241" i="5"/>
  <c r="BJ241" i="5"/>
  <c r="BJ451" i="5"/>
  <c r="BI451" i="5"/>
  <c r="BI238" i="5"/>
  <c r="BJ238" i="5"/>
  <c r="BI233" i="5"/>
  <c r="BJ233" i="5"/>
  <c r="BJ169" i="5"/>
  <c r="BI169" i="5"/>
  <c r="BJ449" i="5"/>
  <c r="BI449" i="5"/>
  <c r="BI175" i="5"/>
  <c r="BJ175" i="5"/>
  <c r="BJ88" i="5"/>
  <c r="BI88" i="5"/>
  <c r="BJ432" i="5"/>
  <c r="BI432" i="5"/>
  <c r="BJ357" i="5"/>
  <c r="BI357" i="5"/>
  <c r="BI259" i="5"/>
  <c r="BJ259" i="5"/>
  <c r="BI446" i="5"/>
  <c r="BJ446" i="5"/>
  <c r="BJ458" i="5"/>
  <c r="BI458" i="5"/>
  <c r="BJ177" i="5"/>
  <c r="BI177" i="5"/>
  <c r="BJ153" i="5"/>
  <c r="BI153" i="5"/>
  <c r="BJ126" i="5"/>
  <c r="BI126" i="5"/>
  <c r="BJ137" i="5"/>
  <c r="BI137" i="5"/>
  <c r="BI291" i="5"/>
  <c r="BJ291" i="5"/>
  <c r="BJ441" i="5"/>
  <c r="BI441" i="5"/>
  <c r="BI517" i="5"/>
  <c r="BJ517" i="5"/>
  <c r="BJ480" i="5"/>
  <c r="BI480" i="5"/>
  <c r="BI551" i="5"/>
  <c r="BJ551" i="5"/>
  <c r="BI444" i="5"/>
  <c r="BJ444" i="5"/>
  <c r="BI503" i="5"/>
  <c r="BJ503" i="5"/>
  <c r="BJ366" i="5"/>
  <c r="BI366" i="5"/>
  <c r="BI236" i="5"/>
  <c r="BJ236" i="5"/>
  <c r="BJ362" i="5"/>
  <c r="BI362" i="5"/>
  <c r="BJ468" i="5"/>
  <c r="BI468" i="5"/>
  <c r="BJ193" i="5"/>
  <c r="BI193" i="5"/>
  <c r="BI533" i="5"/>
  <c r="BJ533" i="5"/>
  <c r="BJ176" i="5"/>
  <c r="BI176" i="5"/>
  <c r="AD7" i="5"/>
  <c r="BG7" i="5"/>
  <c r="BL7" i="5" s="1"/>
  <c r="AC7" i="5"/>
  <c r="BO12" i="5" l="1"/>
  <c r="D77" i="5" s="1"/>
  <c r="B77" i="5" s="1"/>
  <c r="A77" i="5" s="1"/>
  <c r="BO14" i="5"/>
  <c r="D78" i="5" s="1"/>
  <c r="B78" i="5" s="1"/>
  <c r="A78" i="5" s="1"/>
  <c r="BF7" i="5"/>
  <c r="BK7"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Lee, Eric</author>
    <author>Schwarz, Niklas</author>
    <author>PPD-NPS</author>
  </authors>
  <commentList>
    <comment ref="A3" authorId="0" shapeId="0" xr:uid="{00000000-0006-0000-0000-000001000000}">
      <text>
        <r>
          <rPr>
            <b/>
            <sz val="12"/>
            <color indexed="10"/>
            <rFont val="Tahoma"/>
            <family val="2"/>
          </rPr>
          <t>Welcome to the LM5122 Design Tool</t>
        </r>
        <r>
          <rPr>
            <b/>
            <sz val="8"/>
            <color indexed="81"/>
            <rFont val="Tahoma"/>
            <family val="2"/>
          </rPr>
          <t xml:space="preserve">
</t>
        </r>
        <r>
          <rPr>
            <sz val="9"/>
            <color indexed="81"/>
            <rFont val="Tahoma"/>
            <family val="2"/>
          </rPr>
          <t xml:space="preserve">This stand-alone tool facilitates and assists the power supply engineer with design of a DC-DC boost converter based on the LM5122 automotive boost controller. As such, the user can expeditiously arrive at an optimized design by virtue of the following:
- Select components
- Optimize compensation values and pole/zero placement in terms of control loop stability using crossover frquency as a performance metric
IMPORTANT: You must enable macros if Microsoft Excel asks as the file is being opened. U.S. English notation is used throughout. Make sure to input or select values in all of the yellow shaded cells even if a value already exists in that cell. Do not over write equations in cells, as this may result in calculation errors. </t>
        </r>
        <r>
          <rPr>
            <b/>
            <sz val="8"/>
            <color indexed="81"/>
            <rFont val="Tahoma"/>
            <family val="2"/>
          </rPr>
          <t xml:space="preserve">
</t>
        </r>
      </text>
    </comment>
    <comment ref="H7" authorId="1" shapeId="0" xr:uid="{9E02A33E-5806-4D4B-B339-0A036D81093F}">
      <text>
        <r>
          <rPr>
            <b/>
            <sz val="9"/>
            <color indexed="81"/>
            <rFont val="Tahoma"/>
            <family val="2"/>
          </rPr>
          <t xml:space="preserve">Minimum Input Voltage:
</t>
        </r>
        <r>
          <rPr>
            <sz val="9"/>
            <color indexed="81"/>
            <rFont val="Tahoma"/>
            <family val="2"/>
          </rPr>
          <t>Enter the minimum operating input voltage.
The LM5122 VIN pin voltage operating range is 4.5V to 65V.
The minimum input power supply voltage can be 3V after start-up if VIN voltage is supplied from an external source.
Please check datasheet for applications with VCC&gt;VIN
The text in the cell is flagged orange if:
-The input voltage is below 4.5V
The text in the cell is flagged red if:
-The input voltage is above 65V
-The input voltage is below 3V</t>
        </r>
      </text>
    </comment>
    <comment ref="H8" authorId="1" shapeId="0" xr:uid="{9BF67A2B-60FE-443F-A869-3EA2981AE0D0}">
      <text>
        <r>
          <rPr>
            <b/>
            <sz val="9"/>
            <color indexed="81"/>
            <rFont val="Tahoma"/>
            <family val="2"/>
          </rPr>
          <t xml:space="preserve">Minimum Input Voltage:
</t>
        </r>
        <r>
          <rPr>
            <sz val="9"/>
            <color indexed="81"/>
            <rFont val="Tahoma"/>
            <family val="2"/>
          </rPr>
          <t>Enter the minimum operating input voltage.
The LM5122 VIN pin voltage operating range is 4.5V to 65V.
The minimum input power supply voltage can be 3V after start-up if VIN voltage is supplied from an external source.
Please check datasheet for applications with VCC&gt;VIN
The text in the cell is flagged orange if:
-The input voltage is below 4.5V
The text in the cell is flagged red if:
-The input voltage is above 65V
-The input voltage is below 3V</t>
        </r>
      </text>
    </comment>
    <comment ref="H9" authorId="1" shapeId="0" xr:uid="{E8836D0E-4B1C-403E-9FDE-3C13E2E9EC51}">
      <text>
        <r>
          <rPr>
            <b/>
            <sz val="9"/>
            <color indexed="81"/>
            <rFont val="Tahoma"/>
            <family val="2"/>
          </rPr>
          <t xml:space="preserve">Maximum Input Voltage:
</t>
        </r>
        <r>
          <rPr>
            <sz val="9"/>
            <color indexed="81"/>
            <rFont val="Tahoma"/>
            <family val="2"/>
          </rPr>
          <t>Enter the maximum operating input voltage.
The LM5122 VIN pin voltage operating range is 4.5V to 65V.
The minimum input power supply voltage can be 3V after start-up if VIN voltage is supplied from an external source.
Please check datasheet for applications with VCC&gt;VIN
The text in the cell is flagged orange if:
-The input voltage is below 4.5V
The text in the cell is flagged red if:
-The input voltage is above 65V
-The input voltage is below 3V</t>
        </r>
      </text>
    </comment>
    <comment ref="H13" authorId="1" shapeId="0" xr:uid="{20881EC3-BD03-4F1B-A340-271369461B04}">
      <text>
        <r>
          <rPr>
            <b/>
            <sz val="9"/>
            <color indexed="81"/>
            <rFont val="Tahoma"/>
            <family val="2"/>
          </rPr>
          <t xml:space="preserve">Light Load Switching Mode Selection:
</t>
        </r>
        <r>
          <rPr>
            <sz val="9"/>
            <color indexed="81"/>
            <rFont val="Tahoma"/>
            <family val="2"/>
          </rPr>
          <t>FPWM --&gt; MODE pin connected to VCC.
SKIP --&gt; MODE pin floating.
DEM --&gt; MODE pin connect to GND.
See the datasheet for more details on each mode.</t>
        </r>
      </text>
    </comment>
    <comment ref="H17" authorId="1" shapeId="0" xr:uid="{57E38D5B-3F16-41A0-8AD3-227539B49DF2}">
      <text>
        <r>
          <rPr>
            <b/>
            <sz val="9"/>
            <color indexed="81"/>
            <rFont val="Tahoma"/>
            <family val="2"/>
          </rPr>
          <t xml:space="preserve">Operating Frequency (set by RT):
</t>
        </r>
        <r>
          <rPr>
            <sz val="9"/>
            <color indexed="81"/>
            <rFont val="Tahoma"/>
            <family val="2"/>
          </rPr>
          <t>This cell defines the free-running switching frequency set by the RT resistor. 
The text in the cell is flagged red if:
- The frequency is below 50kHz
-The frequency is above 1MHz</t>
        </r>
      </text>
    </comment>
    <comment ref="H25" authorId="1" shapeId="0" xr:uid="{A5A322B5-FE39-4C90-9952-343B2FBA611A}">
      <text>
        <r>
          <rPr>
            <sz val="9"/>
            <color indexed="81"/>
            <rFont val="Tahoma"/>
            <family val="2"/>
          </rPr>
          <t>The inductor ripple current is typically set between 20% and 40% of the full load current, known as a good
compromise between core loss and copper loss of the inductor.</t>
        </r>
      </text>
    </comment>
    <comment ref="H50" authorId="2" shapeId="0" xr:uid="{00000000-0006-0000-0000-000003000000}">
      <text>
        <r>
          <rPr>
            <b/>
            <sz val="9"/>
            <color indexed="81"/>
            <rFont val="Tahoma"/>
            <family val="2"/>
          </rPr>
          <t>K Factor Selection:</t>
        </r>
        <r>
          <rPr>
            <sz val="9"/>
            <color indexed="81"/>
            <rFont val="Tahoma"/>
            <family val="2"/>
          </rPr>
          <t xml:space="preserve">
A recommended K factor is in the range of 0.5 to 3.
As the freqeuncy increases this should become closer to 1.
Default value is 1.
</t>
        </r>
      </text>
    </comment>
    <comment ref="H51" authorId="2" shapeId="0" xr:uid="{00000000-0006-0000-0000-000004000000}">
      <text>
        <r>
          <rPr>
            <b/>
            <sz val="9"/>
            <color indexed="81"/>
            <rFont val="Tahoma"/>
            <family val="2"/>
          </rPr>
          <t xml:space="preserve">RSLOPE_MIN
</t>
        </r>
        <r>
          <rPr>
            <sz val="9"/>
            <color indexed="81"/>
            <rFont val="Tahoma"/>
            <family val="2"/>
          </rPr>
          <t>The selected Slope compensation resistor must be larger than this value to ensure sub-harmonic osicllation will not occur</t>
        </r>
      </text>
    </comment>
    <comment ref="H52" authorId="1" shapeId="0" xr:uid="{2986D49A-DFF5-49F7-87C8-0EB32CF89831}">
      <text>
        <r>
          <rPr>
            <b/>
            <sz val="9"/>
            <color indexed="81"/>
            <rFont val="Tahoma"/>
            <family val="2"/>
          </rPr>
          <t xml:space="preserve">Calculated Slope Compensation Resistor
</t>
        </r>
        <r>
          <rPr>
            <sz val="9"/>
            <color indexed="81"/>
            <rFont val="Tahoma"/>
            <family val="2"/>
          </rPr>
          <t>If this value is smaller than the minimum slope compensation, the minimum slope compensation resistance is recommended.</t>
        </r>
      </text>
    </comment>
    <comment ref="H57" authorId="1" shapeId="0" xr:uid="{0E94C8EE-53F9-4237-AB24-457742CEE8A7}">
      <text>
        <r>
          <rPr>
            <b/>
            <sz val="9"/>
            <color indexed="81"/>
            <rFont val="Tahoma"/>
            <family val="2"/>
          </rPr>
          <t xml:space="preserve">Minimum output capacitance
</t>
        </r>
        <r>
          <rPr>
            <sz val="9"/>
            <color indexed="81"/>
            <rFont val="Tahoma"/>
            <family val="2"/>
          </rPr>
          <t xml:space="preserve">This is the </t>
        </r>
        <r>
          <rPr>
            <b/>
            <sz val="9"/>
            <color indexed="81"/>
            <rFont val="Tahoma"/>
            <family val="2"/>
          </rPr>
          <t>minimum</t>
        </r>
        <r>
          <rPr>
            <sz val="9"/>
            <color indexed="81"/>
            <rFont val="Tahoma"/>
            <family val="2"/>
          </rPr>
          <t xml:space="preserve"> recommended output capacitance for for the total output. (Not per phase capacitance)</t>
        </r>
      </text>
    </comment>
    <comment ref="H80" authorId="1" shapeId="0" xr:uid="{9C150BF3-01E7-4E1D-80AD-0FC3AC0CCF67}">
      <text>
        <r>
          <rPr>
            <sz val="9"/>
            <color indexed="81"/>
            <rFont val="Tahoma"/>
            <family val="2"/>
          </rPr>
          <t>Cross over frequency is recommended to be at one fifth of the RHP zero or one tenth of the switching frequency whichever is lower.</t>
        </r>
      </text>
    </comment>
    <comment ref="H82" authorId="1" shapeId="0" xr:uid="{337A7983-B99A-454F-90AF-447DBF90B836}">
      <text>
        <r>
          <rPr>
            <b/>
            <sz val="9"/>
            <color indexed="81"/>
            <rFont val="Tahoma"/>
            <family val="2"/>
          </rPr>
          <t>Changes the input voltage value. Allow for evaluation of the control loop and efficiency at different input voltages.</t>
        </r>
        <r>
          <rPr>
            <sz val="9"/>
            <color indexed="81"/>
            <rFont val="Tahoma"/>
            <family val="2"/>
          </rPr>
          <t xml:space="preserve">
This cell is flagged red if:
-Voltage is below Vin_min
-Voltage is above Vin_max</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V6" authorId="0" shapeId="0" xr:uid="{F89FF205-732B-45BE-A67A-6EA06C7963FD}">
      <text>
        <r>
          <rPr>
            <b/>
            <sz val="9"/>
            <color indexed="81"/>
            <rFont val="Tahoma"/>
            <family val="2"/>
          </rPr>
          <t xml:space="preserve">1 = DCM operation
2 = CCM operation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V6" authorId="0" shapeId="0" xr:uid="{44F7D75C-E169-4BF4-A542-29536A0DD506}">
      <text>
        <r>
          <rPr>
            <b/>
            <sz val="9"/>
            <color indexed="81"/>
            <rFont val="Tahoma"/>
            <family val="2"/>
          </rPr>
          <t xml:space="preserve">1 = DCM operation
2 = CCM operation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PPD-NPS</author>
  </authors>
  <commentList>
    <comment ref="E3" authorId="0" shapeId="0" xr:uid="{00000000-0006-0000-0100-000001000000}">
      <text>
        <r>
          <rPr>
            <b/>
            <sz val="9"/>
            <color indexed="81"/>
            <rFont val="Tahoma"/>
            <family val="2"/>
          </rPr>
          <t xml:space="preserve">Will flag for the following conditions:
</t>
        </r>
        <r>
          <rPr>
            <sz val="9"/>
            <color indexed="81"/>
            <rFont val="Tahoma"/>
            <family val="2"/>
          </rPr>
          <t xml:space="preserve">-Minimum input voltage is greater than the typical input voltage
-If lower than the minimum input voltage required to start-up (5V)
-Lower than 3V. IF operation is needed here the common mode voltage of the current sense amplifier needs to be pulled high to keep it operating
</t>
        </r>
      </text>
    </comment>
    <comment ref="E4" authorId="0" shapeId="0" xr:uid="{00000000-0006-0000-0100-000002000000}">
      <text>
        <r>
          <rPr>
            <b/>
            <sz val="9"/>
            <color indexed="81"/>
            <rFont val="Tahoma"/>
            <family val="2"/>
          </rPr>
          <t xml:space="preserve">Will Flag for the following conditions:
</t>
        </r>
        <r>
          <rPr>
            <sz val="9"/>
            <color indexed="81"/>
            <rFont val="Tahoma"/>
            <family val="2"/>
          </rPr>
          <t xml:space="preserve">-If the typical input voltage is greater than the maximum input voltage
</t>
        </r>
      </text>
    </comment>
    <comment ref="E5" authorId="0" shapeId="0" xr:uid="{00000000-0006-0000-0100-000003000000}">
      <text>
        <r>
          <rPr>
            <b/>
            <sz val="9"/>
            <color indexed="81"/>
            <rFont val="Tahoma"/>
            <family val="2"/>
          </rPr>
          <t xml:space="preserve">Will flag for the follow conditions:
</t>
        </r>
        <r>
          <rPr>
            <sz val="9"/>
            <color indexed="81"/>
            <rFont val="Tahoma"/>
            <family val="2"/>
          </rPr>
          <t xml:space="preserve">-The maximum input voltage is above the target output voltage. This indicates that the device will operate in bypass mode
</t>
        </r>
      </text>
    </comment>
    <comment ref="E6" authorId="0" shapeId="0" xr:uid="{00000000-0006-0000-0100-000004000000}">
      <text>
        <r>
          <rPr>
            <b/>
            <sz val="9"/>
            <color indexed="81"/>
            <rFont val="Tahoma"/>
            <family val="2"/>
          </rPr>
          <t xml:space="preserve">Will flag for the following conditions:
</t>
        </r>
        <r>
          <rPr>
            <sz val="9"/>
            <color indexed="81"/>
            <rFont val="Tahoma"/>
            <family val="2"/>
          </rPr>
          <t xml:space="preserve">-Above the maximum switching frequency
-Below the minimum switching freqeuncy
</t>
        </r>
      </text>
    </comment>
    <comment ref="E9" authorId="0" shapeId="0" xr:uid="{00000000-0006-0000-0100-000005000000}">
      <text>
        <r>
          <rPr>
            <b/>
            <sz val="9"/>
            <color indexed="81"/>
            <rFont val="Tahoma"/>
            <family val="2"/>
          </rPr>
          <t xml:space="preserve">Will flag for the following conditions:
</t>
        </r>
        <r>
          <rPr>
            <sz val="9"/>
            <color indexed="81"/>
            <rFont val="Tahoma"/>
            <family val="2"/>
          </rPr>
          <t>-Output voltage is greater than the maximum rating on the SW pin voltage (100V)</t>
        </r>
      </text>
    </comment>
    <comment ref="E14" authorId="0" shapeId="0" xr:uid="{00000000-0006-0000-0100-000006000000}">
      <text>
        <r>
          <rPr>
            <b/>
            <sz val="9"/>
            <color indexed="81"/>
            <rFont val="Tahoma"/>
            <family val="2"/>
          </rPr>
          <t>Will flag for the following conditions</t>
        </r>
        <r>
          <rPr>
            <sz val="9"/>
            <color indexed="81"/>
            <rFont val="Tahoma"/>
            <family val="2"/>
          </rPr>
          <t xml:space="preserve">
-External VCC voltage is greater then abs max value
-Exteranl VCC is less than the VCC UVLO voltage
</t>
        </r>
      </text>
    </comment>
    <comment ref="E23" authorId="0" shapeId="0" xr:uid="{00000000-0006-0000-0100-000007000000}">
      <text>
        <r>
          <rPr>
            <b/>
            <sz val="9"/>
            <color indexed="81"/>
            <rFont val="Tahoma"/>
            <family val="2"/>
          </rPr>
          <t>If this value is 1 then the forced off time is to large for the step up ratio and the switching freqeuncy should be decreased</t>
        </r>
        <r>
          <rPr>
            <sz val="9"/>
            <color indexed="81"/>
            <rFont val="Tahoma"/>
            <family val="2"/>
          </rPr>
          <t xml:space="preserve">
</t>
        </r>
      </text>
    </comment>
    <comment ref="E33" authorId="0" shapeId="0" xr:uid="{00000000-0006-0000-0100-000008000000}">
      <text>
        <r>
          <rPr>
            <b/>
            <sz val="9"/>
            <color indexed="81"/>
            <rFont val="Tahoma"/>
            <family val="2"/>
          </rPr>
          <t xml:space="preserve">Will flag for the following conditions:
</t>
        </r>
        <r>
          <rPr>
            <sz val="9"/>
            <color indexed="81"/>
            <rFont val="Tahoma"/>
            <family val="2"/>
          </rPr>
          <t xml:space="preserve">-Minimum off time violation
</t>
        </r>
        <r>
          <rPr>
            <b/>
            <sz val="9"/>
            <color indexed="81"/>
            <rFont val="Tahoma"/>
            <family val="2"/>
          </rPr>
          <t xml:space="preserve">
</t>
        </r>
      </text>
    </comment>
    <comment ref="E89" authorId="0" shapeId="0" xr:uid="{00000000-0006-0000-0100-000009000000}">
      <text>
        <r>
          <rPr>
            <b/>
            <sz val="9"/>
            <color indexed="81"/>
            <rFont val="Tahoma"/>
            <family val="2"/>
          </rPr>
          <t xml:space="preserve">Will flag for the following conditions:
</t>
        </r>
        <r>
          <rPr>
            <sz val="9"/>
            <color indexed="81"/>
            <rFont val="Tahoma"/>
            <family val="2"/>
          </rPr>
          <t xml:space="preserve">-The Peak Current Limit is lower than the calculated peak current 
</t>
        </r>
      </text>
    </comment>
    <comment ref="E90" authorId="0" shapeId="0" xr:uid="{00000000-0006-0000-0100-00000A000000}">
      <text>
        <r>
          <rPr>
            <b/>
            <sz val="9"/>
            <color indexed="81"/>
            <rFont val="Tahoma"/>
            <family val="2"/>
          </rPr>
          <t>Will flag for the following conditions:</t>
        </r>
        <r>
          <rPr>
            <sz val="9"/>
            <color indexed="81"/>
            <rFont val="Tahoma"/>
            <family val="2"/>
          </rPr>
          <t xml:space="preserve">
-The Peak Current Limit is lower than the calculated peak current </t>
        </r>
      </text>
    </comment>
    <comment ref="E91" authorId="0" shapeId="0" xr:uid="{00000000-0006-0000-0100-00000B000000}">
      <text>
        <r>
          <rPr>
            <b/>
            <sz val="9"/>
            <color indexed="81"/>
            <rFont val="Tahoma"/>
            <family val="2"/>
          </rPr>
          <t xml:space="preserve">Will flag for the following conditions:
</t>
        </r>
        <r>
          <rPr>
            <sz val="9"/>
            <color indexed="81"/>
            <rFont val="Tahoma"/>
            <family val="2"/>
          </rPr>
          <t xml:space="preserve">-The Peak Current Limit is lower than the calculated peak current 
</t>
        </r>
      </text>
    </comment>
    <comment ref="E101" authorId="0" shapeId="0" xr:uid="{00000000-0006-0000-0100-00000C000000}">
      <text>
        <r>
          <rPr>
            <b/>
            <sz val="9"/>
            <color indexed="81"/>
            <rFont val="Tahoma"/>
            <family val="2"/>
          </rPr>
          <t>Will flag for the following conditions:
-</t>
        </r>
        <r>
          <rPr>
            <sz val="9"/>
            <color indexed="81"/>
            <rFont val="Tahoma"/>
            <family val="2"/>
          </rPr>
          <t xml:space="preserve">The Selected Rslope value is smaller than the minimum calculated value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N18" authorId="0" shapeId="0" xr:uid="{01A9A47D-F188-45CB-A9E3-57FE1476E0B3}">
      <text>
        <r>
          <rPr>
            <b/>
            <sz val="9"/>
            <color indexed="81"/>
            <rFont val="Tahoma"/>
            <family val="2"/>
          </rPr>
          <t>BMC-BCS:</t>
        </r>
        <r>
          <rPr>
            <sz val="9"/>
            <color indexed="81"/>
            <rFont val="Tahoma"/>
            <family val="2"/>
          </rPr>
          <t xml:space="preserve">
Need to make this log not linear at some point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PPD-NPS</author>
  </authors>
  <commentList>
    <comment ref="J3" authorId="0" shapeId="0" xr:uid="{00000000-0006-0000-0300-000001000000}">
      <text>
        <r>
          <rPr>
            <b/>
            <sz val="9"/>
            <color indexed="81"/>
            <rFont val="Tahoma"/>
            <family val="2"/>
          </rPr>
          <t>PPD-NPS:</t>
        </r>
        <r>
          <rPr>
            <sz val="9"/>
            <color indexed="81"/>
            <rFont val="Tahoma"/>
            <family val="2"/>
          </rPr>
          <t xml:space="preserve">
IOUT per Phase
</t>
        </r>
      </text>
    </comment>
  </commentList>
</comments>
</file>

<file path=xl/sharedStrings.xml><?xml version="1.0" encoding="utf-8"?>
<sst xmlns="http://schemas.openxmlformats.org/spreadsheetml/2006/main" count="1275" uniqueCount="722">
  <si>
    <t>Parameter</t>
  </si>
  <si>
    <t>Test Conditions</t>
  </si>
  <si>
    <t>Min</t>
  </si>
  <si>
    <t>Typ</t>
  </si>
  <si>
    <t>Max</t>
  </si>
  <si>
    <t>Units</t>
  </si>
  <si>
    <t>VIN shutdown current</t>
  </si>
  <si>
    <t>VIN Supply</t>
  </si>
  <si>
    <t>VIN operating current (no RT resistor)</t>
  </si>
  <si>
    <t>UVLO = 0V</t>
  </si>
  <si>
    <t>UVLO = 2 V, no Switching</t>
  </si>
  <si>
    <t>VCC Regulator</t>
  </si>
  <si>
    <t>Vcc regulation</t>
  </si>
  <si>
    <t>Vcc dropout (VIN to VCC)</t>
  </si>
  <si>
    <t>VCC sourcing current limit</t>
  </si>
  <si>
    <t>VCC operating current</t>
  </si>
  <si>
    <t>VCC undervoltage threshold</t>
  </si>
  <si>
    <t>VCC undervoltage hysteresis</t>
  </si>
  <si>
    <t>Undervoltage Lockout</t>
  </si>
  <si>
    <t>UVLO threshold</t>
  </si>
  <si>
    <t>UVLO hysteresis current</t>
  </si>
  <si>
    <t>UVLO standby enable threshold</t>
  </si>
  <si>
    <t>UVLO standy enable hystersis</t>
  </si>
  <si>
    <t>No load</t>
  </si>
  <si>
    <t>VIN=4.5V, no external load</t>
  </si>
  <si>
    <t>VIN=4.5V, IVCC = 25mA</t>
  </si>
  <si>
    <t>VCC=0V</t>
  </si>
  <si>
    <t>VCC = 8.3V</t>
  </si>
  <si>
    <t>VCC= 12V</t>
  </si>
  <si>
    <t>VCC rising, VIN = 4.5V</t>
  </si>
  <si>
    <t>VCC falling, VIN = 4.5V</t>
  </si>
  <si>
    <t>UVLO rising</t>
  </si>
  <si>
    <t>UVLO = 1.4V</t>
  </si>
  <si>
    <t>A</t>
  </si>
  <si>
    <t>V</t>
  </si>
  <si>
    <t>MODE</t>
  </si>
  <si>
    <t>diode emulation mode threshold</t>
  </si>
  <si>
    <t>diode emulation mode hystersis</t>
  </si>
  <si>
    <t>Default MODE voltage</t>
  </si>
  <si>
    <t>Default skip cycle threshold</t>
  </si>
  <si>
    <t>COMP rising, measured at comp</t>
  </si>
  <si>
    <t>COMP falling, measured at COMP</t>
  </si>
  <si>
    <t>skip cycle hysteresis</t>
  </si>
  <si>
    <t>ERROR AMPLIFIER</t>
  </si>
  <si>
    <t>FB reference voltage</t>
  </si>
  <si>
    <t>FB input bias current</t>
  </si>
  <si>
    <t>COMP output high voltage</t>
  </si>
  <si>
    <t>COMP output low voltage</t>
  </si>
  <si>
    <t>DC gain</t>
  </si>
  <si>
    <t>Unity gain bandwidth</t>
  </si>
  <si>
    <t>slave mode threshold</t>
  </si>
  <si>
    <t>Mode rising</t>
  </si>
  <si>
    <t>mearued at FB, VFB=VCOMP</t>
  </si>
  <si>
    <t>VFB=VREF</t>
  </si>
  <si>
    <t>I source - 2mA, VCC =4.5V</t>
  </si>
  <si>
    <t>I source - 2mA, VCC =12V</t>
  </si>
  <si>
    <t>Isink = 2mA</t>
  </si>
  <si>
    <t>FB rising</t>
  </si>
  <si>
    <t>Oscillator</t>
  </si>
  <si>
    <t>switching frequency 1</t>
  </si>
  <si>
    <t>switching frequency 2</t>
  </si>
  <si>
    <t>RT output voltage</t>
  </si>
  <si>
    <t>RT SYNC rising threshold</t>
  </si>
  <si>
    <t>RT SYNC falling Threshold</t>
  </si>
  <si>
    <t>Minimum sync pulse width</t>
  </si>
  <si>
    <t>RT =20kOhm</t>
  </si>
  <si>
    <t>RT = 10kOhm</t>
  </si>
  <si>
    <t>RT rising</t>
  </si>
  <si>
    <t>RT falling</t>
  </si>
  <si>
    <t>dB</t>
  </si>
  <si>
    <t>Hz</t>
  </si>
  <si>
    <t>s</t>
  </si>
  <si>
    <t>CURRENT SENSE / CYCLE-BY-CYCLE CURRENT LIMIT</t>
  </si>
  <si>
    <t>Bias current matching</t>
  </si>
  <si>
    <t>HICCUP-MODE RESTART</t>
  </si>
  <si>
    <t>Hiccup counter upper threshold</t>
  </si>
  <si>
    <t>Hiccup counter lower threshold</t>
  </si>
  <si>
    <t>HO GATE DRIVER</t>
  </si>
  <si>
    <t>BST charge pump regulation</t>
  </si>
  <si>
    <t>SYNCOUT</t>
  </si>
  <si>
    <t>SYNCOUT high-state voltage</t>
  </si>
  <si>
    <t>SYNCOUT low-state voltage</t>
  </si>
  <si>
    <t>ISYNCOUT = –1 mA</t>
  </si>
  <si>
    <t>ISYNCOUT = 1 mA</t>
  </si>
  <si>
    <t>OPT</t>
  </si>
  <si>
    <t>Synchronization selection threshold</t>
  </si>
  <si>
    <t>OPT rising</t>
  </si>
  <si>
    <t>SLOPE COMPENSATION</t>
  </si>
  <si>
    <t>SLOPE output voltage</t>
  </si>
  <si>
    <t>Slope compensation amplitude</t>
  </si>
  <si>
    <t>RSLOPE = 20 kΩ, fSW = 100 kHz, 50% duty cycle, TJ = –40°C to 125°C</t>
  </si>
  <si>
    <t>RSLOPE= 20 kΩ, fSW= 100 kHz, 50% duty cycle, TJ = 25°C</t>
  </si>
  <si>
    <t>SOFT START</t>
  </si>
  <si>
    <t>SS current source</t>
  </si>
  <si>
    <t>SS discharge switch RDS-ON</t>
  </si>
  <si>
    <t>VSS = 0 V</t>
  </si>
  <si>
    <t>Ohm</t>
  </si>
  <si>
    <t>PWM COMPARATOR</t>
  </si>
  <si>
    <t>Forced LO off-time</t>
  </si>
  <si>
    <t>Minimum LO on-time</t>
  </si>
  <si>
    <t>VVCC = 5.5 V</t>
  </si>
  <si>
    <t>VVCC = 4.5 V</t>
  </si>
  <si>
    <t>RSLOPE = 20 kΩ</t>
  </si>
  <si>
    <t>RSLOPE = 200 kΩ</t>
  </si>
  <si>
    <t>TJ = –40°C to 125°C</t>
  </si>
  <si>
    <t>TJ = 25°C</t>
  </si>
  <si>
    <t>Cycle-by-cycle current limit threshold</t>
  </si>
  <si>
    <t>Zero cross detection threshold</t>
  </si>
  <si>
    <t>Current sense amplifier gain</t>
  </si>
  <si>
    <t>CSP input bias current</t>
  </si>
  <si>
    <t>CSN input bias current</t>
  </si>
  <si>
    <t>CS to LO delay</t>
  </si>
  <si>
    <t>CSP to CSN, TJ = –40°C to 125°C</t>
  </si>
  <si>
    <t>CSP to CSN, TJ = 25°C</t>
  </si>
  <si>
    <t>CSP to CSN, rising</t>
  </si>
  <si>
    <t>CSP to CSN, falling</t>
  </si>
  <si>
    <t>ICSP – ICSN</t>
  </si>
  <si>
    <t>Current sense / current limit delay</t>
  </si>
  <si>
    <t>V/V</t>
  </si>
  <si>
    <t>Restart threshold</t>
  </si>
  <si>
    <t>RES current source1</t>
  </si>
  <si>
    <t>RES current sink1</t>
  </si>
  <si>
    <t>RES current source2</t>
  </si>
  <si>
    <t>RES current sink2</t>
  </si>
  <si>
    <t>Hiccup cycle</t>
  </si>
  <si>
    <t>RES discharge switch RDS-ON</t>
  </si>
  <si>
    <t>Ratio of hiccup mode off-time to restart delay time</t>
  </si>
  <si>
    <t>RES rising</t>
  </si>
  <si>
    <t>RES rising, VVIN = VVCC = 4.5 V</t>
  </si>
  <si>
    <t>RES falling</t>
  </si>
  <si>
    <t>RES falling, VVIN = VVCC = 4.5 V</t>
  </si>
  <si>
    <t>Fault-state charging current</t>
  </si>
  <si>
    <t>Normal-state discharging current</t>
  </si>
  <si>
    <t>Hiccup-mode off-time charging current</t>
  </si>
  <si>
    <t>Hiccup-mode off-time discharging current</t>
  </si>
  <si>
    <t>Cycles</t>
  </si>
  <si>
    <t>DATASHEET Parameters</t>
  </si>
  <si>
    <t>HO high-state voltage drop</t>
  </si>
  <si>
    <t>HO low-state voltage drop</t>
  </si>
  <si>
    <t>HO rise time (10% to 90%)</t>
  </si>
  <si>
    <t>HO fall time (90% to 10%)</t>
  </si>
  <si>
    <t>Peak HO source current</t>
  </si>
  <si>
    <t>Peak HO sink current</t>
  </si>
  <si>
    <t>BST charge pump sourcing current</t>
  </si>
  <si>
    <t>BST to SW undervoltage</t>
  </si>
  <si>
    <t>BST DC bias current</t>
  </si>
  <si>
    <t>IHO = –100 mA, VOHH = VBST –VHO</t>
  </si>
  <si>
    <t>IHO = 100 mA, VOLH = VHO –VSW</t>
  </si>
  <si>
    <t>CLOAD = 4700 pF, VBST = 12 V</t>
  </si>
  <si>
    <t>VHO = 0 V, VSW = 0 V, VBST = 4.5 V</t>
  </si>
  <si>
    <t>VHO = 0 V, VSW = 0 V, VBST = 7.6 V</t>
  </si>
  <si>
    <t>VHO = VBST = 4.5 V</t>
  </si>
  <si>
    <t>VHO = VBST= 7.6 V</t>
  </si>
  <si>
    <t>VVIN = VSW = 9. V , VBST - VSW = 5 V</t>
  </si>
  <si>
    <t>BST to SW, IBST= –70 μA, VVIN = VSW = 9 V</t>
  </si>
  <si>
    <t>BST to SW, IBST = –70 μA, VVIN = VSW = 12 V</t>
  </si>
  <si>
    <t>VBST – VSW = 12 V, VSW = 0 V</t>
  </si>
  <si>
    <t>LO GATE DRIVER</t>
  </si>
  <si>
    <t>LO high-state voltage drop</t>
  </si>
  <si>
    <t>LO low-state voltage drop</t>
  </si>
  <si>
    <t>LO rise time (10% to 90%)</t>
  </si>
  <si>
    <t>LO fall time (90% to 10%)</t>
  </si>
  <si>
    <t>Peak LO source current</t>
  </si>
  <si>
    <t>Peak LO sink current</t>
  </si>
  <si>
    <t>ILO = –100 mA, VOHL = VVCC –VLO</t>
  </si>
  <si>
    <t>ILO = 100 mA, VOLL = VLO</t>
  </si>
  <si>
    <t>CLOAD = 4700 pF</t>
  </si>
  <si>
    <t>VLO = 0 V, VVCC = 4.5 V</t>
  </si>
  <si>
    <t>VLO = 0 V</t>
  </si>
  <si>
    <t>VLO = VVCC = 4.5 V</t>
  </si>
  <si>
    <t>VLO = VVCC</t>
  </si>
  <si>
    <t>SWITCHING CHARACTERISTICS</t>
  </si>
  <si>
    <t>LO fall to HO rise delay</t>
  </si>
  <si>
    <t>HO fall to LO rise delay</t>
  </si>
  <si>
    <t>No load, 50% to 50%</t>
  </si>
  <si>
    <t>About</t>
  </si>
  <si>
    <t>= Input Box</t>
  </si>
  <si>
    <t>TERMS OF USE</t>
  </si>
  <si>
    <t xml:space="preserve"> LM5122 Boost Controller Design Tool</t>
  </si>
  <si>
    <r>
      <t>Maximum Input Supply Voltage (V</t>
    </r>
    <r>
      <rPr>
        <vertAlign val="subscript"/>
        <sz val="11"/>
        <color theme="1"/>
        <rFont val="Calibri"/>
        <family val="2"/>
        <scheme val="minor"/>
      </rPr>
      <t>IN_MAX</t>
    </r>
    <r>
      <rPr>
        <sz val="11"/>
        <color theme="1"/>
        <rFont val="Calibri"/>
        <family val="2"/>
        <scheme val="minor"/>
      </rPr>
      <t>)</t>
    </r>
  </si>
  <si>
    <r>
      <t>Typical Input Supply Voltage (V</t>
    </r>
    <r>
      <rPr>
        <vertAlign val="subscript"/>
        <sz val="11"/>
        <color theme="1"/>
        <rFont val="Calibri"/>
        <family val="2"/>
        <scheme val="minor"/>
      </rPr>
      <t>IN_TYP</t>
    </r>
    <r>
      <rPr>
        <sz val="11"/>
        <color theme="1"/>
        <rFont val="Calibri"/>
        <family val="2"/>
        <scheme val="minor"/>
      </rPr>
      <t>)</t>
    </r>
  </si>
  <si>
    <r>
      <t>Minimum Input Supply Voltage (V</t>
    </r>
    <r>
      <rPr>
        <vertAlign val="subscript"/>
        <sz val="11"/>
        <color theme="1"/>
        <rFont val="Calibri"/>
        <family val="2"/>
        <scheme val="minor"/>
      </rPr>
      <t>IN_MIN</t>
    </r>
    <r>
      <rPr>
        <sz val="11"/>
        <color theme="1"/>
        <rFont val="Calibri"/>
        <family val="2"/>
        <scheme val="minor"/>
      </rPr>
      <t>)</t>
    </r>
  </si>
  <si>
    <r>
      <t>Target Output Voltage (V</t>
    </r>
    <r>
      <rPr>
        <vertAlign val="subscript"/>
        <sz val="11"/>
        <color theme="1"/>
        <rFont val="Calibri"/>
        <family val="2"/>
        <scheme val="minor"/>
      </rPr>
      <t>OUT</t>
    </r>
    <r>
      <rPr>
        <sz val="11"/>
        <color theme="1"/>
        <rFont val="Calibri"/>
        <family val="2"/>
        <scheme val="minor"/>
      </rPr>
      <t>)</t>
    </r>
  </si>
  <si>
    <r>
      <t>Number of Phase (n</t>
    </r>
    <r>
      <rPr>
        <vertAlign val="subscript"/>
        <sz val="11"/>
        <color theme="1"/>
        <rFont val="Calibri"/>
        <family val="2"/>
        <scheme val="minor"/>
      </rPr>
      <t>P</t>
    </r>
    <r>
      <rPr>
        <sz val="11"/>
        <color theme="1"/>
        <rFont val="Calibri"/>
        <family val="2"/>
        <scheme val="minor"/>
      </rPr>
      <t>)</t>
    </r>
  </si>
  <si>
    <t>Switching Freqeuncy</t>
  </si>
  <si>
    <t>kHz</t>
  </si>
  <si>
    <r>
      <t>Maximum Total Load Current (I</t>
    </r>
    <r>
      <rPr>
        <vertAlign val="subscript"/>
        <sz val="11"/>
        <color theme="1"/>
        <rFont val="Calibri"/>
        <family val="2"/>
        <scheme val="minor"/>
      </rPr>
      <t>OUT</t>
    </r>
    <r>
      <rPr>
        <sz val="11"/>
        <color theme="1"/>
        <rFont val="Calibri"/>
        <family val="2"/>
        <scheme val="minor"/>
      </rPr>
      <t>)</t>
    </r>
  </si>
  <si>
    <r>
      <t>Maximum Load Current per Phase (I</t>
    </r>
    <r>
      <rPr>
        <vertAlign val="subscript"/>
        <sz val="11"/>
        <color theme="1"/>
        <rFont val="Calibri"/>
        <family val="2"/>
        <scheme val="minor"/>
      </rPr>
      <t>OUT</t>
    </r>
    <r>
      <rPr>
        <sz val="11"/>
        <color theme="1"/>
        <rFont val="Calibri"/>
        <family val="2"/>
        <scheme val="minor"/>
      </rPr>
      <t>/n</t>
    </r>
    <r>
      <rPr>
        <vertAlign val="subscript"/>
        <sz val="11"/>
        <color theme="1"/>
        <rFont val="Calibri"/>
        <family val="2"/>
        <scheme val="minor"/>
      </rPr>
      <t>P</t>
    </r>
    <r>
      <rPr>
        <sz val="11"/>
        <color theme="1"/>
        <rFont val="Calibri"/>
        <family val="2"/>
        <scheme val="minor"/>
      </rPr>
      <t>)</t>
    </r>
  </si>
  <si>
    <t>%</t>
  </si>
  <si>
    <r>
      <t>Calculate RT resistor (R</t>
    </r>
    <r>
      <rPr>
        <vertAlign val="subscript"/>
        <sz val="11"/>
        <color theme="1"/>
        <rFont val="Calibri"/>
        <family val="2"/>
        <scheme val="minor"/>
      </rPr>
      <t>RT</t>
    </r>
    <r>
      <rPr>
        <sz val="11"/>
        <color theme="1"/>
        <rFont val="Calibri"/>
        <family val="2"/>
        <scheme val="minor"/>
      </rPr>
      <t>)</t>
    </r>
  </si>
  <si>
    <r>
      <t>k</t>
    </r>
    <r>
      <rPr>
        <sz val="11"/>
        <color theme="1"/>
        <rFont val="Calibri"/>
        <family val="2"/>
      </rPr>
      <t>Ω</t>
    </r>
  </si>
  <si>
    <t>Maximum SYNCIN Freqeuncy</t>
  </si>
  <si>
    <t>Minimum SYNCIN Freqeuncy</t>
  </si>
  <si>
    <t>Switching Parameters</t>
  </si>
  <si>
    <t>Flags</t>
  </si>
  <si>
    <t>Maximum on Time</t>
  </si>
  <si>
    <t>Minimum Off time</t>
  </si>
  <si>
    <t>Maximum Duty Cycle (VIN_MIN)</t>
  </si>
  <si>
    <t>Minimum Duty Cycle</t>
  </si>
  <si>
    <t>Minimum on Time</t>
  </si>
  <si>
    <t>Maximum off time</t>
  </si>
  <si>
    <t>Switching Freqeuncy Range</t>
  </si>
  <si>
    <t>Not in datasheet but practical litmits</t>
  </si>
  <si>
    <t>VIN Minimum operation voltage</t>
  </si>
  <si>
    <t>VIN Minimum start-up voltage</t>
  </si>
  <si>
    <t>ABSOLUTE MAXIMUM Ratings</t>
  </si>
  <si>
    <t>VIN, CSP,CSN</t>
  </si>
  <si>
    <t>BST to SW, FB, MODE, UVLO, OPT, VCC</t>
  </si>
  <si>
    <t>SW</t>
  </si>
  <si>
    <t>BST</t>
  </si>
  <si>
    <t>SS, SLOPE, SYNCIN/RT</t>
  </si>
  <si>
    <t>CSP to CSN, PGND</t>
  </si>
  <si>
    <t>Input Pins</t>
  </si>
  <si>
    <t>HO to SW</t>
  </si>
  <si>
    <t xml:space="preserve">LO </t>
  </si>
  <si>
    <t>COMP, RES, SYNCOUT</t>
  </si>
  <si>
    <t>Output Voltage</t>
  </si>
  <si>
    <t>VCC rail Voltage (Typical)</t>
  </si>
  <si>
    <t>VCC rail Voltage (at VIN Min)</t>
  </si>
  <si>
    <t>Selected Switching Freqeuncy</t>
  </si>
  <si>
    <t>Variable Name</t>
  </si>
  <si>
    <t>Desciption</t>
  </si>
  <si>
    <t>VOUT</t>
  </si>
  <si>
    <t>IOUT</t>
  </si>
  <si>
    <t>np</t>
  </si>
  <si>
    <t>IOUT_np</t>
  </si>
  <si>
    <t>fsw</t>
  </si>
  <si>
    <t>Operational Parameters</t>
  </si>
  <si>
    <t>eta</t>
  </si>
  <si>
    <t>VIN_MIN</t>
  </si>
  <si>
    <t>VIN_MAX</t>
  </si>
  <si>
    <t>VCC</t>
  </si>
  <si>
    <t>Freqeuncy Calculations</t>
  </si>
  <si>
    <t>VCC_min</t>
  </si>
  <si>
    <t>RT resistor value based on the datasheet equation</t>
  </si>
  <si>
    <t>R_RT</t>
  </si>
  <si>
    <t>Unit</t>
  </si>
  <si>
    <t>This is the maximum switching frequnecy based SYNCIN freqeuncy range</t>
  </si>
  <si>
    <t>fsw_max</t>
  </si>
  <si>
    <t>max switching freqeuncy based on output voltage and maximum t_off</t>
  </si>
  <si>
    <t>Inductor Selection</t>
  </si>
  <si>
    <t>RR</t>
  </si>
  <si>
    <t>Ripple ratio of inductor current</t>
  </si>
  <si>
    <t>VIN_TYP</t>
  </si>
  <si>
    <t>VIN_TYP used for calculation</t>
  </si>
  <si>
    <t>L_Calc</t>
  </si>
  <si>
    <t>H</t>
  </si>
  <si>
    <t>Lm</t>
  </si>
  <si>
    <t>Selected inductor value (per phase)</t>
  </si>
  <si>
    <t>uH</t>
  </si>
  <si>
    <t>on time at full load and VIN_MAX</t>
  </si>
  <si>
    <t>off time at full load and VIN_MAX</t>
  </si>
  <si>
    <t>off time at full load and VIN_MIN</t>
  </si>
  <si>
    <t>on time at full load and VIN_MIN</t>
  </si>
  <si>
    <t>R_Lm</t>
  </si>
  <si>
    <t>Inductor DCR (used for efficency calcualtions</t>
  </si>
  <si>
    <t>IL_PEAK_VIN_MIN</t>
  </si>
  <si>
    <t>IL_PEAK_VIN_MAX</t>
  </si>
  <si>
    <t>Steps</t>
  </si>
  <si>
    <t>Step Size</t>
  </si>
  <si>
    <t>Index</t>
  </si>
  <si>
    <r>
      <t>Estimated Efficiency (</t>
    </r>
    <r>
      <rPr>
        <sz val="11"/>
        <color theme="1"/>
        <rFont val="Calibri"/>
        <family val="2"/>
      </rPr>
      <t>η</t>
    </r>
    <r>
      <rPr>
        <sz val="11"/>
        <color theme="1"/>
        <rFont val="Calibri"/>
        <family val="2"/>
        <scheme val="minor"/>
      </rPr>
      <t>) Constant Guess is 94%</t>
    </r>
  </si>
  <si>
    <t>Duty Cycle</t>
  </si>
  <si>
    <t>IOUT(A)</t>
  </si>
  <si>
    <t>VOUT(V)</t>
  </si>
  <si>
    <t>*These are per phase calculations</t>
  </si>
  <si>
    <t>DCM / CCM</t>
  </si>
  <si>
    <t>IIN (A)</t>
  </si>
  <si>
    <t>VIN (A)</t>
  </si>
  <si>
    <t>Ripple Current (A)</t>
  </si>
  <si>
    <t>Peak Current (A)</t>
  </si>
  <si>
    <t>IL_AVG_VIN_MIN</t>
  </si>
  <si>
    <t>IL_AVG_VIN_TYP</t>
  </si>
  <si>
    <t>IL_AVG_VIN_MAX</t>
  </si>
  <si>
    <t>IL_PEAK_VIN_TYP</t>
  </si>
  <si>
    <t>IL_Ripple_VIN_MIN</t>
  </si>
  <si>
    <t>IL_Ripple_VIN_TYP</t>
  </si>
  <si>
    <t>IL_Ripple_VIN_MAX</t>
  </si>
  <si>
    <t>Duty Cycle at VIN_MIN</t>
  </si>
  <si>
    <t>Duty Cycle at VIN_TYP</t>
  </si>
  <si>
    <t>Duty Cycle at VIN_MAX</t>
  </si>
  <si>
    <t>@ IOUT MAX</t>
  </si>
  <si>
    <r>
      <t>Peak Inductor Current at V</t>
    </r>
    <r>
      <rPr>
        <vertAlign val="subscript"/>
        <sz val="11"/>
        <color theme="1"/>
        <rFont val="Calibri"/>
        <family val="2"/>
        <scheme val="minor"/>
      </rPr>
      <t>IN_MIN</t>
    </r>
    <r>
      <rPr>
        <sz val="11"/>
        <color theme="1"/>
        <rFont val="Calibri"/>
        <family val="2"/>
        <scheme val="minor"/>
      </rPr>
      <t xml:space="preserve"> (IL</t>
    </r>
    <r>
      <rPr>
        <vertAlign val="subscript"/>
        <sz val="11"/>
        <color theme="1"/>
        <rFont val="Calibri"/>
        <family val="2"/>
        <scheme val="minor"/>
      </rPr>
      <t>PEAK_VIN_MIN</t>
    </r>
    <r>
      <rPr>
        <sz val="11"/>
        <color theme="1"/>
        <rFont val="Calibri"/>
        <family val="2"/>
        <scheme val="minor"/>
      </rPr>
      <t>)</t>
    </r>
  </si>
  <si>
    <r>
      <t>Peak Inductor Current at V</t>
    </r>
    <r>
      <rPr>
        <vertAlign val="subscript"/>
        <sz val="11"/>
        <color theme="1"/>
        <rFont val="Calibri"/>
        <family val="2"/>
        <scheme val="minor"/>
      </rPr>
      <t>IN_MAX</t>
    </r>
    <r>
      <rPr>
        <sz val="11"/>
        <color theme="1"/>
        <rFont val="Calibri"/>
        <family val="2"/>
        <scheme val="minor"/>
      </rPr>
      <t xml:space="preserve"> (IL</t>
    </r>
    <r>
      <rPr>
        <vertAlign val="subscript"/>
        <sz val="11"/>
        <color theme="1"/>
        <rFont val="Calibri"/>
        <family val="2"/>
        <scheme val="minor"/>
      </rPr>
      <t>PEAK_VIN_MAX</t>
    </r>
    <r>
      <rPr>
        <sz val="11"/>
        <color theme="1"/>
        <rFont val="Calibri"/>
        <family val="2"/>
        <scheme val="minor"/>
      </rPr>
      <t>)</t>
    </r>
  </si>
  <si>
    <r>
      <t>Peak Inductor Current at V</t>
    </r>
    <r>
      <rPr>
        <vertAlign val="subscript"/>
        <sz val="11"/>
        <color theme="1"/>
        <rFont val="Calibri"/>
        <family val="2"/>
        <scheme val="minor"/>
      </rPr>
      <t>IN_TYP</t>
    </r>
    <r>
      <rPr>
        <sz val="11"/>
        <color theme="1"/>
        <rFont val="Calibri"/>
        <family val="2"/>
        <scheme val="minor"/>
      </rPr>
      <t xml:space="preserve"> (IL</t>
    </r>
    <r>
      <rPr>
        <vertAlign val="subscript"/>
        <sz val="11"/>
        <color theme="1"/>
        <rFont val="Calibri"/>
        <family val="2"/>
        <scheme val="minor"/>
      </rPr>
      <t>PEAK_VIN_TYP</t>
    </r>
    <r>
      <rPr>
        <sz val="11"/>
        <color theme="1"/>
        <rFont val="Calibri"/>
        <family val="2"/>
        <scheme val="minor"/>
      </rPr>
      <t>)</t>
    </r>
  </si>
  <si>
    <r>
      <t>Average Inductor Current at V</t>
    </r>
    <r>
      <rPr>
        <vertAlign val="subscript"/>
        <sz val="11"/>
        <color theme="1"/>
        <rFont val="Calibri"/>
        <family val="2"/>
        <scheme val="minor"/>
      </rPr>
      <t>IN_MIN</t>
    </r>
    <r>
      <rPr>
        <sz val="11"/>
        <color theme="1"/>
        <rFont val="Calibri"/>
        <family val="2"/>
        <scheme val="minor"/>
      </rPr>
      <t xml:space="preserve"> (IL</t>
    </r>
    <r>
      <rPr>
        <vertAlign val="subscript"/>
        <sz val="11"/>
        <color theme="1"/>
        <rFont val="Calibri"/>
        <family val="2"/>
        <scheme val="minor"/>
      </rPr>
      <t>AVG_VIN_MIN</t>
    </r>
    <r>
      <rPr>
        <sz val="11"/>
        <color theme="1"/>
        <rFont val="Calibri"/>
        <family val="2"/>
        <scheme val="minor"/>
      </rPr>
      <t>)</t>
    </r>
  </si>
  <si>
    <r>
      <t>Average Inductor Current at V</t>
    </r>
    <r>
      <rPr>
        <vertAlign val="subscript"/>
        <sz val="11"/>
        <color theme="1"/>
        <rFont val="Calibri"/>
        <family val="2"/>
        <scheme val="minor"/>
      </rPr>
      <t>IN_TYP</t>
    </r>
    <r>
      <rPr>
        <sz val="11"/>
        <color theme="1"/>
        <rFont val="Calibri"/>
        <family val="2"/>
        <scheme val="minor"/>
      </rPr>
      <t xml:space="preserve"> (IL</t>
    </r>
    <r>
      <rPr>
        <vertAlign val="subscript"/>
        <sz val="11"/>
        <color theme="1"/>
        <rFont val="Calibri"/>
        <family val="2"/>
        <scheme val="minor"/>
      </rPr>
      <t>AVG_VIN_TYP</t>
    </r>
    <r>
      <rPr>
        <sz val="11"/>
        <color theme="1"/>
        <rFont val="Calibri"/>
        <family val="2"/>
        <scheme val="minor"/>
      </rPr>
      <t>)</t>
    </r>
  </si>
  <si>
    <r>
      <t>Average Inductor Current at V</t>
    </r>
    <r>
      <rPr>
        <vertAlign val="subscript"/>
        <sz val="11"/>
        <color theme="1"/>
        <rFont val="Calibri"/>
        <family val="2"/>
        <scheme val="minor"/>
      </rPr>
      <t>IN_MAX</t>
    </r>
    <r>
      <rPr>
        <sz val="11"/>
        <color theme="1"/>
        <rFont val="Calibri"/>
        <family val="2"/>
        <scheme val="minor"/>
      </rPr>
      <t xml:space="preserve"> (IL</t>
    </r>
    <r>
      <rPr>
        <vertAlign val="subscript"/>
        <sz val="11"/>
        <color theme="1"/>
        <rFont val="Calibri"/>
        <family val="2"/>
        <scheme val="minor"/>
      </rPr>
      <t>AVG_VIN_MAX</t>
    </r>
    <r>
      <rPr>
        <sz val="11"/>
        <color theme="1"/>
        <rFont val="Calibri"/>
        <family val="2"/>
        <scheme val="minor"/>
      </rPr>
      <t>)</t>
    </r>
  </si>
  <si>
    <r>
      <t xml:space="preserve">Inductor Selection </t>
    </r>
    <r>
      <rPr>
        <b/>
        <sz val="10"/>
        <color theme="1"/>
        <rFont val="Calibri"/>
        <family val="2"/>
        <scheme val="minor"/>
      </rPr>
      <t>(Per Phase Calculations)</t>
    </r>
  </si>
  <si>
    <t>Current Limit Calcualtions</t>
  </si>
  <si>
    <r>
      <t>Selected Inductor Value (L</t>
    </r>
    <r>
      <rPr>
        <vertAlign val="subscript"/>
        <sz val="11"/>
        <color theme="1"/>
        <rFont val="Calibri"/>
        <family val="2"/>
        <scheme val="minor"/>
      </rPr>
      <t>M</t>
    </r>
    <r>
      <rPr>
        <sz val="11"/>
        <color theme="1"/>
        <rFont val="Calibri"/>
        <family val="2"/>
        <scheme val="minor"/>
      </rPr>
      <t>)</t>
    </r>
  </si>
  <si>
    <r>
      <t>Calculated Inductor Value (L</t>
    </r>
    <r>
      <rPr>
        <vertAlign val="subscript"/>
        <sz val="11"/>
        <color theme="1"/>
        <rFont val="Calibri"/>
        <family val="2"/>
        <scheme val="minor"/>
      </rPr>
      <t>CALC</t>
    </r>
    <r>
      <rPr>
        <sz val="11"/>
        <color theme="1"/>
        <rFont val="Calibri"/>
        <family val="2"/>
        <scheme val="minor"/>
      </rPr>
      <t>)</t>
    </r>
  </si>
  <si>
    <t>Selected Ripple Ratio (RR)</t>
  </si>
  <si>
    <r>
      <t>Selected margin for current limit (M</t>
    </r>
    <r>
      <rPr>
        <vertAlign val="subscript"/>
        <sz val="11"/>
        <color theme="1"/>
        <rFont val="Calibri"/>
        <family val="2"/>
        <scheme val="minor"/>
      </rPr>
      <t>LIMIT</t>
    </r>
    <r>
      <rPr>
        <sz val="11"/>
        <color theme="1"/>
        <rFont val="Calibri"/>
        <family val="2"/>
        <scheme val="minor"/>
      </rPr>
      <t>)</t>
    </r>
  </si>
  <si>
    <t>Current Limit Calculations</t>
  </si>
  <si>
    <t>Margin above the maximum peak limit</t>
  </si>
  <si>
    <t>IPEAK_LIMIT</t>
  </si>
  <si>
    <t>M_LIMIT</t>
  </si>
  <si>
    <t>Target Peak Limit Value</t>
  </si>
  <si>
    <t>Rcs_calc</t>
  </si>
  <si>
    <t>Calculated Current Sense Resistor (Typical Peak Current Limit)</t>
  </si>
  <si>
    <t>Rcs</t>
  </si>
  <si>
    <t>Selected Current Sense Resistor</t>
  </si>
  <si>
    <r>
      <t>Target Peak Current Limit (IL</t>
    </r>
    <r>
      <rPr>
        <vertAlign val="subscript"/>
        <sz val="11"/>
        <color theme="1"/>
        <rFont val="Calibri"/>
        <family val="2"/>
        <scheme val="minor"/>
      </rPr>
      <t>PEAK_LIMIT_TARGET</t>
    </r>
    <r>
      <rPr>
        <sz val="11"/>
        <color theme="1"/>
        <rFont val="Calibri"/>
        <family val="2"/>
        <scheme val="minor"/>
      </rPr>
      <t>)</t>
    </r>
  </si>
  <si>
    <r>
      <t>Calculated Current Sense Resistor (R</t>
    </r>
    <r>
      <rPr>
        <vertAlign val="subscript"/>
        <sz val="11"/>
        <color theme="1"/>
        <rFont val="Calibri"/>
        <family val="2"/>
        <scheme val="minor"/>
      </rPr>
      <t>CS_CALC</t>
    </r>
    <r>
      <rPr>
        <sz val="11"/>
        <color theme="1"/>
        <rFont val="Calibri"/>
        <family val="2"/>
        <scheme val="minor"/>
      </rPr>
      <t>)</t>
    </r>
  </si>
  <si>
    <r>
      <t>m</t>
    </r>
    <r>
      <rPr>
        <sz val="11"/>
        <color theme="1"/>
        <rFont val="Calibri"/>
        <family val="2"/>
      </rPr>
      <t>Ω</t>
    </r>
  </si>
  <si>
    <r>
      <t>Selected Current Sense Resistor (R</t>
    </r>
    <r>
      <rPr>
        <vertAlign val="subscript"/>
        <sz val="11"/>
        <color theme="1"/>
        <rFont val="Calibri"/>
        <family val="2"/>
        <scheme val="minor"/>
      </rPr>
      <t>CS</t>
    </r>
    <r>
      <rPr>
        <sz val="11"/>
        <color theme="1"/>
        <rFont val="Calibri"/>
        <family val="2"/>
        <scheme val="minor"/>
      </rPr>
      <t>)</t>
    </r>
  </si>
  <si>
    <t>mΩ</t>
  </si>
  <si>
    <t>Peak Current Limit @ VIN_MIN</t>
  </si>
  <si>
    <t>Peak Current Limit @ VIN_TYP</t>
  </si>
  <si>
    <t>Peak Current Limit @ VIN_MAX</t>
  </si>
  <si>
    <r>
      <t>Limited Peak Inductor Current (IL</t>
    </r>
    <r>
      <rPr>
        <vertAlign val="subscript"/>
        <sz val="11"/>
        <color theme="1"/>
        <rFont val="Calibri"/>
        <family val="2"/>
        <scheme val="minor"/>
      </rPr>
      <t>PEAK_LIMIT</t>
    </r>
    <r>
      <rPr>
        <sz val="11"/>
        <color theme="1"/>
        <rFont val="Calibri"/>
        <family val="2"/>
        <scheme val="minor"/>
      </rPr>
      <t>)</t>
    </r>
  </si>
  <si>
    <t>Maximum IOUT when peak current limit occurs @ VIN_MIN</t>
  </si>
  <si>
    <t>Maximum IOUT when peak current limit occurs @ VIN_MAX</t>
  </si>
  <si>
    <t>Maximum IOUT when peak current limit occurs @ VIN_TYP</t>
  </si>
  <si>
    <t>IL_OUT_VIN_MIN</t>
  </si>
  <si>
    <t>IL_OUT_VIN_TYP</t>
  </si>
  <si>
    <t>IL_OUT_VIN_MAX</t>
  </si>
  <si>
    <r>
      <t>Total maximum ouput current at peak current limit (I</t>
    </r>
    <r>
      <rPr>
        <vertAlign val="subscript"/>
        <sz val="11"/>
        <color theme="1"/>
        <rFont val="Calibri"/>
        <family val="2"/>
        <scheme val="minor"/>
      </rPr>
      <t>OUT_LIMIT_VIN_TYP</t>
    </r>
    <r>
      <rPr>
        <sz val="11"/>
        <color theme="1"/>
        <rFont val="Calibri"/>
        <family val="2"/>
        <scheme val="minor"/>
      </rPr>
      <t>)</t>
    </r>
  </si>
  <si>
    <r>
      <t>Total maximum ouput current at peak current limit (I</t>
    </r>
    <r>
      <rPr>
        <vertAlign val="subscript"/>
        <sz val="11"/>
        <color theme="1"/>
        <rFont val="Calibri"/>
        <family val="2"/>
        <scheme val="minor"/>
      </rPr>
      <t>OUT_LIMIT_VIN_MIN</t>
    </r>
    <r>
      <rPr>
        <sz val="11"/>
        <color theme="1"/>
        <rFont val="Calibri"/>
        <family val="2"/>
        <scheme val="minor"/>
      </rPr>
      <t>)</t>
    </r>
  </si>
  <si>
    <r>
      <t>Total maximum ouput current at peak current limit (I</t>
    </r>
    <r>
      <rPr>
        <vertAlign val="subscript"/>
        <sz val="11"/>
        <color theme="1"/>
        <rFont val="Calibri"/>
        <family val="2"/>
        <scheme val="minor"/>
      </rPr>
      <t>OUT_LIMIT_VIN_MAX</t>
    </r>
    <r>
      <rPr>
        <sz val="11"/>
        <color theme="1"/>
        <rFont val="Calibri"/>
        <family val="2"/>
        <scheme val="minor"/>
      </rPr>
      <t>)</t>
    </r>
  </si>
  <si>
    <t>Slope Compensation</t>
  </si>
  <si>
    <t>Slope Compensation k factor</t>
  </si>
  <si>
    <t>Slope Compenstation</t>
  </si>
  <si>
    <r>
      <t>Selected K Factor (K</t>
    </r>
    <r>
      <rPr>
        <vertAlign val="subscript"/>
        <sz val="11"/>
        <color theme="1"/>
        <rFont val="Calibri"/>
        <family val="2"/>
        <scheme val="minor"/>
      </rPr>
      <t>SLOPE</t>
    </r>
    <r>
      <rPr>
        <sz val="11"/>
        <color theme="1"/>
        <rFont val="Calibri"/>
        <family val="2"/>
        <scheme val="minor"/>
      </rPr>
      <t>)</t>
    </r>
  </si>
  <si>
    <t>K_slope_selected</t>
  </si>
  <si>
    <t>R_slope_calc</t>
  </si>
  <si>
    <t>Calcualted R slope value for the chossen k Factor</t>
  </si>
  <si>
    <t>R_slope_min</t>
  </si>
  <si>
    <t>Minimum value of the slope resistor</t>
  </si>
  <si>
    <t>kΩ</t>
  </si>
  <si>
    <t>R_slope</t>
  </si>
  <si>
    <t>Selected R Slope Value</t>
  </si>
  <si>
    <t>K_slope @ VIN_MIN</t>
  </si>
  <si>
    <t>K_slope @ VIN_TYP</t>
  </si>
  <si>
    <t>K_slope @ VIN_MAX</t>
  </si>
  <si>
    <t>Acs</t>
  </si>
  <si>
    <t>Current Sense Amplifier Gain</t>
  </si>
  <si>
    <t>VCL_Typ</t>
  </si>
  <si>
    <t>Typical Current Limit Value</t>
  </si>
  <si>
    <t>K slope at VIN_MIN</t>
  </si>
  <si>
    <t>K slope at VIN_MAX</t>
  </si>
  <si>
    <t>K slope at VIN_TYP</t>
  </si>
  <si>
    <t>Sub_Har_VIN_MIN</t>
  </si>
  <si>
    <t>Sub_Har_VIN_TYP</t>
  </si>
  <si>
    <t>Sub_Har_VIN_MAX</t>
  </si>
  <si>
    <t>Check for Subharmonic Osillation</t>
  </si>
  <si>
    <t>OUTPUT Capacitance Selection</t>
  </si>
  <si>
    <t>Specifications</t>
  </si>
  <si>
    <t>Timing Resistor</t>
  </si>
  <si>
    <t>Vout_ripple</t>
  </si>
  <si>
    <t>Desired output ripple</t>
  </si>
  <si>
    <t>mV</t>
  </si>
  <si>
    <t>Output ripple due to capacitive ripple</t>
  </si>
  <si>
    <t>F</t>
  </si>
  <si>
    <t>uF</t>
  </si>
  <si>
    <t>Cout</t>
  </si>
  <si>
    <t>Resr</t>
  </si>
  <si>
    <t>Selected total amount of output capacitance</t>
  </si>
  <si>
    <t>Total series resistance of the output capacitance</t>
  </si>
  <si>
    <r>
      <t>Total sereies resistance of output capacitance (R</t>
    </r>
    <r>
      <rPr>
        <vertAlign val="subscript"/>
        <sz val="11"/>
        <color theme="1"/>
        <rFont val="Calibri"/>
        <family val="2"/>
        <scheme val="minor"/>
      </rPr>
      <t>ESR</t>
    </r>
    <r>
      <rPr>
        <sz val="11"/>
        <color theme="1"/>
        <rFont val="Calibri"/>
        <family val="2"/>
        <scheme val="minor"/>
      </rPr>
      <t>)</t>
    </r>
  </si>
  <si>
    <r>
      <t>Selected output capacitance (C</t>
    </r>
    <r>
      <rPr>
        <vertAlign val="subscript"/>
        <sz val="11"/>
        <color theme="1"/>
        <rFont val="Calibri"/>
        <family val="2"/>
        <scheme val="minor"/>
      </rPr>
      <t>OUT</t>
    </r>
    <r>
      <rPr>
        <sz val="11"/>
        <color theme="1"/>
        <rFont val="Calibri"/>
        <family val="2"/>
        <scheme val="minor"/>
      </rPr>
      <t>)</t>
    </r>
  </si>
  <si>
    <t>w_RHP</t>
  </si>
  <si>
    <t>RAD/s</t>
  </si>
  <si>
    <t>w_Z_ESR</t>
  </si>
  <si>
    <t xml:space="preserve">Zero due to output capacitance and ESR </t>
  </si>
  <si>
    <t>w_p_low</t>
  </si>
  <si>
    <t>ADC</t>
  </si>
  <si>
    <t>DC gain of the Plant function</t>
  </si>
  <si>
    <t>Qfact</t>
  </si>
  <si>
    <t>Quatility Factor due to slope compensation</t>
  </si>
  <si>
    <t>Control Loop Calculations (@ VIN_MIN)</t>
  </si>
  <si>
    <t>Compensation Calcualtions</t>
  </si>
  <si>
    <r>
      <t>Selected Top Feedback Resistor (R</t>
    </r>
    <r>
      <rPr>
        <vertAlign val="subscript"/>
        <sz val="11"/>
        <color theme="1"/>
        <rFont val="Calibri"/>
        <family val="2"/>
        <scheme val="minor"/>
      </rPr>
      <t>FB2</t>
    </r>
    <r>
      <rPr>
        <sz val="11"/>
        <color theme="1"/>
        <rFont val="Calibri"/>
        <family val="2"/>
        <scheme val="minor"/>
      </rPr>
      <t>)</t>
    </r>
  </si>
  <si>
    <r>
      <t>Calculated Bottom Feedback Resistor (R</t>
    </r>
    <r>
      <rPr>
        <vertAlign val="subscript"/>
        <sz val="11"/>
        <color theme="1"/>
        <rFont val="Calibri"/>
        <family val="2"/>
        <scheme val="minor"/>
      </rPr>
      <t>FB1</t>
    </r>
    <r>
      <rPr>
        <sz val="11"/>
        <color theme="1"/>
        <rFont val="Calibri"/>
        <family val="2"/>
        <scheme val="minor"/>
      </rPr>
      <t>)</t>
    </r>
  </si>
  <si>
    <r>
      <t>Selected Bottom Feedback Resistor (R</t>
    </r>
    <r>
      <rPr>
        <vertAlign val="subscript"/>
        <sz val="11"/>
        <color theme="1"/>
        <rFont val="Calibri"/>
        <family val="2"/>
        <scheme val="minor"/>
      </rPr>
      <t>FB1</t>
    </r>
    <r>
      <rPr>
        <sz val="11"/>
        <color theme="1"/>
        <rFont val="Calibri"/>
        <family val="2"/>
        <scheme val="minor"/>
      </rPr>
      <t>)</t>
    </r>
  </si>
  <si>
    <t>Feedback Resistor Calcualtion</t>
  </si>
  <si>
    <t>RFB_Top</t>
  </si>
  <si>
    <t>RFB_Bottom_Calc</t>
  </si>
  <si>
    <t>Calculated Bottom Feedback Resistor</t>
  </si>
  <si>
    <t>RFB_Bottom</t>
  </si>
  <si>
    <t>Selected Bottom Feedback Resistor</t>
  </si>
  <si>
    <t>Selected Top Feedback resistor</t>
  </si>
  <si>
    <t>VOUT_actual</t>
  </si>
  <si>
    <t>I_FB</t>
  </si>
  <si>
    <t>The set output voltage based on the selected resistors</t>
  </si>
  <si>
    <t>The amount of current that will be drawing during switching</t>
  </si>
  <si>
    <t>Compensation calculations</t>
  </si>
  <si>
    <t>F_cross (1/10 of Fsw? Or 1/4 RHP fz)</t>
  </si>
  <si>
    <t xml:space="preserve">Rcomp </t>
  </si>
  <si>
    <t>ohm</t>
  </si>
  <si>
    <t>Ccomp</t>
  </si>
  <si>
    <t>CHF</t>
  </si>
  <si>
    <t>Rcomp</t>
  </si>
  <si>
    <t>nF</t>
  </si>
  <si>
    <t>pF</t>
  </si>
  <si>
    <t>Soft-start capacitor selection</t>
  </si>
  <si>
    <t>UVLO resistor selection</t>
  </si>
  <si>
    <t>Desired minimum soft-start time @VIN(MAX), TSS [ms]</t>
  </si>
  <si>
    <r>
      <t>Soft-start capacitor, C</t>
    </r>
    <r>
      <rPr>
        <vertAlign val="subscript"/>
        <sz val="11"/>
        <rFont val="Calibri"/>
        <family val="2"/>
        <scheme val="minor"/>
      </rPr>
      <t>SS</t>
    </r>
    <r>
      <rPr>
        <sz val="11"/>
        <rFont val="Calibri"/>
        <family val="2"/>
        <scheme val="minor"/>
      </rPr>
      <t xml:space="preserve"> [nF]</t>
    </r>
  </si>
  <si>
    <r>
      <t>Maximum soft-start time @V</t>
    </r>
    <r>
      <rPr>
        <vertAlign val="subscript"/>
        <sz val="11"/>
        <rFont val="Calibri"/>
        <family val="2"/>
        <scheme val="minor"/>
      </rPr>
      <t>IN(MIN)</t>
    </r>
    <r>
      <rPr>
        <sz val="11"/>
        <rFont val="Calibri"/>
        <family val="2"/>
        <scheme val="minor"/>
      </rPr>
      <t>, T</t>
    </r>
    <r>
      <rPr>
        <vertAlign val="subscript"/>
        <sz val="11"/>
        <rFont val="Calibri"/>
        <family val="2"/>
        <scheme val="minor"/>
      </rPr>
      <t>SS</t>
    </r>
    <r>
      <rPr>
        <sz val="11"/>
        <rFont val="Calibri"/>
        <family val="2"/>
        <scheme val="minor"/>
      </rPr>
      <t xml:space="preserve"> [ms]</t>
    </r>
  </si>
  <si>
    <t xml:space="preserve">ISS = </t>
  </si>
  <si>
    <r>
      <t>Desired start-up voltage, V</t>
    </r>
    <r>
      <rPr>
        <vertAlign val="subscript"/>
        <sz val="11"/>
        <rFont val="Calibri"/>
        <family val="2"/>
        <scheme val="minor"/>
      </rPr>
      <t>IN(STARTUP)</t>
    </r>
    <r>
      <rPr>
        <sz val="11"/>
        <color theme="1"/>
        <rFont val="Calibri"/>
        <family val="2"/>
        <scheme val="minor"/>
      </rPr>
      <t xml:space="preserve"> [V]</t>
    </r>
  </si>
  <si>
    <r>
      <t>UVLO shutdown voltage, V</t>
    </r>
    <r>
      <rPr>
        <vertAlign val="subscript"/>
        <sz val="11"/>
        <color theme="1"/>
        <rFont val="Calibri"/>
        <family val="2"/>
        <scheme val="minor"/>
      </rPr>
      <t>IN(SHUTDOWN)</t>
    </r>
    <r>
      <rPr>
        <sz val="11"/>
        <color theme="1"/>
        <rFont val="Calibri"/>
        <family val="2"/>
        <scheme val="minor"/>
      </rPr>
      <t xml:space="preserve"> [V]</t>
    </r>
  </si>
  <si>
    <t>IHYS =</t>
  </si>
  <si>
    <t xml:space="preserve">Uvth = </t>
  </si>
  <si>
    <t>IHYSmin =</t>
  </si>
  <si>
    <t>Uvthmin =</t>
  </si>
  <si>
    <r>
      <t>UV hysteresis, V</t>
    </r>
    <r>
      <rPr>
        <vertAlign val="subscript"/>
        <sz val="11"/>
        <rFont val="Calibri"/>
        <family val="2"/>
        <scheme val="minor"/>
      </rPr>
      <t>HYS</t>
    </r>
    <r>
      <rPr>
        <sz val="11"/>
        <color theme="1"/>
        <rFont val="Calibri"/>
        <family val="2"/>
        <scheme val="minor"/>
      </rPr>
      <t xml:space="preserve"> [V]</t>
    </r>
  </si>
  <si>
    <r>
      <t>Desired start-up voltage, V</t>
    </r>
    <r>
      <rPr>
        <vertAlign val="subscript"/>
        <sz val="11"/>
        <color theme="1"/>
        <rFont val="Calibri"/>
        <family val="2"/>
        <scheme val="minor"/>
      </rPr>
      <t>IN(turnoff)</t>
    </r>
    <r>
      <rPr>
        <sz val="11"/>
        <color theme="1"/>
        <rFont val="Calibri"/>
        <family val="2"/>
        <scheme val="minor"/>
      </rPr>
      <t xml:space="preserve"> [V]</t>
    </r>
  </si>
  <si>
    <r>
      <t>Selected R</t>
    </r>
    <r>
      <rPr>
        <vertAlign val="subscript"/>
        <sz val="11"/>
        <color theme="1"/>
        <rFont val="Calibri"/>
        <family val="2"/>
        <scheme val="minor"/>
      </rPr>
      <t>UV2</t>
    </r>
    <r>
      <rPr>
        <sz val="11"/>
        <color theme="1"/>
        <rFont val="Calibri"/>
        <family val="2"/>
        <scheme val="minor"/>
      </rPr>
      <t xml:space="preserve"> [kΩ]</t>
    </r>
  </si>
  <si>
    <t xml:space="preserve">UV_standby = </t>
  </si>
  <si>
    <t>UV_standby_HYS</t>
  </si>
  <si>
    <r>
      <t>(top) Calculated R</t>
    </r>
    <r>
      <rPr>
        <vertAlign val="subscript"/>
        <sz val="11"/>
        <rFont val="Calibri"/>
        <family val="2"/>
        <scheme val="minor"/>
      </rPr>
      <t>UV2</t>
    </r>
    <r>
      <rPr>
        <sz val="11"/>
        <color theme="1"/>
        <rFont val="Calibri"/>
        <family val="2"/>
        <scheme val="minor"/>
      </rPr>
      <t xml:space="preserve"> [kΩ]</t>
    </r>
  </si>
  <si>
    <r>
      <t>Calculated R</t>
    </r>
    <r>
      <rPr>
        <vertAlign val="subscript"/>
        <sz val="11"/>
        <rFont val="Calibri"/>
        <family val="2"/>
        <scheme val="minor"/>
      </rPr>
      <t>UV1</t>
    </r>
    <r>
      <rPr>
        <sz val="11"/>
        <color theme="1"/>
        <rFont val="Calibri"/>
        <family val="2"/>
        <scheme val="minor"/>
      </rPr>
      <t xml:space="preserve"> [kΩ]</t>
    </r>
  </si>
  <si>
    <t>ratio of Rcomp and RFB2 top determines mid-band gain AFB_MID, so large RFB2 means large Comp, RFB2 should be large enuff to keep power diss small.</t>
  </si>
  <si>
    <t>Low Freqeuncy pole to to ROUT and COUT (dominant load pole)</t>
  </si>
  <si>
    <t>Rload * D' = Vin_min/Iout</t>
  </si>
  <si>
    <t>Feedback DC gain</t>
  </si>
  <si>
    <t>Mid-band gain</t>
  </si>
  <si>
    <t>Low freq zero</t>
  </si>
  <si>
    <t>High Freq pole</t>
  </si>
  <si>
    <t xml:space="preserve"> (mA)</t>
  </si>
  <si>
    <t>RHP Freq</t>
  </si>
  <si>
    <t>ESR zero Freq</t>
  </si>
  <si>
    <t>Low Freq Pole</t>
  </si>
  <si>
    <t>calc. suggested one of the two values</t>
  </si>
  <si>
    <t>Desired Cross over freq</t>
  </si>
  <si>
    <t xml:space="preserve">Ccomp  </t>
  </si>
  <si>
    <t>Selected cross over frequency</t>
  </si>
  <si>
    <t>Suggested Cross over frequency</t>
  </si>
  <si>
    <t>Calculated</t>
  </si>
  <si>
    <t>Selected</t>
  </si>
  <si>
    <r>
      <t>R</t>
    </r>
    <r>
      <rPr>
        <vertAlign val="subscript"/>
        <sz val="11"/>
        <color theme="1"/>
        <rFont val="Calibri"/>
        <family val="2"/>
        <scheme val="minor"/>
      </rPr>
      <t>COMP</t>
    </r>
  </si>
  <si>
    <r>
      <t>C</t>
    </r>
    <r>
      <rPr>
        <vertAlign val="subscript"/>
        <sz val="11"/>
        <color theme="1"/>
        <rFont val="Calibri"/>
        <family val="2"/>
        <scheme val="minor"/>
      </rPr>
      <t>COMP</t>
    </r>
  </si>
  <si>
    <r>
      <t>C</t>
    </r>
    <r>
      <rPr>
        <vertAlign val="subscript"/>
        <sz val="11"/>
        <color theme="1"/>
        <rFont val="Calibri"/>
        <family val="2"/>
        <scheme val="minor"/>
      </rPr>
      <t>HF</t>
    </r>
  </si>
  <si>
    <t>Efficiency / Power Loss Analyzer</t>
  </si>
  <si>
    <t>Low-Side MOSFET Parameters (QLS)</t>
  </si>
  <si>
    <r>
      <t>High-Side MOSFET Parameters (Q</t>
    </r>
    <r>
      <rPr>
        <b/>
        <vertAlign val="subscript"/>
        <sz val="11"/>
        <color theme="2" tint="-0.89996032593768116"/>
        <rFont val="Calibri"/>
        <family val="2"/>
        <scheme val="minor"/>
      </rPr>
      <t>HS</t>
    </r>
    <r>
      <rPr>
        <b/>
        <sz val="11"/>
        <color theme="2" tint="-0.89999084444715716"/>
        <rFont val="Calibri"/>
        <family val="2"/>
        <scheme val="minor"/>
      </rPr>
      <t>)</t>
    </r>
  </si>
  <si>
    <t>Value</t>
  </si>
  <si>
    <t>STD Units</t>
  </si>
  <si>
    <t>Notes</t>
  </si>
  <si>
    <t>Input Parameters</t>
  </si>
  <si>
    <t>VIN_min</t>
  </si>
  <si>
    <t>Minimum input voltage</t>
  </si>
  <si>
    <t>VIN_nom</t>
  </si>
  <si>
    <t>Nominal input voltage</t>
  </si>
  <si>
    <t>VIN_max</t>
  </si>
  <si>
    <t>Maximum input voltage</t>
  </si>
  <si>
    <t>Fsw</t>
  </si>
  <si>
    <t xml:space="preserve">Switching frequnecy </t>
  </si>
  <si>
    <t>VIN_VAR</t>
  </si>
  <si>
    <t>Variable input voltage</t>
  </si>
  <si>
    <t>IOUT_VAR</t>
  </si>
  <si>
    <t>Variable output current (Can add this a different revision, not needed right now)</t>
  </si>
  <si>
    <t>Component Selection</t>
  </si>
  <si>
    <t>LM</t>
  </si>
  <si>
    <t>filter Inductor</t>
  </si>
  <si>
    <t>R_cs</t>
  </si>
  <si>
    <t>Ω</t>
  </si>
  <si>
    <t>R_sl</t>
  </si>
  <si>
    <t>Rsl_int</t>
  </si>
  <si>
    <t>Isl</t>
  </si>
  <si>
    <t>Vsl</t>
  </si>
  <si>
    <t>Gcomp</t>
  </si>
  <si>
    <t>Input from user =</t>
  </si>
  <si>
    <t>Output =</t>
  </si>
  <si>
    <t>Constant</t>
  </si>
  <si>
    <t>Maximum Output current (per phase)</t>
  </si>
  <si>
    <t>Kex</t>
  </si>
  <si>
    <t>Km</t>
  </si>
  <si>
    <t>Kd</t>
  </si>
  <si>
    <r>
      <t>Selected V</t>
    </r>
    <r>
      <rPr>
        <vertAlign val="subscript"/>
        <sz val="11"/>
        <color theme="1"/>
        <rFont val="Calibri"/>
        <family val="2"/>
        <scheme val="minor"/>
      </rPr>
      <t>in</t>
    </r>
  </si>
  <si>
    <t>DC gain of plant function with Vin_vari</t>
  </si>
  <si>
    <t>Slope compensation parameters. Will change pole and DC gain equation</t>
  </si>
  <si>
    <r>
      <t>External Slope Compensation Resistor</t>
    </r>
    <r>
      <rPr>
        <b/>
        <sz val="11"/>
        <color theme="1"/>
        <rFont val="Calibri"/>
        <family val="2"/>
        <scheme val="minor"/>
      </rPr>
      <t xml:space="preserve"> </t>
    </r>
  </si>
  <si>
    <t>wp_lf</t>
  </si>
  <si>
    <t>wz_rhp</t>
  </si>
  <si>
    <t>wz_esr</t>
  </si>
  <si>
    <t>Se</t>
  </si>
  <si>
    <t>Sn</t>
  </si>
  <si>
    <t>wsl</t>
  </si>
  <si>
    <t>Q</t>
  </si>
  <si>
    <t>Rad/s</t>
  </si>
  <si>
    <t>same as usual not dependant on Vin</t>
  </si>
  <si>
    <t>Low Frequency Pole</t>
  </si>
  <si>
    <t>RHPz zero of boost converter with Vin_vari</t>
  </si>
  <si>
    <t>ESR zero cause by output capacitance</t>
  </si>
  <si>
    <t>Down slope at the selected input voltage</t>
  </si>
  <si>
    <t>Rad</t>
  </si>
  <si>
    <t>Error Amplifier</t>
  </si>
  <si>
    <t>Compensation Components</t>
  </si>
  <si>
    <t>RFBT</t>
  </si>
  <si>
    <t>RFBB</t>
  </si>
  <si>
    <t>RCOMP</t>
  </si>
  <si>
    <t>CCOMP</t>
  </si>
  <si>
    <t>Adc_ea</t>
  </si>
  <si>
    <t>wz_ea</t>
  </si>
  <si>
    <t>wp0_ea</t>
  </si>
  <si>
    <t>wp1_ea</t>
  </si>
  <si>
    <t>Top feedback resistor</t>
  </si>
  <si>
    <t>Bottom feedback resistor</t>
  </si>
  <si>
    <t>Type II compensation Resistort</t>
  </si>
  <si>
    <t>Type II compensation Capacitor</t>
  </si>
  <si>
    <t>Type II high frequency capacitor</t>
  </si>
  <si>
    <t>Error Amplifier Zero</t>
  </si>
  <si>
    <t>Error Amplifier pole at the origin</t>
  </si>
  <si>
    <t>Error Amplifier pole at high frequencies</t>
  </si>
  <si>
    <t>F_Cross selected</t>
  </si>
  <si>
    <t>Operating mode</t>
  </si>
  <si>
    <t>CCM Plant Transfer Function</t>
  </si>
  <si>
    <t>Sampling</t>
  </si>
  <si>
    <t>Total</t>
  </si>
  <si>
    <t>Complex</t>
  </si>
  <si>
    <t>Gain</t>
  </si>
  <si>
    <t>Phase</t>
  </si>
  <si>
    <t>COMPLEX</t>
  </si>
  <si>
    <t>Frcoss (VIN)min</t>
  </si>
  <si>
    <t>Fcross (VINvar)</t>
  </si>
  <si>
    <t>wz_RHP</t>
  </si>
  <si>
    <t>Kex_VINmin</t>
  </si>
  <si>
    <t>Km_VINmin</t>
  </si>
  <si>
    <t>Kd_VINmin</t>
  </si>
  <si>
    <t>ADC_VINmin</t>
  </si>
  <si>
    <t>wp_lf_VINmin</t>
  </si>
  <si>
    <t>rad</t>
  </si>
  <si>
    <t>Low frequency pole based on the minimum input voltage</t>
  </si>
  <si>
    <t>fp_lf_VINmin</t>
  </si>
  <si>
    <r>
      <t xml:space="preserve">Plant low frequency pole. </t>
    </r>
    <r>
      <rPr>
        <b/>
        <sz val="11"/>
        <color theme="1"/>
        <rFont val="Calibri"/>
        <family val="2"/>
        <scheme val="minor"/>
      </rPr>
      <t>IN Hz!!!</t>
    </r>
  </si>
  <si>
    <t>wz_esr_VINmin</t>
  </si>
  <si>
    <t>raf</t>
  </si>
  <si>
    <t>ESR zero based on the minimum input voltage</t>
  </si>
  <si>
    <t>fz_esr_VINmin</t>
  </si>
  <si>
    <r>
      <t xml:space="preserve">Plant capacitor ESR zero </t>
    </r>
    <r>
      <rPr>
        <b/>
        <sz val="11"/>
        <color theme="1"/>
        <rFont val="Calibri"/>
        <family val="2"/>
        <scheme val="minor"/>
      </rPr>
      <t>(In Hz)</t>
    </r>
  </si>
  <si>
    <t>wz_RHP_VINmin</t>
  </si>
  <si>
    <t>RHP_zero location based on the minimum input voltage</t>
  </si>
  <si>
    <t>fz_rhp_VINmin</t>
  </si>
  <si>
    <r>
      <t xml:space="preserve">Plant RHP Zero, </t>
    </r>
    <r>
      <rPr>
        <b/>
        <sz val="11"/>
        <color theme="1"/>
        <rFont val="Calibri"/>
        <family val="2"/>
        <scheme val="minor"/>
      </rPr>
      <t>(IN Hz)</t>
    </r>
  </si>
  <si>
    <t>1/10 the swictching frequency</t>
  </si>
  <si>
    <t>Select the lower crossover frequency</t>
  </si>
  <si>
    <t>Se_VINmin</t>
  </si>
  <si>
    <t>Slope compensation (VSL is refered to the current sense resistor)</t>
  </si>
  <si>
    <t>Sn_VINmin</t>
  </si>
  <si>
    <t>wsl_VINmin</t>
  </si>
  <si>
    <t>Sampling pole</t>
  </si>
  <si>
    <t>Q_VINmin</t>
  </si>
  <si>
    <t>Q factor of the inductor sampling curve</t>
  </si>
  <si>
    <t>CCM Open Loop Response</t>
  </si>
  <si>
    <t>Displayed Loop Calclation</t>
  </si>
  <si>
    <t>ADC_ea</t>
  </si>
  <si>
    <t xml:space="preserve">Gain </t>
  </si>
  <si>
    <t>Cout_Calc_Ripple_VINmin</t>
  </si>
  <si>
    <r>
      <t xml:space="preserve">Output Capacitance </t>
    </r>
    <r>
      <rPr>
        <vertAlign val="subscript"/>
        <sz val="16"/>
        <color theme="1"/>
        <rFont val="Calibri"/>
        <family val="2"/>
        <scheme val="minor"/>
      </rPr>
      <t>(per phase)</t>
    </r>
  </si>
  <si>
    <t>ms</t>
  </si>
  <si>
    <r>
      <t>Calculated soft-start capacitor (C</t>
    </r>
    <r>
      <rPr>
        <vertAlign val="subscript"/>
        <sz val="11"/>
        <color theme="1"/>
        <rFont val="Calibri"/>
        <family val="2"/>
        <scheme val="minor"/>
      </rPr>
      <t>SS</t>
    </r>
    <r>
      <rPr>
        <sz val="11"/>
        <color theme="1"/>
        <rFont val="Calibri"/>
        <family val="2"/>
        <scheme val="minor"/>
      </rPr>
      <t>)</t>
    </r>
  </si>
  <si>
    <t>Soft-Start Capacitor Calculation</t>
  </si>
  <si>
    <t>Feedback Resistor Calculations</t>
  </si>
  <si>
    <r>
      <t>Desired minimum soft-start time at maximum input voltage (T</t>
    </r>
    <r>
      <rPr>
        <vertAlign val="subscript"/>
        <sz val="11"/>
        <color theme="1"/>
        <rFont val="Calibri"/>
        <family val="2"/>
        <scheme val="minor"/>
      </rPr>
      <t>SS_MIN</t>
    </r>
    <r>
      <rPr>
        <sz val="11"/>
        <color theme="1"/>
        <rFont val="Calibri"/>
        <family val="2"/>
        <scheme val="minor"/>
      </rPr>
      <t>)</t>
    </r>
  </si>
  <si>
    <r>
      <t>Maximum soft-start time at minimum input voltage (T</t>
    </r>
    <r>
      <rPr>
        <vertAlign val="subscript"/>
        <sz val="11"/>
        <color theme="1"/>
        <rFont val="Calibri"/>
        <family val="2"/>
        <scheme val="minor"/>
      </rPr>
      <t>SS_MAX</t>
    </r>
    <r>
      <rPr>
        <sz val="11"/>
        <color theme="1"/>
        <rFont val="Calibri"/>
        <family val="2"/>
        <scheme val="minor"/>
      </rPr>
      <t>)</t>
    </r>
  </si>
  <si>
    <t>Light load operation switching mode</t>
  </si>
  <si>
    <r>
      <t xml:space="preserve"> Output Power Per Phase, P</t>
    </r>
    <r>
      <rPr>
        <vertAlign val="subscript"/>
        <sz val="10"/>
        <color theme="1"/>
        <rFont val="Calibri"/>
        <family val="2"/>
        <scheme val="minor"/>
      </rPr>
      <t>OUT</t>
    </r>
    <r>
      <rPr>
        <sz val="10"/>
        <color theme="1"/>
        <rFont val="Calibri"/>
        <family val="2"/>
        <scheme val="minor"/>
      </rPr>
      <t xml:space="preserve"> </t>
    </r>
  </si>
  <si>
    <r>
      <t>Total Output Power, P</t>
    </r>
    <r>
      <rPr>
        <vertAlign val="subscript"/>
        <sz val="10"/>
        <color theme="1"/>
        <rFont val="Calibri"/>
        <family val="2"/>
        <scheme val="minor"/>
      </rPr>
      <t>OUT</t>
    </r>
    <r>
      <rPr>
        <sz val="10"/>
        <color theme="1"/>
        <rFont val="Calibri"/>
        <family val="2"/>
        <scheme val="minor"/>
      </rPr>
      <t xml:space="preserve"> </t>
    </r>
  </si>
  <si>
    <t>selected switching mode (1 = SKIP, 2 = DEM, 3 =FPWM) Will change the effieciency calculations accordingly</t>
  </si>
  <si>
    <t>W</t>
  </si>
  <si>
    <t>SW_mode</t>
  </si>
  <si>
    <t>SKIP</t>
  </si>
  <si>
    <t>DEM</t>
  </si>
  <si>
    <t>FPWM</t>
  </si>
  <si>
    <t>DC_VIN_var_DCM</t>
  </si>
  <si>
    <t>Fm_DCM</t>
  </si>
  <si>
    <t>ADC_VIN_min_DCM</t>
  </si>
  <si>
    <t>wp_lf_DCM</t>
  </si>
  <si>
    <t>wz1_dcm</t>
  </si>
  <si>
    <t>wz2_dcm</t>
  </si>
  <si>
    <t>DCM Operation Loop Model</t>
  </si>
  <si>
    <t>DCM Open Loop Response</t>
  </si>
  <si>
    <t>DEM_DCM_mode</t>
  </si>
  <si>
    <t>Selected VIN</t>
  </si>
  <si>
    <t>DCM Plant Transfer Function</t>
  </si>
  <si>
    <t>Frequency</t>
  </si>
  <si>
    <t>Gain(dB)</t>
  </si>
  <si>
    <t>Phase (deg)</t>
  </si>
  <si>
    <r>
      <t>On-State Resistance, R</t>
    </r>
    <r>
      <rPr>
        <vertAlign val="subscript"/>
        <sz val="10"/>
        <color theme="2" tint="-0.89999084444715716"/>
        <rFont val="Arial"/>
        <family val="2"/>
      </rPr>
      <t>DS(on)</t>
    </r>
    <r>
      <rPr>
        <sz val="10"/>
        <color theme="2" tint="-0.89999084444715716"/>
        <rFont val="Arial"/>
        <family val="2"/>
      </rPr>
      <t xml:space="preserve"> </t>
    </r>
  </si>
  <si>
    <t>mΩ</t>
  </si>
  <si>
    <r>
      <t>Total Gate Charge, Q</t>
    </r>
    <r>
      <rPr>
        <vertAlign val="subscript"/>
        <sz val="10"/>
        <color theme="2" tint="-0.89999084444715716"/>
        <rFont val="Arial"/>
        <family val="2"/>
      </rPr>
      <t>G</t>
    </r>
    <r>
      <rPr>
        <sz val="10"/>
        <color theme="2" tint="-0.89999084444715716"/>
        <rFont val="Arial"/>
        <family val="2"/>
      </rPr>
      <t xml:space="preserve"> </t>
    </r>
  </si>
  <si>
    <t>nC</t>
  </si>
  <si>
    <r>
      <t>Gate-Drain Charge, Q</t>
    </r>
    <r>
      <rPr>
        <vertAlign val="subscript"/>
        <sz val="10"/>
        <color theme="2" tint="-0.89999084444715716"/>
        <rFont val="Arial"/>
        <family val="2"/>
      </rPr>
      <t>GD</t>
    </r>
    <r>
      <rPr>
        <sz val="10"/>
        <color theme="2" tint="-0.89999084444715716"/>
        <rFont val="Arial"/>
        <family val="2"/>
      </rPr>
      <t xml:space="preserve"> </t>
    </r>
  </si>
  <si>
    <r>
      <t>Gate-Source Charge, Q</t>
    </r>
    <r>
      <rPr>
        <vertAlign val="subscript"/>
        <sz val="10"/>
        <color theme="2" tint="-0.89999084444715716"/>
        <rFont val="Arial"/>
        <family val="2"/>
      </rPr>
      <t>GS</t>
    </r>
    <r>
      <rPr>
        <sz val="10"/>
        <color theme="2" tint="-0.89999084444715716"/>
        <rFont val="Arial"/>
        <family val="2"/>
      </rPr>
      <t xml:space="preserve"> </t>
    </r>
  </si>
  <si>
    <r>
      <t>Gate Resistance, R</t>
    </r>
    <r>
      <rPr>
        <vertAlign val="subscript"/>
        <sz val="10"/>
        <color theme="2" tint="-0.89999084444715716"/>
        <rFont val="Arial"/>
        <family val="2"/>
      </rPr>
      <t>G</t>
    </r>
    <r>
      <rPr>
        <sz val="10"/>
        <color theme="2" tint="-0.89999084444715716"/>
        <rFont val="Arial"/>
        <family val="2"/>
      </rPr>
      <t xml:space="preserve"> </t>
    </r>
  </si>
  <si>
    <t>Ω</t>
  </si>
  <si>
    <r>
      <t>Gate-Source Threshold Voltage, V</t>
    </r>
    <r>
      <rPr>
        <vertAlign val="subscript"/>
        <sz val="10"/>
        <color theme="2" tint="-0.89999084444715716"/>
        <rFont val="Arial"/>
        <family val="2"/>
      </rPr>
      <t>TH</t>
    </r>
    <r>
      <rPr>
        <sz val="10"/>
        <color theme="2" tint="-0.89999084444715716"/>
        <rFont val="Arial"/>
        <family val="2"/>
      </rPr>
      <t xml:space="preserve"> </t>
    </r>
  </si>
  <si>
    <r>
      <t>On-State Resistance, (R</t>
    </r>
    <r>
      <rPr>
        <vertAlign val="subscript"/>
        <sz val="10"/>
        <color theme="2" tint="-0.89999084444715716"/>
        <rFont val="Arial"/>
        <family val="2"/>
      </rPr>
      <t>DS(on)</t>
    </r>
    <r>
      <rPr>
        <sz val="10"/>
        <color theme="2" tint="-0.89999084444715716"/>
        <rFont val="Arial"/>
        <family val="2"/>
      </rPr>
      <t>)</t>
    </r>
  </si>
  <si>
    <r>
      <t>Total Gate Charge, (Q</t>
    </r>
    <r>
      <rPr>
        <vertAlign val="subscript"/>
        <sz val="10"/>
        <color theme="2" tint="-0.89999084444715716"/>
        <rFont val="Arial"/>
        <family val="2"/>
      </rPr>
      <t>G</t>
    </r>
    <r>
      <rPr>
        <sz val="10"/>
        <color theme="2" tint="-0.89999084444715716"/>
        <rFont val="Arial"/>
        <family val="2"/>
      </rPr>
      <t>)</t>
    </r>
  </si>
  <si>
    <r>
      <t>Gate-Drain Charge, (Q</t>
    </r>
    <r>
      <rPr>
        <vertAlign val="subscript"/>
        <sz val="10"/>
        <color theme="2" tint="-0.89999084444715716"/>
        <rFont val="Arial"/>
        <family val="2"/>
      </rPr>
      <t>GD</t>
    </r>
    <r>
      <rPr>
        <sz val="10"/>
        <color theme="2" tint="-0.89999084444715716"/>
        <rFont val="Arial"/>
        <family val="2"/>
      </rPr>
      <t>)</t>
    </r>
  </si>
  <si>
    <r>
      <t>Gate-Source Charge, (Q</t>
    </r>
    <r>
      <rPr>
        <vertAlign val="subscript"/>
        <sz val="10"/>
        <color theme="2" tint="-0.89999084444715716"/>
        <rFont val="Arial"/>
        <family val="2"/>
      </rPr>
      <t>GS</t>
    </r>
    <r>
      <rPr>
        <sz val="10"/>
        <color theme="2" tint="-0.89999084444715716"/>
        <rFont val="Arial"/>
        <family val="2"/>
      </rPr>
      <t>)</t>
    </r>
  </si>
  <si>
    <r>
      <t>Gate Resistance, (R</t>
    </r>
    <r>
      <rPr>
        <vertAlign val="subscript"/>
        <sz val="10"/>
        <color theme="2" tint="-0.89999084444715716"/>
        <rFont val="Arial"/>
        <family val="2"/>
      </rPr>
      <t>G</t>
    </r>
    <r>
      <rPr>
        <sz val="10"/>
        <color theme="2" tint="-0.89999084444715716"/>
        <rFont val="Arial"/>
        <family val="2"/>
      </rPr>
      <t>)</t>
    </r>
  </si>
  <si>
    <r>
      <t>Gate-Source Threshold Voltage, (V</t>
    </r>
    <r>
      <rPr>
        <vertAlign val="subscript"/>
        <sz val="10"/>
        <color theme="2" tint="-0.89999084444715716"/>
        <rFont val="Arial"/>
        <family val="2"/>
      </rPr>
      <t>TH</t>
    </r>
    <r>
      <rPr>
        <sz val="10"/>
        <color theme="2" tint="-0.89999084444715716"/>
        <rFont val="Arial"/>
        <family val="2"/>
      </rPr>
      <t>)</t>
    </r>
  </si>
  <si>
    <r>
      <t>Body Diode Reverse Recovery Charge (Q</t>
    </r>
    <r>
      <rPr>
        <vertAlign val="subscript"/>
        <sz val="11"/>
        <color theme="2" tint="-0.89996032593768116"/>
        <rFont val="Calibri"/>
        <family val="2"/>
        <scheme val="minor"/>
      </rPr>
      <t>RR</t>
    </r>
    <r>
      <rPr>
        <sz val="11"/>
        <color theme="2" tint="-0.89999084444715716"/>
        <rFont val="Calibri"/>
        <family val="2"/>
        <scheme val="minor"/>
      </rPr>
      <t>)</t>
    </r>
  </si>
  <si>
    <r>
      <t>Body Diode Forward Voltage Drop (V</t>
    </r>
    <r>
      <rPr>
        <vertAlign val="subscript"/>
        <sz val="11"/>
        <color theme="2" tint="-0.89996032593768116"/>
        <rFont val="Calibri"/>
        <family val="2"/>
        <scheme val="minor"/>
      </rPr>
      <t>D_BD</t>
    </r>
    <r>
      <rPr>
        <sz val="11"/>
        <color theme="2" tint="-0.89999084444715716"/>
        <rFont val="Calibri"/>
        <family val="2"/>
        <scheme val="minor"/>
      </rPr>
      <t>)</t>
    </r>
  </si>
  <si>
    <t>EXCEL Variables Names/Calculations</t>
  </si>
  <si>
    <t>Operation Variables</t>
  </si>
  <si>
    <t>Inductor</t>
  </si>
  <si>
    <t>Low-Side MOSFET</t>
  </si>
  <si>
    <t>High-Side MOSFET Losses</t>
  </si>
  <si>
    <t>Other Losses</t>
  </si>
  <si>
    <t>Total Losses</t>
  </si>
  <si>
    <t>VIN</t>
  </si>
  <si>
    <t>IIN</t>
  </si>
  <si>
    <t>DCM/CCM</t>
  </si>
  <si>
    <t>DC</t>
  </si>
  <si>
    <t>DC_off</t>
  </si>
  <si>
    <t>dIL</t>
  </si>
  <si>
    <r>
      <t>IL</t>
    </r>
    <r>
      <rPr>
        <vertAlign val="subscript"/>
        <sz val="11"/>
        <color theme="1"/>
        <rFont val="Calibri"/>
        <family val="2"/>
        <scheme val="minor"/>
      </rPr>
      <t>PEAK</t>
    </r>
  </si>
  <si>
    <r>
      <t>IL</t>
    </r>
    <r>
      <rPr>
        <vertAlign val="subscript"/>
        <sz val="11"/>
        <color theme="1"/>
        <rFont val="Calibri"/>
        <family val="2"/>
        <scheme val="minor"/>
      </rPr>
      <t>RMS</t>
    </r>
  </si>
  <si>
    <r>
      <t>P</t>
    </r>
    <r>
      <rPr>
        <vertAlign val="subscript"/>
        <sz val="11"/>
        <color theme="1"/>
        <rFont val="Calibri"/>
        <family val="2"/>
        <scheme val="minor"/>
      </rPr>
      <t>Lac</t>
    </r>
    <r>
      <rPr>
        <sz val="11"/>
        <color theme="1"/>
        <rFont val="Calibri"/>
        <family val="2"/>
        <scheme val="minor"/>
      </rPr>
      <t xml:space="preserve"> (W)</t>
    </r>
  </si>
  <si>
    <r>
      <t>P</t>
    </r>
    <r>
      <rPr>
        <vertAlign val="subscript"/>
        <sz val="11"/>
        <color theme="1"/>
        <rFont val="Calibri"/>
        <family val="2"/>
        <scheme val="minor"/>
      </rPr>
      <t>L_DCR</t>
    </r>
    <r>
      <rPr>
        <sz val="11"/>
        <color theme="1"/>
        <rFont val="Calibri"/>
        <family val="2"/>
        <scheme val="minor"/>
      </rPr>
      <t xml:space="preserve"> (W)</t>
    </r>
  </si>
  <si>
    <r>
      <t>P</t>
    </r>
    <r>
      <rPr>
        <vertAlign val="subscript"/>
        <sz val="11"/>
        <color theme="1"/>
        <rFont val="Calibri"/>
        <family val="2"/>
        <scheme val="minor"/>
      </rPr>
      <t>L_tot</t>
    </r>
    <r>
      <rPr>
        <sz val="11"/>
        <color theme="1"/>
        <rFont val="Calibri"/>
        <family val="2"/>
        <scheme val="minor"/>
      </rPr>
      <t xml:space="preserve"> (W)</t>
    </r>
  </si>
  <si>
    <r>
      <t>ISW</t>
    </r>
    <r>
      <rPr>
        <vertAlign val="subscript"/>
        <sz val="11"/>
        <color theme="1"/>
        <rFont val="Calibri"/>
        <family val="2"/>
        <scheme val="minor"/>
      </rPr>
      <t xml:space="preserve">AVG </t>
    </r>
    <r>
      <rPr>
        <sz val="11"/>
        <color theme="1"/>
        <rFont val="Calibri"/>
        <family val="2"/>
        <scheme val="minor"/>
      </rPr>
      <t>(A)</t>
    </r>
  </si>
  <si>
    <r>
      <t>ISW</t>
    </r>
    <r>
      <rPr>
        <vertAlign val="subscript"/>
        <sz val="11"/>
        <color theme="1"/>
        <rFont val="Calibri"/>
        <family val="2"/>
        <scheme val="minor"/>
      </rPr>
      <t>RMS</t>
    </r>
  </si>
  <si>
    <r>
      <t>P</t>
    </r>
    <r>
      <rPr>
        <vertAlign val="subscript"/>
        <sz val="11"/>
        <color theme="1"/>
        <rFont val="Calibri"/>
        <family val="2"/>
        <scheme val="minor"/>
      </rPr>
      <t xml:space="preserve">Q_COND </t>
    </r>
    <r>
      <rPr>
        <sz val="11"/>
        <color theme="1"/>
        <rFont val="Calibri"/>
        <family val="2"/>
        <scheme val="minor"/>
      </rPr>
      <t>(W)</t>
    </r>
  </si>
  <si>
    <r>
      <t>P</t>
    </r>
    <r>
      <rPr>
        <vertAlign val="subscript"/>
        <sz val="11"/>
        <color theme="1"/>
        <rFont val="Calibri"/>
        <family val="2"/>
        <scheme val="minor"/>
      </rPr>
      <t xml:space="preserve">Q_SW </t>
    </r>
    <r>
      <rPr>
        <sz val="11"/>
        <color theme="1"/>
        <rFont val="Calibri"/>
        <family val="2"/>
        <scheme val="minor"/>
      </rPr>
      <t>(W)</t>
    </r>
  </si>
  <si>
    <r>
      <t>P</t>
    </r>
    <r>
      <rPr>
        <vertAlign val="subscript"/>
        <sz val="11"/>
        <color theme="1"/>
        <rFont val="Calibri"/>
        <family val="2"/>
        <scheme val="minor"/>
      </rPr>
      <t xml:space="preserve">Q_tot </t>
    </r>
    <r>
      <rPr>
        <sz val="11"/>
        <color theme="1"/>
        <rFont val="Calibri"/>
        <family val="2"/>
        <scheme val="minor"/>
      </rPr>
      <t>(W)</t>
    </r>
  </si>
  <si>
    <r>
      <t>ID</t>
    </r>
    <r>
      <rPr>
        <vertAlign val="subscript"/>
        <sz val="11"/>
        <color theme="1"/>
        <rFont val="Calibri"/>
        <family val="2"/>
        <scheme val="minor"/>
      </rPr>
      <t xml:space="preserve">AVG </t>
    </r>
    <r>
      <rPr>
        <sz val="11"/>
        <color theme="1"/>
        <rFont val="Calibri"/>
        <family val="2"/>
        <scheme val="minor"/>
      </rPr>
      <t>(A)</t>
    </r>
  </si>
  <si>
    <r>
      <t>IHS</t>
    </r>
    <r>
      <rPr>
        <vertAlign val="subscript"/>
        <sz val="11"/>
        <color theme="1"/>
        <rFont val="Calibri"/>
        <family val="2"/>
        <scheme val="minor"/>
      </rPr>
      <t>RMS</t>
    </r>
  </si>
  <si>
    <r>
      <t>P</t>
    </r>
    <r>
      <rPr>
        <vertAlign val="subscript"/>
        <sz val="11"/>
        <color theme="1"/>
        <rFont val="Calibri"/>
        <family val="2"/>
        <scheme val="minor"/>
      </rPr>
      <t xml:space="preserve">D_COND </t>
    </r>
    <r>
      <rPr>
        <sz val="11"/>
        <color theme="1"/>
        <rFont val="Calibri"/>
        <family val="2"/>
        <scheme val="minor"/>
      </rPr>
      <t>(W)</t>
    </r>
  </si>
  <si>
    <r>
      <t>P</t>
    </r>
    <r>
      <rPr>
        <vertAlign val="subscript"/>
        <sz val="11"/>
        <color theme="1"/>
        <rFont val="Calibri"/>
        <family val="2"/>
        <scheme val="minor"/>
      </rPr>
      <t xml:space="preserve">D_SW </t>
    </r>
    <r>
      <rPr>
        <sz val="11"/>
        <color theme="1"/>
        <rFont val="Calibri"/>
        <family val="2"/>
        <scheme val="minor"/>
      </rPr>
      <t>(W)</t>
    </r>
  </si>
  <si>
    <t>Dead Time losses</t>
  </si>
  <si>
    <r>
      <t>P</t>
    </r>
    <r>
      <rPr>
        <vertAlign val="subscript"/>
        <sz val="11"/>
        <color theme="1"/>
        <rFont val="Calibri"/>
        <family val="2"/>
        <scheme val="minor"/>
      </rPr>
      <t xml:space="preserve">HS_tot </t>
    </r>
    <r>
      <rPr>
        <sz val="11"/>
        <color theme="1"/>
        <rFont val="Calibri"/>
        <family val="2"/>
        <scheme val="minor"/>
      </rPr>
      <t>(W)</t>
    </r>
  </si>
  <si>
    <r>
      <t>P</t>
    </r>
    <r>
      <rPr>
        <vertAlign val="subscript"/>
        <sz val="11"/>
        <color theme="1"/>
        <rFont val="Calibri"/>
        <family val="2"/>
        <scheme val="minor"/>
      </rPr>
      <t>RCS</t>
    </r>
    <r>
      <rPr>
        <sz val="11"/>
        <color theme="1"/>
        <rFont val="Calibri"/>
        <family val="2"/>
        <scheme val="minor"/>
      </rPr>
      <t xml:space="preserve"> (W)</t>
    </r>
  </si>
  <si>
    <r>
      <t>P</t>
    </r>
    <r>
      <rPr>
        <vertAlign val="subscript"/>
        <sz val="11"/>
        <color theme="1"/>
        <rFont val="Calibri"/>
        <family val="2"/>
        <scheme val="minor"/>
      </rPr>
      <t>L_CORE</t>
    </r>
    <r>
      <rPr>
        <sz val="11"/>
        <color theme="1"/>
        <rFont val="Calibri"/>
        <family val="2"/>
        <scheme val="minor"/>
      </rPr>
      <t xml:space="preserve"> (W)</t>
    </r>
  </si>
  <si>
    <r>
      <t>P</t>
    </r>
    <r>
      <rPr>
        <vertAlign val="subscript"/>
        <sz val="11"/>
        <color theme="1"/>
        <rFont val="Calibri"/>
        <family val="2"/>
        <scheme val="minor"/>
      </rPr>
      <t>G_drv</t>
    </r>
    <r>
      <rPr>
        <sz val="11"/>
        <color theme="1"/>
        <rFont val="Calibri"/>
        <family val="2"/>
        <scheme val="minor"/>
      </rPr>
      <t xml:space="preserve"> (W)</t>
    </r>
  </si>
  <si>
    <r>
      <t>P</t>
    </r>
    <r>
      <rPr>
        <vertAlign val="subscript"/>
        <sz val="11"/>
        <color theme="1"/>
        <rFont val="Calibri"/>
        <family val="2"/>
        <scheme val="minor"/>
      </rPr>
      <t>IQ</t>
    </r>
    <r>
      <rPr>
        <sz val="11"/>
        <color theme="1"/>
        <rFont val="Calibri"/>
        <family val="2"/>
        <scheme val="minor"/>
      </rPr>
      <t xml:space="preserve"> (W)</t>
    </r>
  </si>
  <si>
    <r>
      <t>P</t>
    </r>
    <r>
      <rPr>
        <vertAlign val="subscript"/>
        <sz val="11"/>
        <color theme="1"/>
        <rFont val="Calibri"/>
        <family val="2"/>
        <scheme val="minor"/>
      </rPr>
      <t>TOTAL</t>
    </r>
    <r>
      <rPr>
        <sz val="11"/>
        <color theme="1"/>
        <rFont val="Calibri"/>
        <family val="2"/>
        <scheme val="minor"/>
      </rPr>
      <t xml:space="preserve"> (W)</t>
    </r>
  </si>
  <si>
    <r>
      <t>P</t>
    </r>
    <r>
      <rPr>
        <vertAlign val="subscript"/>
        <sz val="11"/>
        <color theme="1"/>
        <rFont val="Calibri"/>
        <family val="2"/>
        <scheme val="minor"/>
      </rPr>
      <t>OUT</t>
    </r>
    <r>
      <rPr>
        <sz val="11"/>
        <color theme="1"/>
        <rFont val="Calibri"/>
        <family val="2"/>
        <scheme val="minor"/>
      </rPr>
      <t xml:space="preserve"> (W)</t>
    </r>
  </si>
  <si>
    <t>Eff</t>
  </si>
  <si>
    <t>Step size</t>
  </si>
  <si>
    <t>Diode Parameters</t>
  </si>
  <si>
    <t>Id_AVG</t>
  </si>
  <si>
    <t xml:space="preserve">Suggested average current rating of diode. </t>
  </si>
  <si>
    <t>LOW Side MOSFET Parameters</t>
  </si>
  <si>
    <t>RDS_on</t>
  </si>
  <si>
    <r>
      <t>On-State Resistance, R</t>
    </r>
    <r>
      <rPr>
        <vertAlign val="subscript"/>
        <sz val="10"/>
        <rFont val="Arial"/>
        <family val="2"/>
      </rPr>
      <t>DS(on)</t>
    </r>
    <r>
      <rPr>
        <sz val="10"/>
        <rFont val="Arial"/>
        <family val="2"/>
      </rPr>
      <t xml:space="preserve"> </t>
    </r>
  </si>
  <si>
    <t>Qg_tot</t>
  </si>
  <si>
    <r>
      <t>Total Gate Charge, Q</t>
    </r>
    <r>
      <rPr>
        <vertAlign val="subscript"/>
        <sz val="10"/>
        <rFont val="Arial"/>
        <family val="2"/>
      </rPr>
      <t>G</t>
    </r>
    <r>
      <rPr>
        <sz val="10"/>
        <rFont val="Arial"/>
        <family val="2"/>
      </rPr>
      <t xml:space="preserve"> </t>
    </r>
  </si>
  <si>
    <t>Qgd</t>
  </si>
  <si>
    <r>
      <t>Gate-Drain Charge, Q</t>
    </r>
    <r>
      <rPr>
        <vertAlign val="subscript"/>
        <sz val="10"/>
        <rFont val="Arial"/>
        <family val="2"/>
      </rPr>
      <t>GD</t>
    </r>
    <r>
      <rPr>
        <sz val="10"/>
        <rFont val="Arial"/>
        <family val="2"/>
      </rPr>
      <t xml:space="preserve"> </t>
    </r>
  </si>
  <si>
    <t>Qgs</t>
  </si>
  <si>
    <r>
      <t>Gate-Source Charge, Q</t>
    </r>
    <r>
      <rPr>
        <vertAlign val="subscript"/>
        <sz val="10"/>
        <rFont val="Arial"/>
        <family val="2"/>
      </rPr>
      <t>GS</t>
    </r>
    <r>
      <rPr>
        <sz val="10"/>
        <rFont val="Arial"/>
        <family val="2"/>
      </rPr>
      <t xml:space="preserve"> </t>
    </r>
  </si>
  <si>
    <t>Rgate</t>
  </si>
  <si>
    <r>
      <t>Gate Resistance, R</t>
    </r>
    <r>
      <rPr>
        <vertAlign val="subscript"/>
        <sz val="10"/>
        <rFont val="Arial"/>
        <family val="2"/>
      </rPr>
      <t>G</t>
    </r>
    <r>
      <rPr>
        <sz val="10"/>
        <rFont val="Arial"/>
        <family val="2"/>
      </rPr>
      <t xml:space="preserve"> </t>
    </r>
  </si>
  <si>
    <t>Rgate_int</t>
  </si>
  <si>
    <t>Internal Gate resistance of the MOSFET driver.</t>
  </si>
  <si>
    <t>gfs</t>
  </si>
  <si>
    <t>S</t>
  </si>
  <si>
    <r>
      <t>Transconductance, g</t>
    </r>
    <r>
      <rPr>
        <vertAlign val="subscript"/>
        <sz val="10"/>
        <rFont val="Arial"/>
        <family val="2"/>
      </rPr>
      <t>FS</t>
    </r>
    <r>
      <rPr>
        <sz val="10"/>
        <rFont val="Arial"/>
        <family val="2"/>
      </rPr>
      <t xml:space="preserve"> </t>
    </r>
  </si>
  <si>
    <t>Vth</t>
  </si>
  <si>
    <r>
      <t>Gate-Source Threshold Voltage, V</t>
    </r>
    <r>
      <rPr>
        <vertAlign val="subscript"/>
        <sz val="10"/>
        <rFont val="Arial"/>
        <family val="2"/>
      </rPr>
      <t>TH</t>
    </r>
    <r>
      <rPr>
        <sz val="10"/>
        <rFont val="Arial"/>
        <family val="2"/>
      </rPr>
      <t xml:space="preserve"> </t>
    </r>
  </si>
  <si>
    <t xml:space="preserve">VCC voltage. Can be changed with external bias. </t>
  </si>
  <si>
    <t>Vsp</t>
  </si>
  <si>
    <t>Gate voltage when MOSFET begins conducting current</t>
  </si>
  <si>
    <t>tr_sw</t>
  </si>
  <si>
    <t>Rise time of the switch node</t>
  </si>
  <si>
    <t>tf_sw</t>
  </si>
  <si>
    <t>Fall time of the switch node</t>
  </si>
  <si>
    <t>High Side MOSFET Parameters</t>
  </si>
  <si>
    <t>Qrr</t>
  </si>
  <si>
    <t>C</t>
  </si>
  <si>
    <t>Body Diode Reverse recovery charge</t>
  </si>
  <si>
    <t>Vd_rect</t>
  </si>
  <si>
    <t>Body Diode Forward drop</t>
  </si>
  <si>
    <t>EFF_est</t>
  </si>
  <si>
    <t>Est. Eff 100% for simplicity Eff calculations</t>
  </si>
  <si>
    <r>
      <t>Selected Slope Compensation Resistor (R</t>
    </r>
    <r>
      <rPr>
        <vertAlign val="subscript"/>
        <sz val="11"/>
        <color theme="1"/>
        <rFont val="Calibri"/>
        <family val="2"/>
        <scheme val="minor"/>
      </rPr>
      <t>SL</t>
    </r>
    <r>
      <rPr>
        <sz val="11"/>
        <color theme="1"/>
        <rFont val="Calibri"/>
        <family val="2"/>
        <scheme val="minor"/>
      </rPr>
      <t>)</t>
    </r>
  </si>
  <si>
    <r>
      <t>Calculated slope Compensation Resistor (R</t>
    </r>
    <r>
      <rPr>
        <vertAlign val="subscript"/>
        <sz val="11"/>
        <color theme="1"/>
        <rFont val="Calibri"/>
        <family val="2"/>
        <scheme val="minor"/>
      </rPr>
      <t>SL_calc</t>
    </r>
    <r>
      <rPr>
        <sz val="11"/>
        <color theme="1"/>
        <rFont val="Calibri"/>
        <family val="2"/>
        <scheme val="minor"/>
      </rPr>
      <t>)</t>
    </r>
  </si>
  <si>
    <r>
      <t>Minimum slope compensation resistor (R</t>
    </r>
    <r>
      <rPr>
        <vertAlign val="subscript"/>
        <sz val="11"/>
        <color theme="1"/>
        <rFont val="Calibri"/>
        <family val="2"/>
        <scheme val="minor"/>
      </rPr>
      <t>SL_MIN</t>
    </r>
    <r>
      <rPr>
        <sz val="11"/>
        <color theme="1"/>
        <rFont val="Calibri"/>
        <family val="2"/>
        <scheme val="minor"/>
      </rPr>
      <t>)</t>
    </r>
  </si>
  <si>
    <r>
      <t>Desired voltage On (V</t>
    </r>
    <r>
      <rPr>
        <vertAlign val="subscript"/>
        <sz val="11"/>
        <color theme="1"/>
        <rFont val="Calibri"/>
        <family val="2"/>
        <scheme val="minor"/>
      </rPr>
      <t>UVLO_ON</t>
    </r>
    <r>
      <rPr>
        <sz val="11"/>
        <color theme="1"/>
        <rFont val="Calibri"/>
        <family val="2"/>
        <scheme val="minor"/>
      </rPr>
      <t>)</t>
    </r>
  </si>
  <si>
    <r>
      <t>Desired voltage OFF (V</t>
    </r>
    <r>
      <rPr>
        <vertAlign val="subscript"/>
        <sz val="11"/>
        <color theme="1"/>
        <rFont val="Calibri"/>
        <family val="2"/>
        <scheme val="minor"/>
      </rPr>
      <t>UVLO_OFF</t>
    </r>
    <r>
      <rPr>
        <sz val="11"/>
        <color theme="1"/>
        <rFont val="Calibri"/>
        <family val="2"/>
        <scheme val="minor"/>
      </rPr>
      <t>)</t>
    </r>
  </si>
  <si>
    <r>
      <t>Calculated top UVLO resistor value (R</t>
    </r>
    <r>
      <rPr>
        <vertAlign val="subscript"/>
        <sz val="11"/>
        <color theme="1"/>
        <rFont val="Calibri"/>
        <family val="2"/>
        <scheme val="minor"/>
      </rPr>
      <t>UVT_CALC</t>
    </r>
    <r>
      <rPr>
        <sz val="11"/>
        <color theme="1"/>
        <rFont val="Calibri"/>
        <family val="2"/>
        <scheme val="minor"/>
      </rPr>
      <t>)</t>
    </r>
  </si>
  <si>
    <r>
      <t>Selected top UVLO resistor value (R</t>
    </r>
    <r>
      <rPr>
        <vertAlign val="subscript"/>
        <sz val="11"/>
        <color theme="1"/>
        <rFont val="Calibri"/>
        <family val="2"/>
        <scheme val="minor"/>
      </rPr>
      <t>UVT</t>
    </r>
    <r>
      <rPr>
        <sz val="11"/>
        <color theme="1"/>
        <rFont val="Calibri"/>
        <family val="2"/>
        <scheme val="minor"/>
      </rPr>
      <t>)</t>
    </r>
  </si>
  <si>
    <r>
      <t>Bottom UVLO Resistor (R</t>
    </r>
    <r>
      <rPr>
        <vertAlign val="subscript"/>
        <sz val="11"/>
        <color theme="1"/>
        <rFont val="Calibri"/>
        <family val="2"/>
        <scheme val="minor"/>
      </rPr>
      <t>UVB</t>
    </r>
    <r>
      <rPr>
        <sz val="11"/>
        <color theme="1"/>
        <rFont val="Calibri"/>
        <family val="2"/>
        <scheme val="minor"/>
      </rPr>
      <t>)</t>
    </r>
  </si>
  <si>
    <t>UVLO Resistor Divider Selection</t>
  </si>
  <si>
    <t>Cout_Calc_FRHP</t>
  </si>
  <si>
    <t>Based on Itransient and Fcrossover from LM5123</t>
  </si>
  <si>
    <r>
      <t>Selected Inductor (R</t>
    </r>
    <r>
      <rPr>
        <vertAlign val="subscript"/>
        <sz val="11"/>
        <color theme="1"/>
        <rFont val="Calibri"/>
        <family val="2"/>
        <scheme val="minor"/>
      </rPr>
      <t>LM</t>
    </r>
    <r>
      <rPr>
        <sz val="11"/>
        <color theme="1"/>
        <rFont val="Calibri"/>
        <family val="2"/>
        <scheme val="minor"/>
      </rPr>
      <t>)</t>
    </r>
  </si>
  <si>
    <t>Cout_Calc</t>
  </si>
  <si>
    <t>Calculated minimum output capacitance</t>
  </si>
  <si>
    <r>
      <t>Calculated output capacitance at VIN MIN and IOUT max from Datasheet (</t>
    </r>
    <r>
      <rPr>
        <b/>
        <sz val="11"/>
        <color theme="1"/>
        <rFont val="Calibri"/>
        <family val="2"/>
        <scheme val="minor"/>
      </rPr>
      <t>not used</t>
    </r>
    <r>
      <rPr>
        <sz val="11"/>
        <color theme="1"/>
        <rFont val="Calibri"/>
        <family val="2"/>
        <scheme val="minor"/>
      </rPr>
      <t>)</t>
    </r>
  </si>
  <si>
    <t>Output capacitance at VIN MIN and IOUT max</t>
  </si>
  <si>
    <t>calc (Vin based on I82 is used)</t>
  </si>
  <si>
    <t>Vin</t>
  </si>
  <si>
    <t>Right half plane zero at VIN_MIN and IOUT_MAX</t>
  </si>
  <si>
    <r>
      <t>Transconductance, g</t>
    </r>
    <r>
      <rPr>
        <b/>
        <vertAlign val="subscript"/>
        <sz val="10"/>
        <rFont val="Arial"/>
        <family val="2"/>
      </rPr>
      <t>FS</t>
    </r>
    <r>
      <rPr>
        <b/>
        <sz val="10"/>
        <rFont val="Arial"/>
        <family val="2"/>
      </rPr>
      <t xml:space="preserve"> </t>
    </r>
  </si>
  <si>
    <t>Current sense amplifier gain (datasheet)</t>
  </si>
  <si>
    <t>Current sense resistor</t>
  </si>
  <si>
    <t>Internal Slope Compensation Resistor</t>
  </si>
  <si>
    <t>Internal Slope Compensation current</t>
  </si>
  <si>
    <t>EVM2PH reference</t>
  </si>
  <si>
    <t>XOVER SEARCH</t>
  </si>
  <si>
    <t>xover</t>
  </si>
  <si>
    <t>phase margin</t>
  </si>
  <si>
    <t>Gain Cross</t>
  </si>
  <si>
    <t>Phase Cross</t>
  </si>
  <si>
    <t>Slope output voltage (datasheet)</t>
  </si>
  <si>
    <t>Gain of Error Amplifier</t>
  </si>
  <si>
    <t>Feedback DC Gain</t>
  </si>
  <si>
    <t>DCM Plant Parameters</t>
  </si>
  <si>
    <t>Selection:</t>
  </si>
  <si>
    <t>ALWAYS SET TO CCM. (No DCM calculation for LM5122 required)</t>
  </si>
  <si>
    <r>
      <t>Typical Input Supply Voltage (V</t>
    </r>
    <r>
      <rPr>
        <vertAlign val="subscript"/>
        <sz val="11"/>
        <color theme="1"/>
        <rFont val="Calibri"/>
        <family val="2"/>
        <scheme val="minor"/>
      </rPr>
      <t>IN_Typ</t>
    </r>
    <r>
      <rPr>
        <sz val="11"/>
        <color theme="1"/>
        <rFont val="Calibri"/>
        <family val="2"/>
        <scheme val="minor"/>
      </rPr>
      <t>)</t>
    </r>
  </si>
  <si>
    <t>Version Number</t>
  </si>
  <si>
    <t>Version History</t>
  </si>
  <si>
    <t>Version</t>
  </si>
  <si>
    <t>Change List Description</t>
  </si>
  <si>
    <t>1.0.0</t>
  </si>
  <si>
    <t>Initial Release</t>
  </si>
  <si>
    <t>Eff_Graph</t>
  </si>
  <si>
    <t xml:space="preserve">selected Efficency graph (1 = Iout, 2 = Vin) </t>
  </si>
  <si>
    <t>http://www.ti.com/product/lm5122</t>
  </si>
  <si>
    <t>Efficiency vs VIN Plot</t>
  </si>
  <si>
    <t>Efficiency vs IOUT Plot</t>
  </si>
  <si>
    <t>1.1.0</t>
  </si>
  <si>
    <t>Adjusted compensation network calculation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</si>
</sst>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00E+00"/>
    <numFmt numFmtId="166" formatCode="0.0000"/>
    <numFmt numFmtId="167" formatCode="0.0"/>
    <numFmt numFmtId="168" formatCode="0.000000"/>
    <numFmt numFmtId="169" formatCode="0.000000000"/>
  </numFmts>
  <fonts count="4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0"/>
      <name val="Arial"/>
      <family val="2"/>
    </font>
    <font>
      <sz val="28"/>
      <color theme="0"/>
      <name val="Calibri"/>
      <family val="2"/>
      <scheme val="minor"/>
    </font>
    <font>
      <b/>
      <sz val="12"/>
      <color indexed="9"/>
      <name val="Calibri"/>
      <family val="2"/>
      <scheme val="minor"/>
    </font>
    <font>
      <b/>
      <sz val="10"/>
      <color indexed="9"/>
      <name val="Calibri"/>
      <family val="2"/>
      <scheme val="minor"/>
    </font>
    <font>
      <b/>
      <sz val="12"/>
      <color indexed="10"/>
      <name val="Tahoma"/>
      <family val="2"/>
    </font>
    <font>
      <b/>
      <sz val="8"/>
      <color indexed="81"/>
      <name val="Tahoma"/>
      <family val="2"/>
    </font>
    <font>
      <sz val="9"/>
      <color indexed="81"/>
      <name val="Tahoma"/>
      <family val="2"/>
    </font>
    <font>
      <vertAlign val="subscript"/>
      <sz val="11"/>
      <color theme="1"/>
      <name val="Calibri"/>
      <family val="2"/>
      <scheme val="minor"/>
    </font>
    <font>
      <sz val="11"/>
      <color theme="1"/>
      <name val="Calibri"/>
      <family val="2"/>
    </font>
    <font>
      <b/>
      <sz val="9"/>
      <color indexed="81"/>
      <name val="Tahoma"/>
      <family val="2"/>
    </font>
    <font>
      <b/>
      <sz val="18"/>
      <color theme="1"/>
      <name val="Calibri"/>
      <family val="2"/>
      <scheme val="minor"/>
    </font>
    <font>
      <sz val="16"/>
      <color theme="1"/>
      <name val="Calibri"/>
      <family val="2"/>
      <scheme val="minor"/>
    </font>
    <font>
      <b/>
      <sz val="10"/>
      <color theme="1"/>
      <name val="Calibri"/>
      <family val="2"/>
      <scheme val="minor"/>
    </font>
    <font>
      <sz val="11"/>
      <name val="Calibri"/>
      <family val="2"/>
      <scheme val="minor"/>
    </font>
    <font>
      <vertAlign val="subscript"/>
      <sz val="11"/>
      <name val="Calibri"/>
      <family val="2"/>
      <scheme val="minor"/>
    </font>
    <font>
      <sz val="8"/>
      <color theme="1"/>
      <name val="Calibri"/>
      <family val="2"/>
      <scheme val="minor"/>
    </font>
    <font>
      <b/>
      <sz val="11"/>
      <color theme="2" tint="-0.89999084444715716"/>
      <name val="Calibri"/>
      <family val="2"/>
      <scheme val="minor"/>
    </font>
    <font>
      <b/>
      <vertAlign val="subscript"/>
      <sz val="11"/>
      <color theme="2" tint="-0.89996032593768116"/>
      <name val="Calibri"/>
      <family val="2"/>
      <scheme val="minor"/>
    </font>
    <font>
      <b/>
      <sz val="10"/>
      <name val="Arial"/>
      <family val="2"/>
    </font>
    <font>
      <b/>
      <sz val="10"/>
      <color rgb="FF00B0F0"/>
      <name val="Arial"/>
      <family val="2"/>
    </font>
    <font>
      <b/>
      <sz val="12"/>
      <color rgb="FF00B0F0"/>
      <name val="Calibri"/>
      <family val="2"/>
      <scheme val="minor"/>
    </font>
    <font>
      <u/>
      <sz val="11"/>
      <color theme="1"/>
      <name val="Calibri"/>
      <family val="2"/>
      <scheme val="minor"/>
    </font>
    <font>
      <vertAlign val="subscript"/>
      <sz val="16"/>
      <color theme="1"/>
      <name val="Calibri"/>
      <family val="2"/>
      <scheme val="minor"/>
    </font>
    <font>
      <sz val="10"/>
      <color theme="1"/>
      <name val="Calibri"/>
      <family val="2"/>
      <scheme val="minor"/>
    </font>
    <font>
      <vertAlign val="subscript"/>
      <sz val="10"/>
      <color theme="1"/>
      <name val="Calibri"/>
      <family val="2"/>
      <scheme val="minor"/>
    </font>
    <font>
      <b/>
      <sz val="11"/>
      <color rgb="FF00B0F0"/>
      <name val="Calibri"/>
      <family val="2"/>
      <scheme val="minor"/>
    </font>
    <font>
      <sz val="11"/>
      <color theme="2" tint="-0.89999084444715716"/>
      <name val="Calibri"/>
      <family val="2"/>
      <scheme val="minor"/>
    </font>
    <font>
      <sz val="10"/>
      <color theme="2" tint="-0.89999084444715716"/>
      <name val="Arial"/>
      <family val="2"/>
    </font>
    <font>
      <vertAlign val="subscript"/>
      <sz val="10"/>
      <color theme="2" tint="-0.89999084444715716"/>
      <name val="Arial"/>
      <family val="2"/>
    </font>
    <font>
      <vertAlign val="subscript"/>
      <sz val="11"/>
      <color theme="2" tint="-0.89996032593768116"/>
      <name val="Calibri"/>
      <family val="2"/>
      <scheme val="minor"/>
    </font>
    <font>
      <sz val="18"/>
      <color theme="1"/>
      <name val="Calibri"/>
      <family val="2"/>
      <scheme val="minor"/>
    </font>
    <font>
      <b/>
      <sz val="22"/>
      <color indexed="44"/>
      <name val="Arial"/>
      <family val="2"/>
    </font>
    <font>
      <b/>
      <sz val="11"/>
      <name val="Calibri"/>
      <family val="2"/>
      <scheme val="minor"/>
    </font>
    <font>
      <b/>
      <sz val="18"/>
      <name val="Calibri"/>
      <family val="2"/>
      <scheme val="minor"/>
    </font>
    <font>
      <vertAlign val="subscript"/>
      <sz val="10"/>
      <name val="Arial"/>
      <family val="2"/>
    </font>
    <font>
      <b/>
      <vertAlign val="subscript"/>
      <sz val="10"/>
      <name val="Arial"/>
      <family val="2"/>
    </font>
    <font>
      <sz val="11"/>
      <color theme="1"/>
      <name val="Arial"/>
      <family val="2"/>
    </font>
    <font>
      <b/>
      <sz val="10"/>
      <color theme="1"/>
      <name val="Arial"/>
      <family val="2"/>
    </font>
    <font>
      <sz val="10"/>
      <color theme="1"/>
      <name val="Arial"/>
      <family val="2"/>
    </font>
    <font>
      <u/>
      <sz val="11"/>
      <color theme="10"/>
      <name val="Calibri"/>
      <family val="2"/>
      <scheme val="minor"/>
    </font>
    <font>
      <b/>
      <u/>
      <sz val="10"/>
      <color theme="10"/>
      <name val="Arial"/>
      <family val="2"/>
    </font>
    <font>
      <b/>
      <sz val="10"/>
      <color theme="0"/>
      <name val="Arial"/>
      <family val="2"/>
    </font>
    <font>
      <b/>
      <u/>
      <sz val="11"/>
      <color theme="10"/>
      <name val="Arial"/>
      <family val="2"/>
    </font>
    <font>
      <sz val="18"/>
      <color theme="0"/>
      <name val="Calibri"/>
      <family val="2"/>
      <scheme val="minor"/>
    </font>
  </fonts>
  <fills count="19">
    <fill>
      <patternFill patternType="none"/>
    </fill>
    <fill>
      <patternFill patternType="gray125"/>
    </fill>
    <fill>
      <patternFill patternType="solid">
        <fgColor rgb="FFFF0000"/>
        <bgColor indexed="64"/>
      </patternFill>
    </fill>
    <fill>
      <patternFill patternType="solid">
        <fgColor theme="0" tint="-0.499984740745262"/>
        <bgColor indexed="64"/>
      </patternFill>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C000"/>
        <bgColor indexed="64"/>
      </patternFill>
    </fill>
    <fill>
      <patternFill patternType="solid">
        <fgColor theme="0" tint="-0.249977111117893"/>
        <bgColor indexed="64"/>
      </patternFill>
    </fill>
    <fill>
      <patternFill patternType="solid">
        <fgColor theme="0"/>
        <bgColor indexed="64"/>
      </patternFill>
    </fill>
    <fill>
      <patternFill patternType="solid">
        <fgColor indexed="22"/>
        <bgColor indexed="64"/>
      </patternFill>
    </fill>
    <fill>
      <patternFill patternType="solid">
        <fgColor indexed="52"/>
        <bgColor indexed="64"/>
      </patternFill>
    </fill>
    <fill>
      <patternFill patternType="solid">
        <fgColor indexed="50"/>
        <bgColor indexed="64"/>
      </patternFill>
    </fill>
    <fill>
      <patternFill patternType="solid">
        <fgColor indexed="8"/>
        <bgColor indexed="64"/>
      </patternFill>
    </fill>
    <fill>
      <patternFill patternType="solid">
        <fgColor theme="5" tint="0.79998168889431442"/>
        <bgColor indexed="64"/>
      </patternFill>
    </fill>
    <fill>
      <patternFill patternType="solid">
        <fgColor rgb="FF00B050"/>
        <bgColor indexed="64"/>
      </patternFill>
    </fill>
    <fill>
      <patternFill patternType="solid">
        <fgColor indexed="44"/>
        <bgColor indexed="64"/>
      </patternFill>
    </fill>
    <fill>
      <patternFill patternType="solid">
        <fgColor rgb="FFDE0000"/>
        <bgColor indexed="64"/>
      </patternFill>
    </fill>
    <fill>
      <patternFill patternType="solid">
        <fgColor theme="1"/>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auto="1"/>
      </left>
      <right/>
      <top style="medium">
        <color auto="1"/>
      </top>
      <bottom/>
      <diagonal/>
    </border>
    <border>
      <left/>
      <right/>
      <top style="medium">
        <color auto="1"/>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top/>
      <bottom style="thin">
        <color indexed="64"/>
      </bottom>
      <diagonal/>
    </border>
    <border>
      <left/>
      <right style="medium">
        <color indexed="64"/>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
    <xf numFmtId="0" fontId="0" fillId="0" borderId="0"/>
    <xf numFmtId="0" fontId="4" fillId="0" borderId="0"/>
    <xf numFmtId="0" fontId="4" fillId="0" borderId="0"/>
    <xf numFmtId="0" fontId="43" fillId="0" borderId="0" applyNumberFormat="0" applyFill="0" applyBorder="0" applyAlignment="0" applyProtection="0"/>
  </cellStyleXfs>
  <cellXfs count="271">
    <xf numFmtId="0" fontId="0" fillId="0" borderId="0" xfId="0"/>
    <xf numFmtId="0" fontId="0" fillId="0" borderId="1" xfId="0" applyBorder="1"/>
    <xf numFmtId="0" fontId="0" fillId="0" borderId="1" xfId="0" applyBorder="1" applyAlignment="1">
      <alignment vertical="center"/>
    </xf>
    <xf numFmtId="0" fontId="1" fillId="3" borderId="7" xfId="0" applyFont="1" applyFill="1" applyBorder="1"/>
    <xf numFmtId="0" fontId="1" fillId="3" borderId="0" xfId="0" applyFont="1" applyFill="1"/>
    <xf numFmtId="0" fontId="1" fillId="3" borderId="0" xfId="0" applyFont="1" applyFill="1" applyAlignment="1">
      <alignment horizontal="center" vertical="center"/>
    </xf>
    <xf numFmtId="0" fontId="3" fillId="3" borderId="0" xfId="0" applyFont="1" applyFill="1"/>
    <xf numFmtId="0" fontId="6" fillId="3" borderId="7" xfId="1" applyFont="1" applyFill="1" applyBorder="1" applyAlignment="1">
      <alignment horizontal="left" vertical="center"/>
    </xf>
    <xf numFmtId="0" fontId="7" fillId="3" borderId="0" xfId="2" applyFont="1" applyFill="1" applyAlignment="1">
      <alignment vertical="center"/>
    </xf>
    <xf numFmtId="0" fontId="7" fillId="4" borderId="0" xfId="2" applyFont="1" applyFill="1" applyAlignment="1">
      <alignment vertical="center"/>
    </xf>
    <xf numFmtId="0" fontId="6" fillId="3" borderId="0" xfId="2" quotePrefix="1" applyFont="1" applyFill="1" applyAlignment="1">
      <alignment vertical="center"/>
    </xf>
    <xf numFmtId="0" fontId="1" fillId="3" borderId="8" xfId="0" applyFont="1" applyFill="1" applyBorder="1"/>
    <xf numFmtId="0" fontId="1" fillId="3" borderId="9" xfId="0" applyFont="1" applyFill="1" applyBorder="1"/>
    <xf numFmtId="0" fontId="1" fillId="3" borderId="9" xfId="0" applyFont="1" applyFill="1" applyBorder="1" applyAlignment="1">
      <alignment horizontal="center" vertical="center"/>
    </xf>
    <xf numFmtId="0" fontId="3" fillId="3" borderId="9" xfId="0" applyFont="1" applyFill="1" applyBorder="1"/>
    <xf numFmtId="0" fontId="0" fillId="0" borderId="0" xfId="0" applyAlignment="1">
      <alignment horizontal="right"/>
    </xf>
    <xf numFmtId="0" fontId="0" fillId="0" borderId="0" xfId="0" applyAlignment="1">
      <alignment vertical="top"/>
    </xf>
    <xf numFmtId="0" fontId="0" fillId="4" borderId="1" xfId="0" applyFill="1" applyBorder="1"/>
    <xf numFmtId="0" fontId="0" fillId="4" borderId="0" xfId="0" applyFill="1" applyAlignment="1">
      <alignment vertical="top"/>
    </xf>
    <xf numFmtId="0" fontId="0" fillId="0" borderId="0" xfId="0" applyAlignment="1">
      <alignment horizontal="left"/>
    </xf>
    <xf numFmtId="0" fontId="14" fillId="0" borderId="0" xfId="0" applyFont="1"/>
    <xf numFmtId="0" fontId="0" fillId="5" borderId="0" xfId="0" applyFill="1"/>
    <xf numFmtId="0" fontId="0" fillId="6" borderId="0" xfId="0" applyFill="1"/>
    <xf numFmtId="0" fontId="0" fillId="7" borderId="0" xfId="0" applyFill="1"/>
    <xf numFmtId="0" fontId="14" fillId="0" borderId="0" xfId="0" applyFont="1" applyAlignment="1">
      <alignment horizontal="left"/>
    </xf>
    <xf numFmtId="0" fontId="0" fillId="0" borderId="0" xfId="0" applyAlignment="1">
      <alignment wrapText="1"/>
    </xf>
    <xf numFmtId="1" fontId="0" fillId="7" borderId="0" xfId="0" applyNumberFormat="1" applyFill="1"/>
    <xf numFmtId="11" fontId="0" fillId="7" borderId="0" xfId="0" applyNumberFormat="1" applyFill="1"/>
    <xf numFmtId="165" fontId="0" fillId="7" borderId="0" xfId="0" applyNumberFormat="1" applyFill="1"/>
    <xf numFmtId="0" fontId="0" fillId="8" borderId="0" xfId="0" applyFill="1"/>
    <xf numFmtId="0" fontId="1" fillId="3" borderId="0" xfId="0" applyFont="1" applyFill="1" applyAlignment="1">
      <alignment horizontal="right"/>
    </xf>
    <xf numFmtId="0" fontId="1" fillId="3" borderId="9" xfId="0" applyFont="1" applyFill="1" applyBorder="1" applyAlignment="1">
      <alignment horizontal="right"/>
    </xf>
    <xf numFmtId="166" fontId="0" fillId="0" borderId="0" xfId="0" applyNumberFormat="1"/>
    <xf numFmtId="11" fontId="0" fillId="6" borderId="0" xfId="0" applyNumberFormat="1" applyFill="1"/>
    <xf numFmtId="0" fontId="0" fillId="0" borderId="0" xfId="0" quotePrefix="1"/>
    <xf numFmtId="0" fontId="0" fillId="0" borderId="0" xfId="0" applyAlignment="1">
      <alignment horizontal="center" vertical="center" wrapText="1"/>
    </xf>
    <xf numFmtId="2" fontId="0" fillId="0" borderId="0" xfId="0" applyNumberFormat="1"/>
    <xf numFmtId="164" fontId="0" fillId="0" borderId="0" xfId="0" applyNumberFormat="1"/>
    <xf numFmtId="164" fontId="0" fillId="7" borderId="0" xfId="0" applyNumberFormat="1" applyFill="1"/>
    <xf numFmtId="166" fontId="0" fillId="7" borderId="0" xfId="0" applyNumberFormat="1" applyFill="1"/>
    <xf numFmtId="164" fontId="0" fillId="5" borderId="0" xfId="0" applyNumberFormat="1" applyFill="1"/>
    <xf numFmtId="2" fontId="0" fillId="7" borderId="0" xfId="0" applyNumberFormat="1" applyFill="1"/>
    <xf numFmtId="0" fontId="17" fillId="0" borderId="0" xfId="0" applyFont="1" applyAlignment="1">
      <alignment horizontal="right"/>
    </xf>
    <xf numFmtId="0" fontId="3" fillId="0" borderId="0" xfId="0" applyFont="1"/>
    <xf numFmtId="167" fontId="0" fillId="9" borderId="12" xfId="0" applyNumberFormat="1" applyFill="1" applyBorder="1" applyProtection="1">
      <protection hidden="1"/>
    </xf>
    <xf numFmtId="0" fontId="12" fillId="9" borderId="12" xfId="0" applyFont="1" applyFill="1" applyBorder="1" applyAlignment="1" applyProtection="1">
      <alignment horizontal="left"/>
      <protection hidden="1"/>
    </xf>
    <xf numFmtId="0" fontId="12" fillId="9" borderId="11" xfId="0" applyFont="1" applyFill="1" applyBorder="1" applyProtection="1">
      <protection hidden="1"/>
    </xf>
    <xf numFmtId="0" fontId="0" fillId="9" borderId="11" xfId="0" applyFill="1" applyBorder="1" applyProtection="1">
      <protection hidden="1"/>
    </xf>
    <xf numFmtId="1" fontId="0" fillId="9" borderId="8" xfId="0" applyNumberFormat="1" applyFill="1" applyBorder="1" applyProtection="1">
      <protection hidden="1"/>
    </xf>
    <xf numFmtId="0" fontId="0" fillId="9" borderId="8" xfId="0" applyFill="1" applyBorder="1" applyAlignment="1" applyProtection="1">
      <alignment horizontal="left"/>
      <protection hidden="1"/>
    </xf>
    <xf numFmtId="0" fontId="0" fillId="9" borderId="15" xfId="0" applyFill="1" applyBorder="1" applyProtection="1">
      <protection hidden="1"/>
    </xf>
    <xf numFmtId="0" fontId="0" fillId="9" borderId="5" xfId="0" applyFill="1" applyBorder="1" applyProtection="1">
      <protection hidden="1"/>
    </xf>
    <xf numFmtId="0" fontId="0" fillId="9" borderId="6" xfId="0" applyFill="1" applyBorder="1" applyAlignment="1" applyProtection="1">
      <alignment horizontal="center"/>
      <protection hidden="1"/>
    </xf>
    <xf numFmtId="0" fontId="0" fillId="9" borderId="16" xfId="0" applyFill="1" applyBorder="1" applyAlignment="1" applyProtection="1">
      <alignment horizontal="center"/>
      <protection hidden="1"/>
    </xf>
    <xf numFmtId="0" fontId="0" fillId="9" borderId="17" xfId="0" applyFill="1" applyBorder="1" applyAlignment="1" applyProtection="1">
      <alignment horizontal="center"/>
      <protection hidden="1"/>
    </xf>
    <xf numFmtId="0" fontId="0" fillId="0" borderId="5" xfId="0" applyBorder="1"/>
    <xf numFmtId="0" fontId="0" fillId="0" borderId="6" xfId="0" applyBorder="1"/>
    <xf numFmtId="0" fontId="0" fillId="0" borderId="17" xfId="0" applyBorder="1"/>
    <xf numFmtId="0" fontId="0" fillId="0" borderId="7" xfId="0" applyBorder="1"/>
    <xf numFmtId="0" fontId="0" fillId="4" borderId="0" xfId="0" applyFill="1"/>
    <xf numFmtId="0" fontId="0" fillId="0" borderId="11" xfId="0" applyBorder="1"/>
    <xf numFmtId="0" fontId="0" fillId="0" borderId="8" xfId="0" applyBorder="1"/>
    <xf numFmtId="0" fontId="0" fillId="0" borderId="9" xfId="0" applyBorder="1"/>
    <xf numFmtId="0" fontId="0" fillId="0" borderId="15" xfId="0" applyBorder="1"/>
    <xf numFmtId="164" fontId="0" fillId="0" borderId="9" xfId="0" applyNumberFormat="1" applyBorder="1"/>
    <xf numFmtId="0" fontId="20" fillId="9" borderId="0" xfId="0" applyFont="1" applyFill="1" applyAlignment="1" applyProtection="1">
      <alignment horizontal="left"/>
      <protection hidden="1"/>
    </xf>
    <xf numFmtId="0" fontId="22" fillId="0" borderId="0" xfId="2" applyFont="1"/>
    <xf numFmtId="0" fontId="4" fillId="0" borderId="0" xfId="2"/>
    <xf numFmtId="0" fontId="22" fillId="0" borderId="0" xfId="2" applyFont="1" applyAlignment="1">
      <alignment horizontal="center"/>
    </xf>
    <xf numFmtId="0" fontId="23" fillId="0" borderId="0" xfId="2" applyFont="1"/>
    <xf numFmtId="0" fontId="12" fillId="0" borderId="0" xfId="0" applyFont="1"/>
    <xf numFmtId="0" fontId="22" fillId="10" borderId="0" xfId="2" applyFont="1" applyFill="1" applyAlignment="1">
      <alignment horizontal="center"/>
    </xf>
    <xf numFmtId="0" fontId="22" fillId="11" borderId="0" xfId="2" applyFont="1" applyFill="1" applyAlignment="1">
      <alignment horizontal="center"/>
    </xf>
    <xf numFmtId="0" fontId="22" fillId="12" borderId="0" xfId="2" applyFont="1" applyFill="1" applyAlignment="1">
      <alignment horizontal="center"/>
    </xf>
    <xf numFmtId="0" fontId="24" fillId="0" borderId="0" xfId="0" applyFont="1"/>
    <xf numFmtId="0" fontId="0" fillId="0" borderId="13" xfId="0" applyBorder="1"/>
    <xf numFmtId="0" fontId="0" fillId="0" borderId="18" xfId="0" applyBorder="1"/>
    <xf numFmtId="0" fontId="0" fillId="0" borderId="20" xfId="0" applyBorder="1"/>
    <xf numFmtId="0" fontId="4" fillId="0" borderId="12" xfId="2" applyBorder="1"/>
    <xf numFmtId="0" fontId="0" fillId="0" borderId="19" xfId="0" applyBorder="1"/>
    <xf numFmtId="0" fontId="4" fillId="0" borderId="19" xfId="2" applyBorder="1"/>
    <xf numFmtId="0" fontId="4" fillId="0" borderId="18" xfId="2" applyBorder="1"/>
    <xf numFmtId="164" fontId="4" fillId="0" borderId="19" xfId="2" applyNumberFormat="1" applyBorder="1"/>
    <xf numFmtId="164" fontId="0" fillId="0" borderId="19" xfId="0" applyNumberFormat="1" applyBorder="1"/>
    <xf numFmtId="0" fontId="0" fillId="0" borderId="16" xfId="0" applyBorder="1"/>
    <xf numFmtId="1" fontId="0" fillId="0" borderId="17" xfId="0" applyNumberFormat="1" applyBorder="1"/>
    <xf numFmtId="164" fontId="4" fillId="0" borderId="6" xfId="2" applyNumberFormat="1" applyBorder="1"/>
    <xf numFmtId="0" fontId="4" fillId="0" borderId="6" xfId="2" applyBorder="1"/>
    <xf numFmtId="0" fontId="4" fillId="0" borderId="5" xfId="2" applyBorder="1"/>
    <xf numFmtId="164" fontId="0" fillId="0" borderId="6" xfId="0" applyNumberFormat="1" applyBorder="1"/>
    <xf numFmtId="1" fontId="0" fillId="0" borderId="11" xfId="0" applyNumberFormat="1" applyBorder="1"/>
    <xf numFmtId="164" fontId="4" fillId="0" borderId="0" xfId="2" applyNumberFormat="1"/>
    <xf numFmtId="0" fontId="4" fillId="0" borderId="7" xfId="2" applyBorder="1"/>
    <xf numFmtId="0" fontId="0" fillId="0" borderId="14" xfId="0" applyBorder="1"/>
    <xf numFmtId="1" fontId="0" fillId="0" borderId="15" xfId="0" applyNumberFormat="1" applyBorder="1"/>
    <xf numFmtId="164" fontId="4" fillId="0" borderId="9" xfId="2" applyNumberFormat="1" applyBorder="1"/>
    <xf numFmtId="0" fontId="4" fillId="0" borderId="9" xfId="2" applyBorder="1"/>
    <xf numFmtId="0" fontId="4" fillId="0" borderId="8" xfId="2" applyBorder="1"/>
    <xf numFmtId="0" fontId="25" fillId="0" borderId="0" xfId="0" applyFont="1"/>
    <xf numFmtId="0" fontId="0" fillId="0" borderId="12" xfId="0" applyBorder="1"/>
    <xf numFmtId="164" fontId="0" fillId="0" borderId="7" xfId="0" applyNumberFormat="1" applyBorder="1"/>
    <xf numFmtId="0" fontId="0" fillId="0" borderId="0" xfId="0" applyAlignment="1">
      <alignment horizontal="center"/>
    </xf>
    <xf numFmtId="0" fontId="0" fillId="4" borderId="0" xfId="0" applyFill="1" applyAlignment="1">
      <alignment horizontal="left"/>
    </xf>
    <xf numFmtId="168" fontId="0" fillId="7" borderId="0" xfId="0" applyNumberFormat="1" applyFill="1"/>
    <xf numFmtId="0" fontId="27" fillId="9" borderId="0" xfId="2" applyFont="1" applyFill="1" applyAlignment="1" applyProtection="1">
      <alignment horizontal="right"/>
      <protection hidden="1"/>
    </xf>
    <xf numFmtId="0" fontId="29" fillId="0" borderId="0" xfId="0" applyFont="1"/>
    <xf numFmtId="2" fontId="0" fillId="0" borderId="12" xfId="0" applyNumberFormat="1" applyBorder="1"/>
    <xf numFmtId="2" fontId="0" fillId="0" borderId="7" xfId="0" applyNumberFormat="1" applyBorder="1"/>
    <xf numFmtId="2" fontId="0" fillId="0" borderId="8" xfId="0" applyNumberFormat="1" applyBorder="1"/>
    <xf numFmtId="0" fontId="4" fillId="0" borderId="15" xfId="2" applyBorder="1"/>
    <xf numFmtId="0" fontId="4" fillId="0" borderId="11" xfId="2" applyBorder="1"/>
    <xf numFmtId="0" fontId="30" fillId="9" borderId="5" xfId="0" applyFont="1" applyFill="1" applyBorder="1" applyProtection="1">
      <protection hidden="1"/>
    </xf>
    <xf numFmtId="0" fontId="30" fillId="9" borderId="6" xfId="0" applyFont="1" applyFill="1" applyBorder="1" applyProtection="1">
      <protection hidden="1"/>
    </xf>
    <xf numFmtId="0" fontId="31" fillId="9" borderId="6" xfId="2" applyFont="1" applyFill="1" applyBorder="1" applyAlignment="1" applyProtection="1">
      <alignment horizontal="right"/>
      <protection hidden="1"/>
    </xf>
    <xf numFmtId="0" fontId="31" fillId="9" borderId="17" xfId="2" applyFont="1" applyFill="1" applyBorder="1" applyProtection="1">
      <protection hidden="1"/>
    </xf>
    <xf numFmtId="0" fontId="20" fillId="9" borderId="7" xfId="0" applyFont="1" applyFill="1" applyBorder="1" applyProtection="1">
      <protection hidden="1"/>
    </xf>
    <xf numFmtId="0" fontId="30" fillId="9" borderId="0" xfId="0" applyFont="1" applyFill="1" applyProtection="1">
      <protection hidden="1"/>
    </xf>
    <xf numFmtId="0" fontId="31" fillId="9" borderId="0" xfId="2" applyFont="1" applyFill="1" applyAlignment="1" applyProtection="1">
      <alignment horizontal="right"/>
      <protection hidden="1"/>
    </xf>
    <xf numFmtId="0" fontId="31" fillId="9" borderId="11" xfId="2" applyFont="1" applyFill="1" applyBorder="1" applyProtection="1">
      <protection hidden="1"/>
    </xf>
    <xf numFmtId="0" fontId="30" fillId="9" borderId="7" xfId="0" applyFont="1" applyFill="1" applyBorder="1" applyProtection="1">
      <protection hidden="1"/>
    </xf>
    <xf numFmtId="0" fontId="30" fillId="9" borderId="8" xfId="0" applyFont="1" applyFill="1" applyBorder="1" applyProtection="1">
      <protection hidden="1"/>
    </xf>
    <xf numFmtId="0" fontId="30" fillId="9" borderId="9" xfId="0" applyFont="1" applyFill="1" applyBorder="1" applyProtection="1">
      <protection hidden="1"/>
    </xf>
    <xf numFmtId="0" fontId="31" fillId="9" borderId="9" xfId="2" applyFont="1" applyFill="1" applyBorder="1" applyAlignment="1" applyProtection="1">
      <alignment horizontal="right"/>
      <protection hidden="1"/>
    </xf>
    <xf numFmtId="0" fontId="31" fillId="9" borderId="15" xfId="2" applyFont="1" applyFill="1" applyBorder="1" applyProtection="1">
      <protection hidden="1"/>
    </xf>
    <xf numFmtId="0" fontId="30" fillId="9" borderId="0" xfId="0" applyFont="1" applyFill="1" applyAlignment="1" applyProtection="1">
      <alignment horizontal="right"/>
      <protection hidden="1"/>
    </xf>
    <xf numFmtId="0" fontId="30" fillId="9" borderId="11" xfId="0" applyFont="1" applyFill="1" applyBorder="1" applyProtection="1">
      <protection hidden="1"/>
    </xf>
    <xf numFmtId="0" fontId="30" fillId="9" borderId="9" xfId="0" applyFont="1" applyFill="1" applyBorder="1" applyAlignment="1" applyProtection="1">
      <alignment horizontal="right"/>
      <protection hidden="1"/>
    </xf>
    <xf numFmtId="0" fontId="30" fillId="9" borderId="15" xfId="0" applyFont="1" applyFill="1" applyBorder="1" applyProtection="1">
      <protection hidden="1"/>
    </xf>
    <xf numFmtId="0" fontId="0" fillId="0" borderId="21" xfId="0" applyBorder="1"/>
    <xf numFmtId="0" fontId="0" fillId="0" borderId="22" xfId="0" applyBorder="1" applyAlignment="1">
      <alignment horizontal="center" wrapText="1"/>
    </xf>
    <xf numFmtId="0" fontId="0" fillId="0" borderId="23" xfId="0" applyBorder="1"/>
    <xf numFmtId="0" fontId="0" fillId="0" borderId="24" xfId="0" applyBorder="1"/>
    <xf numFmtId="0" fontId="0" fillId="0" borderId="27" xfId="0" applyBorder="1"/>
    <xf numFmtId="0" fontId="0" fillId="0" borderId="28" xfId="0" applyBorder="1"/>
    <xf numFmtId="0" fontId="0" fillId="14" borderId="1" xfId="0" applyFill="1" applyBorder="1"/>
    <xf numFmtId="0" fontId="0" fillId="14" borderId="28" xfId="0" applyFill="1" applyBorder="1"/>
    <xf numFmtId="0" fontId="0" fillId="0" borderId="2" xfId="0" applyBorder="1"/>
    <xf numFmtId="0" fontId="0" fillId="0" borderId="4" xfId="0" applyBorder="1"/>
    <xf numFmtId="0" fontId="0" fillId="0" borderId="29" xfId="0" applyBorder="1"/>
    <xf numFmtId="0" fontId="0" fillId="0" borderId="30" xfId="0" applyBorder="1"/>
    <xf numFmtId="0" fontId="0" fillId="0" borderId="31" xfId="0" applyBorder="1"/>
    <xf numFmtId="0" fontId="17" fillId="0" borderId="0" xfId="0" applyFont="1"/>
    <xf numFmtId="0" fontId="36" fillId="0" borderId="0" xfId="0" applyFont="1"/>
    <xf numFmtId="0" fontId="37" fillId="0" borderId="0" xfId="0" applyFont="1"/>
    <xf numFmtId="0" fontId="4" fillId="0" borderId="0" xfId="2" applyAlignment="1">
      <alignment horizontal="left"/>
    </xf>
    <xf numFmtId="0" fontId="0" fillId="15" borderId="0" xfId="0" applyFill="1"/>
    <xf numFmtId="0" fontId="4" fillId="0" borderId="9" xfId="2" applyBorder="1" applyAlignment="1">
      <alignment horizontal="left"/>
    </xf>
    <xf numFmtId="164" fontId="0" fillId="8" borderId="0" xfId="0" applyNumberFormat="1" applyFill="1"/>
    <xf numFmtId="169" fontId="0" fillId="8" borderId="0" xfId="0" applyNumberFormat="1" applyFill="1"/>
    <xf numFmtId="0" fontId="0" fillId="9" borderId="17" xfId="0" applyFill="1" applyBorder="1" applyProtection="1">
      <protection hidden="1"/>
    </xf>
    <xf numFmtId="0" fontId="0" fillId="4" borderId="20" xfId="0" applyFill="1" applyBorder="1" applyProtection="1">
      <protection locked="0" hidden="1"/>
    </xf>
    <xf numFmtId="2" fontId="0" fillId="0" borderId="20" xfId="0" applyNumberFormat="1" applyBorder="1" applyProtection="1">
      <protection hidden="1"/>
    </xf>
    <xf numFmtId="0" fontId="12" fillId="9" borderId="15" xfId="0" applyFont="1" applyFill="1" applyBorder="1" applyProtection="1">
      <protection hidden="1"/>
    </xf>
    <xf numFmtId="0" fontId="0" fillId="9" borderId="5" xfId="0" applyFill="1" applyBorder="1"/>
    <xf numFmtId="0" fontId="0" fillId="9" borderId="6" xfId="0" applyFill="1" applyBorder="1"/>
    <xf numFmtId="0" fontId="0" fillId="9" borderId="6" xfId="0" applyFill="1" applyBorder="1" applyAlignment="1">
      <alignment horizontal="right"/>
    </xf>
    <xf numFmtId="0" fontId="0" fillId="9" borderId="17" xfId="0" applyFill="1" applyBorder="1"/>
    <xf numFmtId="0" fontId="0" fillId="9" borderId="7" xfId="0" applyFill="1" applyBorder="1"/>
    <xf numFmtId="0" fontId="0" fillId="9" borderId="0" xfId="0" applyFill="1"/>
    <xf numFmtId="0" fontId="0" fillId="9" borderId="0" xfId="0" applyFill="1" applyAlignment="1">
      <alignment horizontal="right"/>
    </xf>
    <xf numFmtId="0" fontId="0" fillId="9" borderId="11" xfId="0" applyFill="1" applyBorder="1"/>
    <xf numFmtId="0" fontId="0" fillId="9" borderId="8" xfId="0" applyFill="1" applyBorder="1"/>
    <xf numFmtId="0" fontId="0" fillId="9" borderId="9" xfId="0" applyFill="1" applyBorder="1"/>
    <xf numFmtId="0" fontId="0" fillId="9" borderId="15" xfId="0" applyFill="1" applyBorder="1"/>
    <xf numFmtId="0" fontId="0" fillId="9" borderId="9" xfId="0" applyFill="1" applyBorder="1" applyAlignment="1">
      <alignment horizontal="right"/>
    </xf>
    <xf numFmtId="0" fontId="19" fillId="0" borderId="0" xfId="0" applyFont="1" applyAlignment="1">
      <alignment horizontal="center" wrapText="1"/>
    </xf>
    <xf numFmtId="0" fontId="2" fillId="0" borderId="0" xfId="0" applyFont="1"/>
    <xf numFmtId="0" fontId="22" fillId="0" borderId="0" xfId="2" applyFont="1" applyAlignment="1">
      <alignment horizontal="left"/>
    </xf>
    <xf numFmtId="0" fontId="0" fillId="16" borderId="0" xfId="0" applyFill="1"/>
    <xf numFmtId="0" fontId="0" fillId="0" borderId="0" xfId="0" applyProtection="1">
      <protection hidden="1"/>
    </xf>
    <xf numFmtId="0" fontId="0" fillId="9" borderId="7" xfId="0" applyFill="1" applyBorder="1" applyAlignment="1" applyProtection="1">
      <alignment horizontal="right"/>
      <protection hidden="1"/>
    </xf>
    <xf numFmtId="0" fontId="0" fillId="9" borderId="0" xfId="0" applyFill="1" applyAlignment="1" applyProtection="1">
      <alignment horizontal="right"/>
      <protection hidden="1"/>
    </xf>
    <xf numFmtId="0" fontId="0" fillId="9" borderId="8" xfId="0" applyFill="1" applyBorder="1" applyAlignment="1" applyProtection="1">
      <alignment horizontal="right"/>
      <protection hidden="1"/>
    </xf>
    <xf numFmtId="0" fontId="0" fillId="9" borderId="9" xfId="0" applyFill="1" applyBorder="1" applyAlignment="1" applyProtection="1">
      <alignment horizontal="right"/>
      <protection hidden="1"/>
    </xf>
    <xf numFmtId="0" fontId="17" fillId="8" borderId="0" xfId="0" applyFont="1" applyFill="1"/>
    <xf numFmtId="0" fontId="45" fillId="18" borderId="0" xfId="0" applyFont="1" applyFill="1" applyAlignment="1">
      <alignment horizontal="center"/>
    </xf>
    <xf numFmtId="0" fontId="2" fillId="9" borderId="0" xfId="0" applyFont="1" applyFill="1"/>
    <xf numFmtId="0" fontId="15" fillId="9" borderId="0" xfId="0" applyFont="1" applyFill="1"/>
    <xf numFmtId="0" fontId="0" fillId="9" borderId="17" xfId="0" applyFill="1" applyBorder="1" applyAlignment="1">
      <alignment horizontal="left" vertical="center"/>
    </xf>
    <xf numFmtId="0" fontId="0" fillId="9" borderId="6" xfId="0" applyFill="1" applyBorder="1" applyAlignment="1">
      <alignment horizontal="left" vertical="center"/>
    </xf>
    <xf numFmtId="0" fontId="0" fillId="9" borderId="6" xfId="0" applyFill="1" applyBorder="1" applyAlignment="1">
      <alignment horizontal="right" vertical="center"/>
    </xf>
    <xf numFmtId="0" fontId="0" fillId="9" borderId="0" xfId="0" applyFill="1" applyAlignment="1">
      <alignment horizontal="center"/>
    </xf>
    <xf numFmtId="0" fontId="5" fillId="2" borderId="5" xfId="1" applyFont="1" applyFill="1" applyBorder="1" applyAlignment="1">
      <alignment vertical="center"/>
    </xf>
    <xf numFmtId="0" fontId="5" fillId="2" borderId="6" xfId="1" applyFont="1" applyFill="1" applyBorder="1" applyAlignment="1">
      <alignment vertical="center"/>
    </xf>
    <xf numFmtId="0" fontId="0" fillId="2" borderId="0" xfId="0" applyFill="1"/>
    <xf numFmtId="0" fontId="5" fillId="2" borderId="0" xfId="1" applyFont="1" applyFill="1" applyAlignment="1">
      <alignment vertical="center"/>
    </xf>
    <xf numFmtId="0" fontId="0" fillId="3" borderId="0" xfId="0" applyFill="1"/>
    <xf numFmtId="0" fontId="0" fillId="3" borderId="0" xfId="0" applyFill="1" applyAlignment="1">
      <alignment horizontal="right"/>
    </xf>
    <xf numFmtId="0" fontId="0" fillId="18" borderId="0" xfId="0" applyFill="1"/>
    <xf numFmtId="0" fontId="0" fillId="18" borderId="0" xfId="0" applyFill="1" applyAlignment="1">
      <alignment horizontal="right"/>
    </xf>
    <xf numFmtId="0" fontId="34" fillId="18" borderId="0" xfId="0" applyFont="1" applyFill="1"/>
    <xf numFmtId="0" fontId="47" fillId="18" borderId="0" xfId="0" applyFont="1" applyFill="1"/>
    <xf numFmtId="0" fontId="0" fillId="9" borderId="20" xfId="0" applyFill="1" applyBorder="1"/>
    <xf numFmtId="0" fontId="0" fillId="9" borderId="16" xfId="0" applyFill="1" applyBorder="1" applyAlignment="1">
      <alignment horizontal="right" vertical="center"/>
    </xf>
    <xf numFmtId="0" fontId="0" fillId="9" borderId="14" xfId="0" applyFill="1" applyBorder="1"/>
    <xf numFmtId="1" fontId="0" fillId="9" borderId="20" xfId="0" applyNumberFormat="1" applyFill="1" applyBorder="1"/>
    <xf numFmtId="0" fontId="42" fillId="9" borderId="0" xfId="0" applyFont="1" applyFill="1" applyAlignment="1">
      <alignment horizontal="center"/>
    </xf>
    <xf numFmtId="0" fontId="40" fillId="9" borderId="0" xfId="0" applyFont="1" applyFill="1"/>
    <xf numFmtId="49" fontId="42" fillId="9" borderId="0" xfId="0" applyNumberFormat="1" applyFont="1" applyFill="1" applyAlignment="1">
      <alignment horizontal="center"/>
    </xf>
    <xf numFmtId="0" fontId="42" fillId="9" borderId="0" xfId="0" applyFont="1" applyFill="1" applyAlignment="1">
      <alignment wrapText="1"/>
    </xf>
    <xf numFmtId="0" fontId="46" fillId="9" borderId="0" xfId="3" applyFont="1" applyFill="1" applyBorder="1" applyAlignment="1">
      <alignment vertical="center"/>
    </xf>
    <xf numFmtId="0" fontId="40" fillId="9" borderId="0" xfId="0" applyFont="1" applyFill="1" applyAlignment="1">
      <alignment horizontal="center"/>
    </xf>
    <xf numFmtId="0" fontId="40" fillId="9" borderId="0" xfId="0" applyFont="1" applyFill="1" applyAlignment="1">
      <alignment horizontal="left"/>
    </xf>
    <xf numFmtId="0" fontId="41" fillId="9" borderId="0" xfId="0" applyFont="1" applyFill="1" applyAlignment="1">
      <alignment horizontal="center"/>
    </xf>
    <xf numFmtId="49" fontId="41" fillId="9" borderId="0" xfId="0" applyNumberFormat="1" applyFont="1" applyFill="1" applyAlignment="1">
      <alignment horizontal="left"/>
    </xf>
    <xf numFmtId="0" fontId="42" fillId="9" borderId="0" xfId="0" applyFont="1" applyFill="1"/>
    <xf numFmtId="0" fontId="44" fillId="9" borderId="0" xfId="3" applyFont="1" applyFill="1" applyBorder="1" applyAlignment="1">
      <alignment vertical="center"/>
    </xf>
    <xf numFmtId="0" fontId="44" fillId="9" borderId="0" xfId="3" applyFont="1" applyFill="1" applyBorder="1" applyAlignment="1">
      <alignment horizontal="right" vertical="center"/>
    </xf>
    <xf numFmtId="0" fontId="41" fillId="9" borderId="0" xfId="0" applyFont="1" applyFill="1" applyAlignment="1">
      <alignment horizontal="left"/>
    </xf>
    <xf numFmtId="0" fontId="4" fillId="9" borderId="0" xfId="0" applyFont="1" applyFill="1"/>
    <xf numFmtId="0" fontId="0" fillId="4" borderId="16" xfId="0" applyFill="1" applyBorder="1" applyProtection="1">
      <protection locked="0"/>
    </xf>
    <xf numFmtId="0" fontId="0" fillId="4" borderId="20" xfId="0" applyFill="1" applyBorder="1" applyProtection="1">
      <protection locked="0"/>
    </xf>
    <xf numFmtId="0" fontId="0" fillId="4" borderId="14" xfId="0" applyFill="1" applyBorder="1" applyProtection="1">
      <protection locked="0"/>
    </xf>
    <xf numFmtId="0" fontId="0" fillId="4" borderId="13" xfId="0" applyFill="1" applyBorder="1" applyProtection="1">
      <protection locked="0"/>
    </xf>
    <xf numFmtId="0" fontId="30" fillId="4" borderId="16" xfId="0" applyFont="1" applyFill="1" applyBorder="1" applyProtection="1">
      <protection locked="0"/>
    </xf>
    <xf numFmtId="0" fontId="30" fillId="4" borderId="20" xfId="0" applyFont="1" applyFill="1" applyBorder="1" applyProtection="1">
      <protection locked="0"/>
    </xf>
    <xf numFmtId="0" fontId="30" fillId="4" borderId="14" xfId="0" applyFont="1" applyFill="1" applyBorder="1" applyProtection="1">
      <protection locked="0"/>
    </xf>
    <xf numFmtId="2" fontId="0" fillId="9" borderId="20" xfId="0" applyNumberFormat="1" applyFill="1" applyBorder="1"/>
    <xf numFmtId="0" fontId="4" fillId="0" borderId="0" xfId="0" applyFont="1" applyAlignment="1">
      <alignment horizontal="right"/>
    </xf>
    <xf numFmtId="2" fontId="0" fillId="9" borderId="14" xfId="0" applyNumberFormat="1" applyFill="1" applyBorder="1"/>
    <xf numFmtId="2" fontId="0" fillId="0" borderId="16" xfId="0" applyNumberFormat="1" applyBorder="1"/>
    <xf numFmtId="2" fontId="0" fillId="0" borderId="20" xfId="0" applyNumberFormat="1" applyBorder="1"/>
    <xf numFmtId="2" fontId="0" fillId="0" borderId="14" xfId="0" applyNumberFormat="1" applyBorder="1" applyProtection="1">
      <protection hidden="1"/>
    </xf>
    <xf numFmtId="0" fontId="0" fillId="3" borderId="9" xfId="0" applyFill="1" applyBorder="1"/>
    <xf numFmtId="0" fontId="0" fillId="9" borderId="7" xfId="0" applyFill="1" applyBorder="1" applyAlignment="1" applyProtection="1">
      <alignment horizontal="right"/>
      <protection hidden="1"/>
    </xf>
    <xf numFmtId="0" fontId="0" fillId="9" borderId="0" xfId="0" applyFill="1" applyAlignment="1" applyProtection="1">
      <alignment horizontal="right"/>
      <protection hidden="1"/>
    </xf>
    <xf numFmtId="0" fontId="0" fillId="9" borderId="11" xfId="0" applyFill="1" applyBorder="1" applyAlignment="1" applyProtection="1">
      <alignment horizontal="right"/>
      <protection hidden="1"/>
    </xf>
    <xf numFmtId="0" fontId="0" fillId="9" borderId="8" xfId="0" applyFill="1" applyBorder="1" applyAlignment="1" applyProtection="1">
      <alignment horizontal="right"/>
      <protection hidden="1"/>
    </xf>
    <xf numFmtId="0" fontId="0" fillId="9" borderId="9" xfId="0" applyFill="1" applyBorder="1" applyAlignment="1" applyProtection="1">
      <alignment horizontal="right"/>
      <protection hidden="1"/>
    </xf>
    <xf numFmtId="0" fontId="0" fillId="9" borderId="15" xfId="0" applyFill="1" applyBorder="1" applyAlignment="1" applyProtection="1">
      <alignment horizontal="right"/>
      <protection hidden="1"/>
    </xf>
    <xf numFmtId="0" fontId="43" fillId="3" borderId="0" xfId="3" applyFill="1" applyBorder="1" applyAlignment="1" applyProtection="1">
      <alignment horizontal="center" vertical="center"/>
      <protection locked="0" hidden="1"/>
    </xf>
    <xf numFmtId="0" fontId="0" fillId="9" borderId="0" xfId="0" applyFill="1" applyAlignment="1">
      <alignment horizontal="center"/>
    </xf>
    <xf numFmtId="0" fontId="0" fillId="9" borderId="5" xfId="0" applyFill="1" applyBorder="1" applyAlignment="1" applyProtection="1">
      <alignment horizontal="right"/>
      <protection hidden="1"/>
    </xf>
    <xf numFmtId="0" fontId="0" fillId="9" borderId="6" xfId="0" applyFill="1" applyBorder="1" applyAlignment="1" applyProtection="1">
      <alignment horizontal="right"/>
      <protection hidden="1"/>
    </xf>
    <xf numFmtId="0" fontId="0" fillId="9" borderId="17" xfId="0" applyFill="1" applyBorder="1" applyAlignment="1" applyProtection="1">
      <alignment horizontal="right"/>
      <protection hidden="1"/>
    </xf>
    <xf numFmtId="0" fontId="43" fillId="3" borderId="0" xfId="3" applyFill="1" applyBorder="1" applyAlignment="1" applyProtection="1">
      <alignment horizontal="center"/>
      <protection locked="0" hidden="1"/>
    </xf>
    <xf numFmtId="0" fontId="40" fillId="0" borderId="0" xfId="0" applyFont="1" applyAlignment="1">
      <alignment horizontal="center"/>
    </xf>
    <xf numFmtId="0" fontId="40" fillId="17" borderId="0" xfId="0" applyFont="1" applyFill="1" applyAlignment="1">
      <alignment horizontal="center"/>
    </xf>
    <xf numFmtId="0" fontId="45" fillId="18" borderId="0" xfId="0" applyFont="1" applyFill="1" applyAlignment="1">
      <alignment horizontal="left"/>
    </xf>
    <xf numFmtId="0" fontId="42" fillId="9" borderId="0" xfId="0" applyFont="1" applyFill="1" applyAlignment="1">
      <alignment horizontal="left"/>
    </xf>
    <xf numFmtId="0" fontId="42" fillId="9" borderId="0" xfId="0" applyFont="1" applyFill="1" applyAlignment="1">
      <alignment wrapText="1"/>
    </xf>
    <xf numFmtId="0" fontId="0" fillId="0" borderId="22" xfId="0" applyBorder="1" applyAlignment="1">
      <alignment horizontal="center" wrapText="1"/>
    </xf>
    <xf numFmtId="0" fontId="0" fillId="0" borderId="26" xfId="0" applyBorder="1" applyAlignment="1">
      <alignment horizontal="center" wrapText="1"/>
    </xf>
    <xf numFmtId="0" fontId="0" fillId="0" borderId="23" xfId="0" applyBorder="1" applyAlignment="1">
      <alignment horizontal="center" wrapText="1"/>
    </xf>
    <xf numFmtId="0" fontId="0" fillId="0" borderId="24" xfId="0" applyBorder="1" applyAlignment="1">
      <alignment horizontal="center" wrapText="1"/>
    </xf>
    <xf numFmtId="0" fontId="35" fillId="13" borderId="0" xfId="2" applyFont="1" applyFill="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1" xfId="0" applyBorder="1" applyAlignment="1">
      <alignment horizontal="left" vertical="center"/>
    </xf>
    <xf numFmtId="0" fontId="2" fillId="0" borderId="1" xfId="0" applyFont="1" applyBorder="1" applyAlignment="1">
      <alignment horizontal="left"/>
    </xf>
    <xf numFmtId="0" fontId="0" fillId="0" borderId="0" xfId="0" applyAlignment="1">
      <alignment horizontal="center" vertical="top"/>
    </xf>
    <xf numFmtId="0" fontId="0" fillId="0" borderId="10" xfId="0" applyBorder="1" applyAlignment="1">
      <alignment horizontal="center" vertical="top"/>
    </xf>
    <xf numFmtId="0" fontId="0" fillId="0" borderId="1" xfId="0" applyBorder="1" applyAlignment="1">
      <alignment horizontal="center"/>
    </xf>
    <xf numFmtId="0" fontId="2" fillId="0" borderId="2" xfId="0" applyFont="1" applyBorder="1" applyAlignment="1">
      <alignment horizontal="left"/>
    </xf>
    <xf numFmtId="0" fontId="2" fillId="0" borderId="3" xfId="0" applyFont="1" applyBorder="1" applyAlignment="1">
      <alignment horizontal="left"/>
    </xf>
    <xf numFmtId="0" fontId="2" fillId="0" borderId="4" xfId="0" applyFont="1" applyBorder="1" applyAlignment="1">
      <alignment horizontal="left"/>
    </xf>
    <xf numFmtId="0" fontId="22" fillId="0" borderId="0" xfId="2" applyFont="1" applyAlignment="1">
      <alignment horizontal="center"/>
    </xf>
    <xf numFmtId="0" fontId="2" fillId="0" borderId="19" xfId="0" applyFont="1" applyBorder="1" applyAlignment="1">
      <alignment horizontal="center"/>
    </xf>
    <xf numFmtId="0" fontId="2" fillId="0" borderId="18" xfId="0" applyFont="1" applyBorder="1" applyAlignment="1">
      <alignment horizontal="center"/>
    </xf>
    <xf numFmtId="0" fontId="4" fillId="0" borderId="0" xfId="2" applyAlignment="1">
      <alignment horizontal="center"/>
    </xf>
    <xf numFmtId="0" fontId="0" fillId="0" borderId="0" xfId="0" applyAlignment="1">
      <alignment horizontal="center"/>
    </xf>
    <xf numFmtId="0" fontId="0" fillId="0" borderId="7" xfId="0" applyBorder="1" applyAlignment="1">
      <alignment horizontal="center"/>
    </xf>
    <xf numFmtId="0" fontId="0" fillId="0" borderId="11" xfId="0" applyBorder="1" applyAlignment="1">
      <alignment horizontal="center"/>
    </xf>
    <xf numFmtId="0" fontId="2" fillId="0" borderId="12" xfId="0" applyFont="1" applyBorder="1" applyAlignment="1">
      <alignment horizontal="center"/>
    </xf>
    <xf numFmtId="0" fontId="2" fillId="0" borderId="5" xfId="0" applyFont="1" applyBorder="1" applyAlignment="1">
      <alignment horizontal="center"/>
    </xf>
    <xf numFmtId="0" fontId="2" fillId="0" borderId="17" xfId="0" applyFont="1" applyBorder="1" applyAlignment="1">
      <alignment horizontal="center"/>
    </xf>
    <xf numFmtId="0" fontId="0" fillId="0" borderId="6" xfId="0" applyBorder="1" applyAlignment="1">
      <alignment horizontal="center"/>
    </xf>
    <xf numFmtId="0" fontId="0" fillId="0" borderId="5" xfId="0" applyBorder="1" applyAlignment="1">
      <alignment horizontal="center"/>
    </xf>
    <xf numFmtId="0" fontId="0" fillId="0" borderId="17" xfId="0" applyBorder="1" applyAlignment="1">
      <alignment horizontal="center"/>
    </xf>
  </cellXfs>
  <cellStyles count="4">
    <cellStyle name="Lien hypertexte" xfId="3" builtinId="8"/>
    <cellStyle name="Normal" xfId="0" builtinId="0"/>
    <cellStyle name="Normal 2" xfId="2" xr:uid="{00000000-0005-0000-0000-000001000000}"/>
    <cellStyle name="Normal 4" xfId="1" xr:uid="{00000000-0005-0000-0000-000002000000}"/>
  </cellStyles>
  <dxfs count="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Bode Plot</a:t>
            </a:r>
          </a:p>
        </c:rich>
      </c:tx>
      <c:overlay val="0"/>
    </c:title>
    <c:autoTitleDeleted val="0"/>
    <c:plotArea>
      <c:layout/>
      <c:scatterChart>
        <c:scatterStyle val="smoothMarker"/>
        <c:varyColors val="0"/>
        <c:ser>
          <c:idx val="0"/>
          <c:order val="0"/>
          <c:spPr>
            <a:ln w="38100">
              <a:solidFill>
                <a:srgbClr val="FF0000"/>
              </a:solidFill>
            </a:ln>
          </c:spPr>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Control_Loop_Tables!$BK$19:$BK$560</c:f>
              <c:numCache>
                <c:formatCode>General</c:formatCode>
                <c:ptCount val="542"/>
                <c:pt idx="0">
                  <c:v>50.088812728883518</c:v>
                </c:pt>
                <c:pt idx="1">
                  <c:v>49.889712104724765</c:v>
                </c:pt>
                <c:pt idx="2">
                  <c:v>49.690653231708566</c:v>
                </c:pt>
                <c:pt idx="3">
                  <c:v>49.491638016973653</c:v>
                </c:pt>
                <c:pt idx="4">
                  <c:v>49.292668451808325</c:v>
                </c:pt>
                <c:pt idx="5">
                  <c:v>49.093746615080036</c:v>
                </c:pt>
                <c:pt idx="6">
                  <c:v>48.894874676775004</c:v>
                </c:pt>
                <c:pt idx="7">
                  <c:v>48.696054901653099</c:v>
                </c:pt>
                <c:pt idx="8">
                  <c:v>48.497289653015052</c:v>
                </c:pt>
                <c:pt idx="9">
                  <c:v>48.29858139658252</c:v>
                </c:pt>
                <c:pt idx="10">
                  <c:v>48.099932704493156</c:v>
                </c:pt>
                <c:pt idx="11">
                  <c:v>47.901346259406139</c:v>
                </c:pt>
                <c:pt idx="12">
                  <c:v>47.702824858719694</c:v>
                </c:pt>
                <c:pt idx="13">
                  <c:v>47.504371418898032</c:v>
                </c:pt>
                <c:pt idx="14">
                  <c:v>47.305988979903361</c:v>
                </c:pt>
                <c:pt idx="15">
                  <c:v>47.10768070973149</c:v>
                </c:pt>
                <c:pt idx="16">
                  <c:v>46.909449909046181</c:v>
                </c:pt>
                <c:pt idx="17">
                  <c:v>46.711300015906367</c:v>
                </c:pt>
                <c:pt idx="18">
                  <c:v>46.513234610580426</c:v>
                </c:pt>
                <c:pt idx="19">
                  <c:v>46.315257420440417</c:v>
                </c:pt>
                <c:pt idx="20">
                  <c:v>46.117372324927011</c:v>
                </c:pt>
                <c:pt idx="21">
                  <c:v>45.919583360575665</c:v>
                </c:pt>
                <c:pt idx="22">
                  <c:v>45.721894726092422</c:v>
                </c:pt>
                <c:pt idx="23">
                  <c:v>45.524310787465893</c:v>
                </c:pt>
                <c:pt idx="24">
                  <c:v>45.326836083101512</c:v>
                </c:pt>
                <c:pt idx="25">
                  <c:v>45.129475328960012</c:v>
                </c:pt>
                <c:pt idx="26">
                  <c:v>44.932233423683314</c:v>
                </c:pt>
                <c:pt idx="27">
                  <c:v>44.735115453684806</c:v>
                </c:pt>
                <c:pt idx="28">
                  <c:v>44.538126698182552</c:v>
                </c:pt>
                <c:pt idx="29">
                  <c:v>44.34127263414851</c:v>
                </c:pt>
                <c:pt idx="30">
                  <c:v>44.144558941145689</c:v>
                </c:pt>
                <c:pt idx="31">
                  <c:v>43.947991506022476</c:v>
                </c:pt>
                <c:pt idx="32">
                  <c:v>43.751576427428574</c:v>
                </c:pt>
                <c:pt idx="33">
                  <c:v>43.555320020115772</c:v>
                </c:pt>
                <c:pt idx="34">
                  <c:v>43.359228818983141</c:v>
                </c:pt>
                <c:pt idx="35">
                  <c:v>43.163309582820119</c:v>
                </c:pt>
                <c:pt idx="36">
                  <c:v>42.967569297701601</c:v>
                </c:pt>
                <c:pt idx="37">
                  <c:v>42.772015179980812</c:v>
                </c:pt>
                <c:pt idx="38">
                  <c:v>42.576654678825008</c:v>
                </c:pt>
                <c:pt idx="39">
                  <c:v>42.381495478233042</c:v>
                </c:pt>
                <c:pt idx="40">
                  <c:v>42.186545498469464</c:v>
                </c:pt>
                <c:pt idx="41">
                  <c:v>41.99181289684762</c:v>
                </c:pt>
                <c:pt idx="42">
                  <c:v>41.797306067785755</c:v>
                </c:pt>
                <c:pt idx="43">
                  <c:v>41.603033642061035</c:v>
                </c:pt>
                <c:pt idx="44">
                  <c:v>41.409004485175458</c:v>
                </c:pt>
                <c:pt idx="45">
                  <c:v>41.215227694749792</c:v>
                </c:pt>
                <c:pt idx="46">
                  <c:v>41.021712596852524</c:v>
                </c:pt>
                <c:pt idx="47">
                  <c:v>40.828468741169118</c:v>
                </c:pt>
                <c:pt idx="48">
                  <c:v>40.6355058949122</c:v>
                </c:pt>
                <c:pt idx="49">
                  <c:v>40.442834035370289</c:v>
                </c:pt>
                <c:pt idx="50">
                  <c:v>40.250463340989</c:v>
                </c:pt>
                <c:pt idx="51">
                  <c:v>40.058404180877233</c:v>
                </c:pt>
                <c:pt idx="52">
                  <c:v>39.866667102627261</c:v>
                </c:pt>
                <c:pt idx="53">
                  <c:v>39.675262818338012</c:v>
                </c:pt>
                <c:pt idx="54">
                  <c:v>39.484202188730556</c:v>
                </c:pt>
                <c:pt idx="55">
                  <c:v>39.293496205244082</c:v>
                </c:pt>
                <c:pt idx="56">
                  <c:v>39.1031559700047</c:v>
                </c:pt>
                <c:pt idx="57">
                  <c:v>38.913192673561035</c:v>
                </c:pt>
                <c:pt idx="58">
                  <c:v>38.723617570286386</c:v>
                </c:pt>
                <c:pt idx="59">
                  <c:v>38.534441951352832</c:v>
                </c:pt>
                <c:pt idx="60">
                  <c:v>38.345677115191897</c:v>
                </c:pt>
                <c:pt idx="61">
                  <c:v>38.15733433536608</c:v>
                </c:pt>
                <c:pt idx="62">
                  <c:v>37.969424825786369</c:v>
                </c:pt>
                <c:pt idx="63">
                  <c:v>37.781959703229198</c:v>
                </c:pt>
                <c:pt idx="64">
                  <c:v>37.594949947118501</c:v>
                </c:pt>
                <c:pt idx="65">
                  <c:v>37.408406356562132</c:v>
                </c:pt>
                <c:pt idx="66">
                  <c:v>37.22233950465133</c:v>
                </c:pt>
                <c:pt idx="67">
                  <c:v>37.036759690057004</c:v>
                </c:pt>
                <c:pt idx="68">
                  <c:v>36.851676885985668</c:v>
                </c:pt>
                <c:pt idx="69">
                  <c:v>36.667100686584966</c:v>
                </c:pt>
                <c:pt idx="70">
                  <c:v>36.483040250923423</c:v>
                </c:pt>
                <c:pt idx="71">
                  <c:v>36.299504244703755</c:v>
                </c:pt>
                <c:pt idx="72">
                  <c:v>36.116500779904747</c:v>
                </c:pt>
                <c:pt idx="73">
                  <c:v>35.934037352587858</c:v>
                </c:pt>
                <c:pt idx="74">
                  <c:v>35.752120779144207</c:v>
                </c:pt>
                <c:pt idx="75">
                  <c:v>35.570757131299438</c:v>
                </c:pt>
                <c:pt idx="76">
                  <c:v>35.389951670239064</c:v>
                </c:pt>
                <c:pt idx="77">
                  <c:v>35.209708780255973</c:v>
                </c:pt>
                <c:pt idx="78">
                  <c:v>35.030031902368293</c:v>
                </c:pt>
                <c:pt idx="79">
                  <c:v>34.850923468393965</c:v>
                </c:pt>
                <c:pt idx="80">
                  <c:v>34.672384836010522</c:v>
                </c:pt>
                <c:pt idx="81">
                  <c:v>34.494416225362492</c:v>
                </c:pt>
                <c:pt idx="82">
                  <c:v>34.317016657813738</c:v>
                </c:pt>
                <c:pt idx="83">
                  <c:v>34.14018389746942</c:v>
                </c:pt>
                <c:pt idx="84">
                  <c:v>33.963914396114738</c:v>
                </c:pt>
                <c:pt idx="85">
                  <c:v>33.788203242234658</c:v>
                </c:pt>
                <c:pt idx="86">
                  <c:v>33.613044114785531</c:v>
                </c:pt>
                <c:pt idx="87">
                  <c:v>33.438429242393759</c:v>
                </c:pt>
                <c:pt idx="88">
                  <c:v>33.264349368642769</c:v>
                </c:pt>
                <c:pt idx="89">
                  <c:v>33.09079372409699</c:v>
                </c:pt>
                <c:pt idx="90">
                  <c:v>32.917750005677597</c:v>
                </c:pt>
                <c:pt idx="91">
                  <c:v>32.745204363970409</c:v>
                </c:pt>
                <c:pt idx="92">
                  <c:v>32.573141398993599</c:v>
                </c:pt>
                <c:pt idx="93">
                  <c:v>32.401544164892009</c:v>
                </c:pt>
                <c:pt idx="94">
                  <c:v>32.230394183957301</c:v>
                </c:pt>
                <c:pt idx="95">
                  <c:v>32.059671470287412</c:v>
                </c:pt>
                <c:pt idx="96">
                  <c:v>31.889354563313152</c:v>
                </c:pt>
                <c:pt idx="97">
                  <c:v>31.719420571317883</c:v>
                </c:pt>
                <c:pt idx="98">
                  <c:v>31.54984522497444</c:v>
                </c:pt>
                <c:pt idx="99">
                  <c:v>31.380602940809514</c:v>
                </c:pt>
                <c:pt idx="100">
                  <c:v>31.211666894394096</c:v>
                </c:pt>
                <c:pt idx="101">
                  <c:v>31.043009102941241</c:v>
                </c:pt>
                <c:pt idx="102">
                  <c:v>30.874600516875006</c:v>
                </c:pt>
                <c:pt idx="103">
                  <c:v>30.706411119823429</c:v>
                </c:pt>
                <c:pt idx="104">
                  <c:v>30.5384100363753</c:v>
                </c:pt>
                <c:pt idx="105">
                  <c:v>30.370565646839907</c:v>
                </c:pt>
                <c:pt idx="106">
                  <c:v>30.202845708151386</c:v>
                </c:pt>
                <c:pt idx="107">
                  <c:v>30.035217479976751</c:v>
                </c:pt>
                <c:pt idx="108">
                  <c:v>29.867647855013072</c:v>
                </c:pt>
                <c:pt idx="109">
                  <c:v>29.700103492400316</c:v>
                </c:pt>
                <c:pt idx="110">
                  <c:v>29.532550953131214</c:v>
                </c:pt>
                <c:pt idx="111">
                  <c:v>29.36495683631318</c:v>
                </c:pt>
                <c:pt idx="112">
                  <c:v>29.19728791512339</c:v>
                </c:pt>
                <c:pt idx="113">
                  <c:v>29.029511271301608</c:v>
                </c:pt>
                <c:pt idx="114">
                  <c:v>28.861594427050292</c:v>
                </c:pt>
                <c:pt idx="115">
                  <c:v>28.693505473243583</c:v>
                </c:pt>
                <c:pt idx="116">
                  <c:v>28.525213192903564</c:v>
                </c:pt>
                <c:pt idx="117">
                  <c:v>28.356687178964432</c:v>
                </c:pt>
                <c:pt idx="118">
                  <c:v>28.187897945429562</c:v>
                </c:pt>
                <c:pt idx="119">
                  <c:v>28.018817031111848</c:v>
                </c:pt>
                <c:pt idx="120">
                  <c:v>27.84941709525064</c:v>
                </c:pt>
                <c:pt idx="121">
                  <c:v>27.679672004404857</c:v>
                </c:pt>
                <c:pt idx="122">
                  <c:v>27.509556910134062</c:v>
                </c:pt>
                <c:pt idx="123">
                  <c:v>27.339048317094377</c:v>
                </c:pt>
                <c:pt idx="124">
                  <c:v>27.168124141293667</c:v>
                </c:pt>
                <c:pt idx="125">
                  <c:v>26.996763758364168</c:v>
                </c:pt>
                <c:pt idx="126">
                  <c:v>26.824948041825234</c:v>
                </c:pt>
                <c:pt idx="127">
                  <c:v>26.652659391416297</c:v>
                </c:pt>
                <c:pt idx="128">
                  <c:v>26.479881751679564</c:v>
                </c:pt>
                <c:pt idx="129">
                  <c:v>26.306600621069517</c:v>
                </c:pt>
                <c:pt idx="130">
                  <c:v>26.132803051949331</c:v>
                </c:pt>
                <c:pt idx="131">
                  <c:v>25.958477641910083</c:v>
                </c:pt>
                <c:pt idx="132">
                  <c:v>25.783614516916046</c:v>
                </c:pt>
                <c:pt idx="133">
                  <c:v>25.608205306829767</c:v>
                </c:pt>
                <c:pt idx="134">
                  <c:v>25.43224311392191</c:v>
                </c:pt>
                <c:pt idx="135">
                  <c:v>25.255722474995711</c:v>
                </c:pt>
                <c:pt idx="136">
                  <c:v>25.078639317786671</c:v>
                </c:pt>
                <c:pt idx="137">
                  <c:v>24.900990912305385</c:v>
                </c:pt>
                <c:pt idx="138">
                  <c:v>24.722775817798365</c:v>
                </c:pt>
                <c:pt idx="139">
                  <c:v>24.543993825995784</c:v>
                </c:pt>
                <c:pt idx="140">
                  <c:v>24.364645901301564</c:v>
                </c:pt>
                <c:pt idx="141">
                  <c:v>24.184734118562979</c:v>
                </c:pt>
                <c:pt idx="142">
                  <c:v>24.004261599029235</c:v>
                </c:pt>
                <c:pt idx="143">
                  <c:v>23.823232445080347</c:v>
                </c:pt>
                <c:pt idx="144">
                  <c:v>23.641651674269461</c:v>
                </c:pt>
                <c:pt idx="145">
                  <c:v>23.459525153186107</c:v>
                </c:pt>
                <c:pt idx="146">
                  <c:v>23.276859531607023</c:v>
                </c:pt>
                <c:pt idx="147">
                  <c:v>23.093662177356418</c:v>
                </c:pt>
                <c:pt idx="148">
                  <c:v>22.90994111225984</c:v>
                </c:pt>
                <c:pt idx="149">
                  <c:v>22.725704949526566</c:v>
                </c:pt>
                <c:pt idx="150">
                  <c:v>22.54096283285897</c:v>
                </c:pt>
                <c:pt idx="151">
                  <c:v>22.355724377540959</c:v>
                </c:pt>
                <c:pt idx="152">
                  <c:v>22.169999613721586</c:v>
                </c:pt>
                <c:pt idx="153">
                  <c:v>21.983798932067433</c:v>
                </c:pt>
                <c:pt idx="154">
                  <c:v>21.797133031926506</c:v>
                </c:pt>
                <c:pt idx="155">
                  <c:v>21.610012872108207</c:v>
                </c:pt>
                <c:pt idx="156">
                  <c:v>21.422449624354751</c:v>
                </c:pt>
                <c:pt idx="157">
                  <c:v>21.234454629551035</c:v>
                </c:pt>
                <c:pt idx="158">
                  <c:v>21.046039356692742</c:v>
                </c:pt>
                <c:pt idx="159">
                  <c:v>20.857215364610923</c:v>
                </c:pt>
                <c:pt idx="160">
                  <c:v>20.667994266428764</c:v>
                </c:pt>
                <c:pt idx="161">
                  <c:v>20.478387696709419</c:v>
                </c:pt>
                <c:pt idx="162">
                  <c:v>20.288407281237447</c:v>
                </c:pt>
                <c:pt idx="163">
                  <c:v>20.098064609362204</c:v>
                </c:pt>
                <c:pt idx="164">
                  <c:v>19.907371208822546</c:v>
                </c:pt>
                <c:pt idx="165">
                  <c:v>19.716338522960843</c:v>
                </c:pt>
                <c:pt idx="166">
                  <c:v>19.524977890227369</c:v>
                </c:pt>
                <c:pt idx="167">
                  <c:v>19.333300525870481</c:v>
                </c:pt>
                <c:pt idx="168">
                  <c:v>19.14131750570489</c:v>
                </c:pt>
                <c:pt idx="169">
                  <c:v>18.949039751846534</c:v>
                </c:pt>
                <c:pt idx="170">
                  <c:v>18.756478020299806</c:v>
                </c:pt>
                <c:pt idx="171">
                  <c:v>18.563642890285973</c:v>
                </c:pt>
                <c:pt idx="172">
                  <c:v>18.370544755198331</c:v>
                </c:pt>
                <c:pt idx="173">
                  <c:v>18.177193815072656</c:v>
                </c:pt>
                <c:pt idx="174">
                  <c:v>17.983600070464185</c:v>
                </c:pt>
                <c:pt idx="175">
                  <c:v>17.789773317622362</c:v>
                </c:pt>
                <c:pt idx="176">
                  <c:v>17.595723144860244</c:v>
                </c:pt>
                <c:pt idx="177">
                  <c:v>17.401458930016787</c:v>
                </c:pt>
                <c:pt idx="178">
                  <c:v>17.206989838914673</c:v>
                </c:pt>
                <c:pt idx="179">
                  <c:v>17.012324824719428</c:v>
                </c:pt>
                <c:pt idx="180">
                  <c:v>16.817472628109883</c:v>
                </c:pt>
                <c:pt idx="181">
                  <c:v>16.622441778173965</c:v>
                </c:pt>
                <c:pt idx="182">
                  <c:v>16.427240593946237</c:v>
                </c:pt>
                <c:pt idx="183">
                  <c:v>16.231877186509863</c:v>
                </c:pt>
                <c:pt idx="184">
                  <c:v>16.036359461586322</c:v>
                </c:pt>
                <c:pt idx="185">
                  <c:v>15.840695122542405</c:v>
                </c:pt>
                <c:pt idx="186">
                  <c:v>15.644891673745319</c:v>
                </c:pt>
                <c:pt idx="187">
                  <c:v>15.448956424201034</c:v>
                </c:pt>
                <c:pt idx="188">
                  <c:v>15.252896491413557</c:v>
                </c:pt>
                <c:pt idx="189">
                  <c:v>15.05671880540504</c:v>
                </c:pt>
                <c:pt idx="190">
                  <c:v>14.860430112839575</c:v>
                </c:pt>
                <c:pt idx="191">
                  <c:v>14.66403698119607</c:v>
                </c:pt>
                <c:pt idx="192">
                  <c:v>14.4675458029357</c:v>
                </c:pt>
                <c:pt idx="193">
                  <c:v>14.270962799612906</c:v>
                </c:pt>
                <c:pt idx="194">
                  <c:v>14.074294025879864</c:v>
                </c:pt>
                <c:pt idx="195">
                  <c:v>13.877545373333909</c:v>
                </c:pt>
                <c:pt idx="196">
                  <c:v>13.680722574159621</c:v>
                </c:pt>
                <c:pt idx="197">
                  <c:v>13.483831204518207</c:v>
                </c:pt>
                <c:pt idx="198">
                  <c:v>13.286876687633608</c:v>
                </c:pt>
                <c:pt idx="199">
                  <c:v>13.08986429653039</c:v>
                </c:pt>
                <c:pt idx="200">
                  <c:v>12.892799156371451</c:v>
                </c:pt>
                <c:pt idx="201">
                  <c:v>12.695686246348414</c:v>
                </c:pt>
                <c:pt idx="202">
                  <c:v>12.498530401073877</c:v>
                </c:pt>
                <c:pt idx="203">
                  <c:v>12.30133631142391</c:v>
                </c:pt>
                <c:pt idx="204">
                  <c:v>12.104108524778328</c:v>
                </c:pt>
                <c:pt idx="205">
                  <c:v>11.906851444604625</c:v>
                </c:pt>
                <c:pt idx="206">
                  <c:v>11.709569329329721</c:v>
                </c:pt>
                <c:pt idx="207">
                  <c:v>11.512266290441211</c:v>
                </c:pt>
                <c:pt idx="208">
                  <c:v>11.314946289758673</c:v>
                </c:pt>
                <c:pt idx="209">
                  <c:v>11.117613135813059</c:v>
                </c:pt>
                <c:pt idx="210">
                  <c:v>10.920270479269849</c:v>
                </c:pt>
                <c:pt idx="211">
                  <c:v>10.722921807329458</c:v>
                </c:pt>
                <c:pt idx="212">
                  <c:v>10.525570437037487</c:v>
                </c:pt>
                <c:pt idx="213">
                  <c:v>10.328219507432159</c:v>
                </c:pt>
                <c:pt idx="214">
                  <c:v>10.130871970458662</c:v>
                </c:pt>
                <c:pt idx="215">
                  <c:v>9.9335305805741374</c:v>
                </c:pt>
                <c:pt idx="216">
                  <c:v>9.7361978829686375</c:v>
                </c:pt>
                <c:pt idx="217">
                  <c:v>9.5388762003248431</c:v>
                </c:pt>
                <c:pt idx="218">
                  <c:v>9.3415676180380594</c:v>
                </c:pt>
                <c:pt idx="219">
                  <c:v>9.1442739678201015</c:v>
                </c:pt>
                <c:pt idx="220">
                  <c:v>8.946996809608061</c:v>
                </c:pt>
                <c:pt idx="221">
                  <c:v>8.7497374117025348</c:v>
                </c:pt>
                <c:pt idx="222">
                  <c:v>8.5524967290618665</c:v>
                </c:pt>
                <c:pt idx="223">
                  <c:v>8.3552753796799077</c:v>
                </c:pt>
                <c:pt idx="224">
                  <c:v>8.158073618981831</c:v>
                </c:pt>
                <c:pt idx="225">
                  <c:v>7.9608913121761669</c:v>
                </c:pt>
                <c:pt idx="226">
                  <c:v>7.7637279045087668</c:v>
                </c:pt>
                <c:pt idx="227">
                  <c:v>7.5665823893739255</c:v>
                </c:pt>
                <c:pt idx="228">
                  <c:v>7.369453274246224</c:v>
                </c:pt>
                <c:pt idx="229">
                  <c:v>7.1723385444096337</c:v>
                </c:pt>
                <c:pt idx="230">
                  <c:v>6.9752356244768343</c:v>
                </c:pt>
                <c:pt idx="231">
                  <c:v>6.7781413377050148</c:v>
                </c:pt>
                <c:pt idx="232">
                  <c:v>6.5810518631343928</c:v>
                </c:pt>
                <c:pt idx="233">
                  <c:v>6.3839626905973388</c:v>
                </c:pt>
                <c:pt idx="234">
                  <c:v>6.186868573670492</c:v>
                </c:pt>
                <c:pt idx="235">
                  <c:v>5.9897634806662747</c:v>
                </c:pt>
                <c:pt idx="236">
                  <c:v>5.7926405437917321</c:v>
                </c:pt>
                <c:pt idx="237">
                  <c:v>5.5954920066338705</c:v>
                </c:pt>
                <c:pt idx="238">
                  <c:v>5.3983091701629871</c:v>
                </c:pt>
                <c:pt idx="239">
                  <c:v>5.2010823374866009</c:v>
                </c:pt>
                <c:pt idx="240">
                  <c:v>5.0038007576213577</c:v>
                </c:pt>
                <c:pt idx="241">
                  <c:v>4.8064525685949819</c:v>
                </c:pt>
                <c:pt idx="242">
                  <c:v>4.6090247402329743</c:v>
                </c:pt>
                <c:pt idx="243">
                  <c:v>4.4115030170289264</c:v>
                </c:pt>
                <c:pt idx="244">
                  <c:v>4.2138718615444297</c:v>
                </c:pt>
                <c:pt idx="245">
                  <c:v>4.0161143988297168</c:v>
                </c:pt>
                <c:pt idx="246">
                  <c:v>3.8182123624062783</c:v>
                </c:pt>
                <c:pt idx="247">
                  <c:v>3.6201460423920988</c:v>
                </c:pt>
                <c:pt idx="248">
                  <c:v>3.4218942364024008</c:v>
                </c:pt>
                <c:pt idx="249">
                  <c:v>3.2234342038938331</c:v>
                </c:pt>
                <c:pt idx="250">
                  <c:v>3.024741624662981</c:v>
                </c:pt>
                <c:pt idx="251">
                  <c:v>2.8257905622410635</c:v>
                </c:pt>
                <c:pt idx="252">
                  <c:v>2.6265534329606348</c:v>
                </c:pt>
                <c:pt idx="253">
                  <c:v>2.4270009814849138</c:v>
                </c:pt>
                <c:pt idx="254">
                  <c:v>2.2271022636134727</c:v>
                </c:pt>
                <c:pt idx="255">
                  <c:v>2.0268246371779557</c:v>
                </c:pt>
                <c:pt idx="256">
                  <c:v>1.8261337618433857</c:v>
                </c:pt>
                <c:pt idx="257">
                  <c:v>1.6249936086119749</c:v>
                </c:pt>
                <c:pt idx="258">
                  <c:v>1.4233664798055936</c:v>
                </c:pt>
                <c:pt idx="259">
                  <c:v>1.2212130402622303</c:v>
                </c:pt>
                <c:pt idx="260">
                  <c:v>1.0184923604354408</c:v>
                </c:pt>
                <c:pt idx="261">
                  <c:v>0.81516197201802354</c:v>
                </c:pt>
                <c:pt idx="262">
                  <c:v>0.61117793663960074</c:v>
                </c:pt>
                <c:pt idx="263">
                  <c:v>0.40649492809418186</c:v>
                </c:pt>
                <c:pt idx="264">
                  <c:v>0.20106632845443562</c:v>
                </c:pt>
                <c:pt idx="265">
                  <c:v>-5.1556616867762875E-3</c:v>
                </c:pt>
                <c:pt idx="266">
                  <c:v>-0.21221989873317704</c:v>
                </c:pt>
                <c:pt idx="267">
                  <c:v>-0.42017615738110858</c:v>
                </c:pt>
                <c:pt idx="268">
                  <c:v>-0.62907497786007061</c:v>
                </c:pt>
                <c:pt idx="269">
                  <c:v>-0.83896749943683357</c:v>
                </c:pt>
                <c:pt idx="270">
                  <c:v>-1.0499052806563471</c:v>
                </c:pt>
                <c:pt idx="271">
                  <c:v>-1.2619401069543925</c:v>
                </c:pt>
                <c:pt idx="272">
                  <c:v>-1.4751237864348863</c:v>
                </c:pt>
                <c:pt idx="273">
                  <c:v>-1.6895079347652184</c:v>
                </c:pt>
                <c:pt idx="274">
                  <c:v>-1.9051437502937141</c:v>
                </c:pt>
                <c:pt idx="275">
                  <c:v>-2.1220817806416035</c:v>
                </c:pt>
                <c:pt idx="276">
                  <c:v>-2.3403716821577785</c:v>
                </c:pt>
                <c:pt idx="277">
                  <c:v>-2.5600619737483719</c:v>
                </c:pt>
                <c:pt idx="278">
                  <c:v>-2.7811997867050686</c:v>
                </c:pt>
                <c:pt idx="279">
                  <c:v>-3.0038306122469698</c:v>
                </c:pt>
                <c:pt idx="280">
                  <c:v>-3.2279980485697095</c:v>
                </c:pt>
                <c:pt idx="281">
                  <c:v>-3.4537435492464308</c:v>
                </c:pt>
                <c:pt idx="282">
                  <c:v>-3.6811061748646532</c:v>
                </c:pt>
                <c:pt idx="283">
                  <c:v>-3.9101223497916306</c:v>
                </c:pt>
                <c:pt idx="284">
                  <c:v>-4.140825625954589</c:v>
                </c:pt>
                <c:pt idx="285">
                  <c:v>-4.373246455488208</c:v>
                </c:pt>
                <c:pt idx="286">
                  <c:v>-4.6074119740505335</c:v>
                </c:pt>
                <c:pt idx="287">
                  <c:v>-4.8433457965331934</c:v>
                </c:pt>
                <c:pt idx="288">
                  <c:v>-5.0810678267969163</c:v>
                </c:pt>
                <c:pt idx="289">
                  <c:v>-5.3205940829539191</c:v>
                </c:pt>
                <c:pt idx="290">
                  <c:v>-5.5619365395871441</c:v>
                </c:pt>
                <c:pt idx="291">
                  <c:v>-5.8051029881536191</c:v>
                </c:pt>
                <c:pt idx="292">
                  <c:v>-6.0500969166662273</c:v>
                </c:pt>
                <c:pt idx="293">
                  <c:v>-6.2969174095789304</c:v>
                </c:pt>
                <c:pt idx="294">
                  <c:v>-6.5455590686329588</c:v>
                </c:pt>
                <c:pt idx="295">
                  <c:v>-6.7960119552399725</c:v>
                </c:pt>
                <c:pt idx="296">
                  <c:v>-7.0482615548015701</c:v>
                </c:pt>
                <c:pt idx="297">
                  <c:v>-7.3022887631857278</c:v>
                </c:pt>
                <c:pt idx="298">
                  <c:v>-7.5580698954035705</c:v>
                </c:pt>
                <c:pt idx="299">
                  <c:v>-7.8155767163577501</c:v>
                </c:pt>
                <c:pt idx="300">
                  <c:v>-8.0747764933725144</c:v>
                </c:pt>
                <c:pt idx="301">
                  <c:v>-8.3356320700552207</c:v>
                </c:pt>
                <c:pt idx="302">
                  <c:v>-8.5981019608969689</c:v>
                </c:pt>
                <c:pt idx="303">
                  <c:v>-8.8621404658836092</c:v>
                </c:pt>
                <c:pt idx="304">
                  <c:v>-9.1276978042661838</c:v>
                </c:pt>
                <c:pt idx="305">
                  <c:v>-9.3947202665321434</c:v>
                </c:pt>
                <c:pt idx="306">
                  <c:v>-9.6631503835196426</c:v>
                </c:pt>
                <c:pt idx="307">
                  <c:v>-9.932927111538536</c:v>
                </c:pt>
                <c:pt idx="308">
                  <c:v>-10.203986032288663</c:v>
                </c:pt>
                <c:pt idx="309">
                  <c:v>-10.476259566311271</c:v>
                </c:pt>
                <c:pt idx="310">
                  <c:v>-10.749677198665053</c:v>
                </c:pt>
                <c:pt idx="311">
                  <c:v>-11.024165715485614</c:v>
                </c:pt>
                <c:pt idx="312">
                  <c:v>-11.2996494500642</c:v>
                </c:pt>
                <c:pt idx="313">
                  <c:v>-11.576050537070754</c:v>
                </c:pt>
                <c:pt idx="314">
                  <c:v>-11.853289173542635</c:v>
                </c:pt>
                <c:pt idx="315">
                  <c:v>-12.131283885263265</c:v>
                </c:pt>
                <c:pt idx="316">
                  <c:v>-12.409951797169086</c:v>
                </c:pt>
                <c:pt idx="317">
                  <c:v>-12.689208906437518</c:v>
                </c:pt>
                <c:pt idx="318">
                  <c:v>-12.968970356932317</c:v>
                </c:pt>
                <c:pt idx="319">
                  <c:v>-13.249150713708481</c:v>
                </c:pt>
                <c:pt idx="320">
                  <c:v>-13.529664236310303</c:v>
                </c:pt>
                <c:pt idx="321">
                  <c:v>-13.810425149627418</c:v>
                </c:pt>
                <c:pt idx="322">
                  <c:v>-14.091347911111257</c:v>
                </c:pt>
                <c:pt idx="323">
                  <c:v>-14.37234747319237</c:v>
                </c:pt>
                <c:pt idx="324">
                  <c:v>-14.653339539782323</c:v>
                </c:pt>
                <c:pt idx="325">
                  <c:v>-14.93424081578349</c:v>
                </c:pt>
                <c:pt idx="326">
                  <c:v>-15.21496924858025</c:v>
                </c:pt>
                <c:pt idx="327">
                  <c:v>-15.495444260534001</c:v>
                </c:pt>
                <c:pt idx="328">
                  <c:v>-15.775586971554398</c:v>
                </c:pt>
                <c:pt idx="329">
                  <c:v>-16.055320410879006</c:v>
                </c:pt>
                <c:pt idx="330">
                  <c:v>-16.334569717248154</c:v>
                </c:pt>
                <c:pt idx="331">
                  <c:v>-16.613262326731768</c:v>
                </c:pt>
                <c:pt idx="332">
                  <c:v>-16.891328147526131</c:v>
                </c:pt>
                <c:pt idx="333">
                  <c:v>-17.168699721116351</c:v>
                </c:pt>
                <c:pt idx="334">
                  <c:v>-17.445312369272884</c:v>
                </c:pt>
                <c:pt idx="335">
                  <c:v>-17.721104326433835</c:v>
                </c:pt>
                <c:pt idx="336">
                  <c:v>-17.996016857106238</c:v>
                </c:pt>
                <c:pt idx="337">
                  <c:v>-18.269994358013122</c:v>
                </c:pt>
                <c:pt idx="338">
                  <c:v>-18.54298444479808</c:v>
                </c:pt>
                <c:pt idx="339">
                  <c:v>-18.814938023198966</c:v>
                </c:pt>
                <c:pt idx="340">
                  <c:v>-19.085809344693068</c:v>
                </c:pt>
                <c:pt idx="341">
                  <c:v>-19.355556046716384</c:v>
                </c:pt>
                <c:pt idx="342">
                  <c:v>-19.624139177651728</c:v>
                </c:pt>
                <c:pt idx="343">
                  <c:v>-19.891523206878883</c:v>
                </c:pt>
                <c:pt idx="344">
                  <c:v>-20.157676020269292</c:v>
                </c:pt>
                <c:pt idx="345">
                  <c:v>-20.422568901597455</c:v>
                </c:pt>
                <c:pt idx="346">
                  <c:v>-20.686176500426821</c:v>
                </c:pt>
                <c:pt idx="347">
                  <c:v>-20.948476787102159</c:v>
                </c:pt>
                <c:pt idx="348">
                  <c:v>-21.20945099555794</c:v>
                </c:pt>
                <c:pt idx="349">
                  <c:v>-21.469083554709506</c:v>
                </c:pt>
                <c:pt idx="350">
                  <c:v>-21.727362009256375</c:v>
                </c:pt>
                <c:pt idx="351">
                  <c:v>-21.984276930767717</c:v>
                </c:pt>
                <c:pt idx="352">
                  <c:v>-22.239821819962078</c:v>
                </c:pt>
                <c:pt idx="353">
                  <c:v>-22.493993001118099</c:v>
                </c:pt>
                <c:pt idx="354">
                  <c:v>-22.746789509573663</c:v>
                </c:pt>
                <c:pt idx="355">
                  <c:v>-22.99821297327647</c:v>
                </c:pt>
                <c:pt idx="356">
                  <c:v>-23.248267489349452</c:v>
                </c:pt>
                <c:pt idx="357">
                  <c:v>-23.496959496625148</c:v>
                </c:pt>
                <c:pt idx="358">
                  <c:v>-23.744297645080962</c:v>
                </c:pt>
                <c:pt idx="359">
                  <c:v>-23.990292663083888</c:v>
                </c:pt>
                <c:pt idx="360">
                  <c:v>-24.234957223317011</c:v>
                </c:pt>
                <c:pt idx="361">
                  <c:v>-24.478305808220234</c:v>
                </c:pt>
                <c:pt idx="362">
                  <c:v>-24.720354575730759</c:v>
                </c:pt>
                <c:pt idx="363">
                  <c:v>-24.961121226060538</c:v>
                </c:pt>
                <c:pt idx="364">
                  <c:v>-25.200624870189632</c:v>
                </c:pt>
                <c:pt idx="365">
                  <c:v>-25.43888590069912</c:v>
                </c:pt>
                <c:pt idx="366">
                  <c:v>-25.675925865510525</c:v>
                </c:pt>
                <c:pt idx="367">
                  <c:v>-25.911767345031635</c:v>
                </c:pt>
                <c:pt idx="368">
                  <c:v>-26.146433833156525</c:v>
                </c:pt>
                <c:pt idx="369">
                  <c:v>-26.379949622499225</c:v>
                </c:pt>
                <c:pt idx="370">
                  <c:v>-26.612339694189767</c:v>
                </c:pt>
                <c:pt idx="371">
                  <c:v>-26.843629612496315</c:v>
                </c:pt>
                <c:pt idx="372">
                  <c:v>-27.073845424489733</c:v>
                </c:pt>
                <c:pt idx="373">
                  <c:v>-27.303013564908333</c:v>
                </c:pt>
                <c:pt idx="374">
                  <c:v>-27.531160766337848</c:v>
                </c:pt>
                <c:pt idx="375">
                  <c:v>-27.758313974769703</c:v>
                </c:pt>
                <c:pt idx="376">
                  <c:v>-27.984500270564247</c:v>
                </c:pt>
                <c:pt idx="377">
                  <c:v>-28.209746794804836</c:v>
                </c:pt>
                <c:pt idx="378">
                  <c:v>-28.434080680991364</c:v>
                </c:pt>
                <c:pt idx="379">
                  <c:v>-28.657528991998184</c:v>
                </c:pt>
                <c:pt idx="380">
                  <c:v>-28.88011866218563</c:v>
                </c:pt>
                <c:pt idx="381">
                  <c:v>-29.101876444536966</c:v>
                </c:pt>
                <c:pt idx="382">
                  <c:v>-29.32282886267047</c:v>
                </c:pt>
                <c:pt idx="383">
                  <c:v>-29.543002167558406</c:v>
                </c:pt>
                <c:pt idx="384">
                  <c:v>-29.762422298773593</c:v>
                </c:pt>
                <c:pt idx="385">
                  <c:v>-29.981114850070419</c:v>
                </c:pt>
                <c:pt idx="386">
                  <c:v>-30.19910503910242</c:v>
                </c:pt>
                <c:pt idx="387">
                  <c:v>-30.416417681069817</c:v>
                </c:pt>
                <c:pt idx="388">
                  <c:v>-30.633077166090338</c:v>
                </c:pt>
                <c:pt idx="389">
                  <c:v>-30.849107440081305</c:v>
                </c:pt>
                <c:pt idx="390">
                  <c:v>-31.064531988946207</c:v>
                </c:pt>
                <c:pt idx="391">
                  <c:v>-31.27937382585781</c:v>
                </c:pt>
                <c:pt idx="392">
                  <c:v>-31.493655481433525</c:v>
                </c:pt>
                <c:pt idx="393">
                  <c:v>-31.707398996605161</c:v>
                </c:pt>
                <c:pt idx="394">
                  <c:v>-31.920625917989561</c:v>
                </c:pt>
                <c:pt idx="395">
                  <c:v>-32.133357295573653</c:v>
                </c:pt>
                <c:pt idx="396">
                  <c:v>-32.345613682533426</c:v>
                </c:pt>
                <c:pt idx="397">
                  <c:v>-32.557415137016264</c:v>
                </c:pt>
                <c:pt idx="398">
                  <c:v>-32.768781225722421</c:v>
                </c:pt>
                <c:pt idx="399">
                  <c:v>-32.979731029129901</c:v>
                </c:pt>
                <c:pt idx="400">
                  <c:v>-33.190283148215897</c:v>
                </c:pt>
                <c:pt idx="401">
                  <c:v>-33.400455712536839</c:v>
                </c:pt>
                <c:pt idx="402">
                  <c:v>-33.610266389537856</c:v>
                </c:pt>
                <c:pt idx="403">
                  <c:v>-33.819732394969357</c:v>
                </c:pt>
                <c:pt idx="404">
                  <c:v>-34.028870504298077</c:v>
                </c:pt>
                <c:pt idx="405">
                  <c:v>-34.237697065010153</c:v>
                </c:pt>
                <c:pt idx="406">
                  <c:v>-34.446228009706509</c:v>
                </c:pt>
                <c:pt idx="407">
                  <c:v>-34.654478869904054</c:v>
                </c:pt>
                <c:pt idx="408">
                  <c:v>-34.862464790460891</c:v>
                </c:pt>
                <c:pt idx="409">
                  <c:v>-35.070200544550552</c:v>
                </c:pt>
                <c:pt idx="410">
                  <c:v>-35.277700549118599</c:v>
                </c:pt>
                <c:pt idx="411">
                  <c:v>-35.484978880760998</c:v>
                </c:pt>
                <c:pt idx="412">
                  <c:v>-35.692049291968004</c:v>
                </c:pt>
                <c:pt idx="413">
                  <c:v>-35.898925227686775</c:v>
                </c:pt>
                <c:pt idx="414">
                  <c:v>-36.10561984215807</c:v>
                </c:pt>
                <c:pt idx="415">
                  <c:v>-36.312146015987793</c:v>
                </c:pt>
                <c:pt idx="416">
                  <c:v>-36.518516373422678</c:v>
                </c:pt>
                <c:pt idx="417">
                  <c:v>-36.724743299798071</c:v>
                </c:pt>
                <c:pt idx="418">
                  <c:v>-36.930838959135606</c:v>
                </c:pt>
                <c:pt idx="419">
                  <c:v>-37.136815311867302</c:v>
                </c:pt>
                <c:pt idx="420">
                  <c:v>-37.34268413267128</c:v>
                </c:pt>
                <c:pt idx="421">
                  <c:v>-37.548457028403533</c:v>
                </c:pt>
                <c:pt idx="422">
                  <c:v>-37.754145456114642</c:v>
                </c:pt>
                <c:pt idx="423">
                  <c:v>-37.959760741143363</c:v>
                </c:pt>
                <c:pt idx="424">
                  <c:v>-38.165314095282035</c:v>
                </c:pt>
                <c:pt idx="425">
                  <c:v>-38.370816635008993</c:v>
                </c:pt>
                <c:pt idx="426">
                  <c:v>-38.576279399787367</c:v>
                </c:pt>
                <c:pt idx="427">
                  <c:v>-38.781713370428925</c:v>
                </c:pt>
                <c:pt idx="428">
                  <c:v>-38.987129487526929</c:v>
                </c:pt>
                <c:pt idx="429">
                  <c:v>-39.192538669959795</c:v>
                </c:pt>
                <c:pt idx="430">
                  <c:v>-39.397951833468319</c:v>
                </c:pt>
                <c:pt idx="431">
                  <c:v>-39.603379909314789</c:v>
                </c:pt>
                <c:pt idx="432">
                  <c:v>-39.808833863026472</c:v>
                </c:pt>
                <c:pt idx="433">
                  <c:v>-40.014324713232114</c:v>
                </c:pt>
                <c:pt idx="434">
                  <c:v>-40.219863550596521</c:v>
                </c:pt>
                <c:pt idx="435">
                  <c:v>-40.425461556860625</c:v>
                </c:pt>
                <c:pt idx="436">
                  <c:v>-40.631130023993791</c:v>
                </c:pt>
                <c:pt idx="437">
                  <c:v>-40.836880373463899</c:v>
                </c:pt>
                <c:pt idx="438">
                  <c:v>-41.042724175631662</c:v>
                </c:pt>
                <c:pt idx="439">
                  <c:v>-41.248673169274461</c:v>
                </c:pt>
                <c:pt idx="440">
                  <c:v>-41.454739281243036</c:v>
                </c:pt>
                <c:pt idx="441">
                  <c:v>-41.660934646255797</c:v>
                </c:pt>
                <c:pt idx="442">
                  <c:v>-41.867271626830274</c:v>
                </c:pt>
                <c:pt idx="443">
                  <c:v>-42.073762833354174</c:v>
                </c:pt>
                <c:pt idx="444">
                  <c:v>-42.280421144292959</c:v>
                </c:pt>
                <c:pt idx="445">
                  <c:v>-42.487259726531448</c:v>
                </c:pt>
                <c:pt idx="446">
                  <c:v>-42.694292055842212</c:v>
                </c:pt>
                <c:pt idx="447">
                  <c:v>-42.901531937474388</c:v>
                </c:pt>
                <c:pt idx="448">
                  <c:v>-43.108993526849027</c:v>
                </c:pt>
                <c:pt idx="449">
                  <c:v>-43.316691350348322</c:v>
                </c:pt>
                <c:pt idx="450">
                  <c:v>-43.524640326181355</c:v>
                </c:pt>
                <c:pt idx="451">
                  <c:v>-43.732855785302959</c:v>
                </c:pt>
                <c:pt idx="452">
                  <c:v>-43.941353492361941</c:v>
                </c:pt>
                <c:pt idx="453">
                  <c:v>-44.150149666647295</c:v>
                </c:pt>
                <c:pt idx="454">
                  <c:v>-44.359261002999844</c:v>
                </c:pt>
                <c:pt idx="455">
                  <c:v>-44.56870469264728</c:v>
                </c:pt>
                <c:pt idx="456">
                  <c:v>-44.77849844391919</c:v>
                </c:pt>
                <c:pt idx="457">
                  <c:v>-44.988660502791681</c:v>
                </c:pt>
                <c:pt idx="458">
                  <c:v>-45.199209673203242</c:v>
                </c:pt>
                <c:pt idx="459">
                  <c:v>-45.410165337080699</c:v>
                </c:pt>
                <c:pt idx="460">
                  <c:v>-45.621547474003386</c:v>
                </c:pt>
                <c:pt idx="461">
                  <c:v>-45.833376680430831</c:v>
                </c:pt>
                <c:pt idx="462">
                  <c:v>-46.045674188406778</c:v>
                </c:pt>
                <c:pt idx="463">
                  <c:v>-46.258461883650696</c:v>
                </c:pt>
                <c:pt idx="464">
                  <c:v>-46.471762322934566</c:v>
                </c:pt>
                <c:pt idx="465">
                  <c:v>-46.685598750636885</c:v>
                </c:pt>
                <c:pt idx="466">
                  <c:v>-46.899995114359363</c:v>
                </c:pt>
                <c:pt idx="467">
                  <c:v>-47.114976079479433</c:v>
                </c:pt>
                <c:pt idx="468">
                  <c:v>-47.330567042504825</c:v>
                </c:pt>
                <c:pt idx="469">
                  <c:v>-47.546794143090253</c:v>
                </c:pt>
                <c:pt idx="470">
                  <c:v>-47.763684274563722</c:v>
                </c:pt>
                <c:pt idx="471">
                  <c:v>-47.98126509280435</c:v>
                </c:pt>
                <c:pt idx="472">
                  <c:v>-48.199565023303933</c:v>
                </c:pt>
                <c:pt idx="473">
                  <c:v>-48.41861326623922</c:v>
                </c:pt>
                <c:pt idx="474">
                  <c:v>-48.638439799372108</c:v>
                </c:pt>
                <c:pt idx="475">
                  <c:v>-48.859075378589125</c:v>
                </c:pt>
                <c:pt idx="476">
                  <c:v>-49.080551535888247</c:v>
                </c:pt>
                <c:pt idx="477">
                  <c:v>-49.302900574613147</c:v>
                </c:pt>
                <c:pt idx="478">
                  <c:v>-49.526155561733546</c:v>
                </c:pt>
                <c:pt idx="479">
                  <c:v>-49.750350316967513</c:v>
                </c:pt>
                <c:pt idx="480">
                  <c:v>-49.975519398542836</c:v>
                </c:pt>
                <c:pt idx="481">
                  <c:v>-50.201698085392351</c:v>
                </c:pt>
                <c:pt idx="482">
                  <c:v>-50.428922355584966</c:v>
                </c:pt>
                <c:pt idx="483">
                  <c:v>-50.657228860797183</c:v>
                </c:pt>
                <c:pt idx="484">
                  <c:v>-50.886654896639875</c:v>
                </c:pt>
                <c:pt idx="485">
                  <c:v>-51.11723836866355</c:v>
                </c:pt>
                <c:pt idx="486">
                  <c:v>-51.349017753879728</c:v>
                </c:pt>
                <c:pt idx="487">
                  <c:v>-51.582032057653812</c:v>
                </c:pt>
                <c:pt idx="488">
                  <c:v>-51.816320765840153</c:v>
                </c:pt>
                <c:pt idx="489">
                  <c:v>-52.051923792058538</c:v>
                </c:pt>
                <c:pt idx="490">
                  <c:v>-52.288881420032645</c:v>
                </c:pt>
                <c:pt idx="491">
                  <c:v>-52.52723424094296</c:v>
                </c:pt>
                <c:pt idx="492">
                  <c:v>-52.767023085779869</c:v>
                </c:pt>
                <c:pt idx="493">
                  <c:v>-53.008288952717059</c:v>
                </c:pt>
                <c:pt idx="494">
                  <c:v>-53.251072929567613</c:v>
                </c:pt>
                <c:pt idx="495">
                  <c:v>-53.495416111426422</c:v>
                </c:pt>
                <c:pt idx="496">
                  <c:v>-53.741359513647311</c:v>
                </c:pt>
                <c:pt idx="497">
                  <c:v>-53.988943980354236</c:v>
                </c:pt>
                <c:pt idx="498">
                  <c:v>-54.238210088732401</c:v>
                </c:pt>
                <c:pt idx="499">
                  <c:v>-54.489198049398915</c:v>
                </c:pt>
                <c:pt idx="500">
                  <c:v>-54.74194760320627</c:v>
                </c:pt>
                <c:pt idx="501">
                  <c:v>-54.996497914881203</c:v>
                </c:pt>
                <c:pt idx="502">
                  <c:v>-55.252887463958793</c:v>
                </c:pt>
                <c:pt idx="503">
                  <c:v>-55.511153933519928</c:v>
                </c:pt>
                <c:pt idx="504">
                  <c:v>-55.771334097289724</c:v>
                </c:pt>
                <c:pt idx="505">
                  <c:v>-56.03346370570469</c:v>
                </c:pt>
                <c:pt idx="506">
                  <c:v>-56.297577371593093</c:v>
                </c:pt>
                <c:pt idx="507">
                  <c:v>-56.563708456157698</c:v>
                </c:pt>
                <c:pt idx="508">
                  <c:v>-56.831888955977803</c:v>
                </c:pt>
                <c:pt idx="509">
                  <c:v>-57.102149391775484</c:v>
                </c:pt>
                <c:pt idx="510">
                  <c:v>-57.37451869970991</c:v>
                </c:pt>
                <c:pt idx="511">
                  <c:v>-57.649024125973689</c:v>
                </c:pt>
                <c:pt idx="512">
                  <c:v>-57.92569112546871</c:v>
                </c:pt>
                <c:pt idx="513">
                  <c:v>-58.204543265330599</c:v>
                </c:pt>
                <c:pt idx="514">
                  <c:v>-58.485602134056343</c:v>
                </c:pt>
                <c:pt idx="515">
                  <c:v>-58.768887256962536</c:v>
                </c:pt>
                <c:pt idx="516">
                  <c:v>-59.054416018668185</c:v>
                </c:pt>
                <c:pt idx="517">
                  <c:v>-59.342203593249579</c:v>
                </c:pt>
                <c:pt idx="518">
                  <c:v>-59.632262882661024</c:v>
                </c:pt>
                <c:pt idx="519">
                  <c:v>-59.924604463955447</c:v>
                </c:pt>
                <c:pt idx="520">
                  <c:v>-60.219236545765767</c:v>
                </c:pt>
                <c:pt idx="521">
                  <c:v>-60.516164934433334</c:v>
                </c:pt>
                <c:pt idx="522">
                  <c:v>-60.815393010085764</c:v>
                </c:pt>
                <c:pt idx="523">
                  <c:v>-61.116921712880341</c:v>
                </c:pt>
                <c:pt idx="524">
                  <c:v>-61.42074953953977</c:v>
                </c:pt>
                <c:pt idx="525">
                  <c:v>-61.726872550210388</c:v>
                </c:pt>
                <c:pt idx="526">
                  <c:v>-62.035284385585577</c:v>
                </c:pt>
                <c:pt idx="527">
                  <c:v>-62.345976294141686</c:v>
                </c:pt>
                <c:pt idx="528">
                  <c:v>-62.658937169244609</c:v>
                </c:pt>
                <c:pt idx="529">
                  <c:v>-62.97415359580188</c:v>
                </c:pt>
                <c:pt idx="530">
                  <c:v>-63.29160990604808</c:v>
                </c:pt>
                <c:pt idx="531">
                  <c:v>-63.611288243985399</c:v>
                </c:pt>
                <c:pt idx="532">
                  <c:v>-63.933168637923963</c:v>
                </c:pt>
                <c:pt idx="533">
                  <c:v>-64.257229080515131</c:v>
                </c:pt>
                <c:pt idx="534">
                  <c:v>-64.583445615613357</c:v>
                </c:pt>
                <c:pt idx="535">
                  <c:v>-64.911792431265042</c:v>
                </c:pt>
                <c:pt idx="536">
                  <c:v>-65.242241958086169</c:v>
                </c:pt>
                <c:pt idx="537">
                  <c:v>-65.574764972273428</c:v>
                </c:pt>
                <c:pt idx="538">
                  <c:v>-65.909330702472289</c:v>
                </c:pt>
                <c:pt idx="539">
                  <c:v>-66.245906939729821</c:v>
                </c:pt>
                <c:pt idx="540">
                  <c:v>-66.584460149757859</c:v>
                </c:pt>
                <c:pt idx="541">
                  <c:v>-66.924955586752091</c:v>
                </c:pt>
              </c:numCache>
            </c:numRef>
          </c:yVal>
          <c:smooth val="1"/>
          <c:extLst>
            <c:ext xmlns:c16="http://schemas.microsoft.com/office/drawing/2014/chart" uri="{C3380CC4-5D6E-409C-BE32-E72D297353CC}">
              <c16:uniqueId val="{00000000-3223-41D7-8B33-833B9B1F2597}"/>
            </c:ext>
          </c:extLst>
        </c:ser>
        <c:dLbls>
          <c:showLegendKey val="0"/>
          <c:showVal val="0"/>
          <c:showCatName val="0"/>
          <c:showSerName val="0"/>
          <c:showPercent val="0"/>
          <c:showBubbleSize val="0"/>
        </c:dLbls>
        <c:axId val="555528192"/>
        <c:axId val="555530112"/>
      </c:scatterChart>
      <c:scatterChart>
        <c:scatterStyle val="smoothMarker"/>
        <c:varyColors val="0"/>
        <c:ser>
          <c:idx val="1"/>
          <c:order val="1"/>
          <c:spPr>
            <a:ln w="38100">
              <a:solidFill>
                <a:schemeClr val="tx1">
                  <a:lumMod val="95000"/>
                  <a:lumOff val="5000"/>
                </a:schemeClr>
              </a:solidFill>
              <a:prstDash val="sysDash"/>
            </a:ln>
          </c:spPr>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Control_Loop_Tables!$BL$19:$BL$560</c:f>
              <c:numCache>
                <c:formatCode>General</c:formatCode>
                <c:ptCount val="542"/>
                <c:pt idx="0">
                  <c:v>91.470838711691101</c:v>
                </c:pt>
                <c:pt idx="1">
                  <c:v>91.504591547402327</c:v>
                </c:pt>
                <c:pt idx="2">
                  <c:v>91.539094671682236</c:v>
                </c:pt>
                <c:pt idx="3">
                  <c:v>91.574363037352242</c:v>
                </c:pt>
                <c:pt idx="4">
                  <c:v>91.610411770457546</c:v>
                </c:pt>
                <c:pt idx="5">
                  <c:v>91.647256162428206</c:v>
                </c:pt>
                <c:pt idx="6">
                  <c:v>91.684911661286051</c:v>
                </c:pt>
                <c:pt idx="7">
                  <c:v>91.72339386182631</c:v>
                </c:pt>
                <c:pt idx="8">
                  <c:v>91.762718494704814</c:v>
                </c:pt>
                <c:pt idx="9">
                  <c:v>91.802901414351652</c:v>
                </c:pt>
                <c:pt idx="10">
                  <c:v>91.843958585631739</c:v>
                </c:pt>
                <c:pt idx="11">
                  <c:v>91.885906069167959</c:v>
                </c:pt>
                <c:pt idx="12">
                  <c:v>91.928760005236711</c:v>
                </c:pt>
                <c:pt idx="13">
                  <c:v>91.972536596141936</c:v>
                </c:pt>
                <c:pt idx="14">
                  <c:v>92.017252086970345</c:v>
                </c:pt>
                <c:pt idx="15">
                  <c:v>92.062922744623691</c:v>
                </c:pt>
                <c:pt idx="16">
                  <c:v>92.109564835020663</c:v>
                </c:pt>
                <c:pt idx="17">
                  <c:v>92.157194598355588</c:v>
                </c:pt>
                <c:pt idx="18">
                  <c:v>92.205828222297427</c:v>
                </c:pt>
                <c:pt idx="19">
                  <c:v>92.255481813006057</c:v>
                </c:pt>
                <c:pt idx="20">
                  <c:v>92.30617136383934</c:v>
                </c:pt>
                <c:pt idx="21">
                  <c:v>92.357912721619982</c:v>
                </c:pt>
                <c:pt idx="22">
                  <c:v>92.410721550326727</c:v>
                </c:pt>
                <c:pt idx="23">
                  <c:v>92.464613292069757</c:v>
                </c:pt>
                <c:pt idx="24">
                  <c:v>92.519603125206217</c:v>
                </c:pt>
                <c:pt idx="25">
                  <c:v>92.575705919450982</c:v>
                </c:pt>
                <c:pt idx="26">
                  <c:v>92.6329361878295</c:v>
                </c:pt>
                <c:pt idx="27">
                  <c:v>92.691308035322592</c:v>
                </c:pt>
                <c:pt idx="28">
                  <c:v>92.750835104048193</c:v>
                </c:pt>
                <c:pt idx="29">
                  <c:v>92.811530514824028</c:v>
                </c:pt>
                <c:pt idx="30">
                  <c:v>92.873406804955948</c:v>
                </c:pt>
                <c:pt idx="31">
                  <c:v>92.936475862098703</c:v>
                </c:pt>
                <c:pt idx="32">
                  <c:v>93.000748854033716</c:v>
                </c:pt>
                <c:pt idx="33">
                  <c:v>93.066236154216995</c:v>
                </c:pt>
                <c:pt idx="34">
                  <c:v>93.132947262951717</c:v>
                </c:pt>
                <c:pt idx="35">
                  <c:v>93.200890724047525</c:v>
                </c:pt>
                <c:pt idx="36">
                  <c:v>93.270074036838594</c:v>
                </c:pt>
                <c:pt idx="37">
                  <c:v>93.340503563440535</c:v>
                </c:pt>
                <c:pt idx="38">
                  <c:v>93.412184431140531</c:v>
                </c:pt>
                <c:pt idx="39">
                  <c:v>93.485120429832534</c:v>
                </c:pt>
                <c:pt idx="40">
                  <c:v>93.559313904424059</c:v>
                </c:pt>
                <c:pt idx="41">
                  <c:v>93.634765642165149</c:v>
                </c:pt>
                <c:pt idx="42">
                  <c:v>93.711474754875709</c:v>
                </c:pt>
                <c:pt idx="43">
                  <c:v>93.789438556073719</c:v>
                </c:pt>
                <c:pt idx="44">
                  <c:v>93.868652433040879</c:v>
                </c:pt>
                <c:pt idx="45">
                  <c:v>93.949109713899517</c:v>
                </c:pt>
                <c:pt idx="46">
                  <c:v>94.030801529813687</c:v>
                </c:pt>
                <c:pt idx="47">
                  <c:v>94.113716672475533</c:v>
                </c:pt>
                <c:pt idx="48">
                  <c:v>94.197841447089246</c:v>
                </c:pt>
                <c:pt idx="49">
                  <c:v>94.283159521117057</c:v>
                </c:pt>
                <c:pt idx="50">
                  <c:v>94.369651769119173</c:v>
                </c:pt>
                <c:pt idx="51">
                  <c:v>94.457296114080265</c:v>
                </c:pt>
                <c:pt idx="52">
                  <c:v>94.546067365692949</c:v>
                </c:pt>
                <c:pt idx="53">
                  <c:v>94.635937056143746</c:v>
                </c:pt>
                <c:pt idx="54">
                  <c:v>94.726873274028108</c:v>
                </c:pt>
                <c:pt idx="55">
                  <c:v>94.818840497117932</c:v>
                </c:pt>
                <c:pt idx="56">
                  <c:v>94.91179942478766</c:v>
                </c:pt>
                <c:pt idx="57">
                  <c:v>95.005706811013823</c:v>
                </c:pt>
                <c:pt idx="58">
                  <c:v>95.100515298957831</c:v>
                </c:pt>
                <c:pt idx="59">
                  <c:v>95.196173258252941</c:v>
                </c:pt>
                <c:pt idx="60">
                  <c:v>95.292624626221269</c:v>
                </c:pt>
                <c:pt idx="61">
                  <c:v>95.389808754358157</c:v>
                </c:pt>
                <c:pt idx="62">
                  <c:v>95.487660261536902</c:v>
                </c:pt>
                <c:pt idx="63">
                  <c:v>95.586108895483306</c:v>
                </c:pt>
                <c:pt idx="64">
                  <c:v>95.685079404193829</c:v>
                </c:pt>
                <c:pt idx="65">
                  <c:v>95.784491419060018</c:v>
                </c:pt>
                <c:pt idx="66">
                  <c:v>95.884259351564893</c:v>
                </c:pt>
                <c:pt idx="67">
                  <c:v>95.984292305503686</c:v>
                </c:pt>
                <c:pt idx="68">
                  <c:v>96.084494006756344</c:v>
                </c:pt>
                <c:pt idx="69">
                  <c:v>96.184762752704032</c:v>
                </c:pt>
                <c:pt idx="70">
                  <c:v>96.284991383427965</c:v>
                </c:pt>
                <c:pt idx="71">
                  <c:v>96.385067276856205</c:v>
                </c:pt>
                <c:pt idx="72">
                  <c:v>96.484872370028214</c:v>
                </c:pt>
                <c:pt idx="73">
                  <c:v>96.584283208629813</c:v>
                </c:pt>
                <c:pt idx="74">
                  <c:v>96.68317102690223</c:v>
                </c:pt>
                <c:pt idx="75">
                  <c:v>96.781401859948318</c:v>
                </c:pt>
                <c:pt idx="76">
                  <c:v>96.878836690350568</c:v>
                </c:pt>
                <c:pt idx="77">
                  <c:v>96.975331630866435</c:v>
                </c:pt>
                <c:pt idx="78">
                  <c:v>97.070738144780023</c:v>
                </c:pt>
                <c:pt idx="79">
                  <c:v>97.164903305267785</c:v>
                </c:pt>
                <c:pt idx="80">
                  <c:v>97.257670094867706</c:v>
                </c:pt>
                <c:pt idx="81">
                  <c:v>97.348877745840454</c:v>
                </c:pt>
                <c:pt idx="82">
                  <c:v>97.438362121864103</c:v>
                </c:pt>
                <c:pt idx="83">
                  <c:v>97.525956141120986</c:v>
                </c:pt>
                <c:pt idx="84">
                  <c:v>97.611490240416259</c:v>
                </c:pt>
                <c:pt idx="85">
                  <c:v>97.694792879515049</c:v>
                </c:pt>
                <c:pt idx="86">
                  <c:v>97.775691084407939</c:v>
                </c:pt>
                <c:pt idx="87">
                  <c:v>97.854011027700224</c:v>
                </c:pt>
                <c:pt idx="88">
                  <c:v>97.929578643808966</c:v>
                </c:pt>
                <c:pt idx="89">
                  <c:v>98.002220276115537</c:v>
                </c:pt>
                <c:pt idx="90">
                  <c:v>98.071763352687725</c:v>
                </c:pt>
                <c:pt idx="91">
                  <c:v>98.138037086659523</c:v>
                </c:pt>
                <c:pt idx="92">
                  <c:v>98.200873196847354</c:v>
                </c:pt>
                <c:pt idx="93">
                  <c:v>98.260106643704304</c:v>
                </c:pt>
                <c:pt idx="94">
                  <c:v>98.315576375256327</c:v>
                </c:pt>
                <c:pt idx="95">
                  <c:v>98.367126077286088</c:v>
                </c:pt>
                <c:pt idx="96">
                  <c:v>98.414604921666594</c:v>
                </c:pt>
                <c:pt idx="97">
                  <c:v>98.457868306496749</c:v>
                </c:pt>
                <c:pt idx="98">
                  <c:v>98.496778581484278</c:v>
                </c:pt>
                <c:pt idx="99">
                  <c:v>98.531205751903329</c:v>
                </c:pt>
                <c:pt idx="100">
                  <c:v>98.561028154440422</c:v>
                </c:pt>
                <c:pt idx="101">
                  <c:v>98.586133098314519</c:v>
                </c:pt>
                <c:pt idx="102">
                  <c:v>98.606417465216026</c:v>
                </c:pt>
                <c:pt idx="103">
                  <c:v>98.621788261893172</c:v>
                </c:pt>
                <c:pt idx="104">
                  <c:v>98.632163119561653</c:v>
                </c:pt>
                <c:pt idx="105">
                  <c:v>98.637470734789048</c:v>
                </c:pt>
                <c:pt idx="106">
                  <c:v>98.637651247042754</c:v>
                </c:pt>
                <c:pt idx="107">
                  <c:v>98.632656548729599</c:v>
                </c:pt>
                <c:pt idx="108">
                  <c:v>98.622450524238531</c:v>
                </c:pt>
                <c:pt idx="109">
                  <c:v>98.607009215283455</c:v>
                </c:pt>
                <c:pt idx="110">
                  <c:v>98.586320910625744</c:v>
                </c:pt>
                <c:pt idx="111">
                  <c:v>98.560386159122686</c:v>
                </c:pt>
                <c:pt idx="112">
                  <c:v>98.529217705887334</c:v>
                </c:pt>
                <c:pt idx="113">
                  <c:v>98.492840352226978</c:v>
                </c:pt>
                <c:pt idx="114">
                  <c:v>98.451290740871542</c:v>
                </c:pt>
                <c:pt idx="115">
                  <c:v>98.404617068829111</c:v>
                </c:pt>
                <c:pt idx="116">
                  <c:v>98.352878730995513</c:v>
                </c:pt>
                <c:pt idx="117">
                  <c:v>98.296145898370924</c:v>
                </c:pt>
                <c:pt idx="118">
                  <c:v>98.234499035402138</c:v>
                </c:pt>
                <c:pt idx="119">
                  <c:v>98.168028361554235</c:v>
                </c:pt>
                <c:pt idx="120">
                  <c:v>98.096833262718278</c:v>
                </c:pt>
                <c:pt idx="121">
                  <c:v>98.021021658469365</c:v>
                </c:pt>
                <c:pt idx="122">
                  <c:v>97.940709331507179</c:v>
                </c:pt>
                <c:pt idx="123">
                  <c:v>97.856019225820532</c:v>
                </c:pt>
                <c:pt idx="124">
                  <c:v>97.767080720236734</c:v>
                </c:pt>
                <c:pt idx="125">
                  <c:v>97.674028884040723</c:v>
                </c:pt>
                <c:pt idx="126">
                  <c:v>97.57700372127016</c:v>
                </c:pt>
                <c:pt idx="127">
                  <c:v>97.476149410140522</c:v>
                </c:pt>
                <c:pt idx="128">
                  <c:v>97.371613543810767</c:v>
                </c:pt>
                <c:pt idx="129">
                  <c:v>97.263546378396327</c:v>
                </c:pt>
                <c:pt idx="130">
                  <c:v>97.152100093754754</c:v>
                </c:pt>
                <c:pt idx="131">
                  <c:v>97.037428072159244</c:v>
                </c:pt>
                <c:pt idx="132">
                  <c:v>96.919684199491513</c:v>
                </c:pt>
                <c:pt idx="133">
                  <c:v>96.799022193103696</c:v>
                </c:pt>
                <c:pt idx="134">
                  <c:v>96.675594959965167</c:v>
                </c:pt>
                <c:pt idx="135">
                  <c:v>96.549553988190809</c:v>
                </c:pt>
                <c:pt idx="136">
                  <c:v>96.421048774506204</c:v>
                </c:pt>
                <c:pt idx="137">
                  <c:v>96.29022628967445</c:v>
                </c:pt>
                <c:pt idx="138">
                  <c:v>96.157230483411368</c:v>
                </c:pt>
                <c:pt idx="139">
                  <c:v>96.022201829798519</c:v>
                </c:pt>
                <c:pt idx="140">
                  <c:v>95.885276913761544</c:v>
                </c:pt>
                <c:pt idx="141">
                  <c:v>95.746588058727752</c:v>
                </c:pt>
                <c:pt idx="142">
                  <c:v>95.606262995183414</c:v>
                </c:pt>
                <c:pt idx="143">
                  <c:v>95.464424569491598</c:v>
                </c:pt>
                <c:pt idx="144">
                  <c:v>95.321190491997839</c:v>
                </c:pt>
                <c:pt idx="145">
                  <c:v>95.176673123176798</c:v>
                </c:pt>
                <c:pt idx="146">
                  <c:v>95.030979296324674</c:v>
                </c:pt>
                <c:pt idx="147">
                  <c:v>94.884210175096911</c:v>
                </c:pt>
                <c:pt idx="148">
                  <c:v>94.736461144033257</c:v>
                </c:pt>
                <c:pt idx="149">
                  <c:v>94.587821730072292</c:v>
                </c:pt>
                <c:pt idx="150">
                  <c:v>94.438375552971266</c:v>
                </c:pt>
                <c:pt idx="151">
                  <c:v>94.288200302484071</c:v>
                </c:pt>
                <c:pt idx="152">
                  <c:v>94.137367740112211</c:v>
                </c:pt>
                <c:pt idx="153">
                  <c:v>93.985943723240808</c:v>
                </c:pt>
                <c:pt idx="154">
                  <c:v>93.833988249490517</c:v>
                </c:pt>
                <c:pt idx="155">
                  <c:v>93.681555519146201</c:v>
                </c:pt>
                <c:pt idx="156">
                  <c:v>93.528694013585834</c:v>
                </c:pt>
                <c:pt idx="157">
                  <c:v>93.375446587698903</c:v>
                </c:pt>
                <c:pt idx="158">
                  <c:v>93.221850574363771</c:v>
                </c:pt>
                <c:pt idx="159">
                  <c:v>93.067937899152184</c:v>
                </c:pt>
                <c:pt idx="160">
                  <c:v>92.913735203518499</c:v>
                </c:pt>
                <c:pt idx="161">
                  <c:v>92.759263974842966</c:v>
                </c:pt>
                <c:pt idx="162">
                  <c:v>92.604540681803201</c:v>
                </c:pt>
                <c:pt idx="163">
                  <c:v>92.449576913654951</c:v>
                </c:pt>
                <c:pt idx="164">
                  <c:v>92.294379522118248</c:v>
                </c:pt>
                <c:pt idx="165">
                  <c:v>92.138950764666873</c:v>
                </c:pt>
                <c:pt idx="166">
                  <c:v>91.983288448129443</c:v>
                </c:pt>
                <c:pt idx="167">
                  <c:v>91.827386071611116</c:v>
                </c:pt>
                <c:pt idx="168">
                  <c:v>91.67123296784537</c:v>
                </c:pt>
                <c:pt idx="169">
                  <c:v>91.514814442177865</c:v>
                </c:pt>
                <c:pt idx="170">
                  <c:v>91.35811190847555</c:v>
                </c:pt>
                <c:pt idx="171">
                  <c:v>91.201103021337488</c:v>
                </c:pt>
                <c:pt idx="172">
                  <c:v>91.043761804064218</c:v>
                </c:pt>
                <c:pt idx="173">
                  <c:v>90.886058771911308</c:v>
                </c:pt>
                <c:pt idx="174">
                  <c:v>90.727961050229538</c:v>
                </c:pt>
                <c:pt idx="175">
                  <c:v>90.569432487143516</c:v>
                </c:pt>
                <c:pt idx="176">
                  <c:v>90.410433760489695</c:v>
                </c:pt>
                <c:pt idx="177">
                  <c:v>90.250922478777525</c:v>
                </c:pt>
                <c:pt idx="178">
                  <c:v>90.090853275989488</c:v>
                </c:pt>
                <c:pt idx="179">
                  <c:v>89.930177900072167</c:v>
                </c:pt>
                <c:pt idx="180">
                  <c:v>89.768845295011772</c:v>
                </c:pt>
                <c:pt idx="181">
                  <c:v>89.606801676419622</c:v>
                </c:pt>
                <c:pt idx="182">
                  <c:v>89.443990600578061</c:v>
                </c:pt>
                <c:pt idx="183">
                  <c:v>89.28035302692787</c:v>
                </c:pt>
                <c:pt idx="184">
                  <c:v>89.115827373994648</c:v>
                </c:pt>
                <c:pt idx="185">
                  <c:v>88.950349568772992</c:v>
                </c:pt>
                <c:pt idx="186">
                  <c:v>88.783853089603582</c:v>
                </c:pt>
                <c:pt idx="187">
                  <c:v>88.616269002587003</c:v>
                </c:pt>
                <c:pt idx="188">
                  <c:v>88.447525991594958</c:v>
                </c:pt>
                <c:pt idx="189">
                  <c:v>88.277550381942802</c:v>
                </c:pt>
                <c:pt idx="190">
                  <c:v>88.106266157799382</c:v>
                </c:pt>
                <c:pt idx="191">
                  <c:v>87.933594973411275</c:v>
                </c:pt>
                <c:pt idx="192">
                  <c:v>87.759456158226598</c:v>
                </c:pt>
                <c:pt idx="193">
                  <c:v>87.583766716007233</c:v>
                </c:pt>
                <c:pt idx="194">
                  <c:v>87.406441318016576</c:v>
                </c:pt>
                <c:pt idx="195">
                  <c:v>87.22739229038028</c:v>
                </c:pt>
                <c:pt idx="196">
                  <c:v>87.046529595712869</c:v>
                </c:pt>
                <c:pt idx="197">
                  <c:v>86.863760809108584</c:v>
                </c:pt>
                <c:pt idx="198">
                  <c:v>86.678991088598792</c:v>
                </c:pt>
                <c:pt idx="199">
                  <c:v>86.49212314017889</c:v>
                </c:pt>
                <c:pt idx="200">
                  <c:v>86.303057177512216</c:v>
                </c:pt>
                <c:pt idx="201">
                  <c:v>86.111690876425257</c:v>
                </c:pt>
                <c:pt idx="202">
                  <c:v>85.917919324312862</c:v>
                </c:pt>
                <c:pt idx="203">
                  <c:v>85.72163496457955</c:v>
                </c:pt>
                <c:pt idx="204">
                  <c:v>85.522727536253782</c:v>
                </c:pt>
                <c:pt idx="205">
                  <c:v>85.321084008920621</c:v>
                </c:pt>
                <c:pt idx="206">
                  <c:v>85.116588513135895</c:v>
                </c:pt>
                <c:pt idx="207">
                  <c:v>84.909122266495942</c:v>
                </c:pt>
                <c:pt idx="208">
                  <c:v>84.698563495556343</c:v>
                </c:pt>
                <c:pt idx="209">
                  <c:v>84.484787353819755</c:v>
                </c:pt>
                <c:pt idx="210">
                  <c:v>84.267665836027618</c:v>
                </c:pt>
                <c:pt idx="211">
                  <c:v>84.047067689026804</c:v>
                </c:pt>
                <c:pt idx="212">
                  <c:v>83.822858319511084</c:v>
                </c:pt>
                <c:pt idx="213">
                  <c:v>83.594899698970949</c:v>
                </c:pt>
                <c:pt idx="214">
                  <c:v>83.363050266225684</c:v>
                </c:pt>
                <c:pt idx="215">
                  <c:v>83.127164827957714</c:v>
                </c:pt>
                <c:pt idx="216">
                  <c:v>82.88709445771552</c:v>
                </c:pt>
                <c:pt idx="217">
                  <c:v>82.642686393904526</c:v>
                </c:pt>
                <c:pt idx="218">
                  <c:v>82.393783937343855</c:v>
                </c:pt>
                <c:pt idx="219">
                  <c:v>82.140226349031991</c:v>
                </c:pt>
                <c:pt idx="220">
                  <c:v>81.881848748828304</c:v>
                </c:pt>
                <c:pt idx="221">
                  <c:v>81.618482015833038</c:v>
                </c:pt>
                <c:pt idx="222">
                  <c:v>81.34995269132915</c:v>
                </c:pt>
                <c:pt idx="223">
                  <c:v>81.076082885225318</c:v>
                </c:pt>
                <c:pt idx="224">
                  <c:v>80.796690187034415</c:v>
                </c:pt>
                <c:pt idx="225">
                  <c:v>80.511587582506721</c:v>
                </c:pt>
                <c:pt idx="226">
                  <c:v>80.220583377138169</c:v>
                </c:pt>
                <c:pt idx="227">
                  <c:v>79.923481127869977</c:v>
                </c:pt>
                <c:pt idx="228">
                  <c:v>79.620079584394844</c:v>
                </c:pt>
                <c:pt idx="229">
                  <c:v>79.31017264158902</c:v>
                </c:pt>
                <c:pt idx="230">
                  <c:v>78.993549304696373</c:v>
                </c:pt>
                <c:pt idx="231">
                  <c:v>78.66999366897879</c:v>
                </c:pt>
                <c:pt idx="232">
                  <c:v>78.339284915665615</c:v>
                </c:pt>
                <c:pt idx="233">
                  <c:v>78.001197326109562</c:v>
                </c:pt>
                <c:pt idx="234">
                  <c:v>77.655500316161934</c:v>
                </c:pt>
                <c:pt idx="235">
                  <c:v>77.301958492846154</c:v>
                </c:pt>
                <c:pt idx="236">
                  <c:v>76.940331735492123</c:v>
                </c:pt>
                <c:pt idx="237">
                  <c:v>76.570375303537702</c:v>
                </c:pt>
                <c:pt idx="238">
                  <c:v>76.191839973252996</c:v>
                </c:pt>
                <c:pt idx="239">
                  <c:v>75.804472205662961</c:v>
                </c:pt>
                <c:pt idx="240">
                  <c:v>75.408014347941204</c:v>
                </c:pt>
                <c:pt idx="241">
                  <c:v>75.002204870527351</c:v>
                </c:pt>
                <c:pt idx="242">
                  <c:v>74.586778642165982</c:v>
                </c:pt>
                <c:pt idx="243">
                  <c:v>74.161467244982092</c:v>
                </c:pt>
                <c:pt idx="244">
                  <c:v>73.725999331587374</c:v>
                </c:pt>
                <c:pt idx="245">
                  <c:v>73.280101026064017</c:v>
                </c:pt>
                <c:pt idx="246">
                  <c:v>72.823496370473109</c:v>
                </c:pt>
                <c:pt idx="247">
                  <c:v>72.355907818297709</c:v>
                </c:pt>
                <c:pt idx="248">
                  <c:v>71.877056775960696</c:v>
                </c:pt>
                <c:pt idx="249">
                  <c:v>71.386664193223254</c:v>
                </c:pt>
                <c:pt idx="250">
                  <c:v>70.884451202906746</c:v>
                </c:pt>
                <c:pt idx="251">
                  <c:v>70.370139809969118</c:v>
                </c:pt>
                <c:pt idx="252">
                  <c:v>69.843453629503571</c:v>
                </c:pt>
                <c:pt idx="253">
                  <c:v>69.30411867273618</c:v>
                </c:pt>
                <c:pt idx="254">
                  <c:v>68.751864179553465</c:v>
                </c:pt>
                <c:pt idx="255">
                  <c:v>68.186423495525275</c:v>
                </c:pt>
                <c:pt idx="256">
                  <c:v>67.607534990791279</c:v>
                </c:pt>
                <c:pt idx="257">
                  <c:v>67.014943017546003</c:v>
                </c:pt>
                <c:pt idx="258">
                  <c:v>66.40839890223026</c:v>
                </c:pt>
                <c:pt idx="259">
                  <c:v>65.787661967890756</c:v>
                </c:pt>
                <c:pt idx="260">
                  <c:v>65.152500581534056</c:v>
                </c:pt>
                <c:pt idx="261">
                  <c:v>64.502693220666913</c:v>
                </c:pt>
                <c:pt idx="262">
                  <c:v>63.838029552636236</c:v>
                </c:pt>
                <c:pt idx="263">
                  <c:v>63.158311519798971</c:v>
                </c:pt>
                <c:pt idx="264">
                  <c:v>62.463354423063926</c:v>
                </c:pt>
                <c:pt idx="265">
                  <c:v>61.752987995886372</c:v>
                </c:pt>
                <c:pt idx="266">
                  <c:v>61.027057460425773</c:v>
                </c:pt>
                <c:pt idx="267">
                  <c:v>60.285424557294412</c:v>
                </c:pt>
                <c:pt idx="268">
                  <c:v>59.527968540127333</c:v>
                </c:pt>
                <c:pt idx="269">
                  <c:v>58.754587126119951</c:v>
                </c:pt>
                <c:pt idx="270">
                  <c:v>57.965197393704223</c:v>
                </c:pt>
                <c:pt idx="271">
                  <c:v>57.159736618680874</c:v>
                </c:pt>
                <c:pt idx="272">
                  <c:v>56.338163040396957</c:v>
                </c:pt>
                <c:pt idx="273">
                  <c:v>55.500456549940836</c:v>
                </c:pt>
                <c:pt idx="274">
                  <c:v>54.646619292855533</c:v>
                </c:pt>
                <c:pt idx="275">
                  <c:v>53.77667617950047</c:v>
                </c:pt>
                <c:pt idx="276">
                  <c:v>52.890675296948473</c:v>
                </c:pt>
                <c:pt idx="277">
                  <c:v>51.988688217164771</c:v>
                </c:pt>
                <c:pt idx="278">
                  <c:v>51.07081019717134</c:v>
                </c:pt>
                <c:pt idx="279">
                  <c:v>50.137160267942612</c:v>
                </c:pt>
                <c:pt idx="280">
                  <c:v>49.187881209883052</c:v>
                </c:pt>
                <c:pt idx="281">
                  <c:v>48.223139413911184</c:v>
                </c:pt>
                <c:pt idx="282">
                  <c:v>47.243124628361926</c:v>
                </c:pt>
                <c:pt idx="283">
                  <c:v>46.248049593144259</c:v>
                </c:pt>
                <c:pt idx="284">
                  <c:v>45.238149563790515</c:v>
                </c:pt>
                <c:pt idx="285">
                  <c:v>44.213681729240086</c:v>
                </c:pt>
                <c:pt idx="286">
                  <c:v>43.174924528329036</c:v>
                </c:pt>
                <c:pt idx="287">
                  <c:v>42.12217687105769</c:v>
                </c:pt>
                <c:pt idx="288">
                  <c:v>41.055757271712068</c:v>
                </c:pt>
                <c:pt idx="289">
                  <c:v>39.976002901820983</c:v>
                </c:pt>
                <c:pt idx="290">
                  <c:v>38.883268571745603</c:v>
                </c:pt>
                <c:pt idx="291">
                  <c:v>37.777925650376453</c:v>
                </c:pt>
                <c:pt idx="292">
                  <c:v>36.660360932951214</c:v>
                </c:pt>
                <c:pt idx="293">
                  <c:v>35.530975467436967</c:v>
                </c:pt>
                <c:pt idx="294">
                  <c:v>34.390183350160683</c:v>
                </c:pt>
                <c:pt idx="295">
                  <c:v>33.238410501502806</c:v>
                </c:pt>
                <c:pt idx="296">
                  <c:v>32.07609343243022</c:v>
                </c:pt>
                <c:pt idx="297">
                  <c:v>30.903678012460173</c:v>
                </c:pt>
                <c:pt idx="298">
                  <c:v>29.721618249330426</c:v>
                </c:pt>
                <c:pt idx="299">
                  <c:v>28.530375090195658</c:v>
                </c:pt>
                <c:pt idx="300">
                  <c:v>27.330415253583954</c:v>
                </c:pt>
                <c:pt idx="301">
                  <c:v>26.122210100662301</c:v>
                </c:pt>
                <c:pt idx="302">
                  <c:v>24.906234553550433</c:v>
                </c:pt>
                <c:pt idx="303">
                  <c:v>23.682966067556332</c:v>
                </c:pt>
                <c:pt idx="304">
                  <c:v>22.452883663242179</c:v>
                </c:pt>
                <c:pt idx="305">
                  <c:v>21.216467023219984</c:v>
                </c:pt>
                <c:pt idx="306">
                  <c:v>19.974195657537617</c:v>
                </c:pt>
                <c:pt idx="307">
                  <c:v>18.726548140431927</c:v>
                </c:pt>
                <c:pt idx="308">
                  <c:v>17.474001420155258</c:v>
                </c:pt>
                <c:pt idx="309">
                  <c:v>16.217030202521499</c:v>
                </c:pt>
                <c:pt idx="310">
                  <c:v>14.95610640775916</c:v>
                </c:pt>
                <c:pt idx="311">
                  <c:v>13.691698699279019</c:v>
                </c:pt>
                <c:pt idx="312">
                  <c:v>12.424272082002524</c:v>
                </c:pt>
                <c:pt idx="313">
                  <c:v>11.154287567029288</c:v>
                </c:pt>
                <c:pt idx="314">
                  <c:v>9.8822018986082583</c:v>
                </c:pt>
                <c:pt idx="315">
                  <c:v>8.6084673386819794</c:v>
                </c:pt>
                <c:pt idx="316">
                  <c:v>7.333531503635081</c:v>
                </c:pt>
                <c:pt idx="317">
                  <c:v>6.0578372473816016</c:v>
                </c:pt>
                <c:pt idx="318">
                  <c:v>4.7818225845065294</c:v>
                </c:pt>
                <c:pt idx="319">
                  <c:v>3.5059206468897006</c:v>
                </c:pt>
                <c:pt idx="320">
                  <c:v>2.2305596670408012</c:v>
                </c:pt>
                <c:pt idx="321">
                  <c:v>0.9561629813265522</c:v>
                </c:pt>
                <c:pt idx="322">
                  <c:v>-0.3168509537211443</c:v>
                </c:pt>
                <c:pt idx="323">
                  <c:v>-1.5880685386569231</c:v>
                </c:pt>
                <c:pt idx="324">
                  <c:v>-2.857081008345383</c:v>
                </c:pt>
                <c:pt idx="325">
                  <c:v>-4.123484415211486</c:v>
                </c:pt>
                <c:pt idx="326">
                  <c:v>-5.3868796241576522</c:v>
                </c:pt>
                <c:pt idx="327">
                  <c:v>-6.6468723242656349</c:v>
                </c:pt>
                <c:pt idx="328">
                  <c:v>-7.9030730618266842</c:v>
                </c:pt>
                <c:pt idx="329">
                  <c:v>-9.1550972986138373</c:v>
                </c:pt>
                <c:pt idx="330">
                  <c:v>-10.402565498605757</c:v>
                </c:pt>
                <c:pt idx="331">
                  <c:v>-11.64510324568419</c:v>
                </c:pt>
                <c:pt idx="332">
                  <c:v>-12.882341394049398</c:v>
                </c:pt>
                <c:pt idx="333">
                  <c:v>-14.113916252384668</c:v>
                </c:pt>
                <c:pt idx="334">
                  <c:v>-15.339469802026542</c:v>
                </c:pt>
                <c:pt idx="335">
                  <c:v>-16.558649948678092</c:v>
                </c:pt>
                <c:pt idx="336">
                  <c:v>-17.771110806501891</c:v>
                </c:pt>
                <c:pt idx="337">
                  <c:v>-18.97651301275825</c:v>
                </c:pt>
                <c:pt idx="338">
                  <c:v>-20.17452407054158</c:v>
                </c:pt>
                <c:pt idx="339">
                  <c:v>-21.36481871661659</c:v>
                </c:pt>
                <c:pt idx="340">
                  <c:v>-22.547079310850723</c:v>
                </c:pt>
                <c:pt idx="341">
                  <c:v>-23.720996243340291</c:v>
                </c:pt>
                <c:pt idx="342">
                  <c:v>-24.886268354976437</c:v>
                </c:pt>
                <c:pt idx="343">
                  <c:v>-26.042603366934411</c:v>
                </c:pt>
                <c:pt idx="344">
                  <c:v>-27.189718314412033</c:v>
                </c:pt>
                <c:pt idx="345">
                  <c:v>-28.327339979827489</c:v>
                </c:pt>
                <c:pt idx="346">
                  <c:v>-29.455205320695587</c:v>
                </c:pt>
                <c:pt idx="347">
                  <c:v>-30.573061887455101</c:v>
                </c:pt>
                <c:pt idx="348">
                  <c:v>-31.680668226670846</c:v>
                </c:pt>
                <c:pt idx="349">
                  <c:v>-32.77779426524252</c:v>
                </c:pt>
                <c:pt idx="350">
                  <c:v>-33.864221671521186</c:v>
                </c:pt>
                <c:pt idx="351">
                  <c:v>-34.939744189564813</c:v>
                </c:pt>
                <c:pt idx="352">
                  <c:v>-36.004167943137595</c:v>
                </c:pt>
                <c:pt idx="353">
                  <c:v>-37.057311706466251</c:v>
                </c:pt>
                <c:pt idx="354">
                  <c:v>-38.099007139208688</c:v>
                </c:pt>
                <c:pt idx="355">
                  <c:v>-39.129098983536487</c:v>
                </c:pt>
                <c:pt idx="356">
                  <c:v>-40.147445221727303</c:v>
                </c:pt>
                <c:pt idx="357">
                  <c:v>-41.153917193097833</c:v>
                </c:pt>
                <c:pt idx="358">
                  <c:v>-42.148399669610207</c:v>
                </c:pt>
                <c:pt idx="359">
                  <c:v>-43.130790889906997</c:v>
                </c:pt>
                <c:pt idx="360">
                  <c:v>-44.101002551982077</c:v>
                </c:pt>
                <c:pt idx="361">
                  <c:v>-45.058959765090073</c:v>
                </c:pt>
                <c:pt idx="362">
                  <c:v>-46.004600961880882</c:v>
                </c:pt>
                <c:pt idx="363">
                  <c:v>-46.93787777208675</c:v>
                </c:pt>
                <c:pt idx="364">
                  <c:v>-47.858754859396122</c:v>
                </c:pt>
                <c:pt idx="365">
                  <c:v>-48.76720972341699</c:v>
                </c:pt>
                <c:pt idx="366">
                  <c:v>-49.663232468863022</c:v>
                </c:pt>
                <c:pt idx="367">
                  <c:v>-50.546825544279756</c:v>
                </c:pt>
                <c:pt idx="368">
                  <c:v>-51.418003452784696</c:v>
                </c:pt>
                <c:pt idx="369">
                  <c:v>-52.276792437392388</c:v>
                </c:pt>
                <c:pt idx="370">
                  <c:v>-53.123230143589367</c:v>
                </c:pt>
                <c:pt idx="371">
                  <c:v>-53.957365261841701</c:v>
                </c:pt>
                <c:pt idx="372">
                  <c:v>-54.779257152741231</c:v>
                </c:pt>
                <c:pt idx="373">
                  <c:v>-55.58897545746062</c:v>
                </c:pt>
                <c:pt idx="374">
                  <c:v>-56.386599696158349</c:v>
                </c:pt>
                <c:pt idx="375">
                  <c:v>-57.172218856869669</c:v>
                </c:pt>
                <c:pt idx="376">
                  <c:v>-57.945930977369002</c:v>
                </c:pt>
                <c:pt idx="377">
                  <c:v>-58.70784272234323</c:v>
                </c:pt>
                <c:pt idx="378">
                  <c:v>-59.458068958112541</c:v>
                </c:pt>
                <c:pt idx="379">
                  <c:v>-60.19673232699509</c:v>
                </c:pt>
                <c:pt idx="380">
                  <c:v>-60.923962823270607</c:v>
                </c:pt>
                <c:pt idx="381">
                  <c:v>-61.639897372545157</c:v>
                </c:pt>
                <c:pt idx="382">
                  <c:v>-62.344679416172355</c:v>
                </c:pt>
                <c:pt idx="383">
                  <c:v>-63.038458502234313</c:v>
                </c:pt>
                <c:pt idx="384">
                  <c:v>-63.7213898844224</c:v>
                </c:pt>
                <c:pt idx="385">
                  <c:v>-64.393634130023287</c:v>
                </c:pt>
                <c:pt idx="386">
                  <c:v>-65.055356738053931</c:v>
                </c:pt>
                <c:pt idx="387">
                  <c:v>-65.706727768459231</c:v>
                </c:pt>
                <c:pt idx="388">
                  <c:v>-66.347921483141377</c:v>
                </c:pt>
                <c:pt idx="389">
                  <c:v>-66.979115999466373</c:v>
                </c:pt>
                <c:pt idx="390">
                  <c:v>-67.600492956765706</c:v>
                </c:pt>
                <c:pt idx="391">
                  <c:v>-68.212237196243308</c:v>
                </c:pt>
                <c:pt idx="392">
                  <c:v>-68.814536454585067</c:v>
                </c:pt>
                <c:pt idx="393">
                  <c:v>-69.40758107147272</c:v>
                </c:pt>
                <c:pt idx="394">
                  <c:v>-69.991563711113102</c:v>
                </c:pt>
                <c:pt idx="395">
                  <c:v>-70.566679097812809</c:v>
                </c:pt>
                <c:pt idx="396">
                  <c:v>-71.133123765548191</c:v>
                </c:pt>
                <c:pt idx="397">
                  <c:v>-71.691095821422209</c:v>
                </c:pt>
                <c:pt idx="398">
                  <c:v>-72.240794722831339</c:v>
                </c:pt>
                <c:pt idx="399">
                  <c:v>-72.782421068120911</c:v>
                </c:pt>
                <c:pt idx="400">
                  <c:v>-73.316176400454538</c:v>
                </c:pt>
                <c:pt idx="401">
                  <c:v>-73.842263024586615</c:v>
                </c:pt>
                <c:pt idx="402">
                  <c:v>-74.360883836193381</c:v>
                </c:pt>
                <c:pt idx="403">
                  <c:v>-74.872242163388066</c:v>
                </c:pt>
                <c:pt idx="404">
                  <c:v>-75.376541620021783</c:v>
                </c:pt>
                <c:pt idx="405">
                  <c:v>-75.873985970351058</c:v>
                </c:pt>
                <c:pt idx="406">
                  <c:v>-76.364779004643268</c:v>
                </c:pt>
                <c:pt idx="407">
                  <c:v>-76.849124425270659</c:v>
                </c:pt>
                <c:pt idx="408">
                  <c:v>-77.327225742845044</c:v>
                </c:pt>
                <c:pt idx="409">
                  <c:v>-77.799286181931976</c:v>
                </c:pt>
                <c:pt idx="410">
                  <c:v>-78.265508595885137</c:v>
                </c:pt>
                <c:pt idx="411">
                  <c:v>-78.726095390340063</c:v>
                </c:pt>
                <c:pt idx="412">
                  <c:v>-79.181248454906637</c:v>
                </c:pt>
                <c:pt idx="413">
                  <c:v>-79.631169102603366</c:v>
                </c:pt>
                <c:pt idx="414">
                  <c:v>-80.076058016582493</c:v>
                </c:pt>
                <c:pt idx="415">
                  <c:v>-80.516115203698078</c:v>
                </c:pt>
                <c:pt idx="416">
                  <c:v>-80.951539954476885</c:v>
                </c:pt>
                <c:pt idx="417">
                  <c:v>-81.382530809059176</c:v>
                </c:pt>
                <c:pt idx="418">
                  <c:v>-81.809285528683617</c:v>
                </c:pt>
                <c:pt idx="419">
                  <c:v>-82.232001072298843</c:v>
                </c:pt>
                <c:pt idx="420">
                  <c:v>-82.650873577892241</c:v>
                </c:pt>
                <c:pt idx="421">
                  <c:v>-83.066098348134616</c:v>
                </c:pt>
                <c:pt idx="422">
                  <c:v>-83.477869839946337</c:v>
                </c:pt>
                <c:pt idx="423">
                  <c:v>-83.886381657602797</c:v>
                </c:pt>
                <c:pt idx="424">
                  <c:v>-84.291826548996269</c:v>
                </c:pt>
                <c:pt idx="425">
                  <c:v>-84.694396404687978</c:v>
                </c:pt>
                <c:pt idx="426">
                  <c:v>-85.094282259384329</c:v>
                </c:pt>
                <c:pt idx="427">
                  <c:v>-85.491674295478632</c:v>
                </c:pt>
                <c:pt idx="428">
                  <c:v>-85.886761848306421</c:v>
                </c:pt>
                <c:pt idx="429">
                  <c:v>-86.279733412769389</c:v>
                </c:pt>
                <c:pt idx="430">
                  <c:v>-86.670776650979434</c:v>
                </c:pt>
                <c:pt idx="431">
                  <c:v>-87.060078400588381</c:v>
                </c:pt>
                <c:pt idx="432">
                  <c:v>-87.447824683462343</c:v>
                </c:pt>
                <c:pt idx="433">
                  <c:v>-87.834200714369672</c:v>
                </c:pt>
                <c:pt idx="434">
                  <c:v>-88.219390909345222</c:v>
                </c:pt>
                <c:pt idx="435">
                  <c:v>-88.603578893400467</c:v>
                </c:pt>
                <c:pt idx="436">
                  <c:v>-88.986947507245986</c:v>
                </c:pt>
                <c:pt idx="437">
                  <c:v>-89.369678812691333</c:v>
                </c:pt>
                <c:pt idx="438">
                  <c:v>-89.751954096388033</c:v>
                </c:pt>
                <c:pt idx="439">
                  <c:v>-90.133953871576679</c:v>
                </c:pt>
                <c:pt idx="440">
                  <c:v>-90.515857877497865</c:v>
                </c:pt>
                <c:pt idx="441">
                  <c:v>-90.897845076122934</c:v>
                </c:pt>
                <c:pt idx="442">
                  <c:v>-91.280093645855757</c:v>
                </c:pt>
                <c:pt idx="443">
                  <c:v>-91.662780971852087</c:v>
                </c:pt>
                <c:pt idx="444">
                  <c:v>-92.046083632599462</c:v>
                </c:pt>
                <c:pt idx="445">
                  <c:v>-92.430177382394248</c:v>
                </c:pt>
                <c:pt idx="446">
                  <c:v>-92.815237129345547</c:v>
                </c:pt>
                <c:pt idx="447">
                  <c:v>-93.201436908533296</c:v>
                </c:pt>
                <c:pt idx="448">
                  <c:v>-93.588949849938388</c:v>
                </c:pt>
                <c:pt idx="449">
                  <c:v>-93.977948140760148</c:v>
                </c:pt>
                <c:pt idx="450">
                  <c:v>-94.368602981728387</c:v>
                </c:pt>
                <c:pt idx="451">
                  <c:v>-94.761084537014156</c:v>
                </c:pt>
                <c:pt idx="452">
                  <c:v>-95.155561877337746</c:v>
                </c:pt>
                <c:pt idx="453">
                  <c:v>-95.552202915870026</c:v>
                </c:pt>
                <c:pt idx="454">
                  <c:v>-95.951174336517951</c:v>
                </c:pt>
                <c:pt idx="455">
                  <c:v>-96.352641514187951</c:v>
                </c:pt>
                <c:pt idx="456">
                  <c:v>-96.756768426614414</c:v>
                </c:pt>
                <c:pt idx="457">
                  <c:v>-97.163717557350424</c:v>
                </c:pt>
                <c:pt idx="458">
                  <c:v>-97.573649789513837</c:v>
                </c:pt>
                <c:pt idx="459">
                  <c:v>-97.986724289892919</c:v>
                </c:pt>
                <c:pt idx="460">
                  <c:v>-98.40309838302278</c:v>
                </c:pt>
                <c:pt idx="461">
                  <c:v>-98.822927414854846</c:v>
                </c:pt>
                <c:pt idx="462">
                  <c:v>-99.24636460565965</c:v>
                </c:pt>
                <c:pt idx="463">
                  <c:v>-99.673560891819818</c:v>
                </c:pt>
                <c:pt idx="464">
                  <c:v>-100.10466475619306</c:v>
                </c:pt>
                <c:pt idx="465">
                  <c:v>-100.53982204675542</c:v>
                </c:pt>
                <c:pt idx="466">
                  <c:v>-100.97917578326694</c:v>
                </c:pt>
                <c:pt idx="467">
                  <c:v>-101.42286595173944</c:v>
                </c:pt>
                <c:pt idx="468">
                  <c:v>-101.87102928653138</c:v>
                </c:pt>
                <c:pt idx="469">
                  <c:v>-102.32379903994816</c:v>
                </c:pt>
                <c:pt idx="470">
                  <c:v>-102.781304739278</c:v>
                </c:pt>
                <c:pt idx="471">
                  <c:v>-103.2436719312668</c:v>
                </c:pt>
                <c:pt idx="472">
                  <c:v>-103.71102191409987</c:v>
                </c:pt>
                <c:pt idx="473">
                  <c:v>-104.18347145704547</c:v>
                </c:pt>
                <c:pt idx="474">
                  <c:v>-104.66113250799923</c:v>
                </c:pt>
                <c:pt idx="475">
                  <c:v>-105.1441118892706</c:v>
                </c:pt>
                <c:pt idx="476">
                  <c:v>-105.63251098205029</c:v>
                </c:pt>
                <c:pt idx="477">
                  <c:v>-106.1264254001243</c:v>
                </c:pt>
                <c:pt idx="478">
                  <c:v>-106.62594465350827</c:v>
                </c:pt>
                <c:pt idx="479">
                  <c:v>-107.13115180281898</c:v>
                </c:pt>
                <c:pt idx="480">
                  <c:v>-107.64212310533459</c:v>
                </c:pt>
                <c:pt idx="481">
                  <c:v>-108.1589276538366</c:v>
                </c:pt>
                <c:pt idx="482">
                  <c:v>-108.68162700948996</c:v>
                </c:pt>
                <c:pt idx="483">
                  <c:v>-109.21027483016681</c:v>
                </c:pt>
                <c:pt idx="484">
                  <c:v>-109.74491649578657</c:v>
                </c:pt>
                <c:pt idx="485">
                  <c:v>-110.28558873241381</c:v>
                </c:pt>
                <c:pt idx="486">
                  <c:v>-110.83231923701977</c:v>
                </c:pt>
                <c:pt idx="487">
                  <c:v>-111.38512630498354</c:v>
                </c:pt>
                <c:pt idx="488">
                  <c:v>-111.94401846257225</c:v>
                </c:pt>
                <c:pt idx="489">
                  <c:v>-112.50899410680799</c:v>
                </c:pt>
                <c:pt idx="490">
                  <c:v>-113.08004115527059</c:v>
                </c:pt>
                <c:pt idx="491">
                  <c:v>-113.65713670854329</c:v>
                </c:pt>
                <c:pt idx="492">
                  <c:v>-114.24024672812946</c:v>
                </c:pt>
                <c:pt idx="493">
                  <c:v>-114.82932573278767</c:v>
                </c:pt>
                <c:pt idx="494">
                  <c:v>-115.42431651632798</c:v>
                </c:pt>
                <c:pt idx="495">
                  <c:v>-116.0251498899857</c:v>
                </c:pt>
                <c:pt idx="496">
                  <c:v>-116.63174445253392</c:v>
                </c:pt>
                <c:pt idx="497">
                  <c:v>-117.24400639131827</c:v>
                </c:pt>
                <c:pt idx="498">
                  <c:v>-117.86182931737666</c:v>
                </c:pt>
                <c:pt idx="499">
                  <c:v>-118.48509413776473</c:v>
                </c:pt>
                <c:pt idx="500">
                  <c:v>-119.11366896811596</c:v>
                </c:pt>
                <c:pt idx="501">
                  <c:v>-119.74740908833361</c:v>
                </c:pt>
                <c:pt idx="502">
                  <c:v>-120.38615694415444</c:v>
                </c:pt>
                <c:pt idx="503">
                  <c:v>-121.02974219709877</c:v>
                </c:pt>
                <c:pt idx="504">
                  <c:v>-121.67798182507232</c:v>
                </c:pt>
                <c:pt idx="505">
                  <c:v>-122.33068027558663</c:v>
                </c:pt>
                <c:pt idx="506">
                  <c:v>-122.98762967322261</c:v>
                </c:pt>
                <c:pt idx="507">
                  <c:v>-123.64861008257841</c:v>
                </c:pt>
                <c:pt idx="508">
                  <c:v>-124.31338982752732</c:v>
                </c:pt>
                <c:pt idx="509">
                  <c:v>-124.9817258671624</c:v>
                </c:pt>
                <c:pt idx="510">
                  <c:v>-125.65336422831302</c:v>
                </c:pt>
                <c:pt idx="511">
                  <c:v>-126.32804049402817</c:v>
                </c:pt>
                <c:pt idx="512">
                  <c:v>-127.00548034689025</c:v>
                </c:pt>
                <c:pt idx="513">
                  <c:v>-127.68540016549812</c:v>
                </c:pt>
                <c:pt idx="514">
                  <c:v>-128.3675076719133</c:v>
                </c:pt>
                <c:pt idx="515">
                  <c:v>-129.05150262735827</c:v>
                </c:pt>
                <c:pt idx="516">
                  <c:v>-129.73707757291356</c:v>
                </c:pt>
                <c:pt idx="517">
                  <c:v>-130.42391861148903</c:v>
                </c:pt>
                <c:pt idx="518">
                  <c:v>-131.11170622687666</c:v>
                </c:pt>
                <c:pt idx="519">
                  <c:v>-131.80011613527006</c:v>
                </c:pt>
                <c:pt idx="520">
                  <c:v>-132.48882016426123</c:v>
                </c:pt>
                <c:pt idx="521">
                  <c:v>-133.17748715400126</c:v>
                </c:pt>
                <c:pt idx="522">
                  <c:v>-133.86578387494799</c:v>
                </c:pt>
                <c:pt idx="523">
                  <c:v>-134.55337595643013</c:v>
                </c:pt>
                <c:pt idx="524">
                  <c:v>-135.23992882011643</c:v>
                </c:pt>
                <c:pt idx="525">
                  <c:v>-135.92510861242093</c:v>
                </c:pt>
                <c:pt idx="526">
                  <c:v>-136.60858312989208</c:v>
                </c:pt>
                <c:pt idx="527">
                  <c:v>-137.29002273170948</c:v>
                </c:pt>
                <c:pt idx="528">
                  <c:v>-137.96910123355715</c:v>
                </c:pt>
                <c:pt idx="529">
                  <c:v>-138.6454967773829</c:v>
                </c:pt>
                <c:pt idx="530">
                  <c:v>-139.31889267180438</c:v>
                </c:pt>
                <c:pt idx="531">
                  <c:v>-139.98897819828767</c:v>
                </c:pt>
                <c:pt idx="532">
                  <c:v>-140.65544937860162</c:v>
                </c:pt>
                <c:pt idx="533">
                  <c:v>-141.31800969948685</c:v>
                </c:pt>
                <c:pt idx="534">
                  <c:v>-141.97637079094869</c:v>
                </c:pt>
                <c:pt idx="535">
                  <c:v>-142.63025305508603</c:v>
                </c:pt>
                <c:pt idx="536">
                  <c:v>-143.27938624288319</c:v>
                </c:pt>
                <c:pt idx="537">
                  <c:v>-143.92350997692458</c:v>
                </c:pt>
                <c:pt idx="538">
                  <c:v>-144.56237421852222</c:v>
                </c:pt>
                <c:pt idx="539">
                  <c:v>-145.19573967827901</c:v>
                </c:pt>
                <c:pt idx="540">
                  <c:v>-145.82337816962624</c:v>
                </c:pt>
                <c:pt idx="541">
                  <c:v>-146.44507290536808</c:v>
                </c:pt>
              </c:numCache>
            </c:numRef>
          </c:yVal>
          <c:smooth val="1"/>
          <c:extLst>
            <c:ext xmlns:c16="http://schemas.microsoft.com/office/drawing/2014/chart" uri="{C3380CC4-5D6E-409C-BE32-E72D297353CC}">
              <c16:uniqueId val="{00000001-3223-41D7-8B33-833B9B1F2597}"/>
            </c:ext>
          </c:extLst>
        </c:ser>
        <c:dLbls>
          <c:showLegendKey val="0"/>
          <c:showVal val="0"/>
          <c:showCatName val="0"/>
          <c:showSerName val="0"/>
          <c:showPercent val="0"/>
          <c:showBubbleSize val="0"/>
        </c:dLbls>
        <c:axId val="555537920"/>
        <c:axId val="555536384"/>
      </c:scatterChart>
      <c:valAx>
        <c:axId val="555528192"/>
        <c:scaling>
          <c:logBase val="10"/>
          <c:orientation val="minMax"/>
          <c:max val="220000.00000000003"/>
          <c:min val="10"/>
        </c:scaling>
        <c:delete val="0"/>
        <c:axPos val="b"/>
        <c:minorGridlines/>
        <c:title>
          <c:tx>
            <c:rich>
              <a:bodyPr/>
              <a:lstStyle/>
              <a:p>
                <a:pPr>
                  <a:defRPr sz="1200"/>
                </a:pPr>
                <a:r>
                  <a:rPr lang="en-US" sz="1200"/>
                  <a:t>Frequency</a:t>
                </a:r>
                <a:r>
                  <a:rPr lang="en-US" sz="1200" baseline="0"/>
                  <a:t> (Hz)</a:t>
                </a:r>
                <a:endParaRPr lang="en-US" sz="1200"/>
              </a:p>
            </c:rich>
          </c:tx>
          <c:overlay val="0"/>
        </c:title>
        <c:numFmt formatCode="0" sourceLinked="0"/>
        <c:majorTickMark val="out"/>
        <c:minorTickMark val="none"/>
        <c:tickLblPos val="low"/>
        <c:txPr>
          <a:bodyPr/>
          <a:lstStyle/>
          <a:p>
            <a:pPr>
              <a:defRPr b="1"/>
            </a:pPr>
            <a:endParaRPr lang="en-US"/>
          </a:p>
        </c:txPr>
        <c:crossAx val="555530112"/>
        <c:crosses val="autoZero"/>
        <c:crossBetween val="midCat"/>
      </c:valAx>
      <c:valAx>
        <c:axId val="555530112"/>
        <c:scaling>
          <c:orientation val="minMax"/>
          <c:max val="60"/>
          <c:min val="-60"/>
        </c:scaling>
        <c:delete val="0"/>
        <c:axPos val="l"/>
        <c:majorGridlines/>
        <c:minorGridlines/>
        <c:title>
          <c:tx>
            <c:rich>
              <a:bodyPr rot="-5400000" vert="horz"/>
              <a:lstStyle/>
              <a:p>
                <a:pPr>
                  <a:defRPr sz="1200"/>
                </a:pPr>
                <a:r>
                  <a:rPr lang="en-US" sz="1200">
                    <a:solidFill>
                      <a:srgbClr val="FF0000"/>
                    </a:solidFill>
                  </a:rPr>
                  <a:t>Gain</a:t>
                </a:r>
                <a:r>
                  <a:rPr lang="en-US" sz="1200" baseline="0">
                    <a:solidFill>
                      <a:srgbClr val="FF0000"/>
                    </a:solidFill>
                  </a:rPr>
                  <a:t> (dB)</a:t>
                </a:r>
                <a:endParaRPr lang="en-US" sz="1200">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US"/>
          </a:p>
        </c:txPr>
        <c:crossAx val="555528192"/>
        <c:crosses val="autoZero"/>
        <c:crossBetween val="midCat"/>
        <c:majorUnit val="20"/>
        <c:minorUnit val="10"/>
      </c:valAx>
      <c:valAx>
        <c:axId val="555536384"/>
        <c:scaling>
          <c:orientation val="minMax"/>
          <c:max val="180"/>
          <c:min val="-180"/>
        </c:scaling>
        <c:delete val="0"/>
        <c:axPos val="r"/>
        <c:numFmt formatCode="General" sourceLinked="1"/>
        <c:majorTickMark val="out"/>
        <c:minorTickMark val="none"/>
        <c:tickLblPos val="nextTo"/>
        <c:txPr>
          <a:bodyPr/>
          <a:lstStyle/>
          <a:p>
            <a:pPr>
              <a:defRPr b="1">
                <a:solidFill>
                  <a:schemeClr val="tx1">
                    <a:lumMod val="95000"/>
                    <a:lumOff val="5000"/>
                  </a:schemeClr>
                </a:solidFill>
              </a:defRPr>
            </a:pPr>
            <a:endParaRPr lang="en-US"/>
          </a:p>
        </c:txPr>
        <c:crossAx val="555537920"/>
        <c:crosses val="max"/>
        <c:crossBetween val="midCat"/>
        <c:majorUnit val="90"/>
        <c:minorUnit val="45"/>
      </c:valAx>
      <c:valAx>
        <c:axId val="555537920"/>
        <c:scaling>
          <c:logBase val="10"/>
          <c:orientation val="minMax"/>
        </c:scaling>
        <c:delete val="1"/>
        <c:axPos val="b"/>
        <c:numFmt formatCode="0.00" sourceLinked="1"/>
        <c:majorTickMark val="out"/>
        <c:minorTickMark val="none"/>
        <c:tickLblPos val="nextTo"/>
        <c:crossAx val="555536384"/>
        <c:crosses val="autoZero"/>
        <c:crossBetween val="midCat"/>
      </c:valAx>
    </c:plotArea>
    <c:plotVisOnly val="1"/>
    <c:dispBlanksAs val="gap"/>
    <c:showDLblsOverMax val="0"/>
  </c:chart>
  <c:spPr>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a:t>
            </a:r>
          </a:p>
        </c:rich>
      </c:tx>
      <c:overlay val="0"/>
    </c:title>
    <c:autoTitleDeleted val="0"/>
    <c:plotArea>
      <c:layout/>
      <c:scatterChart>
        <c:scatterStyle val="smoothMarker"/>
        <c:varyColors val="0"/>
        <c:ser>
          <c:idx val="0"/>
          <c:order val="0"/>
          <c:tx>
            <c:v>Eff</c:v>
          </c:tx>
          <c:marker>
            <c:symbol val="none"/>
          </c:marker>
          <c:xVal>
            <c:numRef>
              <c:f>[1]Eff_vs_IOUT!$S$7:$S$157</c:f>
              <c:numCache>
                <c:formatCode>General</c:formatCode>
                <c:ptCount val="151"/>
                <c:pt idx="0">
                  <c:v>0</c:v>
                </c:pt>
                <c:pt idx="1">
                  <c:v>9.3333333333333338E-2</c:v>
                </c:pt>
                <c:pt idx="2">
                  <c:v>0.18666666666666668</c:v>
                </c:pt>
                <c:pt idx="3">
                  <c:v>0.28000000000000003</c:v>
                </c:pt>
                <c:pt idx="4">
                  <c:v>0.37333333333333335</c:v>
                </c:pt>
                <c:pt idx="5">
                  <c:v>0.46666666666666667</c:v>
                </c:pt>
                <c:pt idx="6">
                  <c:v>0.56000000000000005</c:v>
                </c:pt>
                <c:pt idx="7">
                  <c:v>0.65333333333333332</c:v>
                </c:pt>
                <c:pt idx="8">
                  <c:v>0.7466666666666667</c:v>
                </c:pt>
                <c:pt idx="9">
                  <c:v>0.84000000000000008</c:v>
                </c:pt>
                <c:pt idx="10">
                  <c:v>0.93333333333333335</c:v>
                </c:pt>
                <c:pt idx="11">
                  <c:v>1.0266666666666666</c:v>
                </c:pt>
                <c:pt idx="12">
                  <c:v>1.1200000000000001</c:v>
                </c:pt>
                <c:pt idx="13">
                  <c:v>1.2133333333333334</c:v>
                </c:pt>
                <c:pt idx="14">
                  <c:v>1.3066666666666666</c:v>
                </c:pt>
                <c:pt idx="15">
                  <c:v>1.4000000000000001</c:v>
                </c:pt>
                <c:pt idx="16">
                  <c:v>1.4933333333333334</c:v>
                </c:pt>
                <c:pt idx="17">
                  <c:v>1.5866666666666667</c:v>
                </c:pt>
                <c:pt idx="18">
                  <c:v>1.6800000000000002</c:v>
                </c:pt>
                <c:pt idx="19">
                  <c:v>1.7733333333333334</c:v>
                </c:pt>
                <c:pt idx="20">
                  <c:v>1.8666666666666667</c:v>
                </c:pt>
                <c:pt idx="21">
                  <c:v>1.9600000000000002</c:v>
                </c:pt>
                <c:pt idx="22">
                  <c:v>2.0533333333333332</c:v>
                </c:pt>
                <c:pt idx="23">
                  <c:v>2.1466666666666669</c:v>
                </c:pt>
                <c:pt idx="24">
                  <c:v>2.2400000000000002</c:v>
                </c:pt>
                <c:pt idx="25">
                  <c:v>2.3333333333333335</c:v>
                </c:pt>
                <c:pt idx="26">
                  <c:v>2.4266666666666667</c:v>
                </c:pt>
                <c:pt idx="27">
                  <c:v>2.52</c:v>
                </c:pt>
                <c:pt idx="28">
                  <c:v>2.6133333333333333</c:v>
                </c:pt>
                <c:pt idx="29">
                  <c:v>2.706666666666667</c:v>
                </c:pt>
                <c:pt idx="30">
                  <c:v>2.8000000000000003</c:v>
                </c:pt>
                <c:pt idx="31">
                  <c:v>2.8933333333333335</c:v>
                </c:pt>
                <c:pt idx="32">
                  <c:v>2.9866666666666668</c:v>
                </c:pt>
                <c:pt idx="33">
                  <c:v>3.08</c:v>
                </c:pt>
                <c:pt idx="34">
                  <c:v>3.1733333333333333</c:v>
                </c:pt>
                <c:pt idx="35">
                  <c:v>3.2666666666666666</c:v>
                </c:pt>
                <c:pt idx="36">
                  <c:v>3.3600000000000003</c:v>
                </c:pt>
                <c:pt idx="37">
                  <c:v>3.4533333333333336</c:v>
                </c:pt>
                <c:pt idx="38">
                  <c:v>3.5466666666666669</c:v>
                </c:pt>
                <c:pt idx="39">
                  <c:v>3.64</c:v>
                </c:pt>
                <c:pt idx="40">
                  <c:v>3.7333333333333334</c:v>
                </c:pt>
                <c:pt idx="41">
                  <c:v>3.8266666666666667</c:v>
                </c:pt>
                <c:pt idx="42">
                  <c:v>3.9200000000000004</c:v>
                </c:pt>
                <c:pt idx="43">
                  <c:v>4.0133333333333336</c:v>
                </c:pt>
                <c:pt idx="44">
                  <c:v>4.1066666666666665</c:v>
                </c:pt>
                <c:pt idx="45">
                  <c:v>4.2</c:v>
                </c:pt>
                <c:pt idx="46">
                  <c:v>4.2933333333333339</c:v>
                </c:pt>
                <c:pt idx="47">
                  <c:v>4.3866666666666667</c:v>
                </c:pt>
                <c:pt idx="48">
                  <c:v>4.4800000000000004</c:v>
                </c:pt>
                <c:pt idx="49">
                  <c:v>4.5733333333333333</c:v>
                </c:pt>
                <c:pt idx="50">
                  <c:v>4.666666666666667</c:v>
                </c:pt>
                <c:pt idx="51">
                  <c:v>4.76</c:v>
                </c:pt>
                <c:pt idx="52">
                  <c:v>4.8533333333333335</c:v>
                </c:pt>
                <c:pt idx="53">
                  <c:v>4.9466666666666672</c:v>
                </c:pt>
                <c:pt idx="54">
                  <c:v>5.04</c:v>
                </c:pt>
                <c:pt idx="55">
                  <c:v>5.1333333333333337</c:v>
                </c:pt>
                <c:pt idx="56">
                  <c:v>5.2266666666666666</c:v>
                </c:pt>
                <c:pt idx="57">
                  <c:v>5.32</c:v>
                </c:pt>
                <c:pt idx="58">
                  <c:v>5.413333333333334</c:v>
                </c:pt>
                <c:pt idx="59">
                  <c:v>5.5066666666666668</c:v>
                </c:pt>
                <c:pt idx="60">
                  <c:v>5.6000000000000005</c:v>
                </c:pt>
                <c:pt idx="61">
                  <c:v>5.6933333333333334</c:v>
                </c:pt>
                <c:pt idx="62">
                  <c:v>5.7866666666666671</c:v>
                </c:pt>
                <c:pt idx="63">
                  <c:v>5.88</c:v>
                </c:pt>
                <c:pt idx="64">
                  <c:v>5.9733333333333336</c:v>
                </c:pt>
                <c:pt idx="65">
                  <c:v>6.0666666666666673</c:v>
                </c:pt>
                <c:pt idx="66">
                  <c:v>6.16</c:v>
                </c:pt>
                <c:pt idx="67">
                  <c:v>6.2533333333333339</c:v>
                </c:pt>
                <c:pt idx="68">
                  <c:v>6.3466666666666667</c:v>
                </c:pt>
                <c:pt idx="69">
                  <c:v>6.44</c:v>
                </c:pt>
                <c:pt idx="70">
                  <c:v>6.5333333333333332</c:v>
                </c:pt>
                <c:pt idx="71">
                  <c:v>6.6266666666666669</c:v>
                </c:pt>
                <c:pt idx="72">
                  <c:v>6.7200000000000006</c:v>
                </c:pt>
                <c:pt idx="73">
                  <c:v>6.8133333333333335</c:v>
                </c:pt>
                <c:pt idx="74">
                  <c:v>6.9066666666666672</c:v>
                </c:pt>
                <c:pt idx="75">
                  <c:v>7</c:v>
                </c:pt>
                <c:pt idx="76">
                  <c:v>7.0933333333333337</c:v>
                </c:pt>
                <c:pt idx="77">
                  <c:v>7.1866666666666674</c:v>
                </c:pt>
                <c:pt idx="78">
                  <c:v>7.28</c:v>
                </c:pt>
                <c:pt idx="79">
                  <c:v>7.373333333333334</c:v>
                </c:pt>
                <c:pt idx="80">
                  <c:v>7.4666666666666668</c:v>
                </c:pt>
                <c:pt idx="81">
                  <c:v>7.5600000000000005</c:v>
                </c:pt>
                <c:pt idx="82">
                  <c:v>7.6533333333333333</c:v>
                </c:pt>
                <c:pt idx="83">
                  <c:v>7.746666666666667</c:v>
                </c:pt>
                <c:pt idx="84">
                  <c:v>7.8400000000000007</c:v>
                </c:pt>
                <c:pt idx="85">
                  <c:v>7.9333333333333336</c:v>
                </c:pt>
                <c:pt idx="86">
                  <c:v>8.0266666666666673</c:v>
                </c:pt>
                <c:pt idx="87">
                  <c:v>8.120000000000001</c:v>
                </c:pt>
                <c:pt idx="88">
                  <c:v>8.2133333333333329</c:v>
                </c:pt>
                <c:pt idx="89">
                  <c:v>8.3066666666666666</c:v>
                </c:pt>
                <c:pt idx="90">
                  <c:v>8.4</c:v>
                </c:pt>
                <c:pt idx="91">
                  <c:v>8.4933333333333341</c:v>
                </c:pt>
                <c:pt idx="92">
                  <c:v>8.5866666666666678</c:v>
                </c:pt>
                <c:pt idx="93">
                  <c:v>8.68</c:v>
                </c:pt>
                <c:pt idx="94">
                  <c:v>8.7733333333333334</c:v>
                </c:pt>
                <c:pt idx="95">
                  <c:v>8.8666666666666671</c:v>
                </c:pt>
                <c:pt idx="96">
                  <c:v>8.9600000000000009</c:v>
                </c:pt>
                <c:pt idx="97">
                  <c:v>9.0533333333333346</c:v>
                </c:pt>
                <c:pt idx="98">
                  <c:v>9.1466666666666665</c:v>
                </c:pt>
                <c:pt idx="99">
                  <c:v>9.24</c:v>
                </c:pt>
                <c:pt idx="100">
                  <c:v>9.3333333333333339</c:v>
                </c:pt>
                <c:pt idx="101">
                  <c:v>9.4266666666666676</c:v>
                </c:pt>
                <c:pt idx="102">
                  <c:v>9.52</c:v>
                </c:pt>
                <c:pt idx="103">
                  <c:v>9.6133333333333333</c:v>
                </c:pt>
                <c:pt idx="104">
                  <c:v>9.706666666666667</c:v>
                </c:pt>
                <c:pt idx="105">
                  <c:v>9.8000000000000007</c:v>
                </c:pt>
                <c:pt idx="106">
                  <c:v>9.8933333333333344</c:v>
                </c:pt>
                <c:pt idx="107">
                  <c:v>9.9866666666666664</c:v>
                </c:pt>
                <c:pt idx="108">
                  <c:v>10.08</c:v>
                </c:pt>
                <c:pt idx="109">
                  <c:v>10.173333333333334</c:v>
                </c:pt>
                <c:pt idx="110">
                  <c:v>10.266666666666667</c:v>
                </c:pt>
                <c:pt idx="111">
                  <c:v>10.360000000000001</c:v>
                </c:pt>
                <c:pt idx="112">
                  <c:v>10.453333333333333</c:v>
                </c:pt>
                <c:pt idx="113">
                  <c:v>10.546666666666667</c:v>
                </c:pt>
                <c:pt idx="114">
                  <c:v>10.64</c:v>
                </c:pt>
                <c:pt idx="115">
                  <c:v>10.733333333333334</c:v>
                </c:pt>
                <c:pt idx="116">
                  <c:v>10.826666666666668</c:v>
                </c:pt>
                <c:pt idx="117">
                  <c:v>10.92</c:v>
                </c:pt>
                <c:pt idx="118">
                  <c:v>11.013333333333334</c:v>
                </c:pt>
                <c:pt idx="119">
                  <c:v>11.106666666666667</c:v>
                </c:pt>
                <c:pt idx="120">
                  <c:v>11.200000000000001</c:v>
                </c:pt>
                <c:pt idx="121">
                  <c:v>11.293333333333333</c:v>
                </c:pt>
                <c:pt idx="122">
                  <c:v>11.386666666666667</c:v>
                </c:pt>
                <c:pt idx="123">
                  <c:v>11.48</c:v>
                </c:pt>
                <c:pt idx="124">
                  <c:v>11.573333333333334</c:v>
                </c:pt>
                <c:pt idx="125">
                  <c:v>11.666666666666668</c:v>
                </c:pt>
                <c:pt idx="126">
                  <c:v>11.76</c:v>
                </c:pt>
                <c:pt idx="127">
                  <c:v>11.853333333333333</c:v>
                </c:pt>
                <c:pt idx="128">
                  <c:v>11.946666666666667</c:v>
                </c:pt>
                <c:pt idx="129">
                  <c:v>12.040000000000001</c:v>
                </c:pt>
                <c:pt idx="130">
                  <c:v>12.133333333333335</c:v>
                </c:pt>
                <c:pt idx="131">
                  <c:v>12.226666666666667</c:v>
                </c:pt>
                <c:pt idx="132">
                  <c:v>12.32</c:v>
                </c:pt>
                <c:pt idx="133">
                  <c:v>12.413333333333334</c:v>
                </c:pt>
                <c:pt idx="134">
                  <c:v>12.506666666666668</c:v>
                </c:pt>
                <c:pt idx="135">
                  <c:v>12.600000000000001</c:v>
                </c:pt>
                <c:pt idx="136">
                  <c:v>12.693333333333333</c:v>
                </c:pt>
                <c:pt idx="137">
                  <c:v>12.786666666666667</c:v>
                </c:pt>
                <c:pt idx="138">
                  <c:v>12.88</c:v>
                </c:pt>
                <c:pt idx="139">
                  <c:v>12.973333333333334</c:v>
                </c:pt>
                <c:pt idx="140">
                  <c:v>13.066666666666666</c:v>
                </c:pt>
                <c:pt idx="141">
                  <c:v>13.16</c:v>
                </c:pt>
                <c:pt idx="142">
                  <c:v>13.253333333333334</c:v>
                </c:pt>
                <c:pt idx="143">
                  <c:v>13.346666666666668</c:v>
                </c:pt>
                <c:pt idx="144">
                  <c:v>13.440000000000001</c:v>
                </c:pt>
                <c:pt idx="145">
                  <c:v>13.533333333333333</c:v>
                </c:pt>
                <c:pt idx="146">
                  <c:v>13.626666666666667</c:v>
                </c:pt>
                <c:pt idx="147">
                  <c:v>13.72</c:v>
                </c:pt>
                <c:pt idx="148">
                  <c:v>13.813333333333334</c:v>
                </c:pt>
                <c:pt idx="149">
                  <c:v>13.906666666666668</c:v>
                </c:pt>
                <c:pt idx="150">
                  <c:v>14</c:v>
                </c:pt>
              </c:numCache>
            </c:numRef>
          </c:xVal>
          <c:yVal>
            <c:numRef>
              <c:f>[1]Eff_vs_IOUT!$AW$7:$AW$157</c:f>
              <c:numCache>
                <c:formatCode>General</c:formatCode>
                <c:ptCount val="151"/>
                <c:pt idx="0">
                  <c:v>0</c:v>
                </c:pt>
                <c:pt idx="1">
                  <c:v>72.074743546197936</c:v>
                </c:pt>
                <c:pt idx="2">
                  <c:v>83.278946320422875</c:v>
                </c:pt>
                <c:pt idx="3">
                  <c:v>87.823398093854962</c:v>
                </c:pt>
                <c:pt idx="4">
                  <c:v>90.281532425115813</c:v>
                </c:pt>
                <c:pt idx="5">
                  <c:v>91.819206893500748</c:v>
                </c:pt>
                <c:pt idx="6">
                  <c:v>92.870019459561121</c:v>
                </c:pt>
                <c:pt idx="7">
                  <c:v>93.632190379295068</c:v>
                </c:pt>
                <c:pt idx="8">
                  <c:v>94.209194553124718</c:v>
                </c:pt>
                <c:pt idx="9">
                  <c:v>94.660327183697774</c:v>
                </c:pt>
                <c:pt idx="10">
                  <c:v>95.022008446023904</c:v>
                </c:pt>
                <c:pt idx="11">
                  <c:v>95.317844151427352</c:v>
                </c:pt>
                <c:pt idx="12">
                  <c:v>95.563805969178546</c:v>
                </c:pt>
                <c:pt idx="13">
                  <c:v>95.771086688792309</c:v>
                </c:pt>
                <c:pt idx="14">
                  <c:v>95.947763185503092</c:v>
                </c:pt>
                <c:pt idx="15">
                  <c:v>96.099810151145334</c:v>
                </c:pt>
                <c:pt idx="16">
                  <c:v>96.231742235239238</c:v>
                </c:pt>
                <c:pt idx="17">
                  <c:v>96.347034357137446</c:v>
                </c:pt>
                <c:pt idx="18">
                  <c:v>96.448404725179344</c:v>
                </c:pt>
                <c:pt idx="19">
                  <c:v>96.538010182006872</c:v>
                </c:pt>
                <c:pt idx="20">
                  <c:v>96.617584006656713</c:v>
                </c:pt>
                <c:pt idx="21">
                  <c:v>96.688535023683485</c:v>
                </c:pt>
                <c:pt idx="22">
                  <c:v>96.752020127868875</c:v>
                </c:pt>
                <c:pt idx="23">
                  <c:v>96.808998187822311</c:v>
                </c:pt>
                <c:pt idx="24">
                  <c:v>96.860270677489993</c:v>
                </c:pt>
                <c:pt idx="25">
                  <c:v>96.906512697769813</c:v>
                </c:pt>
                <c:pt idx="26">
                  <c:v>96.948296939349646</c:v>
                </c:pt>
                <c:pt idx="27">
                  <c:v>96.986112392178498</c:v>
                </c:pt>
                <c:pt idx="28">
                  <c:v>97.020379097850068</c:v>
                </c:pt>
                <c:pt idx="29">
                  <c:v>97.051459888071491</c:v>
                </c:pt>
                <c:pt idx="30">
                  <c:v>97.079669803929562</c:v>
                </c:pt>
                <c:pt idx="31">
                  <c:v>97.10528371349254</c:v>
                </c:pt>
                <c:pt idx="32">
                  <c:v>97.1285425173742</c:v>
                </c:pt>
                <c:pt idx="33">
                  <c:v>97.149658238475084</c:v>
                </c:pt>
                <c:pt idx="34">
                  <c:v>97.168818223165886</c:v>
                </c:pt>
                <c:pt idx="35">
                  <c:v>97.18618862977246</c:v>
                </c:pt>
                <c:pt idx="36">
                  <c:v>97.201917341538817</c:v>
                </c:pt>
                <c:pt idx="37">
                  <c:v>97.216136411876164</c:v>
                </c:pt>
                <c:pt idx="38">
                  <c:v>97.228964127228892</c:v>
                </c:pt>
                <c:pt idx="39">
                  <c:v>97.240506755547358</c:v>
                </c:pt>
                <c:pt idx="40">
                  <c:v>97.250860034884298</c:v>
                </c:pt>
                <c:pt idx="41">
                  <c:v>97.260110446088532</c:v>
                </c:pt>
                <c:pt idx="42">
                  <c:v>97.268336305266828</c:v>
                </c:pt>
                <c:pt idx="43">
                  <c:v>97.275608705104659</c:v>
                </c:pt>
                <c:pt idx="44">
                  <c:v>97.281992328891221</c:v>
                </c:pt>
                <c:pt idx="45">
                  <c:v>97.287546156889562</c:v>
                </c:pt>
                <c:pt idx="46">
                  <c:v>97.29232408130369</c:v>
                </c:pt>
                <c:pt idx="47">
                  <c:v>97.296375443350129</c:v>
                </c:pt>
                <c:pt idx="48">
                  <c:v>97.299745503707015</c:v>
                </c:pt>
                <c:pt idx="49">
                  <c:v>97.302475855787279</c:v>
                </c:pt>
                <c:pt idx="50">
                  <c:v>97.304604789781806</c:v>
                </c:pt>
                <c:pt idx="51">
                  <c:v>97.306167614181433</c:v>
                </c:pt>
                <c:pt idx="52">
                  <c:v>97.30719694046121</c:v>
                </c:pt>
                <c:pt idx="53">
                  <c:v>97.307722935758818</c:v>
                </c:pt>
                <c:pt idx="54">
                  <c:v>97.307773547667992</c:v>
                </c:pt>
                <c:pt idx="55">
                  <c:v>97.307374704672227</c:v>
                </c:pt>
                <c:pt idx="56">
                  <c:v>97.306550495243812</c:v>
                </c:pt>
                <c:pt idx="57">
                  <c:v>97.305323328211514</c:v>
                </c:pt>
                <c:pt idx="58">
                  <c:v>97.303714076643189</c:v>
                </c:pt>
                <c:pt idx="59">
                  <c:v>97.301742207187147</c:v>
                </c:pt>
                <c:pt idx="60">
                  <c:v>97.299425896558276</c:v>
                </c:pt>
                <c:pt idx="61">
                  <c:v>97.296782136635429</c:v>
                </c:pt>
                <c:pt idx="62">
                  <c:v>97.293826829448079</c:v>
                </c:pt>
                <c:pt idx="63">
                  <c:v>97.290574873169362</c:v>
                </c:pt>
                <c:pt idx="64">
                  <c:v>97.287040240093262</c:v>
                </c:pt>
                <c:pt idx="65">
                  <c:v>97.283236047454679</c:v>
                </c:pt>
                <c:pt idx="66">
                  <c:v>97.279174621846934</c:v>
                </c:pt>
                <c:pt idx="67">
                  <c:v>97.274867557902127</c:v>
                </c:pt>
                <c:pt idx="68">
                  <c:v>97.270325771821732</c:v>
                </c:pt>
                <c:pt idx="69">
                  <c:v>97.265559550277132</c:v>
                </c:pt>
                <c:pt idx="70">
                  <c:v>97.260578595140458</c:v>
                </c:pt>
                <c:pt idx="71">
                  <c:v>97.255392064455208</c:v>
                </c:pt>
                <c:pt idx="72">
                  <c:v>97.250008610009715</c:v>
                </c:pt>
                <c:pt idx="73">
                  <c:v>97.244436411838009</c:v>
                </c:pt>
                <c:pt idx="74">
                  <c:v>97.238683209937207</c:v>
                </c:pt>
                <c:pt idx="75">
                  <c:v>97.232756333459918</c:v>
                </c:pt>
                <c:pt idx="76">
                  <c:v>97.226662727613117</c:v>
                </c:pt>
                <c:pt idx="77">
                  <c:v>97.220408978470843</c:v>
                </c:pt>
                <c:pt idx="78">
                  <c:v>97.214001335887403</c:v>
                </c:pt>
                <c:pt idx="79">
                  <c:v>97.20744573467833</c:v>
                </c:pt>
                <c:pt idx="80">
                  <c:v>97.200747814220009</c:v>
                </c:pt>
                <c:pt idx="81">
                  <c:v>97.19391293660415</c:v>
                </c:pt>
                <c:pt idx="82">
                  <c:v>97.186946203469688</c:v>
                </c:pt>
                <c:pt idx="83">
                  <c:v>97.179852471623491</c:v>
                </c:pt>
                <c:pt idx="84">
                  <c:v>97.172636367549998</c:v>
                </c:pt>
                <c:pt idx="85">
                  <c:v>97.165302300901175</c:v>
                </c:pt>
                <c:pt idx="86">
                  <c:v>97.157854477049284</c:v>
                </c:pt>
                <c:pt idx="87">
                  <c:v>97.150296908777591</c:v>
                </c:pt>
                <c:pt idx="88">
                  <c:v>97.142633427177358</c:v>
                </c:pt>
                <c:pt idx="89">
                  <c:v>97.13486769181317</c:v>
                </c:pt>
                <c:pt idx="90">
                  <c:v>97.127003200213366</c:v>
                </c:pt>
                <c:pt idx="91">
                  <c:v>97.119043296737274</c:v>
                </c:pt>
                <c:pt idx="92">
                  <c:v>97.110991180866407</c:v>
                </c:pt>
                <c:pt idx="93">
                  <c:v>97.102849914962846</c:v>
                </c:pt>
                <c:pt idx="94">
                  <c:v>97.094622431534489</c:v>
                </c:pt>
                <c:pt idx="95">
                  <c:v>97.086311540042971</c:v>
                </c:pt>
                <c:pt idx="96">
                  <c:v>97.07791993328793</c:v>
                </c:pt>
                <c:pt idx="97">
                  <c:v>97.069450193397714</c:v>
                </c:pt>
                <c:pt idx="98">
                  <c:v>97.060904797454839</c:v>
                </c:pt>
                <c:pt idx="99">
                  <c:v>97.052286122781609</c:v>
                </c:pt>
                <c:pt idx="100">
                  <c:v>97.043596451909877</c:v>
                </c:pt>
                <c:pt idx="101">
                  <c:v>97.034837977256586</c:v>
                </c:pt>
                <c:pt idx="102">
                  <c:v>97.02601280552534</c:v>
                </c:pt>
                <c:pt idx="103">
                  <c:v>97.01712296185238</c:v>
                </c:pt>
                <c:pt idx="104">
                  <c:v>97.008170393714295</c:v>
                </c:pt>
                <c:pt idx="105">
                  <c:v>96.999156974613214</c:v>
                </c:pt>
                <c:pt idx="106">
                  <c:v>96.990084507554101</c:v>
                </c:pt>
                <c:pt idx="107">
                  <c:v>96.980954728327688</c:v>
                </c:pt>
                <c:pt idx="108">
                  <c:v>96.971769308611755</c:v>
                </c:pt>
                <c:pt idx="109">
                  <c:v>96.962529858902172</c:v>
                </c:pt>
                <c:pt idx="110">
                  <c:v>96.953237931284619</c:v>
                </c:pt>
                <c:pt idx="111">
                  <c:v>96.943895022057049</c:v>
                </c:pt>
                <c:pt idx="112">
                  <c:v>96.934502574212033</c:v>
                </c:pt>
                <c:pt idx="113">
                  <c:v>96.925061979787714</c:v>
                </c:pt>
                <c:pt idx="114">
                  <c:v>96.91557458209563</c:v>
                </c:pt>
                <c:pt idx="115">
                  <c:v>96.90604167783232</c:v>
                </c:pt>
                <c:pt idx="116">
                  <c:v>96.896464519082414</c:v>
                </c:pt>
                <c:pt idx="117">
                  <c:v>96.886844315219065</c:v>
                </c:pt>
                <c:pt idx="118">
                  <c:v>96.877182234708187</c:v>
                </c:pt>
                <c:pt idx="119">
                  <c:v>96.867479406821971</c:v>
                </c:pt>
                <c:pt idx="120">
                  <c:v>96.857736923266984</c:v>
                </c:pt>
                <c:pt idx="121">
                  <c:v>96.847955839731725</c:v>
                </c:pt>
                <c:pt idx="122">
                  <c:v>96.838137177358405</c:v>
                </c:pt>
                <c:pt idx="123">
                  <c:v>96.828281924143127</c:v>
                </c:pt>
                <c:pt idx="124">
                  <c:v>96.818391036268366</c:v>
                </c:pt>
                <c:pt idx="125">
                  <c:v>96.808465439371929</c:v>
                </c:pt>
                <c:pt idx="126">
                  <c:v>96.798506029755458</c:v>
                </c:pt>
                <c:pt idx="127">
                  <c:v>96.78851367553608</c:v>
                </c:pt>
                <c:pt idx="128">
                  <c:v>96.778489217744266</c:v>
                </c:pt>
                <c:pt idx="129">
                  <c:v>96.768433471370713</c:v>
                </c:pt>
                <c:pt idx="130">
                  <c:v>96.758347226365046</c:v>
                </c:pt>
                <c:pt idx="131">
                  <c:v>96.748231248588937</c:v>
                </c:pt>
                <c:pt idx="132">
                  <c:v>96.738086280726023</c:v>
                </c:pt>
                <c:pt idx="133">
                  <c:v>96.727913043150849</c:v>
                </c:pt>
                <c:pt idx="134">
                  <c:v>96.717712234759063</c:v>
                </c:pt>
                <c:pt idx="135">
                  <c:v>96.707484533760763</c:v>
                </c:pt>
                <c:pt idx="136">
                  <c:v>96.697230598438992</c:v>
                </c:pt>
                <c:pt idx="137">
                  <c:v>96.686951067875043</c:v>
                </c:pt>
                <c:pt idx="138">
                  <c:v>96.676646562642304</c:v>
                </c:pt>
                <c:pt idx="139">
                  <c:v>96.666317685470432</c:v>
                </c:pt>
                <c:pt idx="140">
                  <c:v>96.655965021880732</c:v>
                </c:pt>
                <c:pt idx="141">
                  <c:v>96.645589140794996</c:v>
                </c:pt>
                <c:pt idx="142">
                  <c:v>96.635190595118459</c:v>
                </c:pt>
                <c:pt idx="143">
                  <c:v>96.624769922298384</c:v>
                </c:pt>
                <c:pt idx="144">
                  <c:v>96.614327644859429</c:v>
                </c:pt>
                <c:pt idx="145">
                  <c:v>96.603864270916958</c:v>
                </c:pt>
                <c:pt idx="146">
                  <c:v>96.593380294669288</c:v>
                </c:pt>
                <c:pt idx="147">
                  <c:v>96.582876196869904</c:v>
                </c:pt>
                <c:pt idx="148">
                  <c:v>96.572352445280515</c:v>
                </c:pt>
                <c:pt idx="149">
                  <c:v>96.561809495106033</c:v>
                </c:pt>
                <c:pt idx="150">
                  <c:v>96.551247789412059</c:v>
                </c:pt>
              </c:numCache>
            </c:numRef>
          </c:yVal>
          <c:smooth val="0"/>
          <c:extLst>
            <c:ext xmlns:c16="http://schemas.microsoft.com/office/drawing/2014/chart" uri="{C3380CC4-5D6E-409C-BE32-E72D297353CC}">
              <c16:uniqueId val="{00000000-8268-4C3F-B748-2F54233BBCCC}"/>
            </c:ext>
          </c:extLst>
        </c:ser>
        <c:dLbls>
          <c:showLegendKey val="0"/>
          <c:showVal val="0"/>
          <c:showCatName val="0"/>
          <c:showSerName val="0"/>
          <c:showPercent val="0"/>
          <c:showBubbleSize val="0"/>
        </c:dLbls>
        <c:axId val="224130176"/>
        <c:axId val="224131712"/>
      </c:scatterChart>
      <c:scatterChart>
        <c:scatterStyle val="smoothMarker"/>
        <c:varyColors val="0"/>
        <c:ser>
          <c:idx val="1"/>
          <c:order val="1"/>
          <c:tx>
            <c:v>MOSFET</c:v>
          </c:tx>
          <c:marker>
            <c:symbol val="none"/>
          </c:marker>
          <c:xVal>
            <c:numRef>
              <c:f>[1]Eff_vs_IOUT!$S$7:$S$157</c:f>
              <c:numCache>
                <c:formatCode>General</c:formatCode>
                <c:ptCount val="151"/>
                <c:pt idx="0">
                  <c:v>0</c:v>
                </c:pt>
                <c:pt idx="1">
                  <c:v>9.3333333333333338E-2</c:v>
                </c:pt>
                <c:pt idx="2">
                  <c:v>0.18666666666666668</c:v>
                </c:pt>
                <c:pt idx="3">
                  <c:v>0.28000000000000003</c:v>
                </c:pt>
                <c:pt idx="4">
                  <c:v>0.37333333333333335</c:v>
                </c:pt>
                <c:pt idx="5">
                  <c:v>0.46666666666666667</c:v>
                </c:pt>
                <c:pt idx="6">
                  <c:v>0.56000000000000005</c:v>
                </c:pt>
                <c:pt idx="7">
                  <c:v>0.65333333333333332</c:v>
                </c:pt>
                <c:pt idx="8">
                  <c:v>0.7466666666666667</c:v>
                </c:pt>
                <c:pt idx="9">
                  <c:v>0.84000000000000008</c:v>
                </c:pt>
                <c:pt idx="10">
                  <c:v>0.93333333333333335</c:v>
                </c:pt>
                <c:pt idx="11">
                  <c:v>1.0266666666666666</c:v>
                </c:pt>
                <c:pt idx="12">
                  <c:v>1.1200000000000001</c:v>
                </c:pt>
                <c:pt idx="13">
                  <c:v>1.2133333333333334</c:v>
                </c:pt>
                <c:pt idx="14">
                  <c:v>1.3066666666666666</c:v>
                </c:pt>
                <c:pt idx="15">
                  <c:v>1.4000000000000001</c:v>
                </c:pt>
                <c:pt idx="16">
                  <c:v>1.4933333333333334</c:v>
                </c:pt>
                <c:pt idx="17">
                  <c:v>1.5866666666666667</c:v>
                </c:pt>
                <c:pt idx="18">
                  <c:v>1.6800000000000002</c:v>
                </c:pt>
                <c:pt idx="19">
                  <c:v>1.7733333333333334</c:v>
                </c:pt>
                <c:pt idx="20">
                  <c:v>1.8666666666666667</c:v>
                </c:pt>
                <c:pt idx="21">
                  <c:v>1.9600000000000002</c:v>
                </c:pt>
                <c:pt idx="22">
                  <c:v>2.0533333333333332</c:v>
                </c:pt>
                <c:pt idx="23">
                  <c:v>2.1466666666666669</c:v>
                </c:pt>
                <c:pt idx="24">
                  <c:v>2.2400000000000002</c:v>
                </c:pt>
                <c:pt idx="25">
                  <c:v>2.3333333333333335</c:v>
                </c:pt>
                <c:pt idx="26">
                  <c:v>2.4266666666666667</c:v>
                </c:pt>
                <c:pt idx="27">
                  <c:v>2.52</c:v>
                </c:pt>
                <c:pt idx="28">
                  <c:v>2.6133333333333333</c:v>
                </c:pt>
                <c:pt idx="29">
                  <c:v>2.706666666666667</c:v>
                </c:pt>
                <c:pt idx="30">
                  <c:v>2.8000000000000003</c:v>
                </c:pt>
                <c:pt idx="31">
                  <c:v>2.8933333333333335</c:v>
                </c:pt>
                <c:pt idx="32">
                  <c:v>2.9866666666666668</c:v>
                </c:pt>
                <c:pt idx="33">
                  <c:v>3.08</c:v>
                </c:pt>
                <c:pt idx="34">
                  <c:v>3.1733333333333333</c:v>
                </c:pt>
                <c:pt idx="35">
                  <c:v>3.2666666666666666</c:v>
                </c:pt>
                <c:pt idx="36">
                  <c:v>3.3600000000000003</c:v>
                </c:pt>
                <c:pt idx="37">
                  <c:v>3.4533333333333336</c:v>
                </c:pt>
                <c:pt idx="38">
                  <c:v>3.5466666666666669</c:v>
                </c:pt>
                <c:pt idx="39">
                  <c:v>3.64</c:v>
                </c:pt>
                <c:pt idx="40">
                  <c:v>3.7333333333333334</c:v>
                </c:pt>
                <c:pt idx="41">
                  <c:v>3.8266666666666667</c:v>
                </c:pt>
                <c:pt idx="42">
                  <c:v>3.9200000000000004</c:v>
                </c:pt>
                <c:pt idx="43">
                  <c:v>4.0133333333333336</c:v>
                </c:pt>
                <c:pt idx="44">
                  <c:v>4.1066666666666665</c:v>
                </c:pt>
                <c:pt idx="45">
                  <c:v>4.2</c:v>
                </c:pt>
                <c:pt idx="46">
                  <c:v>4.2933333333333339</c:v>
                </c:pt>
                <c:pt idx="47">
                  <c:v>4.3866666666666667</c:v>
                </c:pt>
                <c:pt idx="48">
                  <c:v>4.4800000000000004</c:v>
                </c:pt>
                <c:pt idx="49">
                  <c:v>4.5733333333333333</c:v>
                </c:pt>
                <c:pt idx="50">
                  <c:v>4.666666666666667</c:v>
                </c:pt>
                <c:pt idx="51">
                  <c:v>4.76</c:v>
                </c:pt>
                <c:pt idx="52">
                  <c:v>4.8533333333333335</c:v>
                </c:pt>
                <c:pt idx="53">
                  <c:v>4.9466666666666672</c:v>
                </c:pt>
                <c:pt idx="54">
                  <c:v>5.04</c:v>
                </c:pt>
                <c:pt idx="55">
                  <c:v>5.1333333333333337</c:v>
                </c:pt>
                <c:pt idx="56">
                  <c:v>5.2266666666666666</c:v>
                </c:pt>
                <c:pt idx="57">
                  <c:v>5.32</c:v>
                </c:pt>
                <c:pt idx="58">
                  <c:v>5.413333333333334</c:v>
                </c:pt>
                <c:pt idx="59">
                  <c:v>5.5066666666666668</c:v>
                </c:pt>
                <c:pt idx="60">
                  <c:v>5.6000000000000005</c:v>
                </c:pt>
                <c:pt idx="61">
                  <c:v>5.6933333333333334</c:v>
                </c:pt>
                <c:pt idx="62">
                  <c:v>5.7866666666666671</c:v>
                </c:pt>
                <c:pt idx="63">
                  <c:v>5.88</c:v>
                </c:pt>
                <c:pt idx="64">
                  <c:v>5.9733333333333336</c:v>
                </c:pt>
                <c:pt idx="65">
                  <c:v>6.0666666666666673</c:v>
                </c:pt>
                <c:pt idx="66">
                  <c:v>6.16</c:v>
                </c:pt>
                <c:pt idx="67">
                  <c:v>6.2533333333333339</c:v>
                </c:pt>
                <c:pt idx="68">
                  <c:v>6.3466666666666667</c:v>
                </c:pt>
                <c:pt idx="69">
                  <c:v>6.44</c:v>
                </c:pt>
                <c:pt idx="70">
                  <c:v>6.5333333333333332</c:v>
                </c:pt>
                <c:pt idx="71">
                  <c:v>6.6266666666666669</c:v>
                </c:pt>
                <c:pt idx="72">
                  <c:v>6.7200000000000006</c:v>
                </c:pt>
                <c:pt idx="73">
                  <c:v>6.8133333333333335</c:v>
                </c:pt>
                <c:pt idx="74">
                  <c:v>6.9066666666666672</c:v>
                </c:pt>
                <c:pt idx="75">
                  <c:v>7</c:v>
                </c:pt>
                <c:pt idx="76">
                  <c:v>7.0933333333333337</c:v>
                </c:pt>
                <c:pt idx="77">
                  <c:v>7.1866666666666674</c:v>
                </c:pt>
                <c:pt idx="78">
                  <c:v>7.28</c:v>
                </c:pt>
                <c:pt idx="79">
                  <c:v>7.373333333333334</c:v>
                </c:pt>
                <c:pt idx="80">
                  <c:v>7.4666666666666668</c:v>
                </c:pt>
                <c:pt idx="81">
                  <c:v>7.5600000000000005</c:v>
                </c:pt>
                <c:pt idx="82">
                  <c:v>7.6533333333333333</c:v>
                </c:pt>
                <c:pt idx="83">
                  <c:v>7.746666666666667</c:v>
                </c:pt>
                <c:pt idx="84">
                  <c:v>7.8400000000000007</c:v>
                </c:pt>
                <c:pt idx="85">
                  <c:v>7.9333333333333336</c:v>
                </c:pt>
                <c:pt idx="86">
                  <c:v>8.0266666666666673</c:v>
                </c:pt>
                <c:pt idx="87">
                  <c:v>8.120000000000001</c:v>
                </c:pt>
                <c:pt idx="88">
                  <c:v>8.2133333333333329</c:v>
                </c:pt>
                <c:pt idx="89">
                  <c:v>8.3066666666666666</c:v>
                </c:pt>
                <c:pt idx="90">
                  <c:v>8.4</c:v>
                </c:pt>
                <c:pt idx="91">
                  <c:v>8.4933333333333341</c:v>
                </c:pt>
                <c:pt idx="92">
                  <c:v>8.5866666666666678</c:v>
                </c:pt>
                <c:pt idx="93">
                  <c:v>8.68</c:v>
                </c:pt>
                <c:pt idx="94">
                  <c:v>8.7733333333333334</c:v>
                </c:pt>
                <c:pt idx="95">
                  <c:v>8.8666666666666671</c:v>
                </c:pt>
                <c:pt idx="96">
                  <c:v>8.9600000000000009</c:v>
                </c:pt>
                <c:pt idx="97">
                  <c:v>9.0533333333333346</c:v>
                </c:pt>
                <c:pt idx="98">
                  <c:v>9.1466666666666665</c:v>
                </c:pt>
                <c:pt idx="99">
                  <c:v>9.24</c:v>
                </c:pt>
                <c:pt idx="100">
                  <c:v>9.3333333333333339</c:v>
                </c:pt>
                <c:pt idx="101">
                  <c:v>9.4266666666666676</c:v>
                </c:pt>
                <c:pt idx="102">
                  <c:v>9.52</c:v>
                </c:pt>
                <c:pt idx="103">
                  <c:v>9.6133333333333333</c:v>
                </c:pt>
                <c:pt idx="104">
                  <c:v>9.706666666666667</c:v>
                </c:pt>
                <c:pt idx="105">
                  <c:v>9.8000000000000007</c:v>
                </c:pt>
                <c:pt idx="106">
                  <c:v>9.8933333333333344</c:v>
                </c:pt>
                <c:pt idx="107">
                  <c:v>9.9866666666666664</c:v>
                </c:pt>
                <c:pt idx="108">
                  <c:v>10.08</c:v>
                </c:pt>
                <c:pt idx="109">
                  <c:v>10.173333333333334</c:v>
                </c:pt>
                <c:pt idx="110">
                  <c:v>10.266666666666667</c:v>
                </c:pt>
                <c:pt idx="111">
                  <c:v>10.360000000000001</c:v>
                </c:pt>
                <c:pt idx="112">
                  <c:v>10.453333333333333</c:v>
                </c:pt>
                <c:pt idx="113">
                  <c:v>10.546666666666667</c:v>
                </c:pt>
                <c:pt idx="114">
                  <c:v>10.64</c:v>
                </c:pt>
                <c:pt idx="115">
                  <c:v>10.733333333333334</c:v>
                </c:pt>
                <c:pt idx="116">
                  <c:v>10.826666666666668</c:v>
                </c:pt>
                <c:pt idx="117">
                  <c:v>10.92</c:v>
                </c:pt>
                <c:pt idx="118">
                  <c:v>11.013333333333334</c:v>
                </c:pt>
                <c:pt idx="119">
                  <c:v>11.106666666666667</c:v>
                </c:pt>
                <c:pt idx="120">
                  <c:v>11.200000000000001</c:v>
                </c:pt>
                <c:pt idx="121">
                  <c:v>11.293333333333333</c:v>
                </c:pt>
                <c:pt idx="122">
                  <c:v>11.386666666666667</c:v>
                </c:pt>
                <c:pt idx="123">
                  <c:v>11.48</c:v>
                </c:pt>
                <c:pt idx="124">
                  <c:v>11.573333333333334</c:v>
                </c:pt>
                <c:pt idx="125">
                  <c:v>11.666666666666668</c:v>
                </c:pt>
                <c:pt idx="126">
                  <c:v>11.76</c:v>
                </c:pt>
                <c:pt idx="127">
                  <c:v>11.853333333333333</c:v>
                </c:pt>
                <c:pt idx="128">
                  <c:v>11.946666666666667</c:v>
                </c:pt>
                <c:pt idx="129">
                  <c:v>12.040000000000001</c:v>
                </c:pt>
                <c:pt idx="130">
                  <c:v>12.133333333333335</c:v>
                </c:pt>
                <c:pt idx="131">
                  <c:v>12.226666666666667</c:v>
                </c:pt>
                <c:pt idx="132">
                  <c:v>12.32</c:v>
                </c:pt>
                <c:pt idx="133">
                  <c:v>12.413333333333334</c:v>
                </c:pt>
                <c:pt idx="134">
                  <c:v>12.506666666666668</c:v>
                </c:pt>
                <c:pt idx="135">
                  <c:v>12.600000000000001</c:v>
                </c:pt>
                <c:pt idx="136">
                  <c:v>12.693333333333333</c:v>
                </c:pt>
                <c:pt idx="137">
                  <c:v>12.786666666666667</c:v>
                </c:pt>
                <c:pt idx="138">
                  <c:v>12.88</c:v>
                </c:pt>
                <c:pt idx="139">
                  <c:v>12.973333333333334</c:v>
                </c:pt>
                <c:pt idx="140">
                  <c:v>13.066666666666666</c:v>
                </c:pt>
                <c:pt idx="141">
                  <c:v>13.16</c:v>
                </c:pt>
                <c:pt idx="142">
                  <c:v>13.253333333333334</c:v>
                </c:pt>
                <c:pt idx="143">
                  <c:v>13.346666666666668</c:v>
                </c:pt>
                <c:pt idx="144">
                  <c:v>13.440000000000001</c:v>
                </c:pt>
                <c:pt idx="145">
                  <c:v>13.533333333333333</c:v>
                </c:pt>
                <c:pt idx="146">
                  <c:v>13.626666666666667</c:v>
                </c:pt>
                <c:pt idx="147">
                  <c:v>13.72</c:v>
                </c:pt>
                <c:pt idx="148">
                  <c:v>13.813333333333334</c:v>
                </c:pt>
                <c:pt idx="149">
                  <c:v>13.906666666666668</c:v>
                </c:pt>
                <c:pt idx="150">
                  <c:v>14</c:v>
                </c:pt>
              </c:numCache>
            </c:numRef>
          </c:xVal>
          <c:yVal>
            <c:numRef>
              <c:f>[1]Eff_vs_IOUT!$AI$7:$AI$157</c:f>
              <c:numCache>
                <c:formatCode>General</c:formatCode>
                <c:ptCount val="151"/>
                <c:pt idx="0">
                  <c:v>1.13161834494674E-3</c:v>
                </c:pt>
                <c:pt idx="1">
                  <c:v>5.3029569450771509E-2</c:v>
                </c:pt>
                <c:pt idx="2">
                  <c:v>0.10503205388992962</c:v>
                </c:pt>
                <c:pt idx="3">
                  <c:v>0.15713907166242103</c:v>
                </c:pt>
                <c:pt idx="4">
                  <c:v>0.20935062276824581</c:v>
                </c:pt>
                <c:pt idx="5">
                  <c:v>0.26166670720740393</c:v>
                </c:pt>
                <c:pt idx="6">
                  <c:v>0.31408732497989528</c:v>
                </c:pt>
                <c:pt idx="7">
                  <c:v>0.36661247608572006</c:v>
                </c:pt>
                <c:pt idx="8">
                  <c:v>0.41924216052487823</c:v>
                </c:pt>
                <c:pt idx="9">
                  <c:v>0.4719763782973696</c:v>
                </c:pt>
                <c:pt idx="10">
                  <c:v>0.52481512940319441</c:v>
                </c:pt>
                <c:pt idx="11">
                  <c:v>0.57775841384235238</c:v>
                </c:pt>
                <c:pt idx="12">
                  <c:v>0.63080623161484384</c:v>
                </c:pt>
                <c:pt idx="13">
                  <c:v>0.68395858272066867</c:v>
                </c:pt>
                <c:pt idx="14">
                  <c:v>0.73721546715982667</c:v>
                </c:pt>
                <c:pt idx="15">
                  <c:v>0.79057688493231826</c:v>
                </c:pt>
                <c:pt idx="16">
                  <c:v>0.84404283603814301</c:v>
                </c:pt>
                <c:pt idx="17">
                  <c:v>0.89761332047730091</c:v>
                </c:pt>
                <c:pt idx="18">
                  <c:v>0.95128833824979242</c:v>
                </c:pt>
                <c:pt idx="19">
                  <c:v>1.0050678893556171</c:v>
                </c:pt>
                <c:pt idx="20">
                  <c:v>1.0589519737947755</c:v>
                </c:pt>
                <c:pt idx="21">
                  <c:v>1.112940591567267</c:v>
                </c:pt>
                <c:pt idx="22">
                  <c:v>1.1670337426730912</c:v>
                </c:pt>
                <c:pt idx="23">
                  <c:v>1.2212314271122497</c:v>
                </c:pt>
                <c:pt idx="24">
                  <c:v>1.275533644884741</c:v>
                </c:pt>
                <c:pt idx="25">
                  <c:v>1.3299403959905658</c:v>
                </c:pt>
                <c:pt idx="26">
                  <c:v>1.384451680429724</c:v>
                </c:pt>
                <c:pt idx="27">
                  <c:v>1.4390674982022156</c:v>
                </c:pt>
                <c:pt idx="28">
                  <c:v>1.4937878493080401</c:v>
                </c:pt>
                <c:pt idx="29">
                  <c:v>1.5486127337471982</c:v>
                </c:pt>
                <c:pt idx="30">
                  <c:v>1.6035421515196897</c:v>
                </c:pt>
                <c:pt idx="31">
                  <c:v>1.6585761026255148</c:v>
                </c:pt>
                <c:pt idx="32">
                  <c:v>1.7137145870646726</c:v>
                </c:pt>
                <c:pt idx="33">
                  <c:v>1.768957604837164</c:v>
                </c:pt>
                <c:pt idx="34">
                  <c:v>1.8243051559429886</c:v>
                </c:pt>
                <c:pt idx="35">
                  <c:v>1.8797572403821465</c:v>
                </c:pt>
                <c:pt idx="36">
                  <c:v>1.9353138581546381</c:v>
                </c:pt>
                <c:pt idx="37">
                  <c:v>1.9909750092604632</c:v>
                </c:pt>
                <c:pt idx="38">
                  <c:v>2.0467406936996211</c:v>
                </c:pt>
                <c:pt idx="39">
                  <c:v>2.1026109114721123</c:v>
                </c:pt>
                <c:pt idx="40">
                  <c:v>2.1585856625779374</c:v>
                </c:pt>
                <c:pt idx="41">
                  <c:v>2.2146649470170954</c:v>
                </c:pt>
                <c:pt idx="42">
                  <c:v>2.2708487647895872</c:v>
                </c:pt>
                <c:pt idx="43">
                  <c:v>2.3271371158954119</c:v>
                </c:pt>
                <c:pt idx="44">
                  <c:v>2.3835300003345692</c:v>
                </c:pt>
                <c:pt idx="45">
                  <c:v>2.4400274181070611</c:v>
                </c:pt>
                <c:pt idx="46">
                  <c:v>2.496629369212886</c:v>
                </c:pt>
                <c:pt idx="47">
                  <c:v>2.5533358536520439</c:v>
                </c:pt>
                <c:pt idx="48">
                  <c:v>2.6101468714245351</c:v>
                </c:pt>
                <c:pt idx="49">
                  <c:v>2.6670624225303601</c:v>
                </c:pt>
                <c:pt idx="50">
                  <c:v>2.724082506969518</c:v>
                </c:pt>
                <c:pt idx="51">
                  <c:v>2.7812071247420094</c:v>
                </c:pt>
                <c:pt idx="52">
                  <c:v>2.8384362758478345</c:v>
                </c:pt>
                <c:pt idx="53">
                  <c:v>2.8957699602869931</c:v>
                </c:pt>
                <c:pt idx="54">
                  <c:v>2.9532081780594845</c:v>
                </c:pt>
                <c:pt idx="55">
                  <c:v>3.0107509291653094</c:v>
                </c:pt>
                <c:pt idx="56">
                  <c:v>3.0683982136044667</c:v>
                </c:pt>
                <c:pt idx="57">
                  <c:v>3.1261500313769579</c:v>
                </c:pt>
                <c:pt idx="58">
                  <c:v>3.1840063824827829</c:v>
                </c:pt>
                <c:pt idx="59">
                  <c:v>3.2419672669219408</c:v>
                </c:pt>
                <c:pt idx="60">
                  <c:v>3.3000326846944326</c:v>
                </c:pt>
                <c:pt idx="61">
                  <c:v>3.3582026358002577</c:v>
                </c:pt>
                <c:pt idx="62">
                  <c:v>3.4164771202394162</c:v>
                </c:pt>
                <c:pt idx="63">
                  <c:v>3.4748561380119067</c:v>
                </c:pt>
                <c:pt idx="64">
                  <c:v>3.533339689117732</c:v>
                </c:pt>
                <c:pt idx="65">
                  <c:v>3.5919277735568906</c:v>
                </c:pt>
                <c:pt idx="66">
                  <c:v>3.6506203913293813</c:v>
                </c:pt>
                <c:pt idx="67">
                  <c:v>3.7094175424352063</c:v>
                </c:pt>
                <c:pt idx="68">
                  <c:v>3.7683192268743637</c:v>
                </c:pt>
                <c:pt idx="69">
                  <c:v>3.8273254446468554</c:v>
                </c:pt>
                <c:pt idx="70">
                  <c:v>3.8864361957526796</c:v>
                </c:pt>
                <c:pt idx="71">
                  <c:v>3.9456514801918376</c:v>
                </c:pt>
                <c:pt idx="72">
                  <c:v>4.0049712979643299</c:v>
                </c:pt>
                <c:pt idx="73">
                  <c:v>4.0643956490701543</c:v>
                </c:pt>
                <c:pt idx="74">
                  <c:v>4.1239245335093129</c:v>
                </c:pt>
                <c:pt idx="75">
                  <c:v>4.183557951281804</c:v>
                </c:pt>
                <c:pt idx="76">
                  <c:v>4.2432959023876284</c:v>
                </c:pt>
                <c:pt idx="77">
                  <c:v>4.3031383868267872</c:v>
                </c:pt>
                <c:pt idx="78">
                  <c:v>4.3630854045992784</c:v>
                </c:pt>
                <c:pt idx="79">
                  <c:v>4.4231369557051039</c:v>
                </c:pt>
                <c:pt idx="80">
                  <c:v>4.4832930401442619</c:v>
                </c:pt>
                <c:pt idx="81">
                  <c:v>4.5435536579167533</c:v>
                </c:pt>
                <c:pt idx="82">
                  <c:v>4.6039188090225771</c:v>
                </c:pt>
                <c:pt idx="83">
                  <c:v>4.6643884934617352</c:v>
                </c:pt>
                <c:pt idx="84">
                  <c:v>4.7249627112342276</c:v>
                </c:pt>
                <c:pt idx="85">
                  <c:v>4.7856414623400516</c:v>
                </c:pt>
                <c:pt idx="86">
                  <c:v>4.8464247467792099</c:v>
                </c:pt>
                <c:pt idx="87">
                  <c:v>4.9073125645517015</c:v>
                </c:pt>
                <c:pt idx="88">
                  <c:v>4.9683049156575247</c:v>
                </c:pt>
                <c:pt idx="89">
                  <c:v>5.0294018000966831</c:v>
                </c:pt>
                <c:pt idx="90">
                  <c:v>5.0906032178691749</c:v>
                </c:pt>
                <c:pt idx="91">
                  <c:v>5.151909168975001</c:v>
                </c:pt>
                <c:pt idx="92">
                  <c:v>5.2133196534141586</c:v>
                </c:pt>
                <c:pt idx="93">
                  <c:v>5.2748346711866496</c:v>
                </c:pt>
                <c:pt idx="94">
                  <c:v>5.336454222292474</c:v>
                </c:pt>
                <c:pt idx="95">
                  <c:v>5.3981783067316327</c:v>
                </c:pt>
                <c:pt idx="96">
                  <c:v>5.4600069245041238</c:v>
                </c:pt>
                <c:pt idx="97">
                  <c:v>5.5219400756099501</c:v>
                </c:pt>
                <c:pt idx="98">
                  <c:v>5.5839777600491072</c:v>
                </c:pt>
                <c:pt idx="99">
                  <c:v>5.6461199778215985</c:v>
                </c:pt>
                <c:pt idx="100">
                  <c:v>5.7083667289274231</c:v>
                </c:pt>
                <c:pt idx="101">
                  <c:v>5.7707180133665812</c:v>
                </c:pt>
                <c:pt idx="102">
                  <c:v>5.8331738311390726</c:v>
                </c:pt>
                <c:pt idx="103">
                  <c:v>5.8957341822448974</c:v>
                </c:pt>
                <c:pt idx="104">
                  <c:v>5.9583990666840556</c:v>
                </c:pt>
                <c:pt idx="105">
                  <c:v>6.0211684844565481</c:v>
                </c:pt>
                <c:pt idx="106">
                  <c:v>6.084042435562373</c:v>
                </c:pt>
                <c:pt idx="107">
                  <c:v>6.1470209200015296</c:v>
                </c:pt>
                <c:pt idx="108">
                  <c:v>6.2101039377740221</c:v>
                </c:pt>
                <c:pt idx="109">
                  <c:v>6.2732914888798472</c:v>
                </c:pt>
                <c:pt idx="110">
                  <c:v>6.3365835733190048</c:v>
                </c:pt>
                <c:pt idx="111">
                  <c:v>6.3999801910914957</c:v>
                </c:pt>
                <c:pt idx="112">
                  <c:v>6.4634813421973201</c:v>
                </c:pt>
                <c:pt idx="113">
                  <c:v>6.5270870266364778</c:v>
                </c:pt>
                <c:pt idx="114">
                  <c:v>6.5907972444089697</c:v>
                </c:pt>
                <c:pt idx="115">
                  <c:v>6.6546119955147951</c:v>
                </c:pt>
                <c:pt idx="116">
                  <c:v>6.7185312799539529</c:v>
                </c:pt>
                <c:pt idx="117">
                  <c:v>6.7825550977264433</c:v>
                </c:pt>
                <c:pt idx="118">
                  <c:v>6.8466834488322688</c:v>
                </c:pt>
                <c:pt idx="119">
                  <c:v>6.9109163332714267</c:v>
                </c:pt>
                <c:pt idx="120">
                  <c:v>6.975253751043919</c:v>
                </c:pt>
                <c:pt idx="121">
                  <c:v>7.0396957021497428</c:v>
                </c:pt>
                <c:pt idx="122">
                  <c:v>7.1042421865889018</c:v>
                </c:pt>
                <c:pt idx="123">
                  <c:v>7.1688932043613933</c:v>
                </c:pt>
                <c:pt idx="124">
                  <c:v>7.2336487554672191</c:v>
                </c:pt>
                <c:pt idx="125">
                  <c:v>7.2985088399063773</c:v>
                </c:pt>
                <c:pt idx="126">
                  <c:v>7.3634734576788672</c:v>
                </c:pt>
                <c:pt idx="127">
                  <c:v>7.4285426087846922</c:v>
                </c:pt>
                <c:pt idx="128">
                  <c:v>7.4937162932238506</c:v>
                </c:pt>
                <c:pt idx="129">
                  <c:v>7.5589945109963432</c:v>
                </c:pt>
                <c:pt idx="130">
                  <c:v>7.6243772621021675</c:v>
                </c:pt>
                <c:pt idx="131">
                  <c:v>7.6898645465413242</c:v>
                </c:pt>
                <c:pt idx="132">
                  <c:v>7.7554563643138161</c:v>
                </c:pt>
                <c:pt idx="133">
                  <c:v>7.8211527154196414</c:v>
                </c:pt>
                <c:pt idx="134">
                  <c:v>7.8869535998587992</c:v>
                </c:pt>
                <c:pt idx="135">
                  <c:v>7.9528590176312912</c:v>
                </c:pt>
                <c:pt idx="136">
                  <c:v>8.0188689687371149</c:v>
                </c:pt>
                <c:pt idx="137">
                  <c:v>8.0849834531762728</c:v>
                </c:pt>
                <c:pt idx="138">
                  <c:v>8.151202470948764</c:v>
                </c:pt>
                <c:pt idx="139">
                  <c:v>8.2175260220545887</c:v>
                </c:pt>
                <c:pt idx="140">
                  <c:v>8.283954106493745</c:v>
                </c:pt>
                <c:pt idx="141">
                  <c:v>8.3504867242662382</c:v>
                </c:pt>
                <c:pt idx="142">
                  <c:v>8.4171238753720612</c:v>
                </c:pt>
                <c:pt idx="143">
                  <c:v>8.4838655598112229</c:v>
                </c:pt>
                <c:pt idx="144">
                  <c:v>8.5507117775837127</c:v>
                </c:pt>
                <c:pt idx="145">
                  <c:v>8.6176625286895376</c:v>
                </c:pt>
                <c:pt idx="146">
                  <c:v>8.684717813128696</c:v>
                </c:pt>
                <c:pt idx="147">
                  <c:v>8.7518776309011876</c:v>
                </c:pt>
                <c:pt idx="148">
                  <c:v>8.8191419820070127</c:v>
                </c:pt>
                <c:pt idx="149">
                  <c:v>8.8865108664461712</c:v>
                </c:pt>
                <c:pt idx="150">
                  <c:v>8.9539842842186612</c:v>
                </c:pt>
              </c:numCache>
            </c:numRef>
          </c:yVal>
          <c:smooth val="1"/>
          <c:extLst>
            <c:ext xmlns:c16="http://schemas.microsoft.com/office/drawing/2014/chart" uri="{C3380CC4-5D6E-409C-BE32-E72D297353CC}">
              <c16:uniqueId val="{00000001-8268-4C3F-B748-2F54233BBCCC}"/>
            </c:ext>
          </c:extLst>
        </c:ser>
        <c:ser>
          <c:idx val="2"/>
          <c:order val="2"/>
          <c:tx>
            <c:v>Diode</c:v>
          </c:tx>
          <c:marker>
            <c:symbol val="none"/>
          </c:marker>
          <c:xVal>
            <c:numRef>
              <c:f>[1]Eff_vs_IOUT!$S$7:$S$157</c:f>
              <c:numCache>
                <c:formatCode>General</c:formatCode>
                <c:ptCount val="151"/>
                <c:pt idx="0">
                  <c:v>0</c:v>
                </c:pt>
                <c:pt idx="1">
                  <c:v>9.3333333333333338E-2</c:v>
                </c:pt>
                <c:pt idx="2">
                  <c:v>0.18666666666666668</c:v>
                </c:pt>
                <c:pt idx="3">
                  <c:v>0.28000000000000003</c:v>
                </c:pt>
                <c:pt idx="4">
                  <c:v>0.37333333333333335</c:v>
                </c:pt>
                <c:pt idx="5">
                  <c:v>0.46666666666666667</c:v>
                </c:pt>
                <c:pt idx="6">
                  <c:v>0.56000000000000005</c:v>
                </c:pt>
                <c:pt idx="7">
                  <c:v>0.65333333333333332</c:v>
                </c:pt>
                <c:pt idx="8">
                  <c:v>0.7466666666666667</c:v>
                </c:pt>
                <c:pt idx="9">
                  <c:v>0.84000000000000008</c:v>
                </c:pt>
                <c:pt idx="10">
                  <c:v>0.93333333333333335</c:v>
                </c:pt>
                <c:pt idx="11">
                  <c:v>1.0266666666666666</c:v>
                </c:pt>
                <c:pt idx="12">
                  <c:v>1.1200000000000001</c:v>
                </c:pt>
                <c:pt idx="13">
                  <c:v>1.2133333333333334</c:v>
                </c:pt>
                <c:pt idx="14">
                  <c:v>1.3066666666666666</c:v>
                </c:pt>
                <c:pt idx="15">
                  <c:v>1.4000000000000001</c:v>
                </c:pt>
                <c:pt idx="16">
                  <c:v>1.4933333333333334</c:v>
                </c:pt>
                <c:pt idx="17">
                  <c:v>1.5866666666666667</c:v>
                </c:pt>
                <c:pt idx="18">
                  <c:v>1.6800000000000002</c:v>
                </c:pt>
                <c:pt idx="19">
                  <c:v>1.7733333333333334</c:v>
                </c:pt>
                <c:pt idx="20">
                  <c:v>1.8666666666666667</c:v>
                </c:pt>
                <c:pt idx="21">
                  <c:v>1.9600000000000002</c:v>
                </c:pt>
                <c:pt idx="22">
                  <c:v>2.0533333333333332</c:v>
                </c:pt>
                <c:pt idx="23">
                  <c:v>2.1466666666666669</c:v>
                </c:pt>
                <c:pt idx="24">
                  <c:v>2.2400000000000002</c:v>
                </c:pt>
                <c:pt idx="25">
                  <c:v>2.3333333333333335</c:v>
                </c:pt>
                <c:pt idx="26">
                  <c:v>2.4266666666666667</c:v>
                </c:pt>
                <c:pt idx="27">
                  <c:v>2.52</c:v>
                </c:pt>
                <c:pt idx="28">
                  <c:v>2.6133333333333333</c:v>
                </c:pt>
                <c:pt idx="29">
                  <c:v>2.706666666666667</c:v>
                </c:pt>
                <c:pt idx="30">
                  <c:v>2.8000000000000003</c:v>
                </c:pt>
                <c:pt idx="31">
                  <c:v>2.8933333333333335</c:v>
                </c:pt>
                <c:pt idx="32">
                  <c:v>2.9866666666666668</c:v>
                </c:pt>
                <c:pt idx="33">
                  <c:v>3.08</c:v>
                </c:pt>
                <c:pt idx="34">
                  <c:v>3.1733333333333333</c:v>
                </c:pt>
                <c:pt idx="35">
                  <c:v>3.2666666666666666</c:v>
                </c:pt>
                <c:pt idx="36">
                  <c:v>3.3600000000000003</c:v>
                </c:pt>
                <c:pt idx="37">
                  <c:v>3.4533333333333336</c:v>
                </c:pt>
                <c:pt idx="38">
                  <c:v>3.5466666666666669</c:v>
                </c:pt>
                <c:pt idx="39">
                  <c:v>3.64</c:v>
                </c:pt>
                <c:pt idx="40">
                  <c:v>3.7333333333333334</c:v>
                </c:pt>
                <c:pt idx="41">
                  <c:v>3.8266666666666667</c:v>
                </c:pt>
                <c:pt idx="42">
                  <c:v>3.9200000000000004</c:v>
                </c:pt>
                <c:pt idx="43">
                  <c:v>4.0133333333333336</c:v>
                </c:pt>
                <c:pt idx="44">
                  <c:v>4.1066666666666665</c:v>
                </c:pt>
                <c:pt idx="45">
                  <c:v>4.2</c:v>
                </c:pt>
                <c:pt idx="46">
                  <c:v>4.2933333333333339</c:v>
                </c:pt>
                <c:pt idx="47">
                  <c:v>4.3866666666666667</c:v>
                </c:pt>
                <c:pt idx="48">
                  <c:v>4.4800000000000004</c:v>
                </c:pt>
                <c:pt idx="49">
                  <c:v>4.5733333333333333</c:v>
                </c:pt>
                <c:pt idx="50">
                  <c:v>4.666666666666667</c:v>
                </c:pt>
                <c:pt idx="51">
                  <c:v>4.76</c:v>
                </c:pt>
                <c:pt idx="52">
                  <c:v>4.8533333333333335</c:v>
                </c:pt>
                <c:pt idx="53">
                  <c:v>4.9466666666666672</c:v>
                </c:pt>
                <c:pt idx="54">
                  <c:v>5.04</c:v>
                </c:pt>
                <c:pt idx="55">
                  <c:v>5.1333333333333337</c:v>
                </c:pt>
                <c:pt idx="56">
                  <c:v>5.2266666666666666</c:v>
                </c:pt>
                <c:pt idx="57">
                  <c:v>5.32</c:v>
                </c:pt>
                <c:pt idx="58">
                  <c:v>5.413333333333334</c:v>
                </c:pt>
                <c:pt idx="59">
                  <c:v>5.5066666666666668</c:v>
                </c:pt>
                <c:pt idx="60">
                  <c:v>5.6000000000000005</c:v>
                </c:pt>
                <c:pt idx="61">
                  <c:v>5.6933333333333334</c:v>
                </c:pt>
                <c:pt idx="62">
                  <c:v>5.7866666666666671</c:v>
                </c:pt>
                <c:pt idx="63">
                  <c:v>5.88</c:v>
                </c:pt>
                <c:pt idx="64">
                  <c:v>5.9733333333333336</c:v>
                </c:pt>
                <c:pt idx="65">
                  <c:v>6.0666666666666673</c:v>
                </c:pt>
                <c:pt idx="66">
                  <c:v>6.16</c:v>
                </c:pt>
                <c:pt idx="67">
                  <c:v>6.2533333333333339</c:v>
                </c:pt>
                <c:pt idx="68">
                  <c:v>6.3466666666666667</c:v>
                </c:pt>
                <c:pt idx="69">
                  <c:v>6.44</c:v>
                </c:pt>
                <c:pt idx="70">
                  <c:v>6.5333333333333332</c:v>
                </c:pt>
                <c:pt idx="71">
                  <c:v>6.6266666666666669</c:v>
                </c:pt>
                <c:pt idx="72">
                  <c:v>6.7200000000000006</c:v>
                </c:pt>
                <c:pt idx="73">
                  <c:v>6.8133333333333335</c:v>
                </c:pt>
                <c:pt idx="74">
                  <c:v>6.9066666666666672</c:v>
                </c:pt>
                <c:pt idx="75">
                  <c:v>7</c:v>
                </c:pt>
                <c:pt idx="76">
                  <c:v>7.0933333333333337</c:v>
                </c:pt>
                <c:pt idx="77">
                  <c:v>7.1866666666666674</c:v>
                </c:pt>
                <c:pt idx="78">
                  <c:v>7.28</c:v>
                </c:pt>
                <c:pt idx="79">
                  <c:v>7.373333333333334</c:v>
                </c:pt>
                <c:pt idx="80">
                  <c:v>7.4666666666666668</c:v>
                </c:pt>
                <c:pt idx="81">
                  <c:v>7.5600000000000005</c:v>
                </c:pt>
                <c:pt idx="82">
                  <c:v>7.6533333333333333</c:v>
                </c:pt>
                <c:pt idx="83">
                  <c:v>7.746666666666667</c:v>
                </c:pt>
                <c:pt idx="84">
                  <c:v>7.8400000000000007</c:v>
                </c:pt>
                <c:pt idx="85">
                  <c:v>7.9333333333333336</c:v>
                </c:pt>
                <c:pt idx="86">
                  <c:v>8.0266666666666673</c:v>
                </c:pt>
                <c:pt idx="87">
                  <c:v>8.120000000000001</c:v>
                </c:pt>
                <c:pt idx="88">
                  <c:v>8.2133333333333329</c:v>
                </c:pt>
                <c:pt idx="89">
                  <c:v>8.3066666666666666</c:v>
                </c:pt>
                <c:pt idx="90">
                  <c:v>8.4</c:v>
                </c:pt>
                <c:pt idx="91">
                  <c:v>8.4933333333333341</c:v>
                </c:pt>
                <c:pt idx="92">
                  <c:v>8.5866666666666678</c:v>
                </c:pt>
                <c:pt idx="93">
                  <c:v>8.68</c:v>
                </c:pt>
                <c:pt idx="94">
                  <c:v>8.7733333333333334</c:v>
                </c:pt>
                <c:pt idx="95">
                  <c:v>8.8666666666666671</c:v>
                </c:pt>
                <c:pt idx="96">
                  <c:v>8.9600000000000009</c:v>
                </c:pt>
                <c:pt idx="97">
                  <c:v>9.0533333333333346</c:v>
                </c:pt>
                <c:pt idx="98">
                  <c:v>9.1466666666666665</c:v>
                </c:pt>
                <c:pt idx="99">
                  <c:v>9.24</c:v>
                </c:pt>
                <c:pt idx="100">
                  <c:v>9.3333333333333339</c:v>
                </c:pt>
                <c:pt idx="101">
                  <c:v>9.4266666666666676</c:v>
                </c:pt>
                <c:pt idx="102">
                  <c:v>9.52</c:v>
                </c:pt>
                <c:pt idx="103">
                  <c:v>9.6133333333333333</c:v>
                </c:pt>
                <c:pt idx="104">
                  <c:v>9.706666666666667</c:v>
                </c:pt>
                <c:pt idx="105">
                  <c:v>9.8000000000000007</c:v>
                </c:pt>
                <c:pt idx="106">
                  <c:v>9.8933333333333344</c:v>
                </c:pt>
                <c:pt idx="107">
                  <c:v>9.9866666666666664</c:v>
                </c:pt>
                <c:pt idx="108">
                  <c:v>10.08</c:v>
                </c:pt>
                <c:pt idx="109">
                  <c:v>10.173333333333334</c:v>
                </c:pt>
                <c:pt idx="110">
                  <c:v>10.266666666666667</c:v>
                </c:pt>
                <c:pt idx="111">
                  <c:v>10.360000000000001</c:v>
                </c:pt>
                <c:pt idx="112">
                  <c:v>10.453333333333333</c:v>
                </c:pt>
                <c:pt idx="113">
                  <c:v>10.546666666666667</c:v>
                </c:pt>
                <c:pt idx="114">
                  <c:v>10.64</c:v>
                </c:pt>
                <c:pt idx="115">
                  <c:v>10.733333333333334</c:v>
                </c:pt>
                <c:pt idx="116">
                  <c:v>10.826666666666668</c:v>
                </c:pt>
                <c:pt idx="117">
                  <c:v>10.92</c:v>
                </c:pt>
                <c:pt idx="118">
                  <c:v>11.013333333333334</c:v>
                </c:pt>
                <c:pt idx="119">
                  <c:v>11.106666666666667</c:v>
                </c:pt>
                <c:pt idx="120">
                  <c:v>11.200000000000001</c:v>
                </c:pt>
                <c:pt idx="121">
                  <c:v>11.293333333333333</c:v>
                </c:pt>
                <c:pt idx="122">
                  <c:v>11.386666666666667</c:v>
                </c:pt>
                <c:pt idx="123">
                  <c:v>11.48</c:v>
                </c:pt>
                <c:pt idx="124">
                  <c:v>11.573333333333334</c:v>
                </c:pt>
                <c:pt idx="125">
                  <c:v>11.666666666666668</c:v>
                </c:pt>
                <c:pt idx="126">
                  <c:v>11.76</c:v>
                </c:pt>
                <c:pt idx="127">
                  <c:v>11.853333333333333</c:v>
                </c:pt>
                <c:pt idx="128">
                  <c:v>11.946666666666667</c:v>
                </c:pt>
                <c:pt idx="129">
                  <c:v>12.040000000000001</c:v>
                </c:pt>
                <c:pt idx="130">
                  <c:v>12.133333333333335</c:v>
                </c:pt>
                <c:pt idx="131">
                  <c:v>12.226666666666667</c:v>
                </c:pt>
                <c:pt idx="132">
                  <c:v>12.32</c:v>
                </c:pt>
                <c:pt idx="133">
                  <c:v>12.413333333333334</c:v>
                </c:pt>
                <c:pt idx="134">
                  <c:v>12.506666666666668</c:v>
                </c:pt>
                <c:pt idx="135">
                  <c:v>12.600000000000001</c:v>
                </c:pt>
                <c:pt idx="136">
                  <c:v>12.693333333333333</c:v>
                </c:pt>
                <c:pt idx="137">
                  <c:v>12.786666666666667</c:v>
                </c:pt>
                <c:pt idx="138">
                  <c:v>12.88</c:v>
                </c:pt>
                <c:pt idx="139">
                  <c:v>12.973333333333334</c:v>
                </c:pt>
                <c:pt idx="140">
                  <c:v>13.066666666666666</c:v>
                </c:pt>
                <c:pt idx="141">
                  <c:v>13.16</c:v>
                </c:pt>
                <c:pt idx="142">
                  <c:v>13.253333333333334</c:v>
                </c:pt>
                <c:pt idx="143">
                  <c:v>13.346666666666668</c:v>
                </c:pt>
                <c:pt idx="144">
                  <c:v>13.440000000000001</c:v>
                </c:pt>
                <c:pt idx="145">
                  <c:v>13.533333333333333</c:v>
                </c:pt>
                <c:pt idx="146">
                  <c:v>13.626666666666667</c:v>
                </c:pt>
                <c:pt idx="147">
                  <c:v>13.72</c:v>
                </c:pt>
                <c:pt idx="148">
                  <c:v>13.813333333333334</c:v>
                </c:pt>
                <c:pt idx="149">
                  <c:v>13.906666666666668</c:v>
                </c:pt>
                <c:pt idx="150">
                  <c:v>14</c:v>
                </c:pt>
              </c:numCache>
            </c:numRef>
          </c:xVal>
          <c:yVal>
            <c:numRef>
              <c:f>[1]Eff_vs_IOUT!$AO$7:$AO$157</c:f>
              <c:numCache>
                <c:formatCode>General</c:formatCode>
                <c:ptCount val="151"/>
                <c:pt idx="0">
                  <c:v>0.63790833399516844</c:v>
                </c:pt>
                <c:pt idx="1">
                  <c:v>0.63990566732850174</c:v>
                </c:pt>
                <c:pt idx="2">
                  <c:v>0.64195526732850172</c:v>
                </c:pt>
                <c:pt idx="3">
                  <c:v>0.6440571339951684</c:v>
                </c:pt>
                <c:pt idx="4">
                  <c:v>0.64621126732850176</c:v>
                </c:pt>
                <c:pt idx="5">
                  <c:v>0.6484176673285017</c:v>
                </c:pt>
                <c:pt idx="6">
                  <c:v>0.65067633399516844</c:v>
                </c:pt>
                <c:pt idx="7">
                  <c:v>0.65298726732850176</c:v>
                </c:pt>
                <c:pt idx="8">
                  <c:v>0.65535046732850177</c:v>
                </c:pt>
                <c:pt idx="9">
                  <c:v>0.65776593399516836</c:v>
                </c:pt>
                <c:pt idx="10">
                  <c:v>0.66023366732850175</c:v>
                </c:pt>
                <c:pt idx="11">
                  <c:v>0.66275366732850172</c:v>
                </c:pt>
                <c:pt idx="12">
                  <c:v>0.66532593399516837</c:v>
                </c:pt>
                <c:pt idx="13">
                  <c:v>0.66795046732850172</c:v>
                </c:pt>
                <c:pt idx="14">
                  <c:v>0.67062726732850175</c:v>
                </c:pt>
                <c:pt idx="15">
                  <c:v>0.67335633399516848</c:v>
                </c:pt>
                <c:pt idx="16">
                  <c:v>0.67613766732850178</c:v>
                </c:pt>
                <c:pt idx="17">
                  <c:v>0.67897126732850177</c:v>
                </c:pt>
                <c:pt idx="18">
                  <c:v>0.68185713399516845</c:v>
                </c:pt>
                <c:pt idx="19">
                  <c:v>0.68479526732850171</c:v>
                </c:pt>
                <c:pt idx="20">
                  <c:v>0.68778566732850177</c:v>
                </c:pt>
                <c:pt idx="21">
                  <c:v>0.69082833399516841</c:v>
                </c:pt>
                <c:pt idx="22">
                  <c:v>0.69392326732850174</c:v>
                </c:pt>
                <c:pt idx="23">
                  <c:v>0.69707046732850175</c:v>
                </c:pt>
                <c:pt idx="24">
                  <c:v>0.70026993399516846</c:v>
                </c:pt>
                <c:pt idx="25">
                  <c:v>0.70352166732850174</c:v>
                </c:pt>
                <c:pt idx="26">
                  <c:v>0.70682566732850183</c:v>
                </c:pt>
                <c:pt idx="27">
                  <c:v>0.71018193399516838</c:v>
                </c:pt>
                <c:pt idx="28">
                  <c:v>0.71359046732850173</c:v>
                </c:pt>
                <c:pt idx="29">
                  <c:v>0.71705126732850177</c:v>
                </c:pt>
                <c:pt idx="30">
                  <c:v>0.72056433399516839</c:v>
                </c:pt>
                <c:pt idx="31">
                  <c:v>0.72412966732850181</c:v>
                </c:pt>
                <c:pt idx="32">
                  <c:v>0.7277472673285017</c:v>
                </c:pt>
                <c:pt idx="33">
                  <c:v>0.7314171339951685</c:v>
                </c:pt>
                <c:pt idx="34">
                  <c:v>0.73513926732850177</c:v>
                </c:pt>
                <c:pt idx="35">
                  <c:v>0.73891366732850172</c:v>
                </c:pt>
                <c:pt idx="36">
                  <c:v>0.74274033399516837</c:v>
                </c:pt>
                <c:pt idx="37">
                  <c:v>0.7466192673285017</c:v>
                </c:pt>
                <c:pt idx="38">
                  <c:v>0.75055046732850172</c:v>
                </c:pt>
                <c:pt idx="39">
                  <c:v>0.75453393399516833</c:v>
                </c:pt>
                <c:pt idx="40">
                  <c:v>0.75856966732850173</c:v>
                </c:pt>
                <c:pt idx="41">
                  <c:v>0.76265766732850171</c:v>
                </c:pt>
                <c:pt idx="42">
                  <c:v>0.76679793399516849</c:v>
                </c:pt>
                <c:pt idx="43">
                  <c:v>0.77099046732850174</c:v>
                </c:pt>
                <c:pt idx="44">
                  <c:v>0.77523526732850168</c:v>
                </c:pt>
                <c:pt idx="45">
                  <c:v>0.77953233399516841</c:v>
                </c:pt>
                <c:pt idx="46">
                  <c:v>0.78388166732850184</c:v>
                </c:pt>
                <c:pt idx="47">
                  <c:v>0.78828326732850174</c:v>
                </c:pt>
                <c:pt idx="48">
                  <c:v>0.79273713399516832</c:v>
                </c:pt>
                <c:pt idx="49">
                  <c:v>0.7972432673285017</c:v>
                </c:pt>
                <c:pt idx="50">
                  <c:v>0.80180166732850178</c:v>
                </c:pt>
                <c:pt idx="51">
                  <c:v>0.80641233399516843</c:v>
                </c:pt>
                <c:pt idx="52">
                  <c:v>0.81107526732850177</c:v>
                </c:pt>
                <c:pt idx="53">
                  <c:v>0.8157904673285018</c:v>
                </c:pt>
                <c:pt idx="54">
                  <c:v>0.82055793399516841</c:v>
                </c:pt>
                <c:pt idx="55">
                  <c:v>0.82537766732850182</c:v>
                </c:pt>
                <c:pt idx="56">
                  <c:v>0.83024966732850169</c:v>
                </c:pt>
                <c:pt idx="57">
                  <c:v>0.83517393399516837</c:v>
                </c:pt>
                <c:pt idx="58">
                  <c:v>0.84015046732850174</c:v>
                </c:pt>
                <c:pt idx="59">
                  <c:v>0.84517926732850168</c:v>
                </c:pt>
                <c:pt idx="60">
                  <c:v>0.85026033399516843</c:v>
                </c:pt>
                <c:pt idx="61">
                  <c:v>0.85539366732850175</c:v>
                </c:pt>
                <c:pt idx="62">
                  <c:v>0.86057926732850187</c:v>
                </c:pt>
                <c:pt idx="63">
                  <c:v>0.86581713399516835</c:v>
                </c:pt>
                <c:pt idx="64">
                  <c:v>0.87110726732850186</c:v>
                </c:pt>
                <c:pt idx="65">
                  <c:v>0.87644966732850182</c:v>
                </c:pt>
                <c:pt idx="66">
                  <c:v>0.88184433399516837</c:v>
                </c:pt>
                <c:pt idx="67">
                  <c:v>0.88729126732850183</c:v>
                </c:pt>
                <c:pt idx="68">
                  <c:v>0.89279046732850165</c:v>
                </c:pt>
                <c:pt idx="69">
                  <c:v>0.89834193399516837</c:v>
                </c:pt>
                <c:pt idx="70">
                  <c:v>0.90394566732850168</c:v>
                </c:pt>
                <c:pt idx="71">
                  <c:v>0.90960166732850167</c:v>
                </c:pt>
                <c:pt idx="72">
                  <c:v>0.91530993399516836</c:v>
                </c:pt>
                <c:pt idx="73">
                  <c:v>0.92107046732850173</c:v>
                </c:pt>
                <c:pt idx="74">
                  <c:v>0.92688326732850179</c:v>
                </c:pt>
                <c:pt idx="75">
                  <c:v>0.93274833399516832</c:v>
                </c:pt>
                <c:pt idx="76">
                  <c:v>0.93866566732850176</c:v>
                </c:pt>
                <c:pt idx="77">
                  <c:v>0.94463526732850167</c:v>
                </c:pt>
                <c:pt idx="78">
                  <c:v>0.95065713399516838</c:v>
                </c:pt>
                <c:pt idx="79">
                  <c:v>0.95673126732850167</c:v>
                </c:pt>
                <c:pt idx="80">
                  <c:v>0.96285766732850175</c:v>
                </c:pt>
                <c:pt idx="81">
                  <c:v>0.96903633399516842</c:v>
                </c:pt>
                <c:pt idx="82">
                  <c:v>0.97526726732850166</c:v>
                </c:pt>
                <c:pt idx="83">
                  <c:v>0.98155046732850182</c:v>
                </c:pt>
                <c:pt idx="84">
                  <c:v>0.98788593399516844</c:v>
                </c:pt>
                <c:pt idx="85">
                  <c:v>0.99427366732850175</c:v>
                </c:pt>
                <c:pt idx="86">
                  <c:v>1.0007136673285018</c:v>
                </c:pt>
                <c:pt idx="87">
                  <c:v>1.0072059339951684</c:v>
                </c:pt>
                <c:pt idx="88">
                  <c:v>1.0137504673285016</c:v>
                </c:pt>
                <c:pt idx="89">
                  <c:v>1.0203472673285017</c:v>
                </c:pt>
                <c:pt idx="90">
                  <c:v>1.0269963339951684</c:v>
                </c:pt>
                <c:pt idx="91">
                  <c:v>1.0336976673285017</c:v>
                </c:pt>
                <c:pt idx="92">
                  <c:v>1.0404512673285016</c:v>
                </c:pt>
                <c:pt idx="93">
                  <c:v>1.0472571339951684</c:v>
                </c:pt>
                <c:pt idx="94">
                  <c:v>1.0541152673285017</c:v>
                </c:pt>
                <c:pt idx="95">
                  <c:v>1.0610256673285017</c:v>
                </c:pt>
                <c:pt idx="96">
                  <c:v>1.0679883339951683</c:v>
                </c:pt>
                <c:pt idx="97">
                  <c:v>1.0750032673285017</c:v>
                </c:pt>
                <c:pt idx="98">
                  <c:v>1.0820704673285015</c:v>
                </c:pt>
                <c:pt idx="99">
                  <c:v>1.0891899339951683</c:v>
                </c:pt>
                <c:pt idx="100">
                  <c:v>1.0963616673285017</c:v>
                </c:pt>
                <c:pt idx="101">
                  <c:v>1.1035856673285016</c:v>
                </c:pt>
                <c:pt idx="102">
                  <c:v>1.1108619339951684</c:v>
                </c:pt>
                <c:pt idx="103">
                  <c:v>1.1181904673285017</c:v>
                </c:pt>
                <c:pt idx="104">
                  <c:v>1.1255712673285017</c:v>
                </c:pt>
                <c:pt idx="105">
                  <c:v>1.1330043339951683</c:v>
                </c:pt>
                <c:pt idx="106">
                  <c:v>1.1404896673285019</c:v>
                </c:pt>
                <c:pt idx="107">
                  <c:v>1.1480272673285017</c:v>
                </c:pt>
                <c:pt idx="108">
                  <c:v>1.1556171339951684</c:v>
                </c:pt>
                <c:pt idx="109">
                  <c:v>1.1632592673285016</c:v>
                </c:pt>
                <c:pt idx="110">
                  <c:v>1.1709536673285019</c:v>
                </c:pt>
                <c:pt idx="111">
                  <c:v>1.1787003339951685</c:v>
                </c:pt>
                <c:pt idx="112">
                  <c:v>1.1864992673285015</c:v>
                </c:pt>
                <c:pt idx="113">
                  <c:v>1.1943504673285019</c:v>
                </c:pt>
                <c:pt idx="114">
                  <c:v>1.2022539339951683</c:v>
                </c:pt>
                <c:pt idx="115">
                  <c:v>1.2102096673285019</c:v>
                </c:pt>
                <c:pt idx="116">
                  <c:v>1.2182176673285019</c:v>
                </c:pt>
                <c:pt idx="117">
                  <c:v>1.2262779339951684</c:v>
                </c:pt>
                <c:pt idx="118">
                  <c:v>1.2343904673285018</c:v>
                </c:pt>
                <c:pt idx="119">
                  <c:v>1.2425552673285019</c:v>
                </c:pt>
                <c:pt idx="120">
                  <c:v>1.2507723339951684</c:v>
                </c:pt>
                <c:pt idx="121">
                  <c:v>1.2590416673285016</c:v>
                </c:pt>
                <c:pt idx="122">
                  <c:v>1.2673632673285018</c:v>
                </c:pt>
                <c:pt idx="123">
                  <c:v>1.2757371339951682</c:v>
                </c:pt>
                <c:pt idx="124">
                  <c:v>1.2841632673285017</c:v>
                </c:pt>
                <c:pt idx="125">
                  <c:v>1.2926416673285019</c:v>
                </c:pt>
                <c:pt idx="126">
                  <c:v>1.3011723339951682</c:v>
                </c:pt>
                <c:pt idx="127">
                  <c:v>1.3097552673285018</c:v>
                </c:pt>
                <c:pt idx="128">
                  <c:v>1.3183904673285016</c:v>
                </c:pt>
                <c:pt idx="129">
                  <c:v>1.3270779339951686</c:v>
                </c:pt>
                <c:pt idx="130">
                  <c:v>1.3358176673285018</c:v>
                </c:pt>
                <c:pt idx="131">
                  <c:v>1.3446096673285015</c:v>
                </c:pt>
                <c:pt idx="132">
                  <c:v>1.3534539339951683</c:v>
                </c:pt>
                <c:pt idx="133">
                  <c:v>1.3623504673285018</c:v>
                </c:pt>
                <c:pt idx="134">
                  <c:v>1.3712992673285016</c:v>
                </c:pt>
                <c:pt idx="135">
                  <c:v>1.3803003339951685</c:v>
                </c:pt>
                <c:pt idx="136">
                  <c:v>1.3893536673285016</c:v>
                </c:pt>
                <c:pt idx="137">
                  <c:v>1.3984592673285019</c:v>
                </c:pt>
                <c:pt idx="138">
                  <c:v>1.4076171339951684</c:v>
                </c:pt>
                <c:pt idx="139">
                  <c:v>1.4168272673285018</c:v>
                </c:pt>
                <c:pt idx="140">
                  <c:v>1.4260896673285015</c:v>
                </c:pt>
                <c:pt idx="141">
                  <c:v>1.4354043339951685</c:v>
                </c:pt>
                <c:pt idx="142">
                  <c:v>1.4447712673285016</c:v>
                </c:pt>
                <c:pt idx="143">
                  <c:v>1.454190467328502</c:v>
                </c:pt>
                <c:pt idx="144">
                  <c:v>1.4636619339951684</c:v>
                </c:pt>
                <c:pt idx="145">
                  <c:v>1.4731856673285018</c:v>
                </c:pt>
                <c:pt idx="146">
                  <c:v>1.4827616673285018</c:v>
                </c:pt>
                <c:pt idx="147">
                  <c:v>1.4923899339951685</c:v>
                </c:pt>
                <c:pt idx="148">
                  <c:v>1.5020704673285015</c:v>
                </c:pt>
                <c:pt idx="149">
                  <c:v>1.5118032673285018</c:v>
                </c:pt>
                <c:pt idx="150">
                  <c:v>1.5215883339951684</c:v>
                </c:pt>
              </c:numCache>
            </c:numRef>
          </c:yVal>
          <c:smooth val="1"/>
          <c:extLst>
            <c:ext xmlns:c16="http://schemas.microsoft.com/office/drawing/2014/chart" uri="{C3380CC4-5D6E-409C-BE32-E72D297353CC}">
              <c16:uniqueId val="{00000002-8268-4C3F-B748-2F54233BBCCC}"/>
            </c:ext>
          </c:extLst>
        </c:ser>
        <c:ser>
          <c:idx val="3"/>
          <c:order val="3"/>
          <c:tx>
            <c:v>RCS</c:v>
          </c:tx>
          <c:marker>
            <c:symbol val="none"/>
          </c:marker>
          <c:xVal>
            <c:numRef>
              <c:f>[1]Eff_vs_IOUT!$S$7:$S$157</c:f>
              <c:numCache>
                <c:formatCode>General</c:formatCode>
                <c:ptCount val="151"/>
                <c:pt idx="0">
                  <c:v>0</c:v>
                </c:pt>
                <c:pt idx="1">
                  <c:v>9.3333333333333338E-2</c:v>
                </c:pt>
                <c:pt idx="2">
                  <c:v>0.18666666666666668</c:v>
                </c:pt>
                <c:pt idx="3">
                  <c:v>0.28000000000000003</c:v>
                </c:pt>
                <c:pt idx="4">
                  <c:v>0.37333333333333335</c:v>
                </c:pt>
                <c:pt idx="5">
                  <c:v>0.46666666666666667</c:v>
                </c:pt>
                <c:pt idx="6">
                  <c:v>0.56000000000000005</c:v>
                </c:pt>
                <c:pt idx="7">
                  <c:v>0.65333333333333332</c:v>
                </c:pt>
                <c:pt idx="8">
                  <c:v>0.7466666666666667</c:v>
                </c:pt>
                <c:pt idx="9">
                  <c:v>0.84000000000000008</c:v>
                </c:pt>
                <c:pt idx="10">
                  <c:v>0.93333333333333335</c:v>
                </c:pt>
                <c:pt idx="11">
                  <c:v>1.0266666666666666</c:v>
                </c:pt>
                <c:pt idx="12">
                  <c:v>1.1200000000000001</c:v>
                </c:pt>
                <c:pt idx="13">
                  <c:v>1.2133333333333334</c:v>
                </c:pt>
                <c:pt idx="14">
                  <c:v>1.3066666666666666</c:v>
                </c:pt>
                <c:pt idx="15">
                  <c:v>1.4000000000000001</c:v>
                </c:pt>
                <c:pt idx="16">
                  <c:v>1.4933333333333334</c:v>
                </c:pt>
                <c:pt idx="17">
                  <c:v>1.5866666666666667</c:v>
                </c:pt>
                <c:pt idx="18">
                  <c:v>1.6800000000000002</c:v>
                </c:pt>
                <c:pt idx="19">
                  <c:v>1.7733333333333334</c:v>
                </c:pt>
                <c:pt idx="20">
                  <c:v>1.8666666666666667</c:v>
                </c:pt>
                <c:pt idx="21">
                  <c:v>1.9600000000000002</c:v>
                </c:pt>
                <c:pt idx="22">
                  <c:v>2.0533333333333332</c:v>
                </c:pt>
                <c:pt idx="23">
                  <c:v>2.1466666666666669</c:v>
                </c:pt>
                <c:pt idx="24">
                  <c:v>2.2400000000000002</c:v>
                </c:pt>
                <c:pt idx="25">
                  <c:v>2.3333333333333335</c:v>
                </c:pt>
                <c:pt idx="26">
                  <c:v>2.4266666666666667</c:v>
                </c:pt>
                <c:pt idx="27">
                  <c:v>2.52</c:v>
                </c:pt>
                <c:pt idx="28">
                  <c:v>2.6133333333333333</c:v>
                </c:pt>
                <c:pt idx="29">
                  <c:v>2.706666666666667</c:v>
                </c:pt>
                <c:pt idx="30">
                  <c:v>2.8000000000000003</c:v>
                </c:pt>
                <c:pt idx="31">
                  <c:v>2.8933333333333335</c:v>
                </c:pt>
                <c:pt idx="32">
                  <c:v>2.9866666666666668</c:v>
                </c:pt>
                <c:pt idx="33">
                  <c:v>3.08</c:v>
                </c:pt>
                <c:pt idx="34">
                  <c:v>3.1733333333333333</c:v>
                </c:pt>
                <c:pt idx="35">
                  <c:v>3.2666666666666666</c:v>
                </c:pt>
                <c:pt idx="36">
                  <c:v>3.3600000000000003</c:v>
                </c:pt>
                <c:pt idx="37">
                  <c:v>3.4533333333333336</c:v>
                </c:pt>
                <c:pt idx="38">
                  <c:v>3.5466666666666669</c:v>
                </c:pt>
                <c:pt idx="39">
                  <c:v>3.64</c:v>
                </c:pt>
                <c:pt idx="40">
                  <c:v>3.7333333333333334</c:v>
                </c:pt>
                <c:pt idx="41">
                  <c:v>3.8266666666666667</c:v>
                </c:pt>
                <c:pt idx="42">
                  <c:v>3.9200000000000004</c:v>
                </c:pt>
                <c:pt idx="43">
                  <c:v>4.0133333333333336</c:v>
                </c:pt>
                <c:pt idx="44">
                  <c:v>4.1066666666666665</c:v>
                </c:pt>
                <c:pt idx="45">
                  <c:v>4.2</c:v>
                </c:pt>
                <c:pt idx="46">
                  <c:v>4.2933333333333339</c:v>
                </c:pt>
                <c:pt idx="47">
                  <c:v>4.3866666666666667</c:v>
                </c:pt>
                <c:pt idx="48">
                  <c:v>4.4800000000000004</c:v>
                </c:pt>
                <c:pt idx="49">
                  <c:v>4.5733333333333333</c:v>
                </c:pt>
                <c:pt idx="50">
                  <c:v>4.666666666666667</c:v>
                </c:pt>
                <c:pt idx="51">
                  <c:v>4.76</c:v>
                </c:pt>
                <c:pt idx="52">
                  <c:v>4.8533333333333335</c:v>
                </c:pt>
                <c:pt idx="53">
                  <c:v>4.9466666666666672</c:v>
                </c:pt>
                <c:pt idx="54">
                  <c:v>5.04</c:v>
                </c:pt>
                <c:pt idx="55">
                  <c:v>5.1333333333333337</c:v>
                </c:pt>
                <c:pt idx="56">
                  <c:v>5.2266666666666666</c:v>
                </c:pt>
                <c:pt idx="57">
                  <c:v>5.32</c:v>
                </c:pt>
                <c:pt idx="58">
                  <c:v>5.413333333333334</c:v>
                </c:pt>
                <c:pt idx="59">
                  <c:v>5.5066666666666668</c:v>
                </c:pt>
                <c:pt idx="60">
                  <c:v>5.6000000000000005</c:v>
                </c:pt>
                <c:pt idx="61">
                  <c:v>5.6933333333333334</c:v>
                </c:pt>
                <c:pt idx="62">
                  <c:v>5.7866666666666671</c:v>
                </c:pt>
                <c:pt idx="63">
                  <c:v>5.88</c:v>
                </c:pt>
                <c:pt idx="64">
                  <c:v>5.9733333333333336</c:v>
                </c:pt>
                <c:pt idx="65">
                  <c:v>6.0666666666666673</c:v>
                </c:pt>
                <c:pt idx="66">
                  <c:v>6.16</c:v>
                </c:pt>
                <c:pt idx="67">
                  <c:v>6.2533333333333339</c:v>
                </c:pt>
                <c:pt idx="68">
                  <c:v>6.3466666666666667</c:v>
                </c:pt>
                <c:pt idx="69">
                  <c:v>6.44</c:v>
                </c:pt>
                <c:pt idx="70">
                  <c:v>6.5333333333333332</c:v>
                </c:pt>
                <c:pt idx="71">
                  <c:v>6.6266666666666669</c:v>
                </c:pt>
                <c:pt idx="72">
                  <c:v>6.7200000000000006</c:v>
                </c:pt>
                <c:pt idx="73">
                  <c:v>6.8133333333333335</c:v>
                </c:pt>
                <c:pt idx="74">
                  <c:v>6.9066666666666672</c:v>
                </c:pt>
                <c:pt idx="75">
                  <c:v>7</c:v>
                </c:pt>
                <c:pt idx="76">
                  <c:v>7.0933333333333337</c:v>
                </c:pt>
                <c:pt idx="77">
                  <c:v>7.1866666666666674</c:v>
                </c:pt>
                <c:pt idx="78">
                  <c:v>7.28</c:v>
                </c:pt>
                <c:pt idx="79">
                  <c:v>7.373333333333334</c:v>
                </c:pt>
                <c:pt idx="80">
                  <c:v>7.4666666666666668</c:v>
                </c:pt>
                <c:pt idx="81">
                  <c:v>7.5600000000000005</c:v>
                </c:pt>
                <c:pt idx="82">
                  <c:v>7.6533333333333333</c:v>
                </c:pt>
                <c:pt idx="83">
                  <c:v>7.746666666666667</c:v>
                </c:pt>
                <c:pt idx="84">
                  <c:v>7.8400000000000007</c:v>
                </c:pt>
                <c:pt idx="85">
                  <c:v>7.9333333333333336</c:v>
                </c:pt>
                <c:pt idx="86">
                  <c:v>8.0266666666666673</c:v>
                </c:pt>
                <c:pt idx="87">
                  <c:v>8.120000000000001</c:v>
                </c:pt>
                <c:pt idx="88">
                  <c:v>8.2133333333333329</c:v>
                </c:pt>
                <c:pt idx="89">
                  <c:v>8.3066666666666666</c:v>
                </c:pt>
                <c:pt idx="90">
                  <c:v>8.4</c:v>
                </c:pt>
                <c:pt idx="91">
                  <c:v>8.4933333333333341</c:v>
                </c:pt>
                <c:pt idx="92">
                  <c:v>8.5866666666666678</c:v>
                </c:pt>
                <c:pt idx="93">
                  <c:v>8.68</c:v>
                </c:pt>
                <c:pt idx="94">
                  <c:v>8.7733333333333334</c:v>
                </c:pt>
                <c:pt idx="95">
                  <c:v>8.8666666666666671</c:v>
                </c:pt>
                <c:pt idx="96">
                  <c:v>8.9600000000000009</c:v>
                </c:pt>
                <c:pt idx="97">
                  <c:v>9.0533333333333346</c:v>
                </c:pt>
                <c:pt idx="98">
                  <c:v>9.1466666666666665</c:v>
                </c:pt>
                <c:pt idx="99">
                  <c:v>9.24</c:v>
                </c:pt>
                <c:pt idx="100">
                  <c:v>9.3333333333333339</c:v>
                </c:pt>
                <c:pt idx="101">
                  <c:v>9.4266666666666676</c:v>
                </c:pt>
                <c:pt idx="102">
                  <c:v>9.52</c:v>
                </c:pt>
                <c:pt idx="103">
                  <c:v>9.6133333333333333</c:v>
                </c:pt>
                <c:pt idx="104">
                  <c:v>9.706666666666667</c:v>
                </c:pt>
                <c:pt idx="105">
                  <c:v>9.8000000000000007</c:v>
                </c:pt>
                <c:pt idx="106">
                  <c:v>9.8933333333333344</c:v>
                </c:pt>
                <c:pt idx="107">
                  <c:v>9.9866666666666664</c:v>
                </c:pt>
                <c:pt idx="108">
                  <c:v>10.08</c:v>
                </c:pt>
                <c:pt idx="109">
                  <c:v>10.173333333333334</c:v>
                </c:pt>
                <c:pt idx="110">
                  <c:v>10.266666666666667</c:v>
                </c:pt>
                <c:pt idx="111">
                  <c:v>10.360000000000001</c:v>
                </c:pt>
                <c:pt idx="112">
                  <c:v>10.453333333333333</c:v>
                </c:pt>
                <c:pt idx="113">
                  <c:v>10.546666666666667</c:v>
                </c:pt>
                <c:pt idx="114">
                  <c:v>10.64</c:v>
                </c:pt>
                <c:pt idx="115">
                  <c:v>10.733333333333334</c:v>
                </c:pt>
                <c:pt idx="116">
                  <c:v>10.826666666666668</c:v>
                </c:pt>
                <c:pt idx="117">
                  <c:v>10.92</c:v>
                </c:pt>
                <c:pt idx="118">
                  <c:v>11.013333333333334</c:v>
                </c:pt>
                <c:pt idx="119">
                  <c:v>11.106666666666667</c:v>
                </c:pt>
                <c:pt idx="120">
                  <c:v>11.200000000000001</c:v>
                </c:pt>
                <c:pt idx="121">
                  <c:v>11.293333333333333</c:v>
                </c:pt>
                <c:pt idx="122">
                  <c:v>11.386666666666667</c:v>
                </c:pt>
                <c:pt idx="123">
                  <c:v>11.48</c:v>
                </c:pt>
                <c:pt idx="124">
                  <c:v>11.573333333333334</c:v>
                </c:pt>
                <c:pt idx="125">
                  <c:v>11.666666666666668</c:v>
                </c:pt>
                <c:pt idx="126">
                  <c:v>11.76</c:v>
                </c:pt>
                <c:pt idx="127">
                  <c:v>11.853333333333333</c:v>
                </c:pt>
                <c:pt idx="128">
                  <c:v>11.946666666666667</c:v>
                </c:pt>
                <c:pt idx="129">
                  <c:v>12.040000000000001</c:v>
                </c:pt>
                <c:pt idx="130">
                  <c:v>12.133333333333335</c:v>
                </c:pt>
                <c:pt idx="131">
                  <c:v>12.226666666666667</c:v>
                </c:pt>
                <c:pt idx="132">
                  <c:v>12.32</c:v>
                </c:pt>
                <c:pt idx="133">
                  <c:v>12.413333333333334</c:v>
                </c:pt>
                <c:pt idx="134">
                  <c:v>12.506666666666668</c:v>
                </c:pt>
                <c:pt idx="135">
                  <c:v>12.600000000000001</c:v>
                </c:pt>
                <c:pt idx="136">
                  <c:v>12.693333333333333</c:v>
                </c:pt>
                <c:pt idx="137">
                  <c:v>12.786666666666667</c:v>
                </c:pt>
                <c:pt idx="138">
                  <c:v>12.88</c:v>
                </c:pt>
                <c:pt idx="139">
                  <c:v>12.973333333333334</c:v>
                </c:pt>
                <c:pt idx="140">
                  <c:v>13.066666666666666</c:v>
                </c:pt>
                <c:pt idx="141">
                  <c:v>13.16</c:v>
                </c:pt>
                <c:pt idx="142">
                  <c:v>13.253333333333334</c:v>
                </c:pt>
                <c:pt idx="143">
                  <c:v>13.346666666666668</c:v>
                </c:pt>
                <c:pt idx="144">
                  <c:v>13.440000000000001</c:v>
                </c:pt>
                <c:pt idx="145">
                  <c:v>13.533333333333333</c:v>
                </c:pt>
                <c:pt idx="146">
                  <c:v>13.626666666666667</c:v>
                </c:pt>
                <c:pt idx="147">
                  <c:v>13.72</c:v>
                </c:pt>
                <c:pt idx="148">
                  <c:v>13.813333333333334</c:v>
                </c:pt>
                <c:pt idx="149">
                  <c:v>13.906666666666668</c:v>
                </c:pt>
                <c:pt idx="150">
                  <c:v>14</c:v>
                </c:pt>
              </c:numCache>
            </c:numRef>
          </c:xVal>
          <c:yVal>
            <c:numRef>
              <c:f>[1]Eff_vs_IOUT!$AP$7:$AP$157</c:f>
              <c:numCache>
                <c:formatCode>General</c:formatCode>
                <c:ptCount val="151"/>
                <c:pt idx="0">
                  <c:v>2.5461412761301648E-3</c:v>
                </c:pt>
                <c:pt idx="1">
                  <c:v>2.663741276130165E-3</c:v>
                </c:pt>
                <c:pt idx="2">
                  <c:v>3.0165412761301649E-3</c:v>
                </c:pt>
                <c:pt idx="3">
                  <c:v>3.6045412761301645E-3</c:v>
                </c:pt>
                <c:pt idx="4">
                  <c:v>4.4277412761301654E-3</c:v>
                </c:pt>
                <c:pt idx="5">
                  <c:v>5.4861412761301655E-3</c:v>
                </c:pt>
                <c:pt idx="6">
                  <c:v>6.7797412761301645E-3</c:v>
                </c:pt>
                <c:pt idx="7">
                  <c:v>8.308541276130163E-3</c:v>
                </c:pt>
                <c:pt idx="8">
                  <c:v>1.0072541276130166E-2</c:v>
                </c:pt>
                <c:pt idx="9">
                  <c:v>1.2071741276130166E-2</c:v>
                </c:pt>
                <c:pt idx="10">
                  <c:v>1.4306141276130167E-2</c:v>
                </c:pt>
                <c:pt idx="11">
                  <c:v>1.6775741276130161E-2</c:v>
                </c:pt>
                <c:pt idx="12">
                  <c:v>1.9480541276130164E-2</c:v>
                </c:pt>
                <c:pt idx="13">
                  <c:v>2.242054127613017E-2</c:v>
                </c:pt>
                <c:pt idx="14">
                  <c:v>2.5595741276130162E-2</c:v>
                </c:pt>
                <c:pt idx="15">
                  <c:v>2.9006141276130167E-2</c:v>
                </c:pt>
                <c:pt idx="16">
                  <c:v>3.2651741276130172E-2</c:v>
                </c:pt>
                <c:pt idx="17">
                  <c:v>3.6532541276130169E-2</c:v>
                </c:pt>
                <c:pt idx="18">
                  <c:v>4.0648541276130171E-2</c:v>
                </c:pt>
                <c:pt idx="19">
                  <c:v>4.4999741276130177E-2</c:v>
                </c:pt>
                <c:pt idx="20">
                  <c:v>4.9586141276130175E-2</c:v>
                </c:pt>
                <c:pt idx="21">
                  <c:v>5.4407741276130184E-2</c:v>
                </c:pt>
                <c:pt idx="22">
                  <c:v>5.9464541276130156E-2</c:v>
                </c:pt>
                <c:pt idx="23">
                  <c:v>6.4756541276130161E-2</c:v>
                </c:pt>
                <c:pt idx="24">
                  <c:v>7.0283741276130171E-2</c:v>
                </c:pt>
                <c:pt idx="25">
                  <c:v>7.6046141276130172E-2</c:v>
                </c:pt>
                <c:pt idx="26">
                  <c:v>8.2043741276130178E-2</c:v>
                </c:pt>
                <c:pt idx="27">
                  <c:v>8.827654127613016E-2</c:v>
                </c:pt>
                <c:pt idx="28">
                  <c:v>9.4744541276130148E-2</c:v>
                </c:pt>
                <c:pt idx="29">
                  <c:v>0.10144774127613021</c:v>
                </c:pt>
                <c:pt idx="30">
                  <c:v>0.10838614127613017</c:v>
                </c:pt>
                <c:pt idx="31">
                  <c:v>0.11555974127613018</c:v>
                </c:pt>
                <c:pt idx="32">
                  <c:v>0.12296854127613016</c:v>
                </c:pt>
                <c:pt idx="33">
                  <c:v>0.13061254127613015</c:v>
                </c:pt>
                <c:pt idx="34">
                  <c:v>0.13849174127613015</c:v>
                </c:pt>
                <c:pt idx="35">
                  <c:v>0.14660614127613011</c:v>
                </c:pt>
                <c:pt idx="36">
                  <c:v>0.15495574127613018</c:v>
                </c:pt>
                <c:pt idx="37">
                  <c:v>0.16354054127613019</c:v>
                </c:pt>
                <c:pt idx="38">
                  <c:v>0.17236054127613018</c:v>
                </c:pt>
                <c:pt idx="39">
                  <c:v>0.18141574127613017</c:v>
                </c:pt>
                <c:pt idx="40">
                  <c:v>0.1907061412761302</c:v>
                </c:pt>
                <c:pt idx="41">
                  <c:v>0.20023174127613019</c:v>
                </c:pt>
                <c:pt idx="42">
                  <c:v>0.20999254127613026</c:v>
                </c:pt>
                <c:pt idx="43">
                  <c:v>0.21998854127613024</c:v>
                </c:pt>
                <c:pt idx="44">
                  <c:v>0.2302197412761301</c:v>
                </c:pt>
                <c:pt idx="45">
                  <c:v>0.24068614127613017</c:v>
                </c:pt>
                <c:pt idx="46">
                  <c:v>0.25138774127613023</c:v>
                </c:pt>
                <c:pt idx="47">
                  <c:v>0.26232454127613014</c:v>
                </c:pt>
                <c:pt idx="48">
                  <c:v>0.27349654127613016</c:v>
                </c:pt>
                <c:pt idx="49">
                  <c:v>0.28490374127613011</c:v>
                </c:pt>
                <c:pt idx="50">
                  <c:v>0.29654614127613022</c:v>
                </c:pt>
                <c:pt idx="51">
                  <c:v>0.3084237412761302</c:v>
                </c:pt>
                <c:pt idx="52">
                  <c:v>0.32053654127613024</c:v>
                </c:pt>
                <c:pt idx="53">
                  <c:v>0.33288454127613021</c:v>
                </c:pt>
                <c:pt idx="54">
                  <c:v>0.34546774127613017</c:v>
                </c:pt>
                <c:pt idx="55">
                  <c:v>0.35828614127613029</c:v>
                </c:pt>
                <c:pt idx="56">
                  <c:v>0.37133974127613001</c:v>
                </c:pt>
                <c:pt idx="57">
                  <c:v>0.38462854127613016</c:v>
                </c:pt>
                <c:pt idx="58">
                  <c:v>0.3981525412761302</c:v>
                </c:pt>
                <c:pt idx="59">
                  <c:v>0.41191174127613006</c:v>
                </c:pt>
                <c:pt idx="60">
                  <c:v>0.42590614127613013</c:v>
                </c:pt>
                <c:pt idx="61">
                  <c:v>0.44013574127613031</c:v>
                </c:pt>
                <c:pt idx="62">
                  <c:v>0.45460054127613025</c:v>
                </c:pt>
                <c:pt idx="63">
                  <c:v>0.46930054127613019</c:v>
                </c:pt>
                <c:pt idx="64">
                  <c:v>0.48423574127613017</c:v>
                </c:pt>
                <c:pt idx="65">
                  <c:v>0.49940614127613037</c:v>
                </c:pt>
                <c:pt idx="66">
                  <c:v>0.51481174127613027</c:v>
                </c:pt>
                <c:pt idx="67">
                  <c:v>0.53045254127613017</c:v>
                </c:pt>
                <c:pt idx="68">
                  <c:v>0.54632854127613006</c:v>
                </c:pt>
                <c:pt idx="69">
                  <c:v>0.56243974127613017</c:v>
                </c:pt>
                <c:pt idx="70">
                  <c:v>0.57878614127612993</c:v>
                </c:pt>
                <c:pt idx="71">
                  <c:v>0.59536774127613012</c:v>
                </c:pt>
                <c:pt idx="72">
                  <c:v>0.6121845412761302</c:v>
                </c:pt>
                <c:pt idx="73">
                  <c:v>0.62923654127613027</c:v>
                </c:pt>
                <c:pt idx="74">
                  <c:v>0.64652374127613033</c:v>
                </c:pt>
                <c:pt idx="75">
                  <c:v>0.66404614127613015</c:v>
                </c:pt>
                <c:pt idx="76">
                  <c:v>0.68180374127613019</c:v>
                </c:pt>
                <c:pt idx="77">
                  <c:v>0.69979654127613033</c:v>
                </c:pt>
                <c:pt idx="78">
                  <c:v>0.71802454127613013</c:v>
                </c:pt>
                <c:pt idx="79">
                  <c:v>0.73648774127613015</c:v>
                </c:pt>
                <c:pt idx="80">
                  <c:v>0.75518614127613026</c:v>
                </c:pt>
                <c:pt idx="81">
                  <c:v>0.77411974127613048</c:v>
                </c:pt>
                <c:pt idx="82">
                  <c:v>0.79328854127613024</c:v>
                </c:pt>
                <c:pt idx="83">
                  <c:v>0.81269254127613033</c:v>
                </c:pt>
                <c:pt idx="84">
                  <c:v>0.83233174127613052</c:v>
                </c:pt>
                <c:pt idx="85">
                  <c:v>0.85220614127613015</c:v>
                </c:pt>
                <c:pt idx="86">
                  <c:v>0.87231574127613043</c:v>
                </c:pt>
                <c:pt idx="87">
                  <c:v>0.89266054127613048</c:v>
                </c:pt>
                <c:pt idx="88">
                  <c:v>0.91324054127612997</c:v>
                </c:pt>
                <c:pt idx="89">
                  <c:v>0.93405574127613</c:v>
                </c:pt>
                <c:pt idx="90">
                  <c:v>0.95510614127613036</c:v>
                </c:pt>
                <c:pt idx="91">
                  <c:v>0.97639174127613004</c:v>
                </c:pt>
                <c:pt idx="92">
                  <c:v>0.99791254127613027</c:v>
                </c:pt>
                <c:pt idx="93">
                  <c:v>1.0196685412761304</c:v>
                </c:pt>
                <c:pt idx="94">
                  <c:v>1.0416597412761301</c:v>
                </c:pt>
                <c:pt idx="95">
                  <c:v>1.06388614127613</c:v>
                </c:pt>
                <c:pt idx="96">
                  <c:v>1.0863477412761304</c:v>
                </c:pt>
                <c:pt idx="97">
                  <c:v>1.1090445412761303</c:v>
                </c:pt>
                <c:pt idx="98">
                  <c:v>1.13197654127613</c:v>
                </c:pt>
                <c:pt idx="99">
                  <c:v>1.1551437412761303</c:v>
                </c:pt>
                <c:pt idx="100">
                  <c:v>1.1785461412761302</c:v>
                </c:pt>
                <c:pt idx="101">
                  <c:v>1.2021837412761303</c:v>
                </c:pt>
                <c:pt idx="102">
                  <c:v>1.22605654127613</c:v>
                </c:pt>
                <c:pt idx="103">
                  <c:v>1.2501645412761302</c:v>
                </c:pt>
                <c:pt idx="104">
                  <c:v>1.2745077412761305</c:v>
                </c:pt>
                <c:pt idx="105">
                  <c:v>1.2990861412761303</c:v>
                </c:pt>
                <c:pt idx="106">
                  <c:v>1.3238997412761304</c:v>
                </c:pt>
                <c:pt idx="107">
                  <c:v>1.3489485412761304</c:v>
                </c:pt>
                <c:pt idx="108">
                  <c:v>1.3742325412761303</c:v>
                </c:pt>
                <c:pt idx="109">
                  <c:v>1.3997517412761304</c:v>
                </c:pt>
                <c:pt idx="110">
                  <c:v>1.4255061412761303</c:v>
                </c:pt>
                <c:pt idx="111">
                  <c:v>1.4514957412761309</c:v>
                </c:pt>
                <c:pt idx="112">
                  <c:v>1.4777205412761296</c:v>
                </c:pt>
                <c:pt idx="113">
                  <c:v>1.5041805412761304</c:v>
                </c:pt>
                <c:pt idx="114">
                  <c:v>1.5308757412761302</c:v>
                </c:pt>
                <c:pt idx="115">
                  <c:v>1.5578061412761306</c:v>
                </c:pt>
                <c:pt idx="116">
                  <c:v>1.5849717412761304</c:v>
                </c:pt>
                <c:pt idx="117">
                  <c:v>1.6123725412761301</c:v>
                </c:pt>
                <c:pt idx="118">
                  <c:v>1.6400085412761298</c:v>
                </c:pt>
                <c:pt idx="119">
                  <c:v>1.6678797412761301</c:v>
                </c:pt>
                <c:pt idx="120">
                  <c:v>1.6959861412761297</c:v>
                </c:pt>
                <c:pt idx="121">
                  <c:v>1.7243277412761302</c:v>
                </c:pt>
                <c:pt idx="122">
                  <c:v>1.7529045412761304</c:v>
                </c:pt>
                <c:pt idx="123">
                  <c:v>1.7817165412761307</c:v>
                </c:pt>
                <c:pt idx="124">
                  <c:v>1.8107637412761304</c:v>
                </c:pt>
                <c:pt idx="125">
                  <c:v>1.8400461412761306</c:v>
                </c:pt>
                <c:pt idx="126">
                  <c:v>1.8695637412761303</c:v>
                </c:pt>
                <c:pt idx="127">
                  <c:v>1.8993165412761301</c:v>
                </c:pt>
                <c:pt idx="128">
                  <c:v>1.92930454127613</c:v>
                </c:pt>
                <c:pt idx="129">
                  <c:v>1.9595277412761303</c:v>
                </c:pt>
                <c:pt idx="130">
                  <c:v>1.9899861412761308</c:v>
                </c:pt>
                <c:pt idx="131">
                  <c:v>2.0206797412761301</c:v>
                </c:pt>
                <c:pt idx="132">
                  <c:v>2.0516085412761305</c:v>
                </c:pt>
                <c:pt idx="133">
                  <c:v>2.08277254127613</c:v>
                </c:pt>
                <c:pt idx="134">
                  <c:v>2.1141717412761301</c:v>
                </c:pt>
                <c:pt idx="135">
                  <c:v>2.1458061412761307</c:v>
                </c:pt>
                <c:pt idx="136">
                  <c:v>2.1776757412761296</c:v>
                </c:pt>
                <c:pt idx="137">
                  <c:v>2.20978054127613</c:v>
                </c:pt>
                <c:pt idx="138">
                  <c:v>2.2421205412761296</c:v>
                </c:pt>
                <c:pt idx="139">
                  <c:v>2.2746957412761306</c:v>
                </c:pt>
                <c:pt idx="140">
                  <c:v>2.3075061412761295</c:v>
                </c:pt>
                <c:pt idx="141">
                  <c:v>2.3405517412761307</c:v>
                </c:pt>
                <c:pt idx="142">
                  <c:v>2.3738325412761303</c:v>
                </c:pt>
                <c:pt idx="143">
                  <c:v>2.4073485412761304</c:v>
                </c:pt>
                <c:pt idx="144">
                  <c:v>2.4410997412761302</c:v>
                </c:pt>
                <c:pt idx="145">
                  <c:v>2.4750861412761305</c:v>
                </c:pt>
                <c:pt idx="146">
                  <c:v>2.50930774127613</c:v>
                </c:pt>
                <c:pt idx="147">
                  <c:v>2.5437645412761301</c:v>
                </c:pt>
                <c:pt idx="148">
                  <c:v>2.5784565412761302</c:v>
                </c:pt>
                <c:pt idx="149">
                  <c:v>2.6133837412761314</c:v>
                </c:pt>
                <c:pt idx="150">
                  <c:v>2.6485461412761295</c:v>
                </c:pt>
              </c:numCache>
            </c:numRef>
          </c:yVal>
          <c:smooth val="1"/>
          <c:extLst>
            <c:ext xmlns:c16="http://schemas.microsoft.com/office/drawing/2014/chart" uri="{C3380CC4-5D6E-409C-BE32-E72D297353CC}">
              <c16:uniqueId val="{00000003-8268-4C3F-B748-2F54233BBCCC}"/>
            </c:ext>
          </c:extLst>
        </c:ser>
        <c:dLbls>
          <c:showLegendKey val="0"/>
          <c:showVal val="0"/>
          <c:showCatName val="0"/>
          <c:showSerName val="0"/>
          <c:showPercent val="0"/>
          <c:showBubbleSize val="0"/>
        </c:dLbls>
        <c:axId val="543660288"/>
        <c:axId val="543658752"/>
      </c:scatterChart>
      <c:valAx>
        <c:axId val="224130176"/>
        <c:scaling>
          <c:orientation val="minMax"/>
          <c:max val="6"/>
        </c:scaling>
        <c:delete val="0"/>
        <c:axPos val="b"/>
        <c:majorGridlines/>
        <c:numFmt formatCode="General" sourceLinked="1"/>
        <c:majorTickMark val="out"/>
        <c:minorTickMark val="none"/>
        <c:tickLblPos val="nextTo"/>
        <c:crossAx val="224131712"/>
        <c:crosses val="autoZero"/>
        <c:crossBetween val="midCat"/>
      </c:valAx>
      <c:valAx>
        <c:axId val="224131712"/>
        <c:scaling>
          <c:orientation val="minMax"/>
          <c:max val="100"/>
          <c:min val="60"/>
        </c:scaling>
        <c:delete val="0"/>
        <c:axPos val="l"/>
        <c:majorGridlines/>
        <c:title>
          <c:overlay val="0"/>
          <c:txPr>
            <a:bodyPr rot="-5400000" vert="horz"/>
            <a:lstStyle/>
            <a:p>
              <a:pPr>
                <a:defRPr/>
              </a:pPr>
              <a:endParaRPr lang="en-US"/>
            </a:p>
          </c:txPr>
        </c:title>
        <c:numFmt formatCode="General" sourceLinked="1"/>
        <c:majorTickMark val="out"/>
        <c:minorTickMark val="none"/>
        <c:tickLblPos val="nextTo"/>
        <c:crossAx val="224130176"/>
        <c:crosses val="autoZero"/>
        <c:crossBetween val="midCat"/>
      </c:valAx>
      <c:valAx>
        <c:axId val="543658752"/>
        <c:scaling>
          <c:orientation val="minMax"/>
        </c:scaling>
        <c:delete val="0"/>
        <c:axPos val="r"/>
        <c:numFmt formatCode="General" sourceLinked="1"/>
        <c:majorTickMark val="out"/>
        <c:minorTickMark val="none"/>
        <c:tickLblPos val="nextTo"/>
        <c:crossAx val="543660288"/>
        <c:crosses val="max"/>
        <c:crossBetween val="midCat"/>
      </c:valAx>
      <c:valAx>
        <c:axId val="543660288"/>
        <c:scaling>
          <c:orientation val="minMax"/>
        </c:scaling>
        <c:delete val="1"/>
        <c:axPos val="b"/>
        <c:numFmt formatCode="General" sourceLinked="1"/>
        <c:majorTickMark val="out"/>
        <c:minorTickMark val="none"/>
        <c:tickLblPos val="nextTo"/>
        <c:crossAx val="543658752"/>
        <c:crosses val="autoZero"/>
        <c:crossBetween val="midCat"/>
      </c:valAx>
    </c:plotArea>
    <c:legend>
      <c:legendPos val="r"/>
      <c:overlay val="1"/>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Eff_vs_IOUT!$S$7:$S$157</c:f>
              <c:numCache>
                <c:formatCode>General</c:formatCode>
                <c:ptCount val="151"/>
                <c:pt idx="0">
                  <c:v>0</c:v>
                </c:pt>
                <c:pt idx="1">
                  <c:v>3.3333333333333333E-2</c:v>
                </c:pt>
                <c:pt idx="2">
                  <c:v>6.6666666666666666E-2</c:v>
                </c:pt>
                <c:pt idx="3">
                  <c:v>0.1</c:v>
                </c:pt>
                <c:pt idx="4">
                  <c:v>0.13333333333333333</c:v>
                </c:pt>
                <c:pt idx="5">
                  <c:v>0.16666666666666666</c:v>
                </c:pt>
                <c:pt idx="6">
                  <c:v>0.2</c:v>
                </c:pt>
                <c:pt idx="7">
                  <c:v>0.23333333333333334</c:v>
                </c:pt>
                <c:pt idx="8">
                  <c:v>0.26666666666666666</c:v>
                </c:pt>
                <c:pt idx="9">
                  <c:v>0.3</c:v>
                </c:pt>
                <c:pt idx="10">
                  <c:v>0.33333333333333331</c:v>
                </c:pt>
                <c:pt idx="11">
                  <c:v>0.36666666666666664</c:v>
                </c:pt>
                <c:pt idx="12">
                  <c:v>0.4</c:v>
                </c:pt>
                <c:pt idx="13">
                  <c:v>0.43333333333333335</c:v>
                </c:pt>
                <c:pt idx="14">
                  <c:v>0.46666666666666667</c:v>
                </c:pt>
                <c:pt idx="15">
                  <c:v>0.5</c:v>
                </c:pt>
                <c:pt idx="16">
                  <c:v>0.53333333333333333</c:v>
                </c:pt>
                <c:pt idx="17">
                  <c:v>0.56666666666666665</c:v>
                </c:pt>
                <c:pt idx="18">
                  <c:v>0.6</c:v>
                </c:pt>
                <c:pt idx="19">
                  <c:v>0.6333333333333333</c:v>
                </c:pt>
                <c:pt idx="20">
                  <c:v>0.66666666666666663</c:v>
                </c:pt>
                <c:pt idx="21">
                  <c:v>0.7</c:v>
                </c:pt>
                <c:pt idx="22">
                  <c:v>0.73333333333333328</c:v>
                </c:pt>
                <c:pt idx="23">
                  <c:v>0.76666666666666661</c:v>
                </c:pt>
                <c:pt idx="24">
                  <c:v>0.8</c:v>
                </c:pt>
                <c:pt idx="25">
                  <c:v>0.83333333333333337</c:v>
                </c:pt>
                <c:pt idx="26">
                  <c:v>0.8666666666666667</c:v>
                </c:pt>
                <c:pt idx="27">
                  <c:v>0.9</c:v>
                </c:pt>
                <c:pt idx="28">
                  <c:v>0.93333333333333335</c:v>
                </c:pt>
                <c:pt idx="29">
                  <c:v>0.96666666666666667</c:v>
                </c:pt>
                <c:pt idx="30">
                  <c:v>1</c:v>
                </c:pt>
                <c:pt idx="31">
                  <c:v>1.0333333333333332</c:v>
                </c:pt>
                <c:pt idx="32">
                  <c:v>1.0666666666666667</c:v>
                </c:pt>
                <c:pt idx="33">
                  <c:v>1.1000000000000001</c:v>
                </c:pt>
                <c:pt idx="34">
                  <c:v>1.1333333333333333</c:v>
                </c:pt>
                <c:pt idx="35">
                  <c:v>1.1666666666666667</c:v>
                </c:pt>
                <c:pt idx="36">
                  <c:v>1.2</c:v>
                </c:pt>
                <c:pt idx="37">
                  <c:v>1.2333333333333334</c:v>
                </c:pt>
                <c:pt idx="38">
                  <c:v>1.2666666666666666</c:v>
                </c:pt>
                <c:pt idx="39">
                  <c:v>1.3</c:v>
                </c:pt>
                <c:pt idx="40">
                  <c:v>1.3333333333333333</c:v>
                </c:pt>
                <c:pt idx="41">
                  <c:v>1.3666666666666667</c:v>
                </c:pt>
                <c:pt idx="42">
                  <c:v>1.4</c:v>
                </c:pt>
                <c:pt idx="43">
                  <c:v>1.4333333333333333</c:v>
                </c:pt>
                <c:pt idx="44">
                  <c:v>1.4666666666666666</c:v>
                </c:pt>
                <c:pt idx="45">
                  <c:v>1.5</c:v>
                </c:pt>
                <c:pt idx="46">
                  <c:v>1.5333333333333332</c:v>
                </c:pt>
                <c:pt idx="47">
                  <c:v>1.5666666666666667</c:v>
                </c:pt>
                <c:pt idx="48">
                  <c:v>1.6</c:v>
                </c:pt>
                <c:pt idx="49">
                  <c:v>1.6333333333333333</c:v>
                </c:pt>
                <c:pt idx="50">
                  <c:v>1.6666666666666667</c:v>
                </c:pt>
                <c:pt idx="51">
                  <c:v>1.7</c:v>
                </c:pt>
                <c:pt idx="52">
                  <c:v>1.7333333333333334</c:v>
                </c:pt>
                <c:pt idx="53">
                  <c:v>1.7666666666666666</c:v>
                </c:pt>
                <c:pt idx="54">
                  <c:v>1.8</c:v>
                </c:pt>
                <c:pt idx="55">
                  <c:v>1.8333333333333333</c:v>
                </c:pt>
                <c:pt idx="56">
                  <c:v>1.8666666666666667</c:v>
                </c:pt>
                <c:pt idx="57">
                  <c:v>1.9</c:v>
                </c:pt>
                <c:pt idx="58">
                  <c:v>1.9333333333333333</c:v>
                </c:pt>
                <c:pt idx="59">
                  <c:v>1.9666666666666666</c:v>
                </c:pt>
                <c:pt idx="60">
                  <c:v>2</c:v>
                </c:pt>
                <c:pt idx="61">
                  <c:v>2.0333333333333332</c:v>
                </c:pt>
                <c:pt idx="62">
                  <c:v>2.0666666666666664</c:v>
                </c:pt>
                <c:pt idx="63">
                  <c:v>2.1</c:v>
                </c:pt>
                <c:pt idx="64">
                  <c:v>2.1333333333333333</c:v>
                </c:pt>
                <c:pt idx="65">
                  <c:v>2.1666666666666665</c:v>
                </c:pt>
                <c:pt idx="66">
                  <c:v>2.2000000000000002</c:v>
                </c:pt>
                <c:pt idx="67">
                  <c:v>2.2333333333333334</c:v>
                </c:pt>
                <c:pt idx="68">
                  <c:v>2.2666666666666666</c:v>
                </c:pt>
                <c:pt idx="69">
                  <c:v>2.2999999999999998</c:v>
                </c:pt>
                <c:pt idx="70">
                  <c:v>2.3333333333333335</c:v>
                </c:pt>
                <c:pt idx="71">
                  <c:v>2.3666666666666667</c:v>
                </c:pt>
                <c:pt idx="72">
                  <c:v>2.4</c:v>
                </c:pt>
                <c:pt idx="73">
                  <c:v>2.4333333333333331</c:v>
                </c:pt>
                <c:pt idx="74">
                  <c:v>2.4666666666666668</c:v>
                </c:pt>
                <c:pt idx="75">
                  <c:v>2.5</c:v>
                </c:pt>
                <c:pt idx="76">
                  <c:v>2.5333333333333332</c:v>
                </c:pt>
                <c:pt idx="77">
                  <c:v>2.5666666666666664</c:v>
                </c:pt>
                <c:pt idx="78">
                  <c:v>2.6</c:v>
                </c:pt>
                <c:pt idx="79">
                  <c:v>2.6333333333333333</c:v>
                </c:pt>
                <c:pt idx="80">
                  <c:v>2.6666666666666665</c:v>
                </c:pt>
                <c:pt idx="81">
                  <c:v>2.7</c:v>
                </c:pt>
                <c:pt idx="82">
                  <c:v>2.7333333333333334</c:v>
                </c:pt>
                <c:pt idx="83">
                  <c:v>2.7666666666666666</c:v>
                </c:pt>
                <c:pt idx="84">
                  <c:v>2.8</c:v>
                </c:pt>
                <c:pt idx="85">
                  <c:v>2.8333333333333335</c:v>
                </c:pt>
                <c:pt idx="86">
                  <c:v>2.8666666666666667</c:v>
                </c:pt>
                <c:pt idx="87">
                  <c:v>2.9</c:v>
                </c:pt>
                <c:pt idx="88">
                  <c:v>2.9333333333333331</c:v>
                </c:pt>
                <c:pt idx="89">
                  <c:v>2.9666666666666668</c:v>
                </c:pt>
                <c:pt idx="90">
                  <c:v>3</c:v>
                </c:pt>
                <c:pt idx="91">
                  <c:v>3.0333333333333332</c:v>
                </c:pt>
                <c:pt idx="92">
                  <c:v>3.0666666666666664</c:v>
                </c:pt>
                <c:pt idx="93">
                  <c:v>3.1</c:v>
                </c:pt>
                <c:pt idx="94">
                  <c:v>3.1333333333333333</c:v>
                </c:pt>
                <c:pt idx="95">
                  <c:v>3.1666666666666665</c:v>
                </c:pt>
                <c:pt idx="96">
                  <c:v>3.2</c:v>
                </c:pt>
                <c:pt idx="97">
                  <c:v>3.2333333333333334</c:v>
                </c:pt>
                <c:pt idx="98">
                  <c:v>3.2666666666666666</c:v>
                </c:pt>
                <c:pt idx="99">
                  <c:v>3.3</c:v>
                </c:pt>
                <c:pt idx="100">
                  <c:v>3.3333333333333335</c:v>
                </c:pt>
                <c:pt idx="101">
                  <c:v>3.3666666666666667</c:v>
                </c:pt>
                <c:pt idx="102">
                  <c:v>3.4</c:v>
                </c:pt>
                <c:pt idx="103">
                  <c:v>3.4333333333333331</c:v>
                </c:pt>
                <c:pt idx="104">
                  <c:v>3.4666666666666668</c:v>
                </c:pt>
                <c:pt idx="105">
                  <c:v>3.5</c:v>
                </c:pt>
                <c:pt idx="106">
                  <c:v>3.5333333333333332</c:v>
                </c:pt>
                <c:pt idx="107">
                  <c:v>3.5666666666666664</c:v>
                </c:pt>
                <c:pt idx="108">
                  <c:v>3.6</c:v>
                </c:pt>
                <c:pt idx="109">
                  <c:v>3.6333333333333333</c:v>
                </c:pt>
                <c:pt idx="110">
                  <c:v>3.6666666666666665</c:v>
                </c:pt>
                <c:pt idx="111">
                  <c:v>3.6999999999999997</c:v>
                </c:pt>
                <c:pt idx="112">
                  <c:v>3.7333333333333334</c:v>
                </c:pt>
                <c:pt idx="113">
                  <c:v>3.7666666666666666</c:v>
                </c:pt>
                <c:pt idx="114">
                  <c:v>3.8</c:v>
                </c:pt>
                <c:pt idx="115">
                  <c:v>3.8333333333333335</c:v>
                </c:pt>
                <c:pt idx="116">
                  <c:v>3.8666666666666667</c:v>
                </c:pt>
                <c:pt idx="117">
                  <c:v>3.9</c:v>
                </c:pt>
                <c:pt idx="118">
                  <c:v>3.9333333333333331</c:v>
                </c:pt>
                <c:pt idx="119">
                  <c:v>3.9666666666666668</c:v>
                </c:pt>
                <c:pt idx="120">
                  <c:v>4</c:v>
                </c:pt>
                <c:pt idx="121">
                  <c:v>4.0333333333333332</c:v>
                </c:pt>
                <c:pt idx="122">
                  <c:v>4.0666666666666664</c:v>
                </c:pt>
                <c:pt idx="123">
                  <c:v>4.0999999999999996</c:v>
                </c:pt>
                <c:pt idx="124">
                  <c:v>4.1333333333333329</c:v>
                </c:pt>
                <c:pt idx="125">
                  <c:v>4.166666666666667</c:v>
                </c:pt>
                <c:pt idx="126">
                  <c:v>4.2</c:v>
                </c:pt>
                <c:pt idx="127">
                  <c:v>4.2333333333333334</c:v>
                </c:pt>
                <c:pt idx="128">
                  <c:v>4.2666666666666666</c:v>
                </c:pt>
                <c:pt idx="129">
                  <c:v>4.3</c:v>
                </c:pt>
                <c:pt idx="130">
                  <c:v>4.333333333333333</c:v>
                </c:pt>
                <c:pt idx="131">
                  <c:v>4.3666666666666663</c:v>
                </c:pt>
                <c:pt idx="132">
                  <c:v>4.4000000000000004</c:v>
                </c:pt>
                <c:pt idx="133">
                  <c:v>4.4333333333333336</c:v>
                </c:pt>
                <c:pt idx="134">
                  <c:v>4.4666666666666668</c:v>
                </c:pt>
                <c:pt idx="135">
                  <c:v>4.5</c:v>
                </c:pt>
                <c:pt idx="136">
                  <c:v>4.5333333333333332</c:v>
                </c:pt>
                <c:pt idx="137">
                  <c:v>4.5666666666666664</c:v>
                </c:pt>
                <c:pt idx="138">
                  <c:v>4.5999999999999996</c:v>
                </c:pt>
                <c:pt idx="139">
                  <c:v>4.6333333333333329</c:v>
                </c:pt>
                <c:pt idx="140">
                  <c:v>4.666666666666667</c:v>
                </c:pt>
                <c:pt idx="141">
                  <c:v>4.7</c:v>
                </c:pt>
                <c:pt idx="142">
                  <c:v>4.7333333333333334</c:v>
                </c:pt>
                <c:pt idx="143">
                  <c:v>4.7666666666666666</c:v>
                </c:pt>
                <c:pt idx="144">
                  <c:v>4.8</c:v>
                </c:pt>
                <c:pt idx="145">
                  <c:v>4.833333333333333</c:v>
                </c:pt>
                <c:pt idx="146">
                  <c:v>4.8666666666666663</c:v>
                </c:pt>
                <c:pt idx="147">
                  <c:v>4.9000000000000004</c:v>
                </c:pt>
                <c:pt idx="148">
                  <c:v>4.9333333333333336</c:v>
                </c:pt>
                <c:pt idx="149">
                  <c:v>4.9666666666666668</c:v>
                </c:pt>
                <c:pt idx="150">
                  <c:v>5</c:v>
                </c:pt>
              </c:numCache>
            </c:numRef>
          </c:xVal>
          <c:yVal>
            <c:numRef>
              <c:f>Eff_vs_IOUT!$AW$7:$AW$157</c:f>
              <c:numCache>
                <c:formatCode>General</c:formatCode>
                <c:ptCount val="151"/>
                <c:pt idx="0">
                  <c:v>0</c:v>
                </c:pt>
                <c:pt idx="1">
                  <c:v>64.175044792716534</c:v>
                </c:pt>
                <c:pt idx="2">
                  <c:v>77.978544514370199</c:v>
                </c:pt>
                <c:pt idx="3">
                  <c:v>83.967685140152298</c:v>
                </c:pt>
                <c:pt idx="4">
                  <c:v>87.293874688744737</c:v>
                </c:pt>
                <c:pt idx="5">
                  <c:v>89.396374857436939</c:v>
                </c:pt>
                <c:pt idx="6">
                  <c:v>90.83562518732063</c:v>
                </c:pt>
                <c:pt idx="7">
                  <c:v>91.875177615559537</c:v>
                </c:pt>
                <c:pt idx="8">
                  <c:v>92.655297340671822</c:v>
                </c:pt>
                <c:pt idx="9">
                  <c:v>93.257504989681635</c:v>
                </c:pt>
                <c:pt idx="10">
                  <c:v>93.732415358041322</c:v>
                </c:pt>
                <c:pt idx="11">
                  <c:v>94.113115552771205</c:v>
                </c:pt>
                <c:pt idx="12">
                  <c:v>94.422147652744812</c:v>
                </c:pt>
                <c:pt idx="13">
                  <c:v>94.675399614054029</c:v>
                </c:pt>
                <c:pt idx="14">
                  <c:v>94.884391773989435</c:v>
                </c:pt>
                <c:pt idx="15">
                  <c:v>95.057681151904646</c:v>
                </c:pt>
                <c:pt idx="16">
                  <c:v>95.201756664673638</c:v>
                </c:pt>
                <c:pt idx="17">
                  <c:v>95.321628300710685</c:v>
                </c:pt>
                <c:pt idx="18">
                  <c:v>95.421225734486853</c:v>
                </c:pt>
                <c:pt idx="19">
                  <c:v>95.503674609539004</c:v>
                </c:pt>
                <c:pt idx="20">
                  <c:v>95.571492158311941</c:v>
                </c:pt>
                <c:pt idx="21">
                  <c:v>95.626728359271596</c:v>
                </c:pt>
                <c:pt idx="22">
                  <c:v>95.671069537028984</c:v>
                </c:pt>
                <c:pt idx="23">
                  <c:v>95.705915568500217</c:v>
                </c:pt>
                <c:pt idx="24">
                  <c:v>95.732438220610106</c:v>
                </c:pt>
                <c:pt idx="25">
                  <c:v>95.751625788804247</c:v>
                </c:pt>
                <c:pt idx="26">
                  <c:v>95.764317648090895</c:v>
                </c:pt>
                <c:pt idx="27">
                  <c:v>95.771231279591589</c:v>
                </c:pt>
                <c:pt idx="28">
                  <c:v>95.772983617428494</c:v>
                </c:pt>
                <c:pt idx="29">
                  <c:v>95.770108061345383</c:v>
                </c:pt>
                <c:pt idx="30">
                  <c:v>95.763068148155142</c:v>
                </c:pt>
                <c:pt idx="31">
                  <c:v>95.75226862330058</c:v>
                </c:pt>
                <c:pt idx="32">
                  <c:v>95.738064471628235</c:v>
                </c:pt>
                <c:pt idx="33">
                  <c:v>95.720768333162269</c:v>
                </c:pt>
                <c:pt idx="34">
                  <c:v>95.700656631076896</c:v>
                </c:pt>
                <c:pt idx="35">
                  <c:v>95.677974665436921</c:v>
                </c:pt>
                <c:pt idx="36">
                  <c:v>95.652940870775936</c:v>
                </c:pt>
                <c:pt idx="37">
                  <c:v>95.625750393384592</c:v>
                </c:pt>
                <c:pt idx="38">
                  <c:v>95.596578111834717</c:v>
                </c:pt>
                <c:pt idx="39">
                  <c:v>95.565581199279464</c:v>
                </c:pt>
                <c:pt idx="40">
                  <c:v>95.532901306629299</c:v>
                </c:pt>
                <c:pt idx="41">
                  <c:v>95.498666430474387</c:v>
                </c:pt>
                <c:pt idx="42">
                  <c:v>95.462992517615035</c:v>
                </c:pt>
                <c:pt idx="43">
                  <c:v>95.425984848536189</c:v>
                </c:pt>
                <c:pt idx="44">
                  <c:v>95.387739234558424</c:v>
                </c:pt>
                <c:pt idx="45">
                  <c:v>95.348343057299189</c:v>
                </c:pt>
                <c:pt idx="46">
                  <c:v>95.30787617415632</c:v>
                </c:pt>
                <c:pt idx="47">
                  <c:v>95.266411709536669</c:v>
                </c:pt>
                <c:pt idx="48">
                  <c:v>95.224016748303342</c:v>
                </c:pt>
                <c:pt idx="49">
                  <c:v>95.180752945254611</c:v>
                </c:pt>
                <c:pt idx="50">
                  <c:v>95.136677062262294</c:v>
                </c:pt>
                <c:pt idx="51">
                  <c:v>95.091841442892374</c:v>
                </c:pt>
                <c:pt idx="52">
                  <c:v>95.046294432835637</c:v>
                </c:pt>
                <c:pt idx="53">
                  <c:v>95.0000807532317</c:v>
                </c:pt>
                <c:pt idx="54">
                  <c:v>94.953241832931454</c:v>
                </c:pt>
                <c:pt idx="55">
                  <c:v>94.905816104871803</c:v>
                </c:pt>
                <c:pt idx="56">
                  <c:v>94.85783927100519</c:v>
                </c:pt>
                <c:pt idx="57">
                  <c:v>94.809344539608574</c:v>
                </c:pt>
                <c:pt idx="58">
                  <c:v>94.76036283827392</c:v>
                </c:pt>
                <c:pt idx="59">
                  <c:v>94.710923005438929</c:v>
                </c:pt>
                <c:pt idx="60">
                  <c:v>94.661051962938743</c:v>
                </c:pt>
                <c:pt idx="61">
                  <c:v>94.610774871737092</c:v>
                </c:pt>
                <c:pt idx="62">
                  <c:v>94.560115272719273</c:v>
                </c:pt>
                <c:pt idx="63">
                  <c:v>94.509095214192271</c:v>
                </c:pt>
                <c:pt idx="64">
                  <c:v>94.457735367533786</c:v>
                </c:pt>
                <c:pt idx="65">
                  <c:v>94.406055132255219</c:v>
                </c:pt>
                <c:pt idx="66">
                  <c:v>94.354072731592822</c:v>
                </c:pt>
                <c:pt idx="67">
                  <c:v>94.301805299607665</c:v>
                </c:pt>
                <c:pt idx="68">
                  <c:v>94.249268960662306</c:v>
                </c:pt>
                <c:pt idx="69">
                  <c:v>94.196478902040752</c:v>
                </c:pt>
                <c:pt idx="70">
                  <c:v>94.143449440392587</c:v>
                </c:pt>
                <c:pt idx="71">
                  <c:v>94.090194082604967</c:v>
                </c:pt>
                <c:pt idx="72">
                  <c:v>94.036725581640539</c:v>
                </c:pt>
                <c:pt idx="73">
                  <c:v>93.983055987819995</c:v>
                </c:pt>
                <c:pt idx="74">
                  <c:v>93.929196695977396</c:v>
                </c:pt>
                <c:pt idx="75">
                  <c:v>93.875158488870241</c:v>
                </c:pt>
                <c:pt idx="76">
                  <c:v>93.820951577187145</c:v>
                </c:pt>
                <c:pt idx="77">
                  <c:v>93.766585636459965</c:v>
                </c:pt>
                <c:pt idx="78">
                  <c:v>93.712069841156335</c:v>
                </c:pt>
                <c:pt idx="79">
                  <c:v>93.657412896200768</c:v>
                </c:pt>
                <c:pt idx="80">
                  <c:v>93.602623066147672</c:v>
                </c:pt>
                <c:pt idx="81">
                  <c:v>93.5477082022079</c:v>
                </c:pt>
                <c:pt idx="82">
                  <c:v>93.492675767310956</c:v>
                </c:pt>
                <c:pt idx="83">
                  <c:v>93.437532859367039</c:v>
                </c:pt>
                <c:pt idx="84">
                  <c:v>93.382286232878556</c:v>
                </c:pt>
                <c:pt idx="85">
                  <c:v>93.326942319035595</c:v>
                </c:pt>
                <c:pt idx="86">
                  <c:v>93.271507244418373</c:v>
                </c:pt>
                <c:pt idx="87">
                  <c:v>93.215986848417799</c:v>
                </c:pt>
                <c:pt idx="88">
                  <c:v>93.160386699475509</c:v>
                </c:pt>
                <c:pt idx="89">
                  <c:v>93.104712110235866</c:v>
                </c:pt>
                <c:pt idx="90">
                  <c:v>93.048968151693728</c:v>
                </c:pt>
                <c:pt idx="91">
                  <c:v>92.993159666414968</c:v>
                </c:pt>
                <c:pt idx="92">
                  <c:v>92.937291280899899</c:v>
                </c:pt>
                <c:pt idx="93">
                  <c:v>92.881367417153484</c:v>
                </c:pt>
                <c:pt idx="94">
                  <c:v>92.825392303521483</c:v>
                </c:pt>
                <c:pt idx="95">
                  <c:v>92.769369984845866</c:v>
                </c:pt>
                <c:pt idx="96">
                  <c:v>92.713304331989121</c:v>
                </c:pt>
                <c:pt idx="97">
                  <c:v>92.657199050772704</c:v>
                </c:pt>
                <c:pt idx="98">
                  <c:v>92.601057690371135</c:v>
                </c:pt>
                <c:pt idx="99">
                  <c:v>92.544883651200223</c:v>
                </c:pt>
                <c:pt idx="100">
                  <c:v>92.488680192334343</c:v>
                </c:pt>
                <c:pt idx="101">
                  <c:v>92.432450438485574</c:v>
                </c:pt>
                <c:pt idx="102">
                  <c:v>92.376197386574205</c:v>
                </c:pt>
                <c:pt idx="103">
                  <c:v>92.319923911918707</c:v>
                </c:pt>
                <c:pt idx="104">
                  <c:v>92.263632774070203</c:v>
                </c:pt>
                <c:pt idx="105">
                  <c:v>92.207326622315236</c:v>
                </c:pt>
                <c:pt idx="106">
                  <c:v>92.151008000868714</c:v>
                </c:pt>
                <c:pt idx="107">
                  <c:v>92.094679353776996</c:v>
                </c:pt>
                <c:pt idx="108">
                  <c:v>92.038343029549793</c:v>
                </c:pt>
                <c:pt idx="109">
                  <c:v>91.98200128553853</c:v>
                </c:pt>
                <c:pt idx="110">
                  <c:v>91.925656292076823</c:v>
                </c:pt>
                <c:pt idx="111">
                  <c:v>91.869310136398269</c:v>
                </c:pt>
                <c:pt idx="112">
                  <c:v>91.81296482634535</c:v>
                </c:pt>
                <c:pt idx="113">
                  <c:v>91.756622293882174</c:v>
                </c:pt>
                <c:pt idx="114">
                  <c:v>91.700284398423221</c:v>
                </c:pt>
                <c:pt idx="115">
                  <c:v>91.643952929989297</c:v>
                </c:pt>
                <c:pt idx="116">
                  <c:v>91.587629612200658</c:v>
                </c:pt>
                <c:pt idx="117">
                  <c:v>91.531316105117639</c:v>
                </c:pt>
                <c:pt idx="118">
                  <c:v>91.47501400793719</c:v>
                </c:pt>
                <c:pt idx="119">
                  <c:v>91.418724861554196</c:v>
                </c:pt>
                <c:pt idx="120">
                  <c:v>91.362450150995116</c:v>
                </c:pt>
                <c:pt idx="121">
                  <c:v>91.306191307731524</c:v>
                </c:pt>
                <c:pt idx="122">
                  <c:v>91.249949711880276</c:v>
                </c:pt>
                <c:pt idx="123">
                  <c:v>91.193726694296814</c:v>
                </c:pt>
                <c:pt idx="124">
                  <c:v>91.137523538567507</c:v>
                </c:pt>
                <c:pt idx="125">
                  <c:v>91.081341482906794</c:v>
                </c:pt>
                <c:pt idx="126">
                  <c:v>91.025181721964259</c:v>
                </c:pt>
                <c:pt idx="127">
                  <c:v>90.969045408546663</c:v>
                </c:pt>
                <c:pt idx="128">
                  <c:v>90.912933655259607</c:v>
                </c:pt>
                <c:pt idx="129">
                  <c:v>90.856847536073033</c:v>
                </c:pt>
                <c:pt idx="130">
                  <c:v>90.800788087814709</c:v>
                </c:pt>
                <c:pt idx="131">
                  <c:v>90.744756311595665</c:v>
                </c:pt>
                <c:pt idx="132">
                  <c:v>90.688753174170841</c:v>
                </c:pt>
                <c:pt idx="133">
                  <c:v>90.632779609238838</c:v>
                </c:pt>
                <c:pt idx="134">
                  <c:v>90.576836518683407</c:v>
                </c:pt>
                <c:pt idx="135">
                  <c:v>90.520924773760029</c:v>
                </c:pt>
                <c:pt idx="136">
                  <c:v>90.465045216230294</c:v>
                </c:pt>
                <c:pt idx="137">
                  <c:v>90.409198659446858</c:v>
                </c:pt>
                <c:pt idx="138">
                  <c:v>90.353385889391149</c:v>
                </c:pt>
                <c:pt idx="139">
                  <c:v>90.297607665666618</c:v>
                </c:pt>
                <c:pt idx="140">
                  <c:v>90.241864722449407</c:v>
                </c:pt>
                <c:pt idx="141">
                  <c:v>90.18615776939869</c:v>
                </c:pt>
                <c:pt idx="142">
                  <c:v>90.130487492528772</c:v>
                </c:pt>
                <c:pt idx="143">
                  <c:v>90.07485455504451</c:v>
                </c:pt>
                <c:pt idx="144">
                  <c:v>90.019259598142142</c:v>
                </c:pt>
                <c:pt idx="145">
                  <c:v>89.963703241776955</c:v>
                </c:pt>
                <c:pt idx="146">
                  <c:v>89.908186085399663</c:v>
                </c:pt>
                <c:pt idx="147">
                  <c:v>89.852708708662547</c:v>
                </c:pt>
                <c:pt idx="148">
                  <c:v>89.797271672097196</c:v>
                </c:pt>
                <c:pt idx="149">
                  <c:v>89.741875517765038</c:v>
                </c:pt>
                <c:pt idx="150">
                  <c:v>89.68652076988171</c:v>
                </c:pt>
              </c:numCache>
            </c:numRef>
          </c:yVal>
          <c:smooth val="0"/>
          <c:extLst>
            <c:ext xmlns:c16="http://schemas.microsoft.com/office/drawing/2014/chart" uri="{C3380CC4-5D6E-409C-BE32-E72D297353CC}">
              <c16:uniqueId val="{00000000-199A-4277-BC05-4E64B1A6016C}"/>
            </c:ext>
          </c:extLst>
        </c:ser>
        <c:dLbls>
          <c:showLegendKey val="0"/>
          <c:showVal val="0"/>
          <c:showCatName val="0"/>
          <c:showSerName val="0"/>
          <c:showPercent val="0"/>
          <c:showBubbleSize val="0"/>
        </c:dLbls>
        <c:axId val="361445248"/>
        <c:axId val="361446784"/>
      </c:scatterChart>
      <c:scatterChart>
        <c:scatterStyle val="smoothMarker"/>
        <c:varyColors val="0"/>
        <c:ser>
          <c:idx val="1"/>
          <c:order val="1"/>
          <c:tx>
            <c:v>LS MOSFET</c:v>
          </c:tx>
          <c:spPr>
            <a:ln>
              <a:solidFill>
                <a:schemeClr val="tx2">
                  <a:lumMod val="75000"/>
                </a:schemeClr>
              </a:solidFill>
              <a:prstDash val="dashDot"/>
            </a:ln>
          </c:spPr>
          <c:marker>
            <c:symbol val="none"/>
          </c:marker>
          <c:xVal>
            <c:numRef>
              <c:f>Eff_vs_IOUT!$S$7:$S$157</c:f>
              <c:numCache>
                <c:formatCode>General</c:formatCode>
                <c:ptCount val="151"/>
                <c:pt idx="0">
                  <c:v>0</c:v>
                </c:pt>
                <c:pt idx="1">
                  <c:v>3.3333333333333333E-2</c:v>
                </c:pt>
                <c:pt idx="2">
                  <c:v>6.6666666666666666E-2</c:v>
                </c:pt>
                <c:pt idx="3">
                  <c:v>0.1</c:v>
                </c:pt>
                <c:pt idx="4">
                  <c:v>0.13333333333333333</c:v>
                </c:pt>
                <c:pt idx="5">
                  <c:v>0.16666666666666666</c:v>
                </c:pt>
                <c:pt idx="6">
                  <c:v>0.2</c:v>
                </c:pt>
                <c:pt idx="7">
                  <c:v>0.23333333333333334</c:v>
                </c:pt>
                <c:pt idx="8">
                  <c:v>0.26666666666666666</c:v>
                </c:pt>
                <c:pt idx="9">
                  <c:v>0.3</c:v>
                </c:pt>
                <c:pt idx="10">
                  <c:v>0.33333333333333331</c:v>
                </c:pt>
                <c:pt idx="11">
                  <c:v>0.36666666666666664</c:v>
                </c:pt>
                <c:pt idx="12">
                  <c:v>0.4</c:v>
                </c:pt>
                <c:pt idx="13">
                  <c:v>0.43333333333333335</c:v>
                </c:pt>
                <c:pt idx="14">
                  <c:v>0.46666666666666667</c:v>
                </c:pt>
                <c:pt idx="15">
                  <c:v>0.5</c:v>
                </c:pt>
                <c:pt idx="16">
                  <c:v>0.53333333333333333</c:v>
                </c:pt>
                <c:pt idx="17">
                  <c:v>0.56666666666666665</c:v>
                </c:pt>
                <c:pt idx="18">
                  <c:v>0.6</c:v>
                </c:pt>
                <c:pt idx="19">
                  <c:v>0.6333333333333333</c:v>
                </c:pt>
                <c:pt idx="20">
                  <c:v>0.66666666666666663</c:v>
                </c:pt>
                <c:pt idx="21">
                  <c:v>0.7</c:v>
                </c:pt>
                <c:pt idx="22">
                  <c:v>0.73333333333333328</c:v>
                </c:pt>
                <c:pt idx="23">
                  <c:v>0.76666666666666661</c:v>
                </c:pt>
                <c:pt idx="24">
                  <c:v>0.8</c:v>
                </c:pt>
                <c:pt idx="25">
                  <c:v>0.83333333333333337</c:v>
                </c:pt>
                <c:pt idx="26">
                  <c:v>0.8666666666666667</c:v>
                </c:pt>
                <c:pt idx="27">
                  <c:v>0.9</c:v>
                </c:pt>
                <c:pt idx="28">
                  <c:v>0.93333333333333335</c:v>
                </c:pt>
                <c:pt idx="29">
                  <c:v>0.96666666666666667</c:v>
                </c:pt>
                <c:pt idx="30">
                  <c:v>1</c:v>
                </c:pt>
                <c:pt idx="31">
                  <c:v>1.0333333333333332</c:v>
                </c:pt>
                <c:pt idx="32">
                  <c:v>1.0666666666666667</c:v>
                </c:pt>
                <c:pt idx="33">
                  <c:v>1.1000000000000001</c:v>
                </c:pt>
                <c:pt idx="34">
                  <c:v>1.1333333333333333</c:v>
                </c:pt>
                <c:pt idx="35">
                  <c:v>1.1666666666666667</c:v>
                </c:pt>
                <c:pt idx="36">
                  <c:v>1.2</c:v>
                </c:pt>
                <c:pt idx="37">
                  <c:v>1.2333333333333334</c:v>
                </c:pt>
                <c:pt idx="38">
                  <c:v>1.2666666666666666</c:v>
                </c:pt>
                <c:pt idx="39">
                  <c:v>1.3</c:v>
                </c:pt>
                <c:pt idx="40">
                  <c:v>1.3333333333333333</c:v>
                </c:pt>
                <c:pt idx="41">
                  <c:v>1.3666666666666667</c:v>
                </c:pt>
                <c:pt idx="42">
                  <c:v>1.4</c:v>
                </c:pt>
                <c:pt idx="43">
                  <c:v>1.4333333333333333</c:v>
                </c:pt>
                <c:pt idx="44">
                  <c:v>1.4666666666666666</c:v>
                </c:pt>
                <c:pt idx="45">
                  <c:v>1.5</c:v>
                </c:pt>
                <c:pt idx="46">
                  <c:v>1.5333333333333332</c:v>
                </c:pt>
                <c:pt idx="47">
                  <c:v>1.5666666666666667</c:v>
                </c:pt>
                <c:pt idx="48">
                  <c:v>1.6</c:v>
                </c:pt>
                <c:pt idx="49">
                  <c:v>1.6333333333333333</c:v>
                </c:pt>
                <c:pt idx="50">
                  <c:v>1.6666666666666667</c:v>
                </c:pt>
                <c:pt idx="51">
                  <c:v>1.7</c:v>
                </c:pt>
                <c:pt idx="52">
                  <c:v>1.7333333333333334</c:v>
                </c:pt>
                <c:pt idx="53">
                  <c:v>1.7666666666666666</c:v>
                </c:pt>
                <c:pt idx="54">
                  <c:v>1.8</c:v>
                </c:pt>
                <c:pt idx="55">
                  <c:v>1.8333333333333333</c:v>
                </c:pt>
                <c:pt idx="56">
                  <c:v>1.8666666666666667</c:v>
                </c:pt>
                <c:pt idx="57">
                  <c:v>1.9</c:v>
                </c:pt>
                <c:pt idx="58">
                  <c:v>1.9333333333333333</c:v>
                </c:pt>
                <c:pt idx="59">
                  <c:v>1.9666666666666666</c:v>
                </c:pt>
                <c:pt idx="60">
                  <c:v>2</c:v>
                </c:pt>
                <c:pt idx="61">
                  <c:v>2.0333333333333332</c:v>
                </c:pt>
                <c:pt idx="62">
                  <c:v>2.0666666666666664</c:v>
                </c:pt>
                <c:pt idx="63">
                  <c:v>2.1</c:v>
                </c:pt>
                <c:pt idx="64">
                  <c:v>2.1333333333333333</c:v>
                </c:pt>
                <c:pt idx="65">
                  <c:v>2.1666666666666665</c:v>
                </c:pt>
                <c:pt idx="66">
                  <c:v>2.2000000000000002</c:v>
                </c:pt>
                <c:pt idx="67">
                  <c:v>2.2333333333333334</c:v>
                </c:pt>
                <c:pt idx="68">
                  <c:v>2.2666666666666666</c:v>
                </c:pt>
                <c:pt idx="69">
                  <c:v>2.2999999999999998</c:v>
                </c:pt>
                <c:pt idx="70">
                  <c:v>2.3333333333333335</c:v>
                </c:pt>
                <c:pt idx="71">
                  <c:v>2.3666666666666667</c:v>
                </c:pt>
                <c:pt idx="72">
                  <c:v>2.4</c:v>
                </c:pt>
                <c:pt idx="73">
                  <c:v>2.4333333333333331</c:v>
                </c:pt>
                <c:pt idx="74">
                  <c:v>2.4666666666666668</c:v>
                </c:pt>
                <c:pt idx="75">
                  <c:v>2.5</c:v>
                </c:pt>
                <c:pt idx="76">
                  <c:v>2.5333333333333332</c:v>
                </c:pt>
                <c:pt idx="77">
                  <c:v>2.5666666666666664</c:v>
                </c:pt>
                <c:pt idx="78">
                  <c:v>2.6</c:v>
                </c:pt>
                <c:pt idx="79">
                  <c:v>2.6333333333333333</c:v>
                </c:pt>
                <c:pt idx="80">
                  <c:v>2.6666666666666665</c:v>
                </c:pt>
                <c:pt idx="81">
                  <c:v>2.7</c:v>
                </c:pt>
                <c:pt idx="82">
                  <c:v>2.7333333333333334</c:v>
                </c:pt>
                <c:pt idx="83">
                  <c:v>2.7666666666666666</c:v>
                </c:pt>
                <c:pt idx="84">
                  <c:v>2.8</c:v>
                </c:pt>
                <c:pt idx="85">
                  <c:v>2.8333333333333335</c:v>
                </c:pt>
                <c:pt idx="86">
                  <c:v>2.8666666666666667</c:v>
                </c:pt>
                <c:pt idx="87">
                  <c:v>2.9</c:v>
                </c:pt>
                <c:pt idx="88">
                  <c:v>2.9333333333333331</c:v>
                </c:pt>
                <c:pt idx="89">
                  <c:v>2.9666666666666668</c:v>
                </c:pt>
                <c:pt idx="90">
                  <c:v>3</c:v>
                </c:pt>
                <c:pt idx="91">
                  <c:v>3.0333333333333332</c:v>
                </c:pt>
                <c:pt idx="92">
                  <c:v>3.0666666666666664</c:v>
                </c:pt>
                <c:pt idx="93">
                  <c:v>3.1</c:v>
                </c:pt>
                <c:pt idx="94">
                  <c:v>3.1333333333333333</c:v>
                </c:pt>
                <c:pt idx="95">
                  <c:v>3.1666666666666665</c:v>
                </c:pt>
                <c:pt idx="96">
                  <c:v>3.2</c:v>
                </c:pt>
                <c:pt idx="97">
                  <c:v>3.2333333333333334</c:v>
                </c:pt>
                <c:pt idx="98">
                  <c:v>3.2666666666666666</c:v>
                </c:pt>
                <c:pt idx="99">
                  <c:v>3.3</c:v>
                </c:pt>
                <c:pt idx="100">
                  <c:v>3.3333333333333335</c:v>
                </c:pt>
                <c:pt idx="101">
                  <c:v>3.3666666666666667</c:v>
                </c:pt>
                <c:pt idx="102">
                  <c:v>3.4</c:v>
                </c:pt>
                <c:pt idx="103">
                  <c:v>3.4333333333333331</c:v>
                </c:pt>
                <c:pt idx="104">
                  <c:v>3.4666666666666668</c:v>
                </c:pt>
                <c:pt idx="105">
                  <c:v>3.5</c:v>
                </c:pt>
                <c:pt idx="106">
                  <c:v>3.5333333333333332</c:v>
                </c:pt>
                <c:pt idx="107">
                  <c:v>3.5666666666666664</c:v>
                </c:pt>
                <c:pt idx="108">
                  <c:v>3.6</c:v>
                </c:pt>
                <c:pt idx="109">
                  <c:v>3.6333333333333333</c:v>
                </c:pt>
                <c:pt idx="110">
                  <c:v>3.6666666666666665</c:v>
                </c:pt>
                <c:pt idx="111">
                  <c:v>3.6999999999999997</c:v>
                </c:pt>
                <c:pt idx="112">
                  <c:v>3.7333333333333334</c:v>
                </c:pt>
                <c:pt idx="113">
                  <c:v>3.7666666666666666</c:v>
                </c:pt>
                <c:pt idx="114">
                  <c:v>3.8</c:v>
                </c:pt>
                <c:pt idx="115">
                  <c:v>3.8333333333333335</c:v>
                </c:pt>
                <c:pt idx="116">
                  <c:v>3.8666666666666667</c:v>
                </c:pt>
                <c:pt idx="117">
                  <c:v>3.9</c:v>
                </c:pt>
                <c:pt idx="118">
                  <c:v>3.9333333333333331</c:v>
                </c:pt>
                <c:pt idx="119">
                  <c:v>3.9666666666666668</c:v>
                </c:pt>
                <c:pt idx="120">
                  <c:v>4</c:v>
                </c:pt>
                <c:pt idx="121">
                  <c:v>4.0333333333333332</c:v>
                </c:pt>
                <c:pt idx="122">
                  <c:v>4.0666666666666664</c:v>
                </c:pt>
                <c:pt idx="123">
                  <c:v>4.0999999999999996</c:v>
                </c:pt>
                <c:pt idx="124">
                  <c:v>4.1333333333333329</c:v>
                </c:pt>
                <c:pt idx="125">
                  <c:v>4.166666666666667</c:v>
                </c:pt>
                <c:pt idx="126">
                  <c:v>4.2</c:v>
                </c:pt>
                <c:pt idx="127">
                  <c:v>4.2333333333333334</c:v>
                </c:pt>
                <c:pt idx="128">
                  <c:v>4.2666666666666666</c:v>
                </c:pt>
                <c:pt idx="129">
                  <c:v>4.3</c:v>
                </c:pt>
                <c:pt idx="130">
                  <c:v>4.333333333333333</c:v>
                </c:pt>
                <c:pt idx="131">
                  <c:v>4.3666666666666663</c:v>
                </c:pt>
                <c:pt idx="132">
                  <c:v>4.4000000000000004</c:v>
                </c:pt>
                <c:pt idx="133">
                  <c:v>4.4333333333333336</c:v>
                </c:pt>
                <c:pt idx="134">
                  <c:v>4.4666666666666668</c:v>
                </c:pt>
                <c:pt idx="135">
                  <c:v>4.5</c:v>
                </c:pt>
                <c:pt idx="136">
                  <c:v>4.5333333333333332</c:v>
                </c:pt>
                <c:pt idx="137">
                  <c:v>4.5666666666666664</c:v>
                </c:pt>
                <c:pt idx="138">
                  <c:v>4.5999999999999996</c:v>
                </c:pt>
                <c:pt idx="139">
                  <c:v>4.6333333333333329</c:v>
                </c:pt>
                <c:pt idx="140">
                  <c:v>4.666666666666667</c:v>
                </c:pt>
                <c:pt idx="141">
                  <c:v>4.7</c:v>
                </c:pt>
                <c:pt idx="142">
                  <c:v>4.7333333333333334</c:v>
                </c:pt>
                <c:pt idx="143">
                  <c:v>4.7666666666666666</c:v>
                </c:pt>
                <c:pt idx="144">
                  <c:v>4.8</c:v>
                </c:pt>
                <c:pt idx="145">
                  <c:v>4.833333333333333</c:v>
                </c:pt>
                <c:pt idx="146">
                  <c:v>4.8666666666666663</c:v>
                </c:pt>
                <c:pt idx="147">
                  <c:v>4.9000000000000004</c:v>
                </c:pt>
                <c:pt idx="148">
                  <c:v>4.9333333333333336</c:v>
                </c:pt>
                <c:pt idx="149">
                  <c:v>4.9666666666666668</c:v>
                </c:pt>
                <c:pt idx="150">
                  <c:v>5</c:v>
                </c:pt>
              </c:numCache>
            </c:numRef>
          </c:xVal>
          <c:yVal>
            <c:numRef>
              <c:f>Eff_vs_IOUT!$AI$7:$AI$157</c:f>
              <c:numCache>
                <c:formatCode>General</c:formatCode>
                <c:ptCount val="151"/>
                <c:pt idx="0">
                  <c:v>7.1111111111111147E-5</c:v>
                </c:pt>
                <c:pt idx="1">
                  <c:v>1.9314232044459906E-3</c:v>
                </c:pt>
                <c:pt idx="2">
                  <c:v>3.7934019644475371E-3</c:v>
                </c:pt>
                <c:pt idx="3">
                  <c:v>5.6570473911157493E-3</c:v>
                </c:pt>
                <c:pt idx="4">
                  <c:v>7.5223594844506291E-3</c:v>
                </c:pt>
                <c:pt idx="5">
                  <c:v>9.3893382444521778E-3</c:v>
                </c:pt>
                <c:pt idx="6">
                  <c:v>1.1257983671120388E-2</c:v>
                </c:pt>
                <c:pt idx="7">
                  <c:v>1.3128295764455272E-2</c:v>
                </c:pt>
                <c:pt idx="8">
                  <c:v>1.5000274524456814E-2</c:v>
                </c:pt>
                <c:pt idx="9">
                  <c:v>1.6873919951125027E-2</c:v>
                </c:pt>
                <c:pt idx="10">
                  <c:v>1.8749232044459909E-2</c:v>
                </c:pt>
                <c:pt idx="11">
                  <c:v>2.0626210804461451E-2</c:v>
                </c:pt>
                <c:pt idx="12">
                  <c:v>2.2504856231129664E-2</c:v>
                </c:pt>
                <c:pt idx="13">
                  <c:v>2.4385168324464551E-2</c:v>
                </c:pt>
                <c:pt idx="14">
                  <c:v>2.6267147084466098E-2</c:v>
                </c:pt>
                <c:pt idx="15">
                  <c:v>2.8150792511134309E-2</c:v>
                </c:pt>
                <c:pt idx="16">
                  <c:v>3.0036104604469184E-2</c:v>
                </c:pt>
                <c:pt idx="17">
                  <c:v>3.1923083364470729E-2</c:v>
                </c:pt>
                <c:pt idx="18">
                  <c:v>3.3811728791138945E-2</c:v>
                </c:pt>
                <c:pt idx="19">
                  <c:v>3.5702040884473818E-2</c:v>
                </c:pt>
                <c:pt idx="20">
                  <c:v>3.7594019644475375E-2</c:v>
                </c:pt>
                <c:pt idx="21">
                  <c:v>3.9487665071143596E-2</c:v>
                </c:pt>
                <c:pt idx="22">
                  <c:v>4.138297716447846E-2</c:v>
                </c:pt>
                <c:pt idx="23">
                  <c:v>4.3279955924480015E-2</c:v>
                </c:pt>
                <c:pt idx="24">
                  <c:v>4.517860135114822E-2</c:v>
                </c:pt>
                <c:pt idx="25">
                  <c:v>4.7078913444483103E-2</c:v>
                </c:pt>
                <c:pt idx="26">
                  <c:v>4.8980892204484656E-2</c:v>
                </c:pt>
                <c:pt idx="27">
                  <c:v>5.0884537631152853E-2</c:v>
                </c:pt>
                <c:pt idx="28">
                  <c:v>5.2789849724487754E-2</c:v>
                </c:pt>
                <c:pt idx="29">
                  <c:v>5.4696828484489285E-2</c:v>
                </c:pt>
                <c:pt idx="30">
                  <c:v>5.6605473911157507E-2</c:v>
                </c:pt>
                <c:pt idx="31">
                  <c:v>5.8515786004492386E-2</c:v>
                </c:pt>
                <c:pt idx="32">
                  <c:v>6.0427764764493921E-2</c:v>
                </c:pt>
                <c:pt idx="33">
                  <c:v>6.2341410191162148E-2</c:v>
                </c:pt>
                <c:pt idx="34">
                  <c:v>6.4256722284497025E-2</c:v>
                </c:pt>
                <c:pt idx="35">
                  <c:v>6.6173701044498573E-2</c:v>
                </c:pt>
                <c:pt idx="36">
                  <c:v>6.8092346471166784E-2</c:v>
                </c:pt>
                <c:pt idx="37">
                  <c:v>7.0012658564501673E-2</c:v>
                </c:pt>
                <c:pt idx="38">
                  <c:v>7.1934637324503184E-2</c:v>
                </c:pt>
                <c:pt idx="39">
                  <c:v>7.3858282751171414E-2</c:v>
                </c:pt>
                <c:pt idx="40">
                  <c:v>7.5783594844506308E-2</c:v>
                </c:pt>
                <c:pt idx="41">
                  <c:v>7.7710573604507865E-2</c:v>
                </c:pt>
                <c:pt idx="42">
                  <c:v>7.9639219031176087E-2</c:v>
                </c:pt>
                <c:pt idx="43">
                  <c:v>8.156953112451093E-2</c:v>
                </c:pt>
                <c:pt idx="44">
                  <c:v>8.3501509884512479E-2</c:v>
                </c:pt>
                <c:pt idx="45">
                  <c:v>8.5435155311180705E-2</c:v>
                </c:pt>
                <c:pt idx="46">
                  <c:v>8.7370467404515581E-2</c:v>
                </c:pt>
                <c:pt idx="47">
                  <c:v>8.9307446164517149E-2</c:v>
                </c:pt>
                <c:pt idx="48">
                  <c:v>9.1246091591185324E-2</c:v>
                </c:pt>
                <c:pt idx="49">
                  <c:v>9.3186403684520205E-2</c:v>
                </c:pt>
                <c:pt idx="50">
                  <c:v>9.5128382444521764E-2</c:v>
                </c:pt>
                <c:pt idx="51">
                  <c:v>9.7072027871189973E-2</c:v>
                </c:pt>
                <c:pt idx="52">
                  <c:v>9.9017339964524873E-2</c:v>
                </c:pt>
                <c:pt idx="53">
                  <c:v>0.10096431872452638</c:v>
                </c:pt>
                <c:pt idx="54">
                  <c:v>0.10291296415119459</c:v>
                </c:pt>
                <c:pt idx="55">
                  <c:v>0.10486327624452949</c:v>
                </c:pt>
                <c:pt idx="56">
                  <c:v>0.10681525500453107</c:v>
                </c:pt>
                <c:pt idx="57">
                  <c:v>0.10876890043119926</c:v>
                </c:pt>
                <c:pt idx="58">
                  <c:v>0.11072421252453413</c:v>
                </c:pt>
                <c:pt idx="59">
                  <c:v>0.11268119128453567</c:v>
                </c:pt>
                <c:pt idx="60">
                  <c:v>0.1146398367112039</c:v>
                </c:pt>
                <c:pt idx="61">
                  <c:v>0.11660014880453877</c:v>
                </c:pt>
                <c:pt idx="62">
                  <c:v>0.11856212756454032</c:v>
                </c:pt>
                <c:pt idx="63">
                  <c:v>0.12052577299120854</c:v>
                </c:pt>
                <c:pt idx="64">
                  <c:v>0.1224910850845434</c:v>
                </c:pt>
                <c:pt idx="65">
                  <c:v>0.12445806384454496</c:v>
                </c:pt>
                <c:pt idx="66">
                  <c:v>0.12642670927121319</c:v>
                </c:pt>
                <c:pt idx="67">
                  <c:v>0.12839702136454806</c:v>
                </c:pt>
                <c:pt idx="68">
                  <c:v>0.13036900012454961</c:v>
                </c:pt>
                <c:pt idx="69">
                  <c:v>0.1323426455512178</c:v>
                </c:pt>
                <c:pt idx="70">
                  <c:v>0.13431795764455268</c:v>
                </c:pt>
                <c:pt idx="71">
                  <c:v>0.13629493640455426</c:v>
                </c:pt>
                <c:pt idx="72">
                  <c:v>0.13827358183122246</c:v>
                </c:pt>
                <c:pt idx="73">
                  <c:v>0.14025389392455734</c:v>
                </c:pt>
                <c:pt idx="74">
                  <c:v>0.14223587268455889</c:v>
                </c:pt>
                <c:pt idx="75">
                  <c:v>0.1442195181112271</c:v>
                </c:pt>
                <c:pt idx="76">
                  <c:v>0.14620483020456193</c:v>
                </c:pt>
                <c:pt idx="77">
                  <c:v>0.14819180896456352</c:v>
                </c:pt>
                <c:pt idx="78">
                  <c:v>0.15018045439123173</c:v>
                </c:pt>
                <c:pt idx="79">
                  <c:v>0.15217076648456662</c:v>
                </c:pt>
                <c:pt idx="80">
                  <c:v>0.15416274524456816</c:v>
                </c:pt>
                <c:pt idx="81">
                  <c:v>0.15615639067123635</c:v>
                </c:pt>
                <c:pt idx="82">
                  <c:v>0.1581517027645713</c:v>
                </c:pt>
                <c:pt idx="83">
                  <c:v>0.16014868152457276</c:v>
                </c:pt>
                <c:pt idx="84">
                  <c:v>0.16214732695124104</c:v>
                </c:pt>
                <c:pt idx="85">
                  <c:v>0.16414763904457588</c:v>
                </c:pt>
                <c:pt idx="86">
                  <c:v>0.16614961780457743</c:v>
                </c:pt>
                <c:pt idx="87">
                  <c:v>0.16815326323124563</c:v>
                </c:pt>
                <c:pt idx="88">
                  <c:v>0.17015857532458051</c:v>
                </c:pt>
                <c:pt idx="89">
                  <c:v>0.17216555408458209</c:v>
                </c:pt>
                <c:pt idx="90">
                  <c:v>0.17417419951125029</c:v>
                </c:pt>
                <c:pt idx="91">
                  <c:v>0.17618451160458512</c:v>
                </c:pt>
                <c:pt idx="92">
                  <c:v>0.17819649036458671</c:v>
                </c:pt>
                <c:pt idx="93">
                  <c:v>0.18021013579125492</c:v>
                </c:pt>
                <c:pt idx="94">
                  <c:v>0.18222544788458983</c:v>
                </c:pt>
                <c:pt idx="95">
                  <c:v>0.18424242664459134</c:v>
                </c:pt>
                <c:pt idx="96">
                  <c:v>0.18626107207125953</c:v>
                </c:pt>
                <c:pt idx="97">
                  <c:v>0.1882813841645945</c:v>
                </c:pt>
                <c:pt idx="98">
                  <c:v>0.19030336292459596</c:v>
                </c:pt>
                <c:pt idx="99">
                  <c:v>0.19232700835126423</c:v>
                </c:pt>
                <c:pt idx="100">
                  <c:v>0.19435232044459907</c:v>
                </c:pt>
                <c:pt idx="101">
                  <c:v>0.19637929920460062</c:v>
                </c:pt>
                <c:pt idx="102">
                  <c:v>0.19840794463126885</c:v>
                </c:pt>
                <c:pt idx="103">
                  <c:v>0.20043825672460369</c:v>
                </c:pt>
                <c:pt idx="104">
                  <c:v>0.2024702354846053</c:v>
                </c:pt>
                <c:pt idx="105">
                  <c:v>0.2045038809112735</c:v>
                </c:pt>
                <c:pt idx="106">
                  <c:v>0.20653919300460832</c:v>
                </c:pt>
                <c:pt idx="107">
                  <c:v>0.20857617176460988</c:v>
                </c:pt>
                <c:pt idx="108">
                  <c:v>0.21061481719127809</c:v>
                </c:pt>
                <c:pt idx="109">
                  <c:v>0.21265512928461303</c:v>
                </c:pt>
                <c:pt idx="110">
                  <c:v>0.21469710804461453</c:v>
                </c:pt>
                <c:pt idx="111">
                  <c:v>0.21674075347128274</c:v>
                </c:pt>
                <c:pt idx="112">
                  <c:v>0.21878606556461769</c:v>
                </c:pt>
                <c:pt idx="113">
                  <c:v>0.22083304432461917</c:v>
                </c:pt>
                <c:pt idx="114">
                  <c:v>0.22288168975128742</c:v>
                </c:pt>
                <c:pt idx="115">
                  <c:v>0.22493200184462228</c:v>
                </c:pt>
                <c:pt idx="116">
                  <c:v>0.2269839806046238</c:v>
                </c:pt>
                <c:pt idx="117">
                  <c:v>0.22903762603129207</c:v>
                </c:pt>
                <c:pt idx="118">
                  <c:v>0.23109293812462689</c:v>
                </c:pt>
                <c:pt idx="119">
                  <c:v>0.23314991688462849</c:v>
                </c:pt>
                <c:pt idx="120">
                  <c:v>0.23520856231129669</c:v>
                </c:pt>
                <c:pt idx="121">
                  <c:v>0.23726887440463151</c:v>
                </c:pt>
                <c:pt idx="122">
                  <c:v>0.23933085316463307</c:v>
                </c:pt>
                <c:pt idx="123">
                  <c:v>0.24139449859130127</c:v>
                </c:pt>
                <c:pt idx="124">
                  <c:v>0.24345981068463621</c:v>
                </c:pt>
                <c:pt idx="125">
                  <c:v>0.24552678944463774</c:v>
                </c:pt>
                <c:pt idx="126">
                  <c:v>0.24759543487130597</c:v>
                </c:pt>
                <c:pt idx="127">
                  <c:v>0.24966574696464089</c:v>
                </c:pt>
                <c:pt idx="128">
                  <c:v>0.25173772572464237</c:v>
                </c:pt>
                <c:pt idx="129">
                  <c:v>0.25381137115131058</c:v>
                </c:pt>
                <c:pt idx="130">
                  <c:v>0.25588668324464547</c:v>
                </c:pt>
                <c:pt idx="131">
                  <c:v>0.25796366200464699</c:v>
                </c:pt>
                <c:pt idx="132">
                  <c:v>0.26004230743131529</c:v>
                </c:pt>
                <c:pt idx="133">
                  <c:v>0.26212261952465016</c:v>
                </c:pt>
                <c:pt idx="134">
                  <c:v>0.2642045982846517</c:v>
                </c:pt>
                <c:pt idx="135">
                  <c:v>0.26628824371131987</c:v>
                </c:pt>
                <c:pt idx="136">
                  <c:v>0.26837355580465477</c:v>
                </c:pt>
                <c:pt idx="137">
                  <c:v>0.2704605345646563</c:v>
                </c:pt>
                <c:pt idx="138">
                  <c:v>0.2725491799913245</c:v>
                </c:pt>
                <c:pt idx="139">
                  <c:v>0.27463949208465938</c:v>
                </c:pt>
                <c:pt idx="140">
                  <c:v>0.27673147084466093</c:v>
                </c:pt>
                <c:pt idx="141">
                  <c:v>0.27882511627132911</c:v>
                </c:pt>
                <c:pt idx="142">
                  <c:v>0.28092042836466408</c:v>
                </c:pt>
                <c:pt idx="143">
                  <c:v>0.2830174071246655</c:v>
                </c:pt>
                <c:pt idx="144">
                  <c:v>0.28511605255133377</c:v>
                </c:pt>
                <c:pt idx="145">
                  <c:v>0.28721636464466871</c:v>
                </c:pt>
                <c:pt idx="146">
                  <c:v>0.28931834340467022</c:v>
                </c:pt>
                <c:pt idx="147">
                  <c:v>0.29142198883133852</c:v>
                </c:pt>
                <c:pt idx="148">
                  <c:v>0.29352730092467338</c:v>
                </c:pt>
                <c:pt idx="149">
                  <c:v>0.29563427968467487</c:v>
                </c:pt>
                <c:pt idx="150">
                  <c:v>0.29774292511134309</c:v>
                </c:pt>
              </c:numCache>
            </c:numRef>
          </c:yVal>
          <c:smooth val="1"/>
          <c:extLst>
            <c:ext xmlns:c16="http://schemas.microsoft.com/office/drawing/2014/chart" uri="{C3380CC4-5D6E-409C-BE32-E72D297353CC}">
              <c16:uniqueId val="{00000001-199A-4277-BC05-4E64B1A6016C}"/>
            </c:ext>
          </c:extLst>
        </c:ser>
        <c:ser>
          <c:idx val="2"/>
          <c:order val="2"/>
          <c:tx>
            <c:v>HS MOSFET</c:v>
          </c:tx>
          <c:spPr>
            <a:ln>
              <a:solidFill>
                <a:schemeClr val="bg2">
                  <a:lumMod val="50000"/>
                </a:schemeClr>
              </a:solidFill>
              <a:prstDash val="sysDash"/>
            </a:ln>
          </c:spPr>
          <c:marker>
            <c:symbol val="none"/>
          </c:marker>
          <c:xVal>
            <c:numRef>
              <c:f>Eff_vs_IOUT!$S$7:$S$157</c:f>
              <c:numCache>
                <c:formatCode>General</c:formatCode>
                <c:ptCount val="151"/>
                <c:pt idx="0">
                  <c:v>0</c:v>
                </c:pt>
                <c:pt idx="1">
                  <c:v>3.3333333333333333E-2</c:v>
                </c:pt>
                <c:pt idx="2">
                  <c:v>6.6666666666666666E-2</c:v>
                </c:pt>
                <c:pt idx="3">
                  <c:v>0.1</c:v>
                </c:pt>
                <c:pt idx="4">
                  <c:v>0.13333333333333333</c:v>
                </c:pt>
                <c:pt idx="5">
                  <c:v>0.16666666666666666</c:v>
                </c:pt>
                <c:pt idx="6">
                  <c:v>0.2</c:v>
                </c:pt>
                <c:pt idx="7">
                  <c:v>0.23333333333333334</c:v>
                </c:pt>
                <c:pt idx="8">
                  <c:v>0.26666666666666666</c:v>
                </c:pt>
                <c:pt idx="9">
                  <c:v>0.3</c:v>
                </c:pt>
                <c:pt idx="10">
                  <c:v>0.33333333333333331</c:v>
                </c:pt>
                <c:pt idx="11">
                  <c:v>0.36666666666666664</c:v>
                </c:pt>
                <c:pt idx="12">
                  <c:v>0.4</c:v>
                </c:pt>
                <c:pt idx="13">
                  <c:v>0.43333333333333335</c:v>
                </c:pt>
                <c:pt idx="14">
                  <c:v>0.46666666666666667</c:v>
                </c:pt>
                <c:pt idx="15">
                  <c:v>0.5</c:v>
                </c:pt>
                <c:pt idx="16">
                  <c:v>0.53333333333333333</c:v>
                </c:pt>
                <c:pt idx="17">
                  <c:v>0.56666666666666665</c:v>
                </c:pt>
                <c:pt idx="18">
                  <c:v>0.6</c:v>
                </c:pt>
                <c:pt idx="19">
                  <c:v>0.6333333333333333</c:v>
                </c:pt>
                <c:pt idx="20">
                  <c:v>0.66666666666666663</c:v>
                </c:pt>
                <c:pt idx="21">
                  <c:v>0.7</c:v>
                </c:pt>
                <c:pt idx="22">
                  <c:v>0.73333333333333328</c:v>
                </c:pt>
                <c:pt idx="23">
                  <c:v>0.76666666666666661</c:v>
                </c:pt>
                <c:pt idx="24">
                  <c:v>0.8</c:v>
                </c:pt>
                <c:pt idx="25">
                  <c:v>0.83333333333333337</c:v>
                </c:pt>
                <c:pt idx="26">
                  <c:v>0.8666666666666667</c:v>
                </c:pt>
                <c:pt idx="27">
                  <c:v>0.9</c:v>
                </c:pt>
                <c:pt idx="28">
                  <c:v>0.93333333333333335</c:v>
                </c:pt>
                <c:pt idx="29">
                  <c:v>0.96666666666666667</c:v>
                </c:pt>
                <c:pt idx="30">
                  <c:v>1</c:v>
                </c:pt>
                <c:pt idx="31">
                  <c:v>1.0333333333333332</c:v>
                </c:pt>
                <c:pt idx="32">
                  <c:v>1.0666666666666667</c:v>
                </c:pt>
                <c:pt idx="33">
                  <c:v>1.1000000000000001</c:v>
                </c:pt>
                <c:pt idx="34">
                  <c:v>1.1333333333333333</c:v>
                </c:pt>
                <c:pt idx="35">
                  <c:v>1.1666666666666667</c:v>
                </c:pt>
                <c:pt idx="36">
                  <c:v>1.2</c:v>
                </c:pt>
                <c:pt idx="37">
                  <c:v>1.2333333333333334</c:v>
                </c:pt>
                <c:pt idx="38">
                  <c:v>1.2666666666666666</c:v>
                </c:pt>
                <c:pt idx="39">
                  <c:v>1.3</c:v>
                </c:pt>
                <c:pt idx="40">
                  <c:v>1.3333333333333333</c:v>
                </c:pt>
                <c:pt idx="41">
                  <c:v>1.3666666666666667</c:v>
                </c:pt>
                <c:pt idx="42">
                  <c:v>1.4</c:v>
                </c:pt>
                <c:pt idx="43">
                  <c:v>1.4333333333333333</c:v>
                </c:pt>
                <c:pt idx="44">
                  <c:v>1.4666666666666666</c:v>
                </c:pt>
                <c:pt idx="45">
                  <c:v>1.5</c:v>
                </c:pt>
                <c:pt idx="46">
                  <c:v>1.5333333333333332</c:v>
                </c:pt>
                <c:pt idx="47">
                  <c:v>1.5666666666666667</c:v>
                </c:pt>
                <c:pt idx="48">
                  <c:v>1.6</c:v>
                </c:pt>
                <c:pt idx="49">
                  <c:v>1.6333333333333333</c:v>
                </c:pt>
                <c:pt idx="50">
                  <c:v>1.6666666666666667</c:v>
                </c:pt>
                <c:pt idx="51">
                  <c:v>1.7</c:v>
                </c:pt>
                <c:pt idx="52">
                  <c:v>1.7333333333333334</c:v>
                </c:pt>
                <c:pt idx="53">
                  <c:v>1.7666666666666666</c:v>
                </c:pt>
                <c:pt idx="54">
                  <c:v>1.8</c:v>
                </c:pt>
                <c:pt idx="55">
                  <c:v>1.8333333333333333</c:v>
                </c:pt>
                <c:pt idx="56">
                  <c:v>1.8666666666666667</c:v>
                </c:pt>
                <c:pt idx="57">
                  <c:v>1.9</c:v>
                </c:pt>
                <c:pt idx="58">
                  <c:v>1.9333333333333333</c:v>
                </c:pt>
                <c:pt idx="59">
                  <c:v>1.9666666666666666</c:v>
                </c:pt>
                <c:pt idx="60">
                  <c:v>2</c:v>
                </c:pt>
                <c:pt idx="61">
                  <c:v>2.0333333333333332</c:v>
                </c:pt>
                <c:pt idx="62">
                  <c:v>2.0666666666666664</c:v>
                </c:pt>
                <c:pt idx="63">
                  <c:v>2.1</c:v>
                </c:pt>
                <c:pt idx="64">
                  <c:v>2.1333333333333333</c:v>
                </c:pt>
                <c:pt idx="65">
                  <c:v>2.1666666666666665</c:v>
                </c:pt>
                <c:pt idx="66">
                  <c:v>2.2000000000000002</c:v>
                </c:pt>
                <c:pt idx="67">
                  <c:v>2.2333333333333334</c:v>
                </c:pt>
                <c:pt idx="68">
                  <c:v>2.2666666666666666</c:v>
                </c:pt>
                <c:pt idx="69">
                  <c:v>2.2999999999999998</c:v>
                </c:pt>
                <c:pt idx="70">
                  <c:v>2.3333333333333335</c:v>
                </c:pt>
                <c:pt idx="71">
                  <c:v>2.3666666666666667</c:v>
                </c:pt>
                <c:pt idx="72">
                  <c:v>2.4</c:v>
                </c:pt>
                <c:pt idx="73">
                  <c:v>2.4333333333333331</c:v>
                </c:pt>
                <c:pt idx="74">
                  <c:v>2.4666666666666668</c:v>
                </c:pt>
                <c:pt idx="75">
                  <c:v>2.5</c:v>
                </c:pt>
                <c:pt idx="76">
                  <c:v>2.5333333333333332</c:v>
                </c:pt>
                <c:pt idx="77">
                  <c:v>2.5666666666666664</c:v>
                </c:pt>
                <c:pt idx="78">
                  <c:v>2.6</c:v>
                </c:pt>
                <c:pt idx="79">
                  <c:v>2.6333333333333333</c:v>
                </c:pt>
                <c:pt idx="80">
                  <c:v>2.6666666666666665</c:v>
                </c:pt>
                <c:pt idx="81">
                  <c:v>2.7</c:v>
                </c:pt>
                <c:pt idx="82">
                  <c:v>2.7333333333333334</c:v>
                </c:pt>
                <c:pt idx="83">
                  <c:v>2.7666666666666666</c:v>
                </c:pt>
                <c:pt idx="84">
                  <c:v>2.8</c:v>
                </c:pt>
                <c:pt idx="85">
                  <c:v>2.8333333333333335</c:v>
                </c:pt>
                <c:pt idx="86">
                  <c:v>2.8666666666666667</c:v>
                </c:pt>
                <c:pt idx="87">
                  <c:v>2.9</c:v>
                </c:pt>
                <c:pt idx="88">
                  <c:v>2.9333333333333331</c:v>
                </c:pt>
                <c:pt idx="89">
                  <c:v>2.9666666666666668</c:v>
                </c:pt>
                <c:pt idx="90">
                  <c:v>3</c:v>
                </c:pt>
                <c:pt idx="91">
                  <c:v>3.0333333333333332</c:v>
                </c:pt>
                <c:pt idx="92">
                  <c:v>3.0666666666666664</c:v>
                </c:pt>
                <c:pt idx="93">
                  <c:v>3.1</c:v>
                </c:pt>
                <c:pt idx="94">
                  <c:v>3.1333333333333333</c:v>
                </c:pt>
                <c:pt idx="95">
                  <c:v>3.1666666666666665</c:v>
                </c:pt>
                <c:pt idx="96">
                  <c:v>3.2</c:v>
                </c:pt>
                <c:pt idx="97">
                  <c:v>3.2333333333333334</c:v>
                </c:pt>
                <c:pt idx="98">
                  <c:v>3.2666666666666666</c:v>
                </c:pt>
                <c:pt idx="99">
                  <c:v>3.3</c:v>
                </c:pt>
                <c:pt idx="100">
                  <c:v>3.3333333333333335</c:v>
                </c:pt>
                <c:pt idx="101">
                  <c:v>3.3666666666666667</c:v>
                </c:pt>
                <c:pt idx="102">
                  <c:v>3.4</c:v>
                </c:pt>
                <c:pt idx="103">
                  <c:v>3.4333333333333331</c:v>
                </c:pt>
                <c:pt idx="104">
                  <c:v>3.4666666666666668</c:v>
                </c:pt>
                <c:pt idx="105">
                  <c:v>3.5</c:v>
                </c:pt>
                <c:pt idx="106">
                  <c:v>3.5333333333333332</c:v>
                </c:pt>
                <c:pt idx="107">
                  <c:v>3.5666666666666664</c:v>
                </c:pt>
                <c:pt idx="108">
                  <c:v>3.6</c:v>
                </c:pt>
                <c:pt idx="109">
                  <c:v>3.6333333333333333</c:v>
                </c:pt>
                <c:pt idx="110">
                  <c:v>3.6666666666666665</c:v>
                </c:pt>
                <c:pt idx="111">
                  <c:v>3.6999999999999997</c:v>
                </c:pt>
                <c:pt idx="112">
                  <c:v>3.7333333333333334</c:v>
                </c:pt>
                <c:pt idx="113">
                  <c:v>3.7666666666666666</c:v>
                </c:pt>
                <c:pt idx="114">
                  <c:v>3.8</c:v>
                </c:pt>
                <c:pt idx="115">
                  <c:v>3.8333333333333335</c:v>
                </c:pt>
                <c:pt idx="116">
                  <c:v>3.8666666666666667</c:v>
                </c:pt>
                <c:pt idx="117">
                  <c:v>3.9</c:v>
                </c:pt>
                <c:pt idx="118">
                  <c:v>3.9333333333333331</c:v>
                </c:pt>
                <c:pt idx="119">
                  <c:v>3.9666666666666668</c:v>
                </c:pt>
                <c:pt idx="120">
                  <c:v>4</c:v>
                </c:pt>
                <c:pt idx="121">
                  <c:v>4.0333333333333332</c:v>
                </c:pt>
                <c:pt idx="122">
                  <c:v>4.0666666666666664</c:v>
                </c:pt>
                <c:pt idx="123">
                  <c:v>4.0999999999999996</c:v>
                </c:pt>
                <c:pt idx="124">
                  <c:v>4.1333333333333329</c:v>
                </c:pt>
                <c:pt idx="125">
                  <c:v>4.166666666666667</c:v>
                </c:pt>
                <c:pt idx="126">
                  <c:v>4.2</c:v>
                </c:pt>
                <c:pt idx="127">
                  <c:v>4.2333333333333334</c:v>
                </c:pt>
                <c:pt idx="128">
                  <c:v>4.2666666666666666</c:v>
                </c:pt>
                <c:pt idx="129">
                  <c:v>4.3</c:v>
                </c:pt>
                <c:pt idx="130">
                  <c:v>4.333333333333333</c:v>
                </c:pt>
                <c:pt idx="131">
                  <c:v>4.3666666666666663</c:v>
                </c:pt>
                <c:pt idx="132">
                  <c:v>4.4000000000000004</c:v>
                </c:pt>
                <c:pt idx="133">
                  <c:v>4.4333333333333336</c:v>
                </c:pt>
                <c:pt idx="134">
                  <c:v>4.4666666666666668</c:v>
                </c:pt>
                <c:pt idx="135">
                  <c:v>4.5</c:v>
                </c:pt>
                <c:pt idx="136">
                  <c:v>4.5333333333333332</c:v>
                </c:pt>
                <c:pt idx="137">
                  <c:v>4.5666666666666664</c:v>
                </c:pt>
                <c:pt idx="138">
                  <c:v>4.5999999999999996</c:v>
                </c:pt>
                <c:pt idx="139">
                  <c:v>4.6333333333333329</c:v>
                </c:pt>
                <c:pt idx="140">
                  <c:v>4.666666666666667</c:v>
                </c:pt>
                <c:pt idx="141">
                  <c:v>4.7</c:v>
                </c:pt>
                <c:pt idx="142">
                  <c:v>4.7333333333333334</c:v>
                </c:pt>
                <c:pt idx="143">
                  <c:v>4.7666666666666666</c:v>
                </c:pt>
                <c:pt idx="144">
                  <c:v>4.8</c:v>
                </c:pt>
                <c:pt idx="145">
                  <c:v>4.833333333333333</c:v>
                </c:pt>
                <c:pt idx="146">
                  <c:v>4.8666666666666663</c:v>
                </c:pt>
                <c:pt idx="147">
                  <c:v>4.9000000000000004</c:v>
                </c:pt>
                <c:pt idx="148">
                  <c:v>4.9333333333333336</c:v>
                </c:pt>
                <c:pt idx="149">
                  <c:v>4.9666666666666668</c:v>
                </c:pt>
                <c:pt idx="150">
                  <c:v>5</c:v>
                </c:pt>
              </c:numCache>
            </c:numRef>
          </c:xVal>
          <c:yVal>
            <c:numRef>
              <c:f>Eff_vs_IOUT!$AO$7:$AO$157</c:f>
              <c:numCache>
                <c:formatCode>General</c:formatCode>
                <c:ptCount val="151"/>
                <c:pt idx="0">
                  <c:v>0.16804222222222226</c:v>
                </c:pt>
                <c:pt idx="1">
                  <c:v>0.16884388888888893</c:v>
                </c:pt>
                <c:pt idx="2">
                  <c:v>0.16964888888888893</c:v>
                </c:pt>
                <c:pt idx="3">
                  <c:v>0.17045722222222226</c:v>
                </c:pt>
                <c:pt idx="4">
                  <c:v>0.17126888888888891</c:v>
                </c:pt>
                <c:pt idx="5">
                  <c:v>0.17208388888888895</c:v>
                </c:pt>
                <c:pt idx="6">
                  <c:v>0.17290222222222226</c:v>
                </c:pt>
                <c:pt idx="7">
                  <c:v>0.17372388888888893</c:v>
                </c:pt>
                <c:pt idx="8">
                  <c:v>0.17454888888888892</c:v>
                </c:pt>
                <c:pt idx="9">
                  <c:v>0.17537722222222227</c:v>
                </c:pt>
                <c:pt idx="10">
                  <c:v>0.17620888888888894</c:v>
                </c:pt>
                <c:pt idx="11">
                  <c:v>0.17704388888888895</c:v>
                </c:pt>
                <c:pt idx="12">
                  <c:v>0.17788222222222227</c:v>
                </c:pt>
                <c:pt idx="13">
                  <c:v>0.17872388888888893</c:v>
                </c:pt>
                <c:pt idx="14">
                  <c:v>0.17956888888888892</c:v>
                </c:pt>
                <c:pt idx="15">
                  <c:v>0.18041722222222228</c:v>
                </c:pt>
                <c:pt idx="16">
                  <c:v>0.18126888888888895</c:v>
                </c:pt>
                <c:pt idx="17">
                  <c:v>0.18212388888888895</c:v>
                </c:pt>
                <c:pt idx="18">
                  <c:v>0.18298222222222227</c:v>
                </c:pt>
                <c:pt idx="19">
                  <c:v>0.18384388888888892</c:v>
                </c:pt>
                <c:pt idx="20">
                  <c:v>0.18470888888888892</c:v>
                </c:pt>
                <c:pt idx="21">
                  <c:v>0.18557722222222228</c:v>
                </c:pt>
                <c:pt idx="22">
                  <c:v>0.18644888888888894</c:v>
                </c:pt>
                <c:pt idx="23">
                  <c:v>0.18732388888888893</c:v>
                </c:pt>
                <c:pt idx="24">
                  <c:v>0.18820222222222227</c:v>
                </c:pt>
                <c:pt idx="25">
                  <c:v>0.18908388888888894</c:v>
                </c:pt>
                <c:pt idx="26">
                  <c:v>0.18996888888888896</c:v>
                </c:pt>
                <c:pt idx="27">
                  <c:v>0.19085722222222229</c:v>
                </c:pt>
                <c:pt idx="28">
                  <c:v>0.19174888888888894</c:v>
                </c:pt>
                <c:pt idx="29">
                  <c:v>0.19264388888888895</c:v>
                </c:pt>
                <c:pt idx="30">
                  <c:v>0.19354222222222225</c:v>
                </c:pt>
                <c:pt idx="31">
                  <c:v>0.19444388888888892</c:v>
                </c:pt>
                <c:pt idx="32">
                  <c:v>0.19534888888888893</c:v>
                </c:pt>
                <c:pt idx="33">
                  <c:v>0.19625722222222228</c:v>
                </c:pt>
                <c:pt idx="34">
                  <c:v>0.19716888888888895</c:v>
                </c:pt>
                <c:pt idx="35">
                  <c:v>0.19808388888888895</c:v>
                </c:pt>
                <c:pt idx="36">
                  <c:v>0.19900222222222227</c:v>
                </c:pt>
                <c:pt idx="37">
                  <c:v>0.19992388888888896</c:v>
                </c:pt>
                <c:pt idx="38">
                  <c:v>0.20084888888888891</c:v>
                </c:pt>
                <c:pt idx="39">
                  <c:v>0.20177722222222227</c:v>
                </c:pt>
                <c:pt idx="40">
                  <c:v>0.20270888888888894</c:v>
                </c:pt>
                <c:pt idx="41">
                  <c:v>0.20364388888888893</c:v>
                </c:pt>
                <c:pt idx="42">
                  <c:v>0.20458222222222228</c:v>
                </c:pt>
                <c:pt idx="43">
                  <c:v>0.20552388888888895</c:v>
                </c:pt>
                <c:pt idx="44">
                  <c:v>0.20646888888888892</c:v>
                </c:pt>
                <c:pt idx="45">
                  <c:v>0.20741722222222225</c:v>
                </c:pt>
                <c:pt idx="46">
                  <c:v>0.20836888888888894</c:v>
                </c:pt>
                <c:pt idx="47">
                  <c:v>0.20932388888888892</c:v>
                </c:pt>
                <c:pt idx="48">
                  <c:v>0.21028222222222226</c:v>
                </c:pt>
                <c:pt idx="49">
                  <c:v>0.21124388888888895</c:v>
                </c:pt>
                <c:pt idx="50">
                  <c:v>0.21220888888888895</c:v>
                </c:pt>
                <c:pt idx="51">
                  <c:v>0.21317722222222224</c:v>
                </c:pt>
                <c:pt idx="52">
                  <c:v>0.21414888888888894</c:v>
                </c:pt>
                <c:pt idx="53">
                  <c:v>0.21512388888888892</c:v>
                </c:pt>
                <c:pt idx="54">
                  <c:v>0.21610222222222225</c:v>
                </c:pt>
                <c:pt idx="55">
                  <c:v>0.21708388888888891</c:v>
                </c:pt>
                <c:pt idx="56">
                  <c:v>0.21806888888888895</c:v>
                </c:pt>
                <c:pt idx="57">
                  <c:v>0.21905722222222224</c:v>
                </c:pt>
                <c:pt idx="58">
                  <c:v>0.22004888888888893</c:v>
                </c:pt>
                <c:pt idx="59">
                  <c:v>0.22104388888888893</c:v>
                </c:pt>
                <c:pt idx="60">
                  <c:v>0.22204222222222225</c:v>
                </c:pt>
                <c:pt idx="61">
                  <c:v>0.22304388888888893</c:v>
                </c:pt>
                <c:pt idx="62">
                  <c:v>0.22404888888888891</c:v>
                </c:pt>
                <c:pt idx="63">
                  <c:v>0.22505722222222227</c:v>
                </c:pt>
                <c:pt idx="64">
                  <c:v>0.22606888888888893</c:v>
                </c:pt>
                <c:pt idx="65">
                  <c:v>0.22708388888888892</c:v>
                </c:pt>
                <c:pt idx="66">
                  <c:v>0.22810222222222226</c:v>
                </c:pt>
                <c:pt idx="67">
                  <c:v>0.22912388888888896</c:v>
                </c:pt>
                <c:pt idx="68">
                  <c:v>0.23014888888888893</c:v>
                </c:pt>
                <c:pt idx="69">
                  <c:v>0.23117722222222226</c:v>
                </c:pt>
                <c:pt idx="70">
                  <c:v>0.23220888888888894</c:v>
                </c:pt>
                <c:pt idx="71">
                  <c:v>0.23324388888888892</c:v>
                </c:pt>
                <c:pt idx="72">
                  <c:v>0.23428222222222225</c:v>
                </c:pt>
                <c:pt idx="73">
                  <c:v>0.23532388888888894</c:v>
                </c:pt>
                <c:pt idx="74">
                  <c:v>0.23636888888888896</c:v>
                </c:pt>
                <c:pt idx="75">
                  <c:v>0.23741722222222228</c:v>
                </c:pt>
                <c:pt idx="76">
                  <c:v>0.23846888888888892</c:v>
                </c:pt>
                <c:pt idx="77">
                  <c:v>0.23952388888888893</c:v>
                </c:pt>
                <c:pt idx="78">
                  <c:v>0.24058222222222225</c:v>
                </c:pt>
                <c:pt idx="79">
                  <c:v>0.24164388888888894</c:v>
                </c:pt>
                <c:pt idx="80">
                  <c:v>0.24270888888888892</c:v>
                </c:pt>
                <c:pt idx="81">
                  <c:v>0.24377722222222226</c:v>
                </c:pt>
                <c:pt idx="82">
                  <c:v>0.24484888888888895</c:v>
                </c:pt>
                <c:pt idx="83">
                  <c:v>0.24592388888888891</c:v>
                </c:pt>
                <c:pt idx="84">
                  <c:v>0.24700222222222229</c:v>
                </c:pt>
                <c:pt idx="85">
                  <c:v>0.24808388888888894</c:v>
                </c:pt>
                <c:pt idx="86">
                  <c:v>0.24916888888888894</c:v>
                </c:pt>
                <c:pt idx="87">
                  <c:v>0.25025722222222224</c:v>
                </c:pt>
                <c:pt idx="88">
                  <c:v>0.25134888888888895</c:v>
                </c:pt>
                <c:pt idx="89">
                  <c:v>0.25244388888888891</c:v>
                </c:pt>
                <c:pt idx="90">
                  <c:v>0.25354222222222228</c:v>
                </c:pt>
                <c:pt idx="91">
                  <c:v>0.25464388888888895</c:v>
                </c:pt>
                <c:pt idx="92">
                  <c:v>0.25574888888888891</c:v>
                </c:pt>
                <c:pt idx="93">
                  <c:v>0.25685722222222229</c:v>
                </c:pt>
                <c:pt idx="94">
                  <c:v>0.25796888888888891</c:v>
                </c:pt>
                <c:pt idx="95">
                  <c:v>0.25908388888888895</c:v>
                </c:pt>
                <c:pt idx="96">
                  <c:v>0.26020222222222228</c:v>
                </c:pt>
                <c:pt idx="97">
                  <c:v>0.26132388888888891</c:v>
                </c:pt>
                <c:pt idx="98">
                  <c:v>0.2624488888888889</c:v>
                </c:pt>
                <c:pt idx="99">
                  <c:v>0.26357722222222224</c:v>
                </c:pt>
                <c:pt idx="100">
                  <c:v>0.26470888888888894</c:v>
                </c:pt>
                <c:pt idx="101">
                  <c:v>0.26584388888888894</c:v>
                </c:pt>
                <c:pt idx="102">
                  <c:v>0.26698222222222223</c:v>
                </c:pt>
                <c:pt idx="103">
                  <c:v>0.26812388888888894</c:v>
                </c:pt>
                <c:pt idx="104">
                  <c:v>0.26926888888888889</c:v>
                </c:pt>
                <c:pt idx="105">
                  <c:v>0.27041722222222225</c:v>
                </c:pt>
                <c:pt idx="106">
                  <c:v>0.27156888888888892</c:v>
                </c:pt>
                <c:pt idx="107">
                  <c:v>0.27272388888888888</c:v>
                </c:pt>
                <c:pt idx="108">
                  <c:v>0.27388222222222225</c:v>
                </c:pt>
                <c:pt idx="109">
                  <c:v>0.27504388888888898</c:v>
                </c:pt>
                <c:pt idx="110">
                  <c:v>0.27620888888888895</c:v>
                </c:pt>
                <c:pt idx="111">
                  <c:v>0.27737722222222227</c:v>
                </c:pt>
                <c:pt idx="112">
                  <c:v>0.27854888888888896</c:v>
                </c:pt>
                <c:pt idx="113">
                  <c:v>0.27972388888888888</c:v>
                </c:pt>
                <c:pt idx="114">
                  <c:v>0.28090222222222222</c:v>
                </c:pt>
                <c:pt idx="115">
                  <c:v>0.28208388888888891</c:v>
                </c:pt>
                <c:pt idx="116">
                  <c:v>0.2832688888888889</c:v>
                </c:pt>
                <c:pt idx="117">
                  <c:v>0.28445722222222225</c:v>
                </c:pt>
                <c:pt idx="118">
                  <c:v>0.28564888888888895</c:v>
                </c:pt>
                <c:pt idx="119">
                  <c:v>0.28684388888888895</c:v>
                </c:pt>
                <c:pt idx="120">
                  <c:v>0.28804222222222226</c:v>
                </c:pt>
                <c:pt idx="121">
                  <c:v>0.28924388888888897</c:v>
                </c:pt>
                <c:pt idx="122">
                  <c:v>0.29044888888888892</c:v>
                </c:pt>
                <c:pt idx="123">
                  <c:v>0.29165722222222223</c:v>
                </c:pt>
                <c:pt idx="124">
                  <c:v>0.2928688888888889</c:v>
                </c:pt>
                <c:pt idx="125">
                  <c:v>0.29408388888888892</c:v>
                </c:pt>
                <c:pt idx="126">
                  <c:v>0.29530222222222224</c:v>
                </c:pt>
                <c:pt idx="127">
                  <c:v>0.29652388888888892</c:v>
                </c:pt>
                <c:pt idx="128">
                  <c:v>0.29774888888888895</c:v>
                </c:pt>
                <c:pt idx="129">
                  <c:v>0.29897722222222223</c:v>
                </c:pt>
                <c:pt idx="130">
                  <c:v>0.30020888888888891</c:v>
                </c:pt>
                <c:pt idx="131">
                  <c:v>0.3014438888888889</c:v>
                </c:pt>
                <c:pt idx="132">
                  <c:v>0.3026822222222223</c:v>
                </c:pt>
                <c:pt idx="133">
                  <c:v>0.30392388888888894</c:v>
                </c:pt>
                <c:pt idx="134">
                  <c:v>0.30516888888888893</c:v>
                </c:pt>
                <c:pt idx="135">
                  <c:v>0.30641722222222229</c:v>
                </c:pt>
                <c:pt idx="136">
                  <c:v>0.30766888888888894</c:v>
                </c:pt>
                <c:pt idx="137">
                  <c:v>0.30892388888888889</c:v>
                </c:pt>
                <c:pt idx="138">
                  <c:v>0.31018222222222225</c:v>
                </c:pt>
                <c:pt idx="139">
                  <c:v>0.31144388888888891</c:v>
                </c:pt>
                <c:pt idx="140">
                  <c:v>0.31270888888888893</c:v>
                </c:pt>
                <c:pt idx="141">
                  <c:v>0.31397722222222224</c:v>
                </c:pt>
                <c:pt idx="142">
                  <c:v>0.31524888888888891</c:v>
                </c:pt>
                <c:pt idx="143">
                  <c:v>0.31652388888888894</c:v>
                </c:pt>
                <c:pt idx="144">
                  <c:v>0.31780222222222221</c:v>
                </c:pt>
                <c:pt idx="145">
                  <c:v>0.31908388888888894</c:v>
                </c:pt>
                <c:pt idx="146">
                  <c:v>0.32036888888888893</c:v>
                </c:pt>
                <c:pt idx="147">
                  <c:v>0.32165722222222226</c:v>
                </c:pt>
                <c:pt idx="148">
                  <c:v>0.32294888888888895</c:v>
                </c:pt>
                <c:pt idx="149">
                  <c:v>0.32424388888888894</c:v>
                </c:pt>
                <c:pt idx="150">
                  <c:v>0.32554222222222229</c:v>
                </c:pt>
              </c:numCache>
            </c:numRef>
          </c:yVal>
          <c:smooth val="1"/>
          <c:extLst>
            <c:ext xmlns:c16="http://schemas.microsoft.com/office/drawing/2014/chart" uri="{C3380CC4-5D6E-409C-BE32-E72D297353CC}">
              <c16:uniqueId val="{00000002-199A-4277-BC05-4E64B1A6016C}"/>
            </c:ext>
          </c:extLst>
        </c:ser>
        <c:ser>
          <c:idx val="3"/>
          <c:order val="3"/>
          <c:tx>
            <c:v>RCS</c:v>
          </c:tx>
          <c:spPr>
            <a:ln>
              <a:solidFill>
                <a:schemeClr val="accent5">
                  <a:lumMod val="75000"/>
                </a:schemeClr>
              </a:solidFill>
              <a:prstDash val="lgDashDotDot"/>
            </a:ln>
          </c:spPr>
          <c:marker>
            <c:symbol val="none"/>
          </c:marker>
          <c:xVal>
            <c:numRef>
              <c:f>Eff_vs_IOUT!$S$7:$S$157</c:f>
              <c:numCache>
                <c:formatCode>General</c:formatCode>
                <c:ptCount val="151"/>
                <c:pt idx="0">
                  <c:v>0</c:v>
                </c:pt>
                <c:pt idx="1">
                  <c:v>3.3333333333333333E-2</c:v>
                </c:pt>
                <c:pt idx="2">
                  <c:v>6.6666666666666666E-2</c:v>
                </c:pt>
                <c:pt idx="3">
                  <c:v>0.1</c:v>
                </c:pt>
                <c:pt idx="4">
                  <c:v>0.13333333333333333</c:v>
                </c:pt>
                <c:pt idx="5">
                  <c:v>0.16666666666666666</c:v>
                </c:pt>
                <c:pt idx="6">
                  <c:v>0.2</c:v>
                </c:pt>
                <c:pt idx="7">
                  <c:v>0.23333333333333334</c:v>
                </c:pt>
                <c:pt idx="8">
                  <c:v>0.26666666666666666</c:v>
                </c:pt>
                <c:pt idx="9">
                  <c:v>0.3</c:v>
                </c:pt>
                <c:pt idx="10">
                  <c:v>0.33333333333333331</c:v>
                </c:pt>
                <c:pt idx="11">
                  <c:v>0.36666666666666664</c:v>
                </c:pt>
                <c:pt idx="12">
                  <c:v>0.4</c:v>
                </c:pt>
                <c:pt idx="13">
                  <c:v>0.43333333333333335</c:v>
                </c:pt>
                <c:pt idx="14">
                  <c:v>0.46666666666666667</c:v>
                </c:pt>
                <c:pt idx="15">
                  <c:v>0.5</c:v>
                </c:pt>
                <c:pt idx="16">
                  <c:v>0.53333333333333333</c:v>
                </c:pt>
                <c:pt idx="17">
                  <c:v>0.56666666666666665</c:v>
                </c:pt>
                <c:pt idx="18">
                  <c:v>0.6</c:v>
                </c:pt>
                <c:pt idx="19">
                  <c:v>0.6333333333333333</c:v>
                </c:pt>
                <c:pt idx="20">
                  <c:v>0.66666666666666663</c:v>
                </c:pt>
                <c:pt idx="21">
                  <c:v>0.7</c:v>
                </c:pt>
                <c:pt idx="22">
                  <c:v>0.73333333333333328</c:v>
                </c:pt>
                <c:pt idx="23">
                  <c:v>0.76666666666666661</c:v>
                </c:pt>
                <c:pt idx="24">
                  <c:v>0.8</c:v>
                </c:pt>
                <c:pt idx="25">
                  <c:v>0.83333333333333337</c:v>
                </c:pt>
                <c:pt idx="26">
                  <c:v>0.8666666666666667</c:v>
                </c:pt>
                <c:pt idx="27">
                  <c:v>0.9</c:v>
                </c:pt>
                <c:pt idx="28">
                  <c:v>0.93333333333333335</c:v>
                </c:pt>
                <c:pt idx="29">
                  <c:v>0.96666666666666667</c:v>
                </c:pt>
                <c:pt idx="30">
                  <c:v>1</c:v>
                </c:pt>
                <c:pt idx="31">
                  <c:v>1.0333333333333332</c:v>
                </c:pt>
                <c:pt idx="32">
                  <c:v>1.0666666666666667</c:v>
                </c:pt>
                <c:pt idx="33">
                  <c:v>1.1000000000000001</c:v>
                </c:pt>
                <c:pt idx="34">
                  <c:v>1.1333333333333333</c:v>
                </c:pt>
                <c:pt idx="35">
                  <c:v>1.1666666666666667</c:v>
                </c:pt>
                <c:pt idx="36">
                  <c:v>1.2</c:v>
                </c:pt>
                <c:pt idx="37">
                  <c:v>1.2333333333333334</c:v>
                </c:pt>
                <c:pt idx="38">
                  <c:v>1.2666666666666666</c:v>
                </c:pt>
                <c:pt idx="39">
                  <c:v>1.3</c:v>
                </c:pt>
                <c:pt idx="40">
                  <c:v>1.3333333333333333</c:v>
                </c:pt>
                <c:pt idx="41">
                  <c:v>1.3666666666666667</c:v>
                </c:pt>
                <c:pt idx="42">
                  <c:v>1.4</c:v>
                </c:pt>
                <c:pt idx="43">
                  <c:v>1.4333333333333333</c:v>
                </c:pt>
                <c:pt idx="44">
                  <c:v>1.4666666666666666</c:v>
                </c:pt>
                <c:pt idx="45">
                  <c:v>1.5</c:v>
                </c:pt>
                <c:pt idx="46">
                  <c:v>1.5333333333333332</c:v>
                </c:pt>
                <c:pt idx="47">
                  <c:v>1.5666666666666667</c:v>
                </c:pt>
                <c:pt idx="48">
                  <c:v>1.6</c:v>
                </c:pt>
                <c:pt idx="49">
                  <c:v>1.6333333333333333</c:v>
                </c:pt>
                <c:pt idx="50">
                  <c:v>1.6666666666666667</c:v>
                </c:pt>
                <c:pt idx="51">
                  <c:v>1.7</c:v>
                </c:pt>
                <c:pt idx="52">
                  <c:v>1.7333333333333334</c:v>
                </c:pt>
                <c:pt idx="53">
                  <c:v>1.7666666666666666</c:v>
                </c:pt>
                <c:pt idx="54">
                  <c:v>1.8</c:v>
                </c:pt>
                <c:pt idx="55">
                  <c:v>1.8333333333333333</c:v>
                </c:pt>
                <c:pt idx="56">
                  <c:v>1.8666666666666667</c:v>
                </c:pt>
                <c:pt idx="57">
                  <c:v>1.9</c:v>
                </c:pt>
                <c:pt idx="58">
                  <c:v>1.9333333333333333</c:v>
                </c:pt>
                <c:pt idx="59">
                  <c:v>1.9666666666666666</c:v>
                </c:pt>
                <c:pt idx="60">
                  <c:v>2</c:v>
                </c:pt>
                <c:pt idx="61">
                  <c:v>2.0333333333333332</c:v>
                </c:pt>
                <c:pt idx="62">
                  <c:v>2.0666666666666664</c:v>
                </c:pt>
                <c:pt idx="63">
                  <c:v>2.1</c:v>
                </c:pt>
                <c:pt idx="64">
                  <c:v>2.1333333333333333</c:v>
                </c:pt>
                <c:pt idx="65">
                  <c:v>2.1666666666666665</c:v>
                </c:pt>
                <c:pt idx="66">
                  <c:v>2.2000000000000002</c:v>
                </c:pt>
                <c:pt idx="67">
                  <c:v>2.2333333333333334</c:v>
                </c:pt>
                <c:pt idx="68">
                  <c:v>2.2666666666666666</c:v>
                </c:pt>
                <c:pt idx="69">
                  <c:v>2.2999999999999998</c:v>
                </c:pt>
                <c:pt idx="70">
                  <c:v>2.3333333333333335</c:v>
                </c:pt>
                <c:pt idx="71">
                  <c:v>2.3666666666666667</c:v>
                </c:pt>
                <c:pt idx="72">
                  <c:v>2.4</c:v>
                </c:pt>
                <c:pt idx="73">
                  <c:v>2.4333333333333331</c:v>
                </c:pt>
                <c:pt idx="74">
                  <c:v>2.4666666666666668</c:v>
                </c:pt>
                <c:pt idx="75">
                  <c:v>2.5</c:v>
                </c:pt>
                <c:pt idx="76">
                  <c:v>2.5333333333333332</c:v>
                </c:pt>
                <c:pt idx="77">
                  <c:v>2.5666666666666664</c:v>
                </c:pt>
                <c:pt idx="78">
                  <c:v>2.6</c:v>
                </c:pt>
                <c:pt idx="79">
                  <c:v>2.6333333333333333</c:v>
                </c:pt>
                <c:pt idx="80">
                  <c:v>2.6666666666666665</c:v>
                </c:pt>
                <c:pt idx="81">
                  <c:v>2.7</c:v>
                </c:pt>
                <c:pt idx="82">
                  <c:v>2.7333333333333334</c:v>
                </c:pt>
                <c:pt idx="83">
                  <c:v>2.7666666666666666</c:v>
                </c:pt>
                <c:pt idx="84">
                  <c:v>2.8</c:v>
                </c:pt>
                <c:pt idx="85">
                  <c:v>2.8333333333333335</c:v>
                </c:pt>
                <c:pt idx="86">
                  <c:v>2.8666666666666667</c:v>
                </c:pt>
                <c:pt idx="87">
                  <c:v>2.9</c:v>
                </c:pt>
                <c:pt idx="88">
                  <c:v>2.9333333333333331</c:v>
                </c:pt>
                <c:pt idx="89">
                  <c:v>2.9666666666666668</c:v>
                </c:pt>
                <c:pt idx="90">
                  <c:v>3</c:v>
                </c:pt>
                <c:pt idx="91">
                  <c:v>3.0333333333333332</c:v>
                </c:pt>
                <c:pt idx="92">
                  <c:v>3.0666666666666664</c:v>
                </c:pt>
                <c:pt idx="93">
                  <c:v>3.1</c:v>
                </c:pt>
                <c:pt idx="94">
                  <c:v>3.1333333333333333</c:v>
                </c:pt>
                <c:pt idx="95">
                  <c:v>3.1666666666666665</c:v>
                </c:pt>
                <c:pt idx="96">
                  <c:v>3.2</c:v>
                </c:pt>
                <c:pt idx="97">
                  <c:v>3.2333333333333334</c:v>
                </c:pt>
                <c:pt idx="98">
                  <c:v>3.2666666666666666</c:v>
                </c:pt>
                <c:pt idx="99">
                  <c:v>3.3</c:v>
                </c:pt>
                <c:pt idx="100">
                  <c:v>3.3333333333333335</c:v>
                </c:pt>
                <c:pt idx="101">
                  <c:v>3.3666666666666667</c:v>
                </c:pt>
                <c:pt idx="102">
                  <c:v>3.4</c:v>
                </c:pt>
                <c:pt idx="103">
                  <c:v>3.4333333333333331</c:v>
                </c:pt>
                <c:pt idx="104">
                  <c:v>3.4666666666666668</c:v>
                </c:pt>
                <c:pt idx="105">
                  <c:v>3.5</c:v>
                </c:pt>
                <c:pt idx="106">
                  <c:v>3.5333333333333332</c:v>
                </c:pt>
                <c:pt idx="107">
                  <c:v>3.5666666666666664</c:v>
                </c:pt>
                <c:pt idx="108">
                  <c:v>3.6</c:v>
                </c:pt>
                <c:pt idx="109">
                  <c:v>3.6333333333333333</c:v>
                </c:pt>
                <c:pt idx="110">
                  <c:v>3.6666666666666665</c:v>
                </c:pt>
                <c:pt idx="111">
                  <c:v>3.6999999999999997</c:v>
                </c:pt>
                <c:pt idx="112">
                  <c:v>3.7333333333333334</c:v>
                </c:pt>
                <c:pt idx="113">
                  <c:v>3.7666666666666666</c:v>
                </c:pt>
                <c:pt idx="114">
                  <c:v>3.8</c:v>
                </c:pt>
                <c:pt idx="115">
                  <c:v>3.8333333333333335</c:v>
                </c:pt>
                <c:pt idx="116">
                  <c:v>3.8666666666666667</c:v>
                </c:pt>
                <c:pt idx="117">
                  <c:v>3.9</c:v>
                </c:pt>
                <c:pt idx="118">
                  <c:v>3.9333333333333331</c:v>
                </c:pt>
                <c:pt idx="119">
                  <c:v>3.9666666666666668</c:v>
                </c:pt>
                <c:pt idx="120">
                  <c:v>4</c:v>
                </c:pt>
                <c:pt idx="121">
                  <c:v>4.0333333333333332</c:v>
                </c:pt>
                <c:pt idx="122">
                  <c:v>4.0666666666666664</c:v>
                </c:pt>
                <c:pt idx="123">
                  <c:v>4.0999999999999996</c:v>
                </c:pt>
                <c:pt idx="124">
                  <c:v>4.1333333333333329</c:v>
                </c:pt>
                <c:pt idx="125">
                  <c:v>4.166666666666667</c:v>
                </c:pt>
                <c:pt idx="126">
                  <c:v>4.2</c:v>
                </c:pt>
                <c:pt idx="127">
                  <c:v>4.2333333333333334</c:v>
                </c:pt>
                <c:pt idx="128">
                  <c:v>4.2666666666666666</c:v>
                </c:pt>
                <c:pt idx="129">
                  <c:v>4.3</c:v>
                </c:pt>
                <c:pt idx="130">
                  <c:v>4.333333333333333</c:v>
                </c:pt>
                <c:pt idx="131">
                  <c:v>4.3666666666666663</c:v>
                </c:pt>
                <c:pt idx="132">
                  <c:v>4.4000000000000004</c:v>
                </c:pt>
                <c:pt idx="133">
                  <c:v>4.4333333333333336</c:v>
                </c:pt>
                <c:pt idx="134">
                  <c:v>4.4666666666666668</c:v>
                </c:pt>
                <c:pt idx="135">
                  <c:v>4.5</c:v>
                </c:pt>
                <c:pt idx="136">
                  <c:v>4.5333333333333332</c:v>
                </c:pt>
                <c:pt idx="137">
                  <c:v>4.5666666666666664</c:v>
                </c:pt>
                <c:pt idx="138">
                  <c:v>4.5999999999999996</c:v>
                </c:pt>
                <c:pt idx="139">
                  <c:v>4.6333333333333329</c:v>
                </c:pt>
                <c:pt idx="140">
                  <c:v>4.666666666666667</c:v>
                </c:pt>
                <c:pt idx="141">
                  <c:v>4.7</c:v>
                </c:pt>
                <c:pt idx="142">
                  <c:v>4.7333333333333334</c:v>
                </c:pt>
                <c:pt idx="143">
                  <c:v>4.7666666666666666</c:v>
                </c:pt>
                <c:pt idx="144">
                  <c:v>4.8</c:v>
                </c:pt>
                <c:pt idx="145">
                  <c:v>4.833333333333333</c:v>
                </c:pt>
                <c:pt idx="146">
                  <c:v>4.8666666666666663</c:v>
                </c:pt>
                <c:pt idx="147">
                  <c:v>4.9000000000000004</c:v>
                </c:pt>
                <c:pt idx="148">
                  <c:v>4.9333333333333336</c:v>
                </c:pt>
                <c:pt idx="149">
                  <c:v>4.9666666666666668</c:v>
                </c:pt>
                <c:pt idx="150">
                  <c:v>5</c:v>
                </c:pt>
              </c:numCache>
            </c:numRef>
          </c:xVal>
          <c:yVal>
            <c:numRef>
              <c:f>Eff_vs_IOUT!$AP$7:$AP$157</c:f>
              <c:numCache>
                <c:formatCode>General</c:formatCode>
                <c:ptCount val="151"/>
                <c:pt idx="0">
                  <c:v>8.5333333333333355E-4</c:v>
                </c:pt>
                <c:pt idx="1">
                  <c:v>8.6333333333333357E-4</c:v>
                </c:pt>
                <c:pt idx="2">
                  <c:v>8.9333333333333365E-4</c:v>
                </c:pt>
                <c:pt idx="3">
                  <c:v>9.4333333333333357E-4</c:v>
                </c:pt>
                <c:pt idx="4">
                  <c:v>1.0133333333333335E-3</c:v>
                </c:pt>
                <c:pt idx="5">
                  <c:v>1.1033333333333338E-3</c:v>
                </c:pt>
                <c:pt idx="6">
                  <c:v>1.2133333333333336E-3</c:v>
                </c:pt>
                <c:pt idx="7">
                  <c:v>1.3433333333333337E-3</c:v>
                </c:pt>
                <c:pt idx="8">
                  <c:v>1.4933333333333333E-3</c:v>
                </c:pt>
                <c:pt idx="9">
                  <c:v>1.6633333333333333E-3</c:v>
                </c:pt>
                <c:pt idx="10">
                  <c:v>1.8533333333333334E-3</c:v>
                </c:pt>
                <c:pt idx="11">
                  <c:v>2.0633333333333341E-3</c:v>
                </c:pt>
                <c:pt idx="12">
                  <c:v>2.293333333333333E-3</c:v>
                </c:pt>
                <c:pt idx="13">
                  <c:v>2.5433333333333345E-3</c:v>
                </c:pt>
                <c:pt idx="14">
                  <c:v>2.8133333333333339E-3</c:v>
                </c:pt>
                <c:pt idx="15">
                  <c:v>3.1033333333333334E-3</c:v>
                </c:pt>
                <c:pt idx="16">
                  <c:v>3.4133333333333333E-3</c:v>
                </c:pt>
                <c:pt idx="17">
                  <c:v>3.7433333333333333E-3</c:v>
                </c:pt>
                <c:pt idx="18">
                  <c:v>4.0933333333333316E-3</c:v>
                </c:pt>
                <c:pt idx="19">
                  <c:v>4.4633333333333322E-3</c:v>
                </c:pt>
                <c:pt idx="20">
                  <c:v>4.8533333333333345E-3</c:v>
                </c:pt>
                <c:pt idx="21">
                  <c:v>5.2633333333333325E-3</c:v>
                </c:pt>
                <c:pt idx="22">
                  <c:v>5.6933333333333332E-3</c:v>
                </c:pt>
                <c:pt idx="23">
                  <c:v>6.1433333333333322E-3</c:v>
                </c:pt>
                <c:pt idx="24">
                  <c:v>6.613333333333333E-3</c:v>
                </c:pt>
                <c:pt idx="25">
                  <c:v>7.1033333333333348E-3</c:v>
                </c:pt>
                <c:pt idx="26">
                  <c:v>7.6133333333333348E-3</c:v>
                </c:pt>
                <c:pt idx="27">
                  <c:v>8.1433333333333306E-3</c:v>
                </c:pt>
                <c:pt idx="28">
                  <c:v>8.6933333333333359E-3</c:v>
                </c:pt>
                <c:pt idx="29">
                  <c:v>9.2633333333333335E-3</c:v>
                </c:pt>
                <c:pt idx="30">
                  <c:v>9.853333333333332E-3</c:v>
                </c:pt>
                <c:pt idx="31">
                  <c:v>1.0463333333333331E-2</c:v>
                </c:pt>
                <c:pt idx="32">
                  <c:v>1.1093333333333332E-2</c:v>
                </c:pt>
                <c:pt idx="33">
                  <c:v>1.1743333333333337E-2</c:v>
                </c:pt>
                <c:pt idx="34">
                  <c:v>1.241333333333333E-2</c:v>
                </c:pt>
                <c:pt idx="35">
                  <c:v>1.3103333333333333E-2</c:v>
                </c:pt>
                <c:pt idx="36">
                  <c:v>1.3813333333333334E-2</c:v>
                </c:pt>
                <c:pt idx="37">
                  <c:v>1.4543333333333339E-2</c:v>
                </c:pt>
                <c:pt idx="38">
                  <c:v>1.5293333333333332E-2</c:v>
                </c:pt>
                <c:pt idx="39">
                  <c:v>1.6063333333333339E-2</c:v>
                </c:pt>
                <c:pt idx="40">
                  <c:v>1.6853333333333328E-2</c:v>
                </c:pt>
                <c:pt idx="41">
                  <c:v>1.7663333333333336E-2</c:v>
                </c:pt>
                <c:pt idx="42">
                  <c:v>1.8493333333333337E-2</c:v>
                </c:pt>
                <c:pt idx="43">
                  <c:v>1.934333333333333E-2</c:v>
                </c:pt>
                <c:pt idx="44">
                  <c:v>2.021333333333333E-2</c:v>
                </c:pt>
                <c:pt idx="45">
                  <c:v>2.1103333333333335E-2</c:v>
                </c:pt>
                <c:pt idx="46">
                  <c:v>2.2013333333333326E-2</c:v>
                </c:pt>
                <c:pt idx="47">
                  <c:v>2.2943333333333336E-2</c:v>
                </c:pt>
                <c:pt idx="48">
                  <c:v>2.3893333333333332E-2</c:v>
                </c:pt>
                <c:pt idx="49">
                  <c:v>2.4863333333333331E-2</c:v>
                </c:pt>
                <c:pt idx="50">
                  <c:v>2.5853333333333336E-2</c:v>
                </c:pt>
                <c:pt idx="51">
                  <c:v>2.6863333333333326E-2</c:v>
                </c:pt>
                <c:pt idx="52">
                  <c:v>2.7893333333333339E-2</c:v>
                </c:pt>
                <c:pt idx="53">
                  <c:v>2.8943333333333331E-2</c:v>
                </c:pt>
                <c:pt idx="54">
                  <c:v>3.0013333333333329E-2</c:v>
                </c:pt>
                <c:pt idx="55">
                  <c:v>3.1103333333333337E-2</c:v>
                </c:pt>
                <c:pt idx="56">
                  <c:v>3.2213333333333337E-2</c:v>
                </c:pt>
                <c:pt idx="57">
                  <c:v>3.3343333333333329E-2</c:v>
                </c:pt>
                <c:pt idx="58">
                  <c:v>3.4493333333333334E-2</c:v>
                </c:pt>
                <c:pt idx="59">
                  <c:v>3.5663333333333318E-2</c:v>
                </c:pt>
                <c:pt idx="60">
                  <c:v>3.6853333333333335E-2</c:v>
                </c:pt>
                <c:pt idx="61">
                  <c:v>3.8063333333333317E-2</c:v>
                </c:pt>
                <c:pt idx="62">
                  <c:v>3.9293333333333326E-2</c:v>
                </c:pt>
                <c:pt idx="63">
                  <c:v>4.0543333333333348E-2</c:v>
                </c:pt>
                <c:pt idx="64">
                  <c:v>4.1813333333333327E-2</c:v>
                </c:pt>
                <c:pt idx="65">
                  <c:v>4.3103333333333334E-2</c:v>
                </c:pt>
                <c:pt idx="66">
                  <c:v>4.4413333333333339E-2</c:v>
                </c:pt>
                <c:pt idx="67">
                  <c:v>4.574333333333333E-2</c:v>
                </c:pt>
                <c:pt idx="68">
                  <c:v>4.709333333333332E-2</c:v>
                </c:pt>
                <c:pt idx="69">
                  <c:v>4.8463333333333324E-2</c:v>
                </c:pt>
                <c:pt idx="70">
                  <c:v>4.9853333333333333E-2</c:v>
                </c:pt>
                <c:pt idx="71">
                  <c:v>5.1263333333333341E-2</c:v>
                </c:pt>
                <c:pt idx="72">
                  <c:v>5.2693333333333321E-2</c:v>
                </c:pt>
                <c:pt idx="73">
                  <c:v>5.4143333333333335E-2</c:v>
                </c:pt>
                <c:pt idx="74">
                  <c:v>5.5613333333333348E-2</c:v>
                </c:pt>
                <c:pt idx="75">
                  <c:v>5.7103333333333325E-2</c:v>
                </c:pt>
                <c:pt idx="76">
                  <c:v>5.8613333333333309E-2</c:v>
                </c:pt>
                <c:pt idx="77">
                  <c:v>6.0143333333333326E-2</c:v>
                </c:pt>
                <c:pt idx="78">
                  <c:v>6.169333333333335E-2</c:v>
                </c:pt>
                <c:pt idx="79">
                  <c:v>6.3263333333333324E-2</c:v>
                </c:pt>
                <c:pt idx="80">
                  <c:v>6.4853333333333346E-2</c:v>
                </c:pt>
                <c:pt idx="81">
                  <c:v>6.646333333333336E-2</c:v>
                </c:pt>
                <c:pt idx="82">
                  <c:v>6.8093333333333367E-2</c:v>
                </c:pt>
                <c:pt idx="83">
                  <c:v>6.9743333333333338E-2</c:v>
                </c:pt>
                <c:pt idx="84">
                  <c:v>7.1413333333333343E-2</c:v>
                </c:pt>
                <c:pt idx="85">
                  <c:v>7.3103333333333326E-2</c:v>
                </c:pt>
                <c:pt idx="86">
                  <c:v>7.4813333333333343E-2</c:v>
                </c:pt>
                <c:pt idx="87">
                  <c:v>7.6543333333333338E-2</c:v>
                </c:pt>
                <c:pt idx="88">
                  <c:v>7.8293333333333312E-2</c:v>
                </c:pt>
                <c:pt idx="89">
                  <c:v>8.0063333333333334E-2</c:v>
                </c:pt>
                <c:pt idx="90">
                  <c:v>8.1853333333333347E-2</c:v>
                </c:pt>
                <c:pt idx="91">
                  <c:v>8.3663333333333326E-2</c:v>
                </c:pt>
                <c:pt idx="92">
                  <c:v>8.5493333333333338E-2</c:v>
                </c:pt>
                <c:pt idx="93">
                  <c:v>8.7343333333333342E-2</c:v>
                </c:pt>
                <c:pt idx="94">
                  <c:v>8.9213333333333353E-2</c:v>
                </c:pt>
                <c:pt idx="95">
                  <c:v>9.1103333333333342E-2</c:v>
                </c:pt>
                <c:pt idx="96">
                  <c:v>9.3013333333333351E-2</c:v>
                </c:pt>
                <c:pt idx="97">
                  <c:v>9.4943333333333352E-2</c:v>
                </c:pt>
                <c:pt idx="98">
                  <c:v>9.6893333333333317E-2</c:v>
                </c:pt>
                <c:pt idx="99">
                  <c:v>9.8863333333333345E-2</c:v>
                </c:pt>
                <c:pt idx="100">
                  <c:v>0.10085333333333335</c:v>
                </c:pt>
                <c:pt idx="101">
                  <c:v>0.10286333333333335</c:v>
                </c:pt>
                <c:pt idx="102">
                  <c:v>0.10489333333333334</c:v>
                </c:pt>
                <c:pt idx="103">
                  <c:v>0.10694333333333333</c:v>
                </c:pt>
                <c:pt idx="104">
                  <c:v>0.10901333333333334</c:v>
                </c:pt>
                <c:pt idx="105">
                  <c:v>0.11110333333333333</c:v>
                </c:pt>
                <c:pt idx="106">
                  <c:v>0.11321333333333336</c:v>
                </c:pt>
                <c:pt idx="107">
                  <c:v>0.11534333333333331</c:v>
                </c:pt>
                <c:pt idx="108">
                  <c:v>0.11749333333333331</c:v>
                </c:pt>
                <c:pt idx="109">
                  <c:v>0.11966333333333336</c:v>
                </c:pt>
                <c:pt idx="110">
                  <c:v>0.12185333333333334</c:v>
                </c:pt>
                <c:pt idx="111">
                  <c:v>0.12406333333333334</c:v>
                </c:pt>
                <c:pt idx="112">
                  <c:v>0.12629333333333337</c:v>
                </c:pt>
                <c:pt idx="113">
                  <c:v>0.12854333333333329</c:v>
                </c:pt>
                <c:pt idx="114">
                  <c:v>0.13081333333333331</c:v>
                </c:pt>
                <c:pt idx="115">
                  <c:v>0.13310333333333332</c:v>
                </c:pt>
                <c:pt idx="116">
                  <c:v>0.1354133333333333</c:v>
                </c:pt>
                <c:pt idx="117">
                  <c:v>0.13774333333333333</c:v>
                </c:pt>
                <c:pt idx="118">
                  <c:v>0.14009333333333332</c:v>
                </c:pt>
                <c:pt idx="119">
                  <c:v>0.14246333333333336</c:v>
                </c:pt>
                <c:pt idx="120">
                  <c:v>0.14485333333333333</c:v>
                </c:pt>
                <c:pt idx="121">
                  <c:v>0.14726333333333333</c:v>
                </c:pt>
                <c:pt idx="122">
                  <c:v>0.14969333333333326</c:v>
                </c:pt>
                <c:pt idx="123">
                  <c:v>0.1521433333333333</c:v>
                </c:pt>
                <c:pt idx="124">
                  <c:v>0.1546133333333333</c:v>
                </c:pt>
                <c:pt idx="125">
                  <c:v>0.15710333333333332</c:v>
                </c:pt>
                <c:pt idx="126">
                  <c:v>0.15961333333333336</c:v>
                </c:pt>
                <c:pt idx="127">
                  <c:v>0.16214333333333336</c:v>
                </c:pt>
                <c:pt idx="128">
                  <c:v>0.1646933333333333</c:v>
                </c:pt>
                <c:pt idx="129">
                  <c:v>0.16726333333333329</c:v>
                </c:pt>
                <c:pt idx="130">
                  <c:v>0.16985333333333336</c:v>
                </c:pt>
                <c:pt idx="131">
                  <c:v>0.17246333333333333</c:v>
                </c:pt>
                <c:pt idx="132">
                  <c:v>0.17509333333333341</c:v>
                </c:pt>
                <c:pt idx="133">
                  <c:v>0.17774333333333339</c:v>
                </c:pt>
                <c:pt idx="134">
                  <c:v>0.18041333333333331</c:v>
                </c:pt>
                <c:pt idx="135">
                  <c:v>0.18310333333333331</c:v>
                </c:pt>
                <c:pt idx="136">
                  <c:v>0.1858133333333333</c:v>
                </c:pt>
                <c:pt idx="137">
                  <c:v>0.18854333333333326</c:v>
                </c:pt>
                <c:pt idx="138">
                  <c:v>0.19129333333333329</c:v>
                </c:pt>
                <c:pt idx="139">
                  <c:v>0.19406333333333331</c:v>
                </c:pt>
                <c:pt idx="140">
                  <c:v>0.1968533333333333</c:v>
                </c:pt>
                <c:pt idx="141">
                  <c:v>0.19966333333333333</c:v>
                </c:pt>
                <c:pt idx="142">
                  <c:v>0.20249333333333341</c:v>
                </c:pt>
                <c:pt idx="143">
                  <c:v>0.20534333333333332</c:v>
                </c:pt>
                <c:pt idx="144">
                  <c:v>0.20821333333333328</c:v>
                </c:pt>
                <c:pt idx="145">
                  <c:v>0.21110333333333331</c:v>
                </c:pt>
                <c:pt idx="146">
                  <c:v>0.21401333333333331</c:v>
                </c:pt>
                <c:pt idx="147">
                  <c:v>0.21694333333333332</c:v>
                </c:pt>
                <c:pt idx="148">
                  <c:v>0.21989333333333341</c:v>
                </c:pt>
                <c:pt idx="149">
                  <c:v>0.22286333333333339</c:v>
                </c:pt>
                <c:pt idx="150">
                  <c:v>0.22585333333333335</c:v>
                </c:pt>
              </c:numCache>
            </c:numRef>
          </c:yVal>
          <c:smooth val="1"/>
          <c:extLst>
            <c:ext xmlns:c16="http://schemas.microsoft.com/office/drawing/2014/chart" uri="{C3380CC4-5D6E-409C-BE32-E72D297353CC}">
              <c16:uniqueId val="{00000003-199A-4277-BC05-4E64B1A6016C}"/>
            </c:ext>
          </c:extLst>
        </c:ser>
        <c:dLbls>
          <c:showLegendKey val="0"/>
          <c:showVal val="0"/>
          <c:showCatName val="0"/>
          <c:showSerName val="0"/>
          <c:showPercent val="0"/>
          <c:showBubbleSize val="0"/>
        </c:dLbls>
        <c:axId val="361467264"/>
        <c:axId val="361465344"/>
      </c:scatterChart>
      <c:valAx>
        <c:axId val="361445248"/>
        <c:scaling>
          <c:orientation val="minMax"/>
        </c:scaling>
        <c:delete val="0"/>
        <c:axPos val="b"/>
        <c:majorGridlines/>
        <c:numFmt formatCode="General" sourceLinked="1"/>
        <c:majorTickMark val="out"/>
        <c:minorTickMark val="none"/>
        <c:tickLblPos val="nextTo"/>
        <c:crossAx val="361446784"/>
        <c:crosses val="autoZero"/>
        <c:crossBetween val="midCat"/>
      </c:valAx>
      <c:valAx>
        <c:axId val="361446784"/>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361445248"/>
        <c:crosses val="autoZero"/>
        <c:crossBetween val="midCat"/>
      </c:valAx>
      <c:valAx>
        <c:axId val="361465344"/>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361467264"/>
        <c:crosses val="max"/>
        <c:crossBetween val="midCat"/>
      </c:valAx>
      <c:valAx>
        <c:axId val="361467264"/>
        <c:scaling>
          <c:orientation val="minMax"/>
        </c:scaling>
        <c:delete val="1"/>
        <c:axPos val="b"/>
        <c:title>
          <c:tx>
            <c:rich>
              <a:bodyPr/>
              <a:lstStyle/>
              <a:p>
                <a:pPr>
                  <a:defRPr/>
                </a:pPr>
                <a:r>
                  <a:rPr lang="en-US"/>
                  <a:t>Load</a:t>
                </a:r>
                <a:r>
                  <a:rPr lang="en-US" baseline="0"/>
                  <a:t> Current (A)</a:t>
                </a:r>
                <a:endParaRPr lang="en-US"/>
              </a:p>
            </c:rich>
          </c:tx>
          <c:overlay val="0"/>
        </c:title>
        <c:numFmt formatCode="General" sourceLinked="1"/>
        <c:majorTickMark val="out"/>
        <c:minorTickMark val="none"/>
        <c:tickLblPos val="nextTo"/>
        <c:crossAx val="361465344"/>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a:t>
            </a:r>
          </a:p>
        </c:rich>
      </c:tx>
      <c:overlay val="0"/>
    </c:title>
    <c:autoTitleDeleted val="0"/>
    <c:plotArea>
      <c:layout/>
      <c:scatterChart>
        <c:scatterStyle val="smoothMarker"/>
        <c:varyColors val="0"/>
        <c:ser>
          <c:idx val="0"/>
          <c:order val="0"/>
          <c:tx>
            <c:v>Eff</c:v>
          </c:tx>
          <c:marker>
            <c:symbol val="none"/>
          </c:marker>
          <c:xVal>
            <c:numRef>
              <c:f>[1]Eff_vs_IOUT!$S$7:$S$157</c:f>
              <c:numCache>
                <c:formatCode>General</c:formatCode>
                <c:ptCount val="151"/>
                <c:pt idx="0">
                  <c:v>0</c:v>
                </c:pt>
                <c:pt idx="1">
                  <c:v>9.3333333333333338E-2</c:v>
                </c:pt>
                <c:pt idx="2">
                  <c:v>0.18666666666666668</c:v>
                </c:pt>
                <c:pt idx="3">
                  <c:v>0.28000000000000003</c:v>
                </c:pt>
                <c:pt idx="4">
                  <c:v>0.37333333333333335</c:v>
                </c:pt>
                <c:pt idx="5">
                  <c:v>0.46666666666666667</c:v>
                </c:pt>
                <c:pt idx="6">
                  <c:v>0.56000000000000005</c:v>
                </c:pt>
                <c:pt idx="7">
                  <c:v>0.65333333333333332</c:v>
                </c:pt>
                <c:pt idx="8">
                  <c:v>0.7466666666666667</c:v>
                </c:pt>
                <c:pt idx="9">
                  <c:v>0.84000000000000008</c:v>
                </c:pt>
                <c:pt idx="10">
                  <c:v>0.93333333333333335</c:v>
                </c:pt>
                <c:pt idx="11">
                  <c:v>1.0266666666666666</c:v>
                </c:pt>
                <c:pt idx="12">
                  <c:v>1.1200000000000001</c:v>
                </c:pt>
                <c:pt idx="13">
                  <c:v>1.2133333333333334</c:v>
                </c:pt>
                <c:pt idx="14">
                  <c:v>1.3066666666666666</c:v>
                </c:pt>
                <c:pt idx="15">
                  <c:v>1.4000000000000001</c:v>
                </c:pt>
                <c:pt idx="16">
                  <c:v>1.4933333333333334</c:v>
                </c:pt>
                <c:pt idx="17">
                  <c:v>1.5866666666666667</c:v>
                </c:pt>
                <c:pt idx="18">
                  <c:v>1.6800000000000002</c:v>
                </c:pt>
                <c:pt idx="19">
                  <c:v>1.7733333333333334</c:v>
                </c:pt>
                <c:pt idx="20">
                  <c:v>1.8666666666666667</c:v>
                </c:pt>
                <c:pt idx="21">
                  <c:v>1.9600000000000002</c:v>
                </c:pt>
                <c:pt idx="22">
                  <c:v>2.0533333333333332</c:v>
                </c:pt>
                <c:pt idx="23">
                  <c:v>2.1466666666666669</c:v>
                </c:pt>
                <c:pt idx="24">
                  <c:v>2.2400000000000002</c:v>
                </c:pt>
                <c:pt idx="25">
                  <c:v>2.3333333333333335</c:v>
                </c:pt>
                <c:pt idx="26">
                  <c:v>2.4266666666666667</c:v>
                </c:pt>
                <c:pt idx="27">
                  <c:v>2.52</c:v>
                </c:pt>
                <c:pt idx="28">
                  <c:v>2.6133333333333333</c:v>
                </c:pt>
                <c:pt idx="29">
                  <c:v>2.706666666666667</c:v>
                </c:pt>
                <c:pt idx="30">
                  <c:v>2.8000000000000003</c:v>
                </c:pt>
                <c:pt idx="31">
                  <c:v>2.8933333333333335</c:v>
                </c:pt>
                <c:pt idx="32">
                  <c:v>2.9866666666666668</c:v>
                </c:pt>
                <c:pt idx="33">
                  <c:v>3.08</c:v>
                </c:pt>
                <c:pt idx="34">
                  <c:v>3.1733333333333333</c:v>
                </c:pt>
                <c:pt idx="35">
                  <c:v>3.2666666666666666</c:v>
                </c:pt>
                <c:pt idx="36">
                  <c:v>3.3600000000000003</c:v>
                </c:pt>
                <c:pt idx="37">
                  <c:v>3.4533333333333336</c:v>
                </c:pt>
                <c:pt idx="38">
                  <c:v>3.5466666666666669</c:v>
                </c:pt>
                <c:pt idx="39">
                  <c:v>3.64</c:v>
                </c:pt>
                <c:pt idx="40">
                  <c:v>3.7333333333333334</c:v>
                </c:pt>
                <c:pt idx="41">
                  <c:v>3.8266666666666667</c:v>
                </c:pt>
                <c:pt idx="42">
                  <c:v>3.9200000000000004</c:v>
                </c:pt>
                <c:pt idx="43">
                  <c:v>4.0133333333333336</c:v>
                </c:pt>
                <c:pt idx="44">
                  <c:v>4.1066666666666665</c:v>
                </c:pt>
                <c:pt idx="45">
                  <c:v>4.2</c:v>
                </c:pt>
                <c:pt idx="46">
                  <c:v>4.2933333333333339</c:v>
                </c:pt>
                <c:pt idx="47">
                  <c:v>4.3866666666666667</c:v>
                </c:pt>
                <c:pt idx="48">
                  <c:v>4.4800000000000004</c:v>
                </c:pt>
                <c:pt idx="49">
                  <c:v>4.5733333333333333</c:v>
                </c:pt>
                <c:pt idx="50">
                  <c:v>4.666666666666667</c:v>
                </c:pt>
                <c:pt idx="51">
                  <c:v>4.76</c:v>
                </c:pt>
                <c:pt idx="52">
                  <c:v>4.8533333333333335</c:v>
                </c:pt>
                <c:pt idx="53">
                  <c:v>4.9466666666666672</c:v>
                </c:pt>
                <c:pt idx="54">
                  <c:v>5.04</c:v>
                </c:pt>
                <c:pt idx="55">
                  <c:v>5.1333333333333337</c:v>
                </c:pt>
                <c:pt idx="56">
                  <c:v>5.2266666666666666</c:v>
                </c:pt>
                <c:pt idx="57">
                  <c:v>5.32</c:v>
                </c:pt>
                <c:pt idx="58">
                  <c:v>5.413333333333334</c:v>
                </c:pt>
                <c:pt idx="59">
                  <c:v>5.5066666666666668</c:v>
                </c:pt>
                <c:pt idx="60">
                  <c:v>5.6000000000000005</c:v>
                </c:pt>
                <c:pt idx="61">
                  <c:v>5.6933333333333334</c:v>
                </c:pt>
                <c:pt idx="62">
                  <c:v>5.7866666666666671</c:v>
                </c:pt>
                <c:pt idx="63">
                  <c:v>5.88</c:v>
                </c:pt>
                <c:pt idx="64">
                  <c:v>5.9733333333333336</c:v>
                </c:pt>
                <c:pt idx="65">
                  <c:v>6.0666666666666673</c:v>
                </c:pt>
                <c:pt idx="66">
                  <c:v>6.16</c:v>
                </c:pt>
                <c:pt idx="67">
                  <c:v>6.2533333333333339</c:v>
                </c:pt>
                <c:pt idx="68">
                  <c:v>6.3466666666666667</c:v>
                </c:pt>
                <c:pt idx="69">
                  <c:v>6.44</c:v>
                </c:pt>
                <c:pt idx="70">
                  <c:v>6.5333333333333332</c:v>
                </c:pt>
                <c:pt idx="71">
                  <c:v>6.6266666666666669</c:v>
                </c:pt>
                <c:pt idx="72">
                  <c:v>6.7200000000000006</c:v>
                </c:pt>
                <c:pt idx="73">
                  <c:v>6.8133333333333335</c:v>
                </c:pt>
                <c:pt idx="74">
                  <c:v>6.9066666666666672</c:v>
                </c:pt>
                <c:pt idx="75">
                  <c:v>7</c:v>
                </c:pt>
                <c:pt idx="76">
                  <c:v>7.0933333333333337</c:v>
                </c:pt>
                <c:pt idx="77">
                  <c:v>7.1866666666666674</c:v>
                </c:pt>
                <c:pt idx="78">
                  <c:v>7.28</c:v>
                </c:pt>
                <c:pt idx="79">
                  <c:v>7.373333333333334</c:v>
                </c:pt>
                <c:pt idx="80">
                  <c:v>7.4666666666666668</c:v>
                </c:pt>
                <c:pt idx="81">
                  <c:v>7.5600000000000005</c:v>
                </c:pt>
                <c:pt idx="82">
                  <c:v>7.6533333333333333</c:v>
                </c:pt>
                <c:pt idx="83">
                  <c:v>7.746666666666667</c:v>
                </c:pt>
                <c:pt idx="84">
                  <c:v>7.8400000000000007</c:v>
                </c:pt>
                <c:pt idx="85">
                  <c:v>7.9333333333333336</c:v>
                </c:pt>
                <c:pt idx="86">
                  <c:v>8.0266666666666673</c:v>
                </c:pt>
                <c:pt idx="87">
                  <c:v>8.120000000000001</c:v>
                </c:pt>
                <c:pt idx="88">
                  <c:v>8.2133333333333329</c:v>
                </c:pt>
                <c:pt idx="89">
                  <c:v>8.3066666666666666</c:v>
                </c:pt>
                <c:pt idx="90">
                  <c:v>8.4</c:v>
                </c:pt>
                <c:pt idx="91">
                  <c:v>8.4933333333333341</c:v>
                </c:pt>
                <c:pt idx="92">
                  <c:v>8.5866666666666678</c:v>
                </c:pt>
                <c:pt idx="93">
                  <c:v>8.68</c:v>
                </c:pt>
                <c:pt idx="94">
                  <c:v>8.7733333333333334</c:v>
                </c:pt>
                <c:pt idx="95">
                  <c:v>8.8666666666666671</c:v>
                </c:pt>
                <c:pt idx="96">
                  <c:v>8.9600000000000009</c:v>
                </c:pt>
                <c:pt idx="97">
                  <c:v>9.0533333333333346</c:v>
                </c:pt>
                <c:pt idx="98">
                  <c:v>9.1466666666666665</c:v>
                </c:pt>
                <c:pt idx="99">
                  <c:v>9.24</c:v>
                </c:pt>
                <c:pt idx="100">
                  <c:v>9.3333333333333339</c:v>
                </c:pt>
                <c:pt idx="101">
                  <c:v>9.4266666666666676</c:v>
                </c:pt>
                <c:pt idx="102">
                  <c:v>9.52</c:v>
                </c:pt>
                <c:pt idx="103">
                  <c:v>9.6133333333333333</c:v>
                </c:pt>
                <c:pt idx="104">
                  <c:v>9.706666666666667</c:v>
                </c:pt>
                <c:pt idx="105">
                  <c:v>9.8000000000000007</c:v>
                </c:pt>
                <c:pt idx="106">
                  <c:v>9.8933333333333344</c:v>
                </c:pt>
                <c:pt idx="107">
                  <c:v>9.9866666666666664</c:v>
                </c:pt>
                <c:pt idx="108">
                  <c:v>10.08</c:v>
                </c:pt>
                <c:pt idx="109">
                  <c:v>10.173333333333334</c:v>
                </c:pt>
                <c:pt idx="110">
                  <c:v>10.266666666666667</c:v>
                </c:pt>
                <c:pt idx="111">
                  <c:v>10.360000000000001</c:v>
                </c:pt>
                <c:pt idx="112">
                  <c:v>10.453333333333333</c:v>
                </c:pt>
                <c:pt idx="113">
                  <c:v>10.546666666666667</c:v>
                </c:pt>
                <c:pt idx="114">
                  <c:v>10.64</c:v>
                </c:pt>
                <c:pt idx="115">
                  <c:v>10.733333333333334</c:v>
                </c:pt>
                <c:pt idx="116">
                  <c:v>10.826666666666668</c:v>
                </c:pt>
                <c:pt idx="117">
                  <c:v>10.92</c:v>
                </c:pt>
                <c:pt idx="118">
                  <c:v>11.013333333333334</c:v>
                </c:pt>
                <c:pt idx="119">
                  <c:v>11.106666666666667</c:v>
                </c:pt>
                <c:pt idx="120">
                  <c:v>11.200000000000001</c:v>
                </c:pt>
                <c:pt idx="121">
                  <c:v>11.293333333333333</c:v>
                </c:pt>
                <c:pt idx="122">
                  <c:v>11.386666666666667</c:v>
                </c:pt>
                <c:pt idx="123">
                  <c:v>11.48</c:v>
                </c:pt>
                <c:pt idx="124">
                  <c:v>11.573333333333334</c:v>
                </c:pt>
                <c:pt idx="125">
                  <c:v>11.666666666666668</c:v>
                </c:pt>
                <c:pt idx="126">
                  <c:v>11.76</c:v>
                </c:pt>
                <c:pt idx="127">
                  <c:v>11.853333333333333</c:v>
                </c:pt>
                <c:pt idx="128">
                  <c:v>11.946666666666667</c:v>
                </c:pt>
                <c:pt idx="129">
                  <c:v>12.040000000000001</c:v>
                </c:pt>
                <c:pt idx="130">
                  <c:v>12.133333333333335</c:v>
                </c:pt>
                <c:pt idx="131">
                  <c:v>12.226666666666667</c:v>
                </c:pt>
                <c:pt idx="132">
                  <c:v>12.32</c:v>
                </c:pt>
                <c:pt idx="133">
                  <c:v>12.413333333333334</c:v>
                </c:pt>
                <c:pt idx="134">
                  <c:v>12.506666666666668</c:v>
                </c:pt>
                <c:pt idx="135">
                  <c:v>12.600000000000001</c:v>
                </c:pt>
                <c:pt idx="136">
                  <c:v>12.693333333333333</c:v>
                </c:pt>
                <c:pt idx="137">
                  <c:v>12.786666666666667</c:v>
                </c:pt>
                <c:pt idx="138">
                  <c:v>12.88</c:v>
                </c:pt>
                <c:pt idx="139">
                  <c:v>12.973333333333334</c:v>
                </c:pt>
                <c:pt idx="140">
                  <c:v>13.066666666666666</c:v>
                </c:pt>
                <c:pt idx="141">
                  <c:v>13.16</c:v>
                </c:pt>
                <c:pt idx="142">
                  <c:v>13.253333333333334</c:v>
                </c:pt>
                <c:pt idx="143">
                  <c:v>13.346666666666668</c:v>
                </c:pt>
                <c:pt idx="144">
                  <c:v>13.440000000000001</c:v>
                </c:pt>
                <c:pt idx="145">
                  <c:v>13.533333333333333</c:v>
                </c:pt>
                <c:pt idx="146">
                  <c:v>13.626666666666667</c:v>
                </c:pt>
                <c:pt idx="147">
                  <c:v>13.72</c:v>
                </c:pt>
                <c:pt idx="148">
                  <c:v>13.813333333333334</c:v>
                </c:pt>
                <c:pt idx="149">
                  <c:v>13.906666666666668</c:v>
                </c:pt>
                <c:pt idx="150">
                  <c:v>14</c:v>
                </c:pt>
              </c:numCache>
            </c:numRef>
          </c:xVal>
          <c:yVal>
            <c:numRef>
              <c:f>[1]Eff_vs_IOUT!$AW$7:$AW$157</c:f>
              <c:numCache>
                <c:formatCode>General</c:formatCode>
                <c:ptCount val="151"/>
                <c:pt idx="0">
                  <c:v>0</c:v>
                </c:pt>
                <c:pt idx="1">
                  <c:v>72.074743546197936</c:v>
                </c:pt>
                <c:pt idx="2">
                  <c:v>83.278946320422875</c:v>
                </c:pt>
                <c:pt idx="3">
                  <c:v>87.823398093854962</c:v>
                </c:pt>
                <c:pt idx="4">
                  <c:v>90.281532425115813</c:v>
                </c:pt>
                <c:pt idx="5">
                  <c:v>91.819206893500748</c:v>
                </c:pt>
                <c:pt idx="6">
                  <c:v>92.870019459561121</c:v>
                </c:pt>
                <c:pt idx="7">
                  <c:v>93.632190379295068</c:v>
                </c:pt>
                <c:pt idx="8">
                  <c:v>94.209194553124718</c:v>
                </c:pt>
                <c:pt idx="9">
                  <c:v>94.660327183697774</c:v>
                </c:pt>
                <c:pt idx="10">
                  <c:v>95.022008446023904</c:v>
                </c:pt>
                <c:pt idx="11">
                  <c:v>95.317844151427352</c:v>
                </c:pt>
                <c:pt idx="12">
                  <c:v>95.563805969178546</c:v>
                </c:pt>
                <c:pt idx="13">
                  <c:v>95.771086688792309</c:v>
                </c:pt>
                <c:pt idx="14">
                  <c:v>95.947763185503092</c:v>
                </c:pt>
                <c:pt idx="15">
                  <c:v>96.099810151145334</c:v>
                </c:pt>
                <c:pt idx="16">
                  <c:v>96.231742235239238</c:v>
                </c:pt>
                <c:pt idx="17">
                  <c:v>96.347034357137446</c:v>
                </c:pt>
                <c:pt idx="18">
                  <c:v>96.448404725179344</c:v>
                </c:pt>
                <c:pt idx="19">
                  <c:v>96.538010182006872</c:v>
                </c:pt>
                <c:pt idx="20">
                  <c:v>96.617584006656713</c:v>
                </c:pt>
                <c:pt idx="21">
                  <c:v>96.688535023683485</c:v>
                </c:pt>
                <c:pt idx="22">
                  <c:v>96.752020127868875</c:v>
                </c:pt>
                <c:pt idx="23">
                  <c:v>96.808998187822311</c:v>
                </c:pt>
                <c:pt idx="24">
                  <c:v>96.860270677489993</c:v>
                </c:pt>
                <c:pt idx="25">
                  <c:v>96.906512697769813</c:v>
                </c:pt>
                <c:pt idx="26">
                  <c:v>96.948296939349646</c:v>
                </c:pt>
                <c:pt idx="27">
                  <c:v>96.986112392178498</c:v>
                </c:pt>
                <c:pt idx="28">
                  <c:v>97.020379097850068</c:v>
                </c:pt>
                <c:pt idx="29">
                  <c:v>97.051459888071491</c:v>
                </c:pt>
                <c:pt idx="30">
                  <c:v>97.079669803929562</c:v>
                </c:pt>
                <c:pt idx="31">
                  <c:v>97.10528371349254</c:v>
                </c:pt>
                <c:pt idx="32">
                  <c:v>97.1285425173742</c:v>
                </c:pt>
                <c:pt idx="33">
                  <c:v>97.149658238475084</c:v>
                </c:pt>
                <c:pt idx="34">
                  <c:v>97.168818223165886</c:v>
                </c:pt>
                <c:pt idx="35">
                  <c:v>97.18618862977246</c:v>
                </c:pt>
                <c:pt idx="36">
                  <c:v>97.201917341538817</c:v>
                </c:pt>
                <c:pt idx="37">
                  <c:v>97.216136411876164</c:v>
                </c:pt>
                <c:pt idx="38">
                  <c:v>97.228964127228892</c:v>
                </c:pt>
                <c:pt idx="39">
                  <c:v>97.240506755547358</c:v>
                </c:pt>
                <c:pt idx="40">
                  <c:v>97.250860034884298</c:v>
                </c:pt>
                <c:pt idx="41">
                  <c:v>97.260110446088532</c:v>
                </c:pt>
                <c:pt idx="42">
                  <c:v>97.268336305266828</c:v>
                </c:pt>
                <c:pt idx="43">
                  <c:v>97.275608705104659</c:v>
                </c:pt>
                <c:pt idx="44">
                  <c:v>97.281992328891221</c:v>
                </c:pt>
                <c:pt idx="45">
                  <c:v>97.287546156889562</c:v>
                </c:pt>
                <c:pt idx="46">
                  <c:v>97.29232408130369</c:v>
                </c:pt>
                <c:pt idx="47">
                  <c:v>97.296375443350129</c:v>
                </c:pt>
                <c:pt idx="48">
                  <c:v>97.299745503707015</c:v>
                </c:pt>
                <c:pt idx="49">
                  <c:v>97.302475855787279</c:v>
                </c:pt>
                <c:pt idx="50">
                  <c:v>97.304604789781806</c:v>
                </c:pt>
                <c:pt idx="51">
                  <c:v>97.306167614181433</c:v>
                </c:pt>
                <c:pt idx="52">
                  <c:v>97.30719694046121</c:v>
                </c:pt>
                <c:pt idx="53">
                  <c:v>97.307722935758818</c:v>
                </c:pt>
                <c:pt idx="54">
                  <c:v>97.307773547667992</c:v>
                </c:pt>
                <c:pt idx="55">
                  <c:v>97.307374704672227</c:v>
                </c:pt>
                <c:pt idx="56">
                  <c:v>97.306550495243812</c:v>
                </c:pt>
                <c:pt idx="57">
                  <c:v>97.305323328211514</c:v>
                </c:pt>
                <c:pt idx="58">
                  <c:v>97.303714076643189</c:v>
                </c:pt>
                <c:pt idx="59">
                  <c:v>97.301742207187147</c:v>
                </c:pt>
                <c:pt idx="60">
                  <c:v>97.299425896558276</c:v>
                </c:pt>
                <c:pt idx="61">
                  <c:v>97.296782136635429</c:v>
                </c:pt>
                <c:pt idx="62">
                  <c:v>97.293826829448079</c:v>
                </c:pt>
                <c:pt idx="63">
                  <c:v>97.290574873169362</c:v>
                </c:pt>
                <c:pt idx="64">
                  <c:v>97.287040240093262</c:v>
                </c:pt>
                <c:pt idx="65">
                  <c:v>97.283236047454679</c:v>
                </c:pt>
                <c:pt idx="66">
                  <c:v>97.279174621846934</c:v>
                </c:pt>
                <c:pt idx="67">
                  <c:v>97.274867557902127</c:v>
                </c:pt>
                <c:pt idx="68">
                  <c:v>97.270325771821732</c:v>
                </c:pt>
                <c:pt idx="69">
                  <c:v>97.265559550277132</c:v>
                </c:pt>
                <c:pt idx="70">
                  <c:v>97.260578595140458</c:v>
                </c:pt>
                <c:pt idx="71">
                  <c:v>97.255392064455208</c:v>
                </c:pt>
                <c:pt idx="72">
                  <c:v>97.250008610009715</c:v>
                </c:pt>
                <c:pt idx="73">
                  <c:v>97.244436411838009</c:v>
                </c:pt>
                <c:pt idx="74">
                  <c:v>97.238683209937207</c:v>
                </c:pt>
                <c:pt idx="75">
                  <c:v>97.232756333459918</c:v>
                </c:pt>
                <c:pt idx="76">
                  <c:v>97.226662727613117</c:v>
                </c:pt>
                <c:pt idx="77">
                  <c:v>97.220408978470843</c:v>
                </c:pt>
                <c:pt idx="78">
                  <c:v>97.214001335887403</c:v>
                </c:pt>
                <c:pt idx="79">
                  <c:v>97.20744573467833</c:v>
                </c:pt>
                <c:pt idx="80">
                  <c:v>97.200747814220009</c:v>
                </c:pt>
                <c:pt idx="81">
                  <c:v>97.19391293660415</c:v>
                </c:pt>
                <c:pt idx="82">
                  <c:v>97.186946203469688</c:v>
                </c:pt>
                <c:pt idx="83">
                  <c:v>97.179852471623491</c:v>
                </c:pt>
                <c:pt idx="84">
                  <c:v>97.172636367549998</c:v>
                </c:pt>
                <c:pt idx="85">
                  <c:v>97.165302300901175</c:v>
                </c:pt>
                <c:pt idx="86">
                  <c:v>97.157854477049284</c:v>
                </c:pt>
                <c:pt idx="87">
                  <c:v>97.150296908777591</c:v>
                </c:pt>
                <c:pt idx="88">
                  <c:v>97.142633427177358</c:v>
                </c:pt>
                <c:pt idx="89">
                  <c:v>97.13486769181317</c:v>
                </c:pt>
                <c:pt idx="90">
                  <c:v>97.127003200213366</c:v>
                </c:pt>
                <c:pt idx="91">
                  <c:v>97.119043296737274</c:v>
                </c:pt>
                <c:pt idx="92">
                  <c:v>97.110991180866407</c:v>
                </c:pt>
                <c:pt idx="93">
                  <c:v>97.102849914962846</c:v>
                </c:pt>
                <c:pt idx="94">
                  <c:v>97.094622431534489</c:v>
                </c:pt>
                <c:pt idx="95">
                  <c:v>97.086311540042971</c:v>
                </c:pt>
                <c:pt idx="96">
                  <c:v>97.07791993328793</c:v>
                </c:pt>
                <c:pt idx="97">
                  <c:v>97.069450193397714</c:v>
                </c:pt>
                <c:pt idx="98">
                  <c:v>97.060904797454839</c:v>
                </c:pt>
                <c:pt idx="99">
                  <c:v>97.052286122781609</c:v>
                </c:pt>
                <c:pt idx="100">
                  <c:v>97.043596451909877</c:v>
                </c:pt>
                <c:pt idx="101">
                  <c:v>97.034837977256586</c:v>
                </c:pt>
                <c:pt idx="102">
                  <c:v>97.02601280552534</c:v>
                </c:pt>
                <c:pt idx="103">
                  <c:v>97.01712296185238</c:v>
                </c:pt>
                <c:pt idx="104">
                  <c:v>97.008170393714295</c:v>
                </c:pt>
                <c:pt idx="105">
                  <c:v>96.999156974613214</c:v>
                </c:pt>
                <c:pt idx="106">
                  <c:v>96.990084507554101</c:v>
                </c:pt>
                <c:pt idx="107">
                  <c:v>96.980954728327688</c:v>
                </c:pt>
                <c:pt idx="108">
                  <c:v>96.971769308611755</c:v>
                </c:pt>
                <c:pt idx="109">
                  <c:v>96.962529858902172</c:v>
                </c:pt>
                <c:pt idx="110">
                  <c:v>96.953237931284619</c:v>
                </c:pt>
                <c:pt idx="111">
                  <c:v>96.943895022057049</c:v>
                </c:pt>
                <c:pt idx="112">
                  <c:v>96.934502574212033</c:v>
                </c:pt>
                <c:pt idx="113">
                  <c:v>96.925061979787714</c:v>
                </c:pt>
                <c:pt idx="114">
                  <c:v>96.91557458209563</c:v>
                </c:pt>
                <c:pt idx="115">
                  <c:v>96.90604167783232</c:v>
                </c:pt>
                <c:pt idx="116">
                  <c:v>96.896464519082414</c:v>
                </c:pt>
                <c:pt idx="117">
                  <c:v>96.886844315219065</c:v>
                </c:pt>
                <c:pt idx="118">
                  <c:v>96.877182234708187</c:v>
                </c:pt>
                <c:pt idx="119">
                  <c:v>96.867479406821971</c:v>
                </c:pt>
                <c:pt idx="120">
                  <c:v>96.857736923266984</c:v>
                </c:pt>
                <c:pt idx="121">
                  <c:v>96.847955839731725</c:v>
                </c:pt>
                <c:pt idx="122">
                  <c:v>96.838137177358405</c:v>
                </c:pt>
                <c:pt idx="123">
                  <c:v>96.828281924143127</c:v>
                </c:pt>
                <c:pt idx="124">
                  <c:v>96.818391036268366</c:v>
                </c:pt>
                <c:pt idx="125">
                  <c:v>96.808465439371929</c:v>
                </c:pt>
                <c:pt idx="126">
                  <c:v>96.798506029755458</c:v>
                </c:pt>
                <c:pt idx="127">
                  <c:v>96.78851367553608</c:v>
                </c:pt>
                <c:pt idx="128">
                  <c:v>96.778489217744266</c:v>
                </c:pt>
                <c:pt idx="129">
                  <c:v>96.768433471370713</c:v>
                </c:pt>
                <c:pt idx="130">
                  <c:v>96.758347226365046</c:v>
                </c:pt>
                <c:pt idx="131">
                  <c:v>96.748231248588937</c:v>
                </c:pt>
                <c:pt idx="132">
                  <c:v>96.738086280726023</c:v>
                </c:pt>
                <c:pt idx="133">
                  <c:v>96.727913043150849</c:v>
                </c:pt>
                <c:pt idx="134">
                  <c:v>96.717712234759063</c:v>
                </c:pt>
                <c:pt idx="135">
                  <c:v>96.707484533760763</c:v>
                </c:pt>
                <c:pt idx="136">
                  <c:v>96.697230598438992</c:v>
                </c:pt>
                <c:pt idx="137">
                  <c:v>96.686951067875043</c:v>
                </c:pt>
                <c:pt idx="138">
                  <c:v>96.676646562642304</c:v>
                </c:pt>
                <c:pt idx="139">
                  <c:v>96.666317685470432</c:v>
                </c:pt>
                <c:pt idx="140">
                  <c:v>96.655965021880732</c:v>
                </c:pt>
                <c:pt idx="141">
                  <c:v>96.645589140794996</c:v>
                </c:pt>
                <c:pt idx="142">
                  <c:v>96.635190595118459</c:v>
                </c:pt>
                <c:pt idx="143">
                  <c:v>96.624769922298384</c:v>
                </c:pt>
                <c:pt idx="144">
                  <c:v>96.614327644859429</c:v>
                </c:pt>
                <c:pt idx="145">
                  <c:v>96.603864270916958</c:v>
                </c:pt>
                <c:pt idx="146">
                  <c:v>96.593380294669288</c:v>
                </c:pt>
                <c:pt idx="147">
                  <c:v>96.582876196869904</c:v>
                </c:pt>
                <c:pt idx="148">
                  <c:v>96.572352445280515</c:v>
                </c:pt>
                <c:pt idx="149">
                  <c:v>96.561809495106033</c:v>
                </c:pt>
                <c:pt idx="150">
                  <c:v>96.551247789412059</c:v>
                </c:pt>
              </c:numCache>
            </c:numRef>
          </c:yVal>
          <c:smooth val="0"/>
          <c:extLst>
            <c:ext xmlns:c16="http://schemas.microsoft.com/office/drawing/2014/chart" uri="{C3380CC4-5D6E-409C-BE32-E72D297353CC}">
              <c16:uniqueId val="{00000000-A990-4ED0-A166-4B5A02BBF415}"/>
            </c:ext>
          </c:extLst>
        </c:ser>
        <c:dLbls>
          <c:showLegendKey val="0"/>
          <c:showVal val="0"/>
          <c:showCatName val="0"/>
          <c:showSerName val="0"/>
          <c:showPercent val="0"/>
          <c:showBubbleSize val="0"/>
        </c:dLbls>
        <c:axId val="224130176"/>
        <c:axId val="224131712"/>
      </c:scatterChart>
      <c:scatterChart>
        <c:scatterStyle val="smoothMarker"/>
        <c:varyColors val="0"/>
        <c:ser>
          <c:idx val="1"/>
          <c:order val="1"/>
          <c:tx>
            <c:v>MOSFET</c:v>
          </c:tx>
          <c:marker>
            <c:symbol val="none"/>
          </c:marker>
          <c:xVal>
            <c:numRef>
              <c:f>[1]Eff_vs_IOUT!$S$7:$S$157</c:f>
              <c:numCache>
                <c:formatCode>General</c:formatCode>
                <c:ptCount val="151"/>
                <c:pt idx="0">
                  <c:v>0</c:v>
                </c:pt>
                <c:pt idx="1">
                  <c:v>9.3333333333333338E-2</c:v>
                </c:pt>
                <c:pt idx="2">
                  <c:v>0.18666666666666668</c:v>
                </c:pt>
                <c:pt idx="3">
                  <c:v>0.28000000000000003</c:v>
                </c:pt>
                <c:pt idx="4">
                  <c:v>0.37333333333333335</c:v>
                </c:pt>
                <c:pt idx="5">
                  <c:v>0.46666666666666667</c:v>
                </c:pt>
                <c:pt idx="6">
                  <c:v>0.56000000000000005</c:v>
                </c:pt>
                <c:pt idx="7">
                  <c:v>0.65333333333333332</c:v>
                </c:pt>
                <c:pt idx="8">
                  <c:v>0.7466666666666667</c:v>
                </c:pt>
                <c:pt idx="9">
                  <c:v>0.84000000000000008</c:v>
                </c:pt>
                <c:pt idx="10">
                  <c:v>0.93333333333333335</c:v>
                </c:pt>
                <c:pt idx="11">
                  <c:v>1.0266666666666666</c:v>
                </c:pt>
                <c:pt idx="12">
                  <c:v>1.1200000000000001</c:v>
                </c:pt>
                <c:pt idx="13">
                  <c:v>1.2133333333333334</c:v>
                </c:pt>
                <c:pt idx="14">
                  <c:v>1.3066666666666666</c:v>
                </c:pt>
                <c:pt idx="15">
                  <c:v>1.4000000000000001</c:v>
                </c:pt>
                <c:pt idx="16">
                  <c:v>1.4933333333333334</c:v>
                </c:pt>
                <c:pt idx="17">
                  <c:v>1.5866666666666667</c:v>
                </c:pt>
                <c:pt idx="18">
                  <c:v>1.6800000000000002</c:v>
                </c:pt>
                <c:pt idx="19">
                  <c:v>1.7733333333333334</c:v>
                </c:pt>
                <c:pt idx="20">
                  <c:v>1.8666666666666667</c:v>
                </c:pt>
                <c:pt idx="21">
                  <c:v>1.9600000000000002</c:v>
                </c:pt>
                <c:pt idx="22">
                  <c:v>2.0533333333333332</c:v>
                </c:pt>
                <c:pt idx="23">
                  <c:v>2.1466666666666669</c:v>
                </c:pt>
                <c:pt idx="24">
                  <c:v>2.2400000000000002</c:v>
                </c:pt>
                <c:pt idx="25">
                  <c:v>2.3333333333333335</c:v>
                </c:pt>
                <c:pt idx="26">
                  <c:v>2.4266666666666667</c:v>
                </c:pt>
                <c:pt idx="27">
                  <c:v>2.52</c:v>
                </c:pt>
                <c:pt idx="28">
                  <c:v>2.6133333333333333</c:v>
                </c:pt>
                <c:pt idx="29">
                  <c:v>2.706666666666667</c:v>
                </c:pt>
                <c:pt idx="30">
                  <c:v>2.8000000000000003</c:v>
                </c:pt>
                <c:pt idx="31">
                  <c:v>2.8933333333333335</c:v>
                </c:pt>
                <c:pt idx="32">
                  <c:v>2.9866666666666668</c:v>
                </c:pt>
                <c:pt idx="33">
                  <c:v>3.08</c:v>
                </c:pt>
                <c:pt idx="34">
                  <c:v>3.1733333333333333</c:v>
                </c:pt>
                <c:pt idx="35">
                  <c:v>3.2666666666666666</c:v>
                </c:pt>
                <c:pt idx="36">
                  <c:v>3.3600000000000003</c:v>
                </c:pt>
                <c:pt idx="37">
                  <c:v>3.4533333333333336</c:v>
                </c:pt>
                <c:pt idx="38">
                  <c:v>3.5466666666666669</c:v>
                </c:pt>
                <c:pt idx="39">
                  <c:v>3.64</c:v>
                </c:pt>
                <c:pt idx="40">
                  <c:v>3.7333333333333334</c:v>
                </c:pt>
                <c:pt idx="41">
                  <c:v>3.8266666666666667</c:v>
                </c:pt>
                <c:pt idx="42">
                  <c:v>3.9200000000000004</c:v>
                </c:pt>
                <c:pt idx="43">
                  <c:v>4.0133333333333336</c:v>
                </c:pt>
                <c:pt idx="44">
                  <c:v>4.1066666666666665</c:v>
                </c:pt>
                <c:pt idx="45">
                  <c:v>4.2</c:v>
                </c:pt>
                <c:pt idx="46">
                  <c:v>4.2933333333333339</c:v>
                </c:pt>
                <c:pt idx="47">
                  <c:v>4.3866666666666667</c:v>
                </c:pt>
                <c:pt idx="48">
                  <c:v>4.4800000000000004</c:v>
                </c:pt>
                <c:pt idx="49">
                  <c:v>4.5733333333333333</c:v>
                </c:pt>
                <c:pt idx="50">
                  <c:v>4.666666666666667</c:v>
                </c:pt>
                <c:pt idx="51">
                  <c:v>4.76</c:v>
                </c:pt>
                <c:pt idx="52">
                  <c:v>4.8533333333333335</c:v>
                </c:pt>
                <c:pt idx="53">
                  <c:v>4.9466666666666672</c:v>
                </c:pt>
                <c:pt idx="54">
                  <c:v>5.04</c:v>
                </c:pt>
                <c:pt idx="55">
                  <c:v>5.1333333333333337</c:v>
                </c:pt>
                <c:pt idx="56">
                  <c:v>5.2266666666666666</c:v>
                </c:pt>
                <c:pt idx="57">
                  <c:v>5.32</c:v>
                </c:pt>
                <c:pt idx="58">
                  <c:v>5.413333333333334</c:v>
                </c:pt>
                <c:pt idx="59">
                  <c:v>5.5066666666666668</c:v>
                </c:pt>
                <c:pt idx="60">
                  <c:v>5.6000000000000005</c:v>
                </c:pt>
                <c:pt idx="61">
                  <c:v>5.6933333333333334</c:v>
                </c:pt>
                <c:pt idx="62">
                  <c:v>5.7866666666666671</c:v>
                </c:pt>
                <c:pt idx="63">
                  <c:v>5.88</c:v>
                </c:pt>
                <c:pt idx="64">
                  <c:v>5.9733333333333336</c:v>
                </c:pt>
                <c:pt idx="65">
                  <c:v>6.0666666666666673</c:v>
                </c:pt>
                <c:pt idx="66">
                  <c:v>6.16</c:v>
                </c:pt>
                <c:pt idx="67">
                  <c:v>6.2533333333333339</c:v>
                </c:pt>
                <c:pt idx="68">
                  <c:v>6.3466666666666667</c:v>
                </c:pt>
                <c:pt idx="69">
                  <c:v>6.44</c:v>
                </c:pt>
                <c:pt idx="70">
                  <c:v>6.5333333333333332</c:v>
                </c:pt>
                <c:pt idx="71">
                  <c:v>6.6266666666666669</c:v>
                </c:pt>
                <c:pt idx="72">
                  <c:v>6.7200000000000006</c:v>
                </c:pt>
                <c:pt idx="73">
                  <c:v>6.8133333333333335</c:v>
                </c:pt>
                <c:pt idx="74">
                  <c:v>6.9066666666666672</c:v>
                </c:pt>
                <c:pt idx="75">
                  <c:v>7</c:v>
                </c:pt>
                <c:pt idx="76">
                  <c:v>7.0933333333333337</c:v>
                </c:pt>
                <c:pt idx="77">
                  <c:v>7.1866666666666674</c:v>
                </c:pt>
                <c:pt idx="78">
                  <c:v>7.28</c:v>
                </c:pt>
                <c:pt idx="79">
                  <c:v>7.373333333333334</c:v>
                </c:pt>
                <c:pt idx="80">
                  <c:v>7.4666666666666668</c:v>
                </c:pt>
                <c:pt idx="81">
                  <c:v>7.5600000000000005</c:v>
                </c:pt>
                <c:pt idx="82">
                  <c:v>7.6533333333333333</c:v>
                </c:pt>
                <c:pt idx="83">
                  <c:v>7.746666666666667</c:v>
                </c:pt>
                <c:pt idx="84">
                  <c:v>7.8400000000000007</c:v>
                </c:pt>
                <c:pt idx="85">
                  <c:v>7.9333333333333336</c:v>
                </c:pt>
                <c:pt idx="86">
                  <c:v>8.0266666666666673</c:v>
                </c:pt>
                <c:pt idx="87">
                  <c:v>8.120000000000001</c:v>
                </c:pt>
                <c:pt idx="88">
                  <c:v>8.2133333333333329</c:v>
                </c:pt>
                <c:pt idx="89">
                  <c:v>8.3066666666666666</c:v>
                </c:pt>
                <c:pt idx="90">
                  <c:v>8.4</c:v>
                </c:pt>
                <c:pt idx="91">
                  <c:v>8.4933333333333341</c:v>
                </c:pt>
                <c:pt idx="92">
                  <c:v>8.5866666666666678</c:v>
                </c:pt>
                <c:pt idx="93">
                  <c:v>8.68</c:v>
                </c:pt>
                <c:pt idx="94">
                  <c:v>8.7733333333333334</c:v>
                </c:pt>
                <c:pt idx="95">
                  <c:v>8.8666666666666671</c:v>
                </c:pt>
                <c:pt idx="96">
                  <c:v>8.9600000000000009</c:v>
                </c:pt>
                <c:pt idx="97">
                  <c:v>9.0533333333333346</c:v>
                </c:pt>
                <c:pt idx="98">
                  <c:v>9.1466666666666665</c:v>
                </c:pt>
                <c:pt idx="99">
                  <c:v>9.24</c:v>
                </c:pt>
                <c:pt idx="100">
                  <c:v>9.3333333333333339</c:v>
                </c:pt>
                <c:pt idx="101">
                  <c:v>9.4266666666666676</c:v>
                </c:pt>
                <c:pt idx="102">
                  <c:v>9.52</c:v>
                </c:pt>
                <c:pt idx="103">
                  <c:v>9.6133333333333333</c:v>
                </c:pt>
                <c:pt idx="104">
                  <c:v>9.706666666666667</c:v>
                </c:pt>
                <c:pt idx="105">
                  <c:v>9.8000000000000007</c:v>
                </c:pt>
                <c:pt idx="106">
                  <c:v>9.8933333333333344</c:v>
                </c:pt>
                <c:pt idx="107">
                  <c:v>9.9866666666666664</c:v>
                </c:pt>
                <c:pt idx="108">
                  <c:v>10.08</c:v>
                </c:pt>
                <c:pt idx="109">
                  <c:v>10.173333333333334</c:v>
                </c:pt>
                <c:pt idx="110">
                  <c:v>10.266666666666667</c:v>
                </c:pt>
                <c:pt idx="111">
                  <c:v>10.360000000000001</c:v>
                </c:pt>
                <c:pt idx="112">
                  <c:v>10.453333333333333</c:v>
                </c:pt>
                <c:pt idx="113">
                  <c:v>10.546666666666667</c:v>
                </c:pt>
                <c:pt idx="114">
                  <c:v>10.64</c:v>
                </c:pt>
                <c:pt idx="115">
                  <c:v>10.733333333333334</c:v>
                </c:pt>
                <c:pt idx="116">
                  <c:v>10.826666666666668</c:v>
                </c:pt>
                <c:pt idx="117">
                  <c:v>10.92</c:v>
                </c:pt>
                <c:pt idx="118">
                  <c:v>11.013333333333334</c:v>
                </c:pt>
                <c:pt idx="119">
                  <c:v>11.106666666666667</c:v>
                </c:pt>
                <c:pt idx="120">
                  <c:v>11.200000000000001</c:v>
                </c:pt>
                <c:pt idx="121">
                  <c:v>11.293333333333333</c:v>
                </c:pt>
                <c:pt idx="122">
                  <c:v>11.386666666666667</c:v>
                </c:pt>
                <c:pt idx="123">
                  <c:v>11.48</c:v>
                </c:pt>
                <c:pt idx="124">
                  <c:v>11.573333333333334</c:v>
                </c:pt>
                <c:pt idx="125">
                  <c:v>11.666666666666668</c:v>
                </c:pt>
                <c:pt idx="126">
                  <c:v>11.76</c:v>
                </c:pt>
                <c:pt idx="127">
                  <c:v>11.853333333333333</c:v>
                </c:pt>
                <c:pt idx="128">
                  <c:v>11.946666666666667</c:v>
                </c:pt>
                <c:pt idx="129">
                  <c:v>12.040000000000001</c:v>
                </c:pt>
                <c:pt idx="130">
                  <c:v>12.133333333333335</c:v>
                </c:pt>
                <c:pt idx="131">
                  <c:v>12.226666666666667</c:v>
                </c:pt>
                <c:pt idx="132">
                  <c:v>12.32</c:v>
                </c:pt>
                <c:pt idx="133">
                  <c:v>12.413333333333334</c:v>
                </c:pt>
                <c:pt idx="134">
                  <c:v>12.506666666666668</c:v>
                </c:pt>
                <c:pt idx="135">
                  <c:v>12.600000000000001</c:v>
                </c:pt>
                <c:pt idx="136">
                  <c:v>12.693333333333333</c:v>
                </c:pt>
                <c:pt idx="137">
                  <c:v>12.786666666666667</c:v>
                </c:pt>
                <c:pt idx="138">
                  <c:v>12.88</c:v>
                </c:pt>
                <c:pt idx="139">
                  <c:v>12.973333333333334</c:v>
                </c:pt>
                <c:pt idx="140">
                  <c:v>13.066666666666666</c:v>
                </c:pt>
                <c:pt idx="141">
                  <c:v>13.16</c:v>
                </c:pt>
                <c:pt idx="142">
                  <c:v>13.253333333333334</c:v>
                </c:pt>
                <c:pt idx="143">
                  <c:v>13.346666666666668</c:v>
                </c:pt>
                <c:pt idx="144">
                  <c:v>13.440000000000001</c:v>
                </c:pt>
                <c:pt idx="145">
                  <c:v>13.533333333333333</c:v>
                </c:pt>
                <c:pt idx="146">
                  <c:v>13.626666666666667</c:v>
                </c:pt>
                <c:pt idx="147">
                  <c:v>13.72</c:v>
                </c:pt>
                <c:pt idx="148">
                  <c:v>13.813333333333334</c:v>
                </c:pt>
                <c:pt idx="149">
                  <c:v>13.906666666666668</c:v>
                </c:pt>
                <c:pt idx="150">
                  <c:v>14</c:v>
                </c:pt>
              </c:numCache>
            </c:numRef>
          </c:xVal>
          <c:yVal>
            <c:numRef>
              <c:f>[1]Eff_vs_IOUT!$AI$7:$AI$157</c:f>
              <c:numCache>
                <c:formatCode>General</c:formatCode>
                <c:ptCount val="151"/>
                <c:pt idx="0">
                  <c:v>1.13161834494674E-3</c:v>
                </c:pt>
                <c:pt idx="1">
                  <c:v>5.3029569450771509E-2</c:v>
                </c:pt>
                <c:pt idx="2">
                  <c:v>0.10503205388992962</c:v>
                </c:pt>
                <c:pt idx="3">
                  <c:v>0.15713907166242103</c:v>
                </c:pt>
                <c:pt idx="4">
                  <c:v>0.20935062276824581</c:v>
                </c:pt>
                <c:pt idx="5">
                  <c:v>0.26166670720740393</c:v>
                </c:pt>
                <c:pt idx="6">
                  <c:v>0.31408732497989528</c:v>
                </c:pt>
                <c:pt idx="7">
                  <c:v>0.36661247608572006</c:v>
                </c:pt>
                <c:pt idx="8">
                  <c:v>0.41924216052487823</c:v>
                </c:pt>
                <c:pt idx="9">
                  <c:v>0.4719763782973696</c:v>
                </c:pt>
                <c:pt idx="10">
                  <c:v>0.52481512940319441</c:v>
                </c:pt>
                <c:pt idx="11">
                  <c:v>0.57775841384235238</c:v>
                </c:pt>
                <c:pt idx="12">
                  <c:v>0.63080623161484384</c:v>
                </c:pt>
                <c:pt idx="13">
                  <c:v>0.68395858272066867</c:v>
                </c:pt>
                <c:pt idx="14">
                  <c:v>0.73721546715982667</c:v>
                </c:pt>
                <c:pt idx="15">
                  <c:v>0.79057688493231826</c:v>
                </c:pt>
                <c:pt idx="16">
                  <c:v>0.84404283603814301</c:v>
                </c:pt>
                <c:pt idx="17">
                  <c:v>0.89761332047730091</c:v>
                </c:pt>
                <c:pt idx="18">
                  <c:v>0.95128833824979242</c:v>
                </c:pt>
                <c:pt idx="19">
                  <c:v>1.0050678893556171</c:v>
                </c:pt>
                <c:pt idx="20">
                  <c:v>1.0589519737947755</c:v>
                </c:pt>
                <c:pt idx="21">
                  <c:v>1.112940591567267</c:v>
                </c:pt>
                <c:pt idx="22">
                  <c:v>1.1670337426730912</c:v>
                </c:pt>
                <c:pt idx="23">
                  <c:v>1.2212314271122497</c:v>
                </c:pt>
                <c:pt idx="24">
                  <c:v>1.275533644884741</c:v>
                </c:pt>
                <c:pt idx="25">
                  <c:v>1.3299403959905658</c:v>
                </c:pt>
                <c:pt idx="26">
                  <c:v>1.384451680429724</c:v>
                </c:pt>
                <c:pt idx="27">
                  <c:v>1.4390674982022156</c:v>
                </c:pt>
                <c:pt idx="28">
                  <c:v>1.4937878493080401</c:v>
                </c:pt>
                <c:pt idx="29">
                  <c:v>1.5486127337471982</c:v>
                </c:pt>
                <c:pt idx="30">
                  <c:v>1.6035421515196897</c:v>
                </c:pt>
                <c:pt idx="31">
                  <c:v>1.6585761026255148</c:v>
                </c:pt>
                <c:pt idx="32">
                  <c:v>1.7137145870646726</c:v>
                </c:pt>
                <c:pt idx="33">
                  <c:v>1.768957604837164</c:v>
                </c:pt>
                <c:pt idx="34">
                  <c:v>1.8243051559429886</c:v>
                </c:pt>
                <c:pt idx="35">
                  <c:v>1.8797572403821465</c:v>
                </c:pt>
                <c:pt idx="36">
                  <c:v>1.9353138581546381</c:v>
                </c:pt>
                <c:pt idx="37">
                  <c:v>1.9909750092604632</c:v>
                </c:pt>
                <c:pt idx="38">
                  <c:v>2.0467406936996211</c:v>
                </c:pt>
                <c:pt idx="39">
                  <c:v>2.1026109114721123</c:v>
                </c:pt>
                <c:pt idx="40">
                  <c:v>2.1585856625779374</c:v>
                </c:pt>
                <c:pt idx="41">
                  <c:v>2.2146649470170954</c:v>
                </c:pt>
                <c:pt idx="42">
                  <c:v>2.2708487647895872</c:v>
                </c:pt>
                <c:pt idx="43">
                  <c:v>2.3271371158954119</c:v>
                </c:pt>
                <c:pt idx="44">
                  <c:v>2.3835300003345692</c:v>
                </c:pt>
                <c:pt idx="45">
                  <c:v>2.4400274181070611</c:v>
                </c:pt>
                <c:pt idx="46">
                  <c:v>2.496629369212886</c:v>
                </c:pt>
                <c:pt idx="47">
                  <c:v>2.5533358536520439</c:v>
                </c:pt>
                <c:pt idx="48">
                  <c:v>2.6101468714245351</c:v>
                </c:pt>
                <c:pt idx="49">
                  <c:v>2.6670624225303601</c:v>
                </c:pt>
                <c:pt idx="50">
                  <c:v>2.724082506969518</c:v>
                </c:pt>
                <c:pt idx="51">
                  <c:v>2.7812071247420094</c:v>
                </c:pt>
                <c:pt idx="52">
                  <c:v>2.8384362758478345</c:v>
                </c:pt>
                <c:pt idx="53">
                  <c:v>2.8957699602869931</c:v>
                </c:pt>
                <c:pt idx="54">
                  <c:v>2.9532081780594845</c:v>
                </c:pt>
                <c:pt idx="55">
                  <c:v>3.0107509291653094</c:v>
                </c:pt>
                <c:pt idx="56">
                  <c:v>3.0683982136044667</c:v>
                </c:pt>
                <c:pt idx="57">
                  <c:v>3.1261500313769579</c:v>
                </c:pt>
                <c:pt idx="58">
                  <c:v>3.1840063824827829</c:v>
                </c:pt>
                <c:pt idx="59">
                  <c:v>3.2419672669219408</c:v>
                </c:pt>
                <c:pt idx="60">
                  <c:v>3.3000326846944326</c:v>
                </c:pt>
                <c:pt idx="61">
                  <c:v>3.3582026358002577</c:v>
                </c:pt>
                <c:pt idx="62">
                  <c:v>3.4164771202394162</c:v>
                </c:pt>
                <c:pt idx="63">
                  <c:v>3.4748561380119067</c:v>
                </c:pt>
                <c:pt idx="64">
                  <c:v>3.533339689117732</c:v>
                </c:pt>
                <c:pt idx="65">
                  <c:v>3.5919277735568906</c:v>
                </c:pt>
                <c:pt idx="66">
                  <c:v>3.6506203913293813</c:v>
                </c:pt>
                <c:pt idx="67">
                  <c:v>3.7094175424352063</c:v>
                </c:pt>
                <c:pt idx="68">
                  <c:v>3.7683192268743637</c:v>
                </c:pt>
                <c:pt idx="69">
                  <c:v>3.8273254446468554</c:v>
                </c:pt>
                <c:pt idx="70">
                  <c:v>3.8864361957526796</c:v>
                </c:pt>
                <c:pt idx="71">
                  <c:v>3.9456514801918376</c:v>
                </c:pt>
                <c:pt idx="72">
                  <c:v>4.0049712979643299</c:v>
                </c:pt>
                <c:pt idx="73">
                  <c:v>4.0643956490701543</c:v>
                </c:pt>
                <c:pt idx="74">
                  <c:v>4.1239245335093129</c:v>
                </c:pt>
                <c:pt idx="75">
                  <c:v>4.183557951281804</c:v>
                </c:pt>
                <c:pt idx="76">
                  <c:v>4.2432959023876284</c:v>
                </c:pt>
                <c:pt idx="77">
                  <c:v>4.3031383868267872</c:v>
                </c:pt>
                <c:pt idx="78">
                  <c:v>4.3630854045992784</c:v>
                </c:pt>
                <c:pt idx="79">
                  <c:v>4.4231369557051039</c:v>
                </c:pt>
                <c:pt idx="80">
                  <c:v>4.4832930401442619</c:v>
                </c:pt>
                <c:pt idx="81">
                  <c:v>4.5435536579167533</c:v>
                </c:pt>
                <c:pt idx="82">
                  <c:v>4.6039188090225771</c:v>
                </c:pt>
                <c:pt idx="83">
                  <c:v>4.6643884934617352</c:v>
                </c:pt>
                <c:pt idx="84">
                  <c:v>4.7249627112342276</c:v>
                </c:pt>
                <c:pt idx="85">
                  <c:v>4.7856414623400516</c:v>
                </c:pt>
                <c:pt idx="86">
                  <c:v>4.8464247467792099</c:v>
                </c:pt>
                <c:pt idx="87">
                  <c:v>4.9073125645517015</c:v>
                </c:pt>
                <c:pt idx="88">
                  <c:v>4.9683049156575247</c:v>
                </c:pt>
                <c:pt idx="89">
                  <c:v>5.0294018000966831</c:v>
                </c:pt>
                <c:pt idx="90">
                  <c:v>5.0906032178691749</c:v>
                </c:pt>
                <c:pt idx="91">
                  <c:v>5.151909168975001</c:v>
                </c:pt>
                <c:pt idx="92">
                  <c:v>5.2133196534141586</c:v>
                </c:pt>
                <c:pt idx="93">
                  <c:v>5.2748346711866496</c:v>
                </c:pt>
                <c:pt idx="94">
                  <c:v>5.336454222292474</c:v>
                </c:pt>
                <c:pt idx="95">
                  <c:v>5.3981783067316327</c:v>
                </c:pt>
                <c:pt idx="96">
                  <c:v>5.4600069245041238</c:v>
                </c:pt>
                <c:pt idx="97">
                  <c:v>5.5219400756099501</c:v>
                </c:pt>
                <c:pt idx="98">
                  <c:v>5.5839777600491072</c:v>
                </c:pt>
                <c:pt idx="99">
                  <c:v>5.6461199778215985</c:v>
                </c:pt>
                <c:pt idx="100">
                  <c:v>5.7083667289274231</c:v>
                </c:pt>
                <c:pt idx="101">
                  <c:v>5.7707180133665812</c:v>
                </c:pt>
                <c:pt idx="102">
                  <c:v>5.8331738311390726</c:v>
                </c:pt>
                <c:pt idx="103">
                  <c:v>5.8957341822448974</c:v>
                </c:pt>
                <c:pt idx="104">
                  <c:v>5.9583990666840556</c:v>
                </c:pt>
                <c:pt idx="105">
                  <c:v>6.0211684844565481</c:v>
                </c:pt>
                <c:pt idx="106">
                  <c:v>6.084042435562373</c:v>
                </c:pt>
                <c:pt idx="107">
                  <c:v>6.1470209200015296</c:v>
                </c:pt>
                <c:pt idx="108">
                  <c:v>6.2101039377740221</c:v>
                </c:pt>
                <c:pt idx="109">
                  <c:v>6.2732914888798472</c:v>
                </c:pt>
                <c:pt idx="110">
                  <c:v>6.3365835733190048</c:v>
                </c:pt>
                <c:pt idx="111">
                  <c:v>6.3999801910914957</c:v>
                </c:pt>
                <c:pt idx="112">
                  <c:v>6.4634813421973201</c:v>
                </c:pt>
                <c:pt idx="113">
                  <c:v>6.5270870266364778</c:v>
                </c:pt>
                <c:pt idx="114">
                  <c:v>6.5907972444089697</c:v>
                </c:pt>
                <c:pt idx="115">
                  <c:v>6.6546119955147951</c:v>
                </c:pt>
                <c:pt idx="116">
                  <c:v>6.7185312799539529</c:v>
                </c:pt>
                <c:pt idx="117">
                  <c:v>6.7825550977264433</c:v>
                </c:pt>
                <c:pt idx="118">
                  <c:v>6.8466834488322688</c:v>
                </c:pt>
                <c:pt idx="119">
                  <c:v>6.9109163332714267</c:v>
                </c:pt>
                <c:pt idx="120">
                  <c:v>6.975253751043919</c:v>
                </c:pt>
                <c:pt idx="121">
                  <c:v>7.0396957021497428</c:v>
                </c:pt>
                <c:pt idx="122">
                  <c:v>7.1042421865889018</c:v>
                </c:pt>
                <c:pt idx="123">
                  <c:v>7.1688932043613933</c:v>
                </c:pt>
                <c:pt idx="124">
                  <c:v>7.2336487554672191</c:v>
                </c:pt>
                <c:pt idx="125">
                  <c:v>7.2985088399063773</c:v>
                </c:pt>
                <c:pt idx="126">
                  <c:v>7.3634734576788672</c:v>
                </c:pt>
                <c:pt idx="127">
                  <c:v>7.4285426087846922</c:v>
                </c:pt>
                <c:pt idx="128">
                  <c:v>7.4937162932238506</c:v>
                </c:pt>
                <c:pt idx="129">
                  <c:v>7.5589945109963432</c:v>
                </c:pt>
                <c:pt idx="130">
                  <c:v>7.6243772621021675</c:v>
                </c:pt>
                <c:pt idx="131">
                  <c:v>7.6898645465413242</c:v>
                </c:pt>
                <c:pt idx="132">
                  <c:v>7.7554563643138161</c:v>
                </c:pt>
                <c:pt idx="133">
                  <c:v>7.8211527154196414</c:v>
                </c:pt>
                <c:pt idx="134">
                  <c:v>7.8869535998587992</c:v>
                </c:pt>
                <c:pt idx="135">
                  <c:v>7.9528590176312912</c:v>
                </c:pt>
                <c:pt idx="136">
                  <c:v>8.0188689687371149</c:v>
                </c:pt>
                <c:pt idx="137">
                  <c:v>8.0849834531762728</c:v>
                </c:pt>
                <c:pt idx="138">
                  <c:v>8.151202470948764</c:v>
                </c:pt>
                <c:pt idx="139">
                  <c:v>8.2175260220545887</c:v>
                </c:pt>
                <c:pt idx="140">
                  <c:v>8.283954106493745</c:v>
                </c:pt>
                <c:pt idx="141">
                  <c:v>8.3504867242662382</c:v>
                </c:pt>
                <c:pt idx="142">
                  <c:v>8.4171238753720612</c:v>
                </c:pt>
                <c:pt idx="143">
                  <c:v>8.4838655598112229</c:v>
                </c:pt>
                <c:pt idx="144">
                  <c:v>8.5507117775837127</c:v>
                </c:pt>
                <c:pt idx="145">
                  <c:v>8.6176625286895376</c:v>
                </c:pt>
                <c:pt idx="146">
                  <c:v>8.684717813128696</c:v>
                </c:pt>
                <c:pt idx="147">
                  <c:v>8.7518776309011876</c:v>
                </c:pt>
                <c:pt idx="148">
                  <c:v>8.8191419820070127</c:v>
                </c:pt>
                <c:pt idx="149">
                  <c:v>8.8865108664461712</c:v>
                </c:pt>
                <c:pt idx="150">
                  <c:v>8.9539842842186612</c:v>
                </c:pt>
              </c:numCache>
            </c:numRef>
          </c:yVal>
          <c:smooth val="1"/>
          <c:extLst>
            <c:ext xmlns:c16="http://schemas.microsoft.com/office/drawing/2014/chart" uri="{C3380CC4-5D6E-409C-BE32-E72D297353CC}">
              <c16:uniqueId val="{00000001-A990-4ED0-A166-4B5A02BBF415}"/>
            </c:ext>
          </c:extLst>
        </c:ser>
        <c:ser>
          <c:idx val="2"/>
          <c:order val="2"/>
          <c:tx>
            <c:v>Diode</c:v>
          </c:tx>
          <c:marker>
            <c:symbol val="none"/>
          </c:marker>
          <c:xVal>
            <c:numRef>
              <c:f>[1]Eff_vs_IOUT!$S$7:$S$157</c:f>
              <c:numCache>
                <c:formatCode>General</c:formatCode>
                <c:ptCount val="151"/>
                <c:pt idx="0">
                  <c:v>0</c:v>
                </c:pt>
                <c:pt idx="1">
                  <c:v>9.3333333333333338E-2</c:v>
                </c:pt>
                <c:pt idx="2">
                  <c:v>0.18666666666666668</c:v>
                </c:pt>
                <c:pt idx="3">
                  <c:v>0.28000000000000003</c:v>
                </c:pt>
                <c:pt idx="4">
                  <c:v>0.37333333333333335</c:v>
                </c:pt>
                <c:pt idx="5">
                  <c:v>0.46666666666666667</c:v>
                </c:pt>
                <c:pt idx="6">
                  <c:v>0.56000000000000005</c:v>
                </c:pt>
                <c:pt idx="7">
                  <c:v>0.65333333333333332</c:v>
                </c:pt>
                <c:pt idx="8">
                  <c:v>0.7466666666666667</c:v>
                </c:pt>
                <c:pt idx="9">
                  <c:v>0.84000000000000008</c:v>
                </c:pt>
                <c:pt idx="10">
                  <c:v>0.93333333333333335</c:v>
                </c:pt>
                <c:pt idx="11">
                  <c:v>1.0266666666666666</c:v>
                </c:pt>
                <c:pt idx="12">
                  <c:v>1.1200000000000001</c:v>
                </c:pt>
                <c:pt idx="13">
                  <c:v>1.2133333333333334</c:v>
                </c:pt>
                <c:pt idx="14">
                  <c:v>1.3066666666666666</c:v>
                </c:pt>
                <c:pt idx="15">
                  <c:v>1.4000000000000001</c:v>
                </c:pt>
                <c:pt idx="16">
                  <c:v>1.4933333333333334</c:v>
                </c:pt>
                <c:pt idx="17">
                  <c:v>1.5866666666666667</c:v>
                </c:pt>
                <c:pt idx="18">
                  <c:v>1.6800000000000002</c:v>
                </c:pt>
                <c:pt idx="19">
                  <c:v>1.7733333333333334</c:v>
                </c:pt>
                <c:pt idx="20">
                  <c:v>1.8666666666666667</c:v>
                </c:pt>
                <c:pt idx="21">
                  <c:v>1.9600000000000002</c:v>
                </c:pt>
                <c:pt idx="22">
                  <c:v>2.0533333333333332</c:v>
                </c:pt>
                <c:pt idx="23">
                  <c:v>2.1466666666666669</c:v>
                </c:pt>
                <c:pt idx="24">
                  <c:v>2.2400000000000002</c:v>
                </c:pt>
                <c:pt idx="25">
                  <c:v>2.3333333333333335</c:v>
                </c:pt>
                <c:pt idx="26">
                  <c:v>2.4266666666666667</c:v>
                </c:pt>
                <c:pt idx="27">
                  <c:v>2.52</c:v>
                </c:pt>
                <c:pt idx="28">
                  <c:v>2.6133333333333333</c:v>
                </c:pt>
                <c:pt idx="29">
                  <c:v>2.706666666666667</c:v>
                </c:pt>
                <c:pt idx="30">
                  <c:v>2.8000000000000003</c:v>
                </c:pt>
                <c:pt idx="31">
                  <c:v>2.8933333333333335</c:v>
                </c:pt>
                <c:pt idx="32">
                  <c:v>2.9866666666666668</c:v>
                </c:pt>
                <c:pt idx="33">
                  <c:v>3.08</c:v>
                </c:pt>
                <c:pt idx="34">
                  <c:v>3.1733333333333333</c:v>
                </c:pt>
                <c:pt idx="35">
                  <c:v>3.2666666666666666</c:v>
                </c:pt>
                <c:pt idx="36">
                  <c:v>3.3600000000000003</c:v>
                </c:pt>
                <c:pt idx="37">
                  <c:v>3.4533333333333336</c:v>
                </c:pt>
                <c:pt idx="38">
                  <c:v>3.5466666666666669</c:v>
                </c:pt>
                <c:pt idx="39">
                  <c:v>3.64</c:v>
                </c:pt>
                <c:pt idx="40">
                  <c:v>3.7333333333333334</c:v>
                </c:pt>
                <c:pt idx="41">
                  <c:v>3.8266666666666667</c:v>
                </c:pt>
                <c:pt idx="42">
                  <c:v>3.9200000000000004</c:v>
                </c:pt>
                <c:pt idx="43">
                  <c:v>4.0133333333333336</c:v>
                </c:pt>
                <c:pt idx="44">
                  <c:v>4.1066666666666665</c:v>
                </c:pt>
                <c:pt idx="45">
                  <c:v>4.2</c:v>
                </c:pt>
                <c:pt idx="46">
                  <c:v>4.2933333333333339</c:v>
                </c:pt>
                <c:pt idx="47">
                  <c:v>4.3866666666666667</c:v>
                </c:pt>
                <c:pt idx="48">
                  <c:v>4.4800000000000004</c:v>
                </c:pt>
                <c:pt idx="49">
                  <c:v>4.5733333333333333</c:v>
                </c:pt>
                <c:pt idx="50">
                  <c:v>4.666666666666667</c:v>
                </c:pt>
                <c:pt idx="51">
                  <c:v>4.76</c:v>
                </c:pt>
                <c:pt idx="52">
                  <c:v>4.8533333333333335</c:v>
                </c:pt>
                <c:pt idx="53">
                  <c:v>4.9466666666666672</c:v>
                </c:pt>
                <c:pt idx="54">
                  <c:v>5.04</c:v>
                </c:pt>
                <c:pt idx="55">
                  <c:v>5.1333333333333337</c:v>
                </c:pt>
                <c:pt idx="56">
                  <c:v>5.2266666666666666</c:v>
                </c:pt>
                <c:pt idx="57">
                  <c:v>5.32</c:v>
                </c:pt>
                <c:pt idx="58">
                  <c:v>5.413333333333334</c:v>
                </c:pt>
                <c:pt idx="59">
                  <c:v>5.5066666666666668</c:v>
                </c:pt>
                <c:pt idx="60">
                  <c:v>5.6000000000000005</c:v>
                </c:pt>
                <c:pt idx="61">
                  <c:v>5.6933333333333334</c:v>
                </c:pt>
                <c:pt idx="62">
                  <c:v>5.7866666666666671</c:v>
                </c:pt>
                <c:pt idx="63">
                  <c:v>5.88</c:v>
                </c:pt>
                <c:pt idx="64">
                  <c:v>5.9733333333333336</c:v>
                </c:pt>
                <c:pt idx="65">
                  <c:v>6.0666666666666673</c:v>
                </c:pt>
                <c:pt idx="66">
                  <c:v>6.16</c:v>
                </c:pt>
                <c:pt idx="67">
                  <c:v>6.2533333333333339</c:v>
                </c:pt>
                <c:pt idx="68">
                  <c:v>6.3466666666666667</c:v>
                </c:pt>
                <c:pt idx="69">
                  <c:v>6.44</c:v>
                </c:pt>
                <c:pt idx="70">
                  <c:v>6.5333333333333332</c:v>
                </c:pt>
                <c:pt idx="71">
                  <c:v>6.6266666666666669</c:v>
                </c:pt>
                <c:pt idx="72">
                  <c:v>6.7200000000000006</c:v>
                </c:pt>
                <c:pt idx="73">
                  <c:v>6.8133333333333335</c:v>
                </c:pt>
                <c:pt idx="74">
                  <c:v>6.9066666666666672</c:v>
                </c:pt>
                <c:pt idx="75">
                  <c:v>7</c:v>
                </c:pt>
                <c:pt idx="76">
                  <c:v>7.0933333333333337</c:v>
                </c:pt>
                <c:pt idx="77">
                  <c:v>7.1866666666666674</c:v>
                </c:pt>
                <c:pt idx="78">
                  <c:v>7.28</c:v>
                </c:pt>
                <c:pt idx="79">
                  <c:v>7.373333333333334</c:v>
                </c:pt>
                <c:pt idx="80">
                  <c:v>7.4666666666666668</c:v>
                </c:pt>
                <c:pt idx="81">
                  <c:v>7.5600000000000005</c:v>
                </c:pt>
                <c:pt idx="82">
                  <c:v>7.6533333333333333</c:v>
                </c:pt>
                <c:pt idx="83">
                  <c:v>7.746666666666667</c:v>
                </c:pt>
                <c:pt idx="84">
                  <c:v>7.8400000000000007</c:v>
                </c:pt>
                <c:pt idx="85">
                  <c:v>7.9333333333333336</c:v>
                </c:pt>
                <c:pt idx="86">
                  <c:v>8.0266666666666673</c:v>
                </c:pt>
                <c:pt idx="87">
                  <c:v>8.120000000000001</c:v>
                </c:pt>
                <c:pt idx="88">
                  <c:v>8.2133333333333329</c:v>
                </c:pt>
                <c:pt idx="89">
                  <c:v>8.3066666666666666</c:v>
                </c:pt>
                <c:pt idx="90">
                  <c:v>8.4</c:v>
                </c:pt>
                <c:pt idx="91">
                  <c:v>8.4933333333333341</c:v>
                </c:pt>
                <c:pt idx="92">
                  <c:v>8.5866666666666678</c:v>
                </c:pt>
                <c:pt idx="93">
                  <c:v>8.68</c:v>
                </c:pt>
                <c:pt idx="94">
                  <c:v>8.7733333333333334</c:v>
                </c:pt>
                <c:pt idx="95">
                  <c:v>8.8666666666666671</c:v>
                </c:pt>
                <c:pt idx="96">
                  <c:v>8.9600000000000009</c:v>
                </c:pt>
                <c:pt idx="97">
                  <c:v>9.0533333333333346</c:v>
                </c:pt>
                <c:pt idx="98">
                  <c:v>9.1466666666666665</c:v>
                </c:pt>
                <c:pt idx="99">
                  <c:v>9.24</c:v>
                </c:pt>
                <c:pt idx="100">
                  <c:v>9.3333333333333339</c:v>
                </c:pt>
                <c:pt idx="101">
                  <c:v>9.4266666666666676</c:v>
                </c:pt>
                <c:pt idx="102">
                  <c:v>9.52</c:v>
                </c:pt>
                <c:pt idx="103">
                  <c:v>9.6133333333333333</c:v>
                </c:pt>
                <c:pt idx="104">
                  <c:v>9.706666666666667</c:v>
                </c:pt>
                <c:pt idx="105">
                  <c:v>9.8000000000000007</c:v>
                </c:pt>
                <c:pt idx="106">
                  <c:v>9.8933333333333344</c:v>
                </c:pt>
                <c:pt idx="107">
                  <c:v>9.9866666666666664</c:v>
                </c:pt>
                <c:pt idx="108">
                  <c:v>10.08</c:v>
                </c:pt>
                <c:pt idx="109">
                  <c:v>10.173333333333334</c:v>
                </c:pt>
                <c:pt idx="110">
                  <c:v>10.266666666666667</c:v>
                </c:pt>
                <c:pt idx="111">
                  <c:v>10.360000000000001</c:v>
                </c:pt>
                <c:pt idx="112">
                  <c:v>10.453333333333333</c:v>
                </c:pt>
                <c:pt idx="113">
                  <c:v>10.546666666666667</c:v>
                </c:pt>
                <c:pt idx="114">
                  <c:v>10.64</c:v>
                </c:pt>
                <c:pt idx="115">
                  <c:v>10.733333333333334</c:v>
                </c:pt>
                <c:pt idx="116">
                  <c:v>10.826666666666668</c:v>
                </c:pt>
                <c:pt idx="117">
                  <c:v>10.92</c:v>
                </c:pt>
                <c:pt idx="118">
                  <c:v>11.013333333333334</c:v>
                </c:pt>
                <c:pt idx="119">
                  <c:v>11.106666666666667</c:v>
                </c:pt>
                <c:pt idx="120">
                  <c:v>11.200000000000001</c:v>
                </c:pt>
                <c:pt idx="121">
                  <c:v>11.293333333333333</c:v>
                </c:pt>
                <c:pt idx="122">
                  <c:v>11.386666666666667</c:v>
                </c:pt>
                <c:pt idx="123">
                  <c:v>11.48</c:v>
                </c:pt>
                <c:pt idx="124">
                  <c:v>11.573333333333334</c:v>
                </c:pt>
                <c:pt idx="125">
                  <c:v>11.666666666666668</c:v>
                </c:pt>
                <c:pt idx="126">
                  <c:v>11.76</c:v>
                </c:pt>
                <c:pt idx="127">
                  <c:v>11.853333333333333</c:v>
                </c:pt>
                <c:pt idx="128">
                  <c:v>11.946666666666667</c:v>
                </c:pt>
                <c:pt idx="129">
                  <c:v>12.040000000000001</c:v>
                </c:pt>
                <c:pt idx="130">
                  <c:v>12.133333333333335</c:v>
                </c:pt>
                <c:pt idx="131">
                  <c:v>12.226666666666667</c:v>
                </c:pt>
                <c:pt idx="132">
                  <c:v>12.32</c:v>
                </c:pt>
                <c:pt idx="133">
                  <c:v>12.413333333333334</c:v>
                </c:pt>
                <c:pt idx="134">
                  <c:v>12.506666666666668</c:v>
                </c:pt>
                <c:pt idx="135">
                  <c:v>12.600000000000001</c:v>
                </c:pt>
                <c:pt idx="136">
                  <c:v>12.693333333333333</c:v>
                </c:pt>
                <c:pt idx="137">
                  <c:v>12.786666666666667</c:v>
                </c:pt>
                <c:pt idx="138">
                  <c:v>12.88</c:v>
                </c:pt>
                <c:pt idx="139">
                  <c:v>12.973333333333334</c:v>
                </c:pt>
                <c:pt idx="140">
                  <c:v>13.066666666666666</c:v>
                </c:pt>
                <c:pt idx="141">
                  <c:v>13.16</c:v>
                </c:pt>
                <c:pt idx="142">
                  <c:v>13.253333333333334</c:v>
                </c:pt>
                <c:pt idx="143">
                  <c:v>13.346666666666668</c:v>
                </c:pt>
                <c:pt idx="144">
                  <c:v>13.440000000000001</c:v>
                </c:pt>
                <c:pt idx="145">
                  <c:v>13.533333333333333</c:v>
                </c:pt>
                <c:pt idx="146">
                  <c:v>13.626666666666667</c:v>
                </c:pt>
                <c:pt idx="147">
                  <c:v>13.72</c:v>
                </c:pt>
                <c:pt idx="148">
                  <c:v>13.813333333333334</c:v>
                </c:pt>
                <c:pt idx="149">
                  <c:v>13.906666666666668</c:v>
                </c:pt>
                <c:pt idx="150">
                  <c:v>14</c:v>
                </c:pt>
              </c:numCache>
            </c:numRef>
          </c:xVal>
          <c:yVal>
            <c:numRef>
              <c:f>[1]Eff_vs_IOUT!$AO$7:$AO$157</c:f>
              <c:numCache>
                <c:formatCode>General</c:formatCode>
                <c:ptCount val="151"/>
                <c:pt idx="0">
                  <c:v>0.63790833399516844</c:v>
                </c:pt>
                <c:pt idx="1">
                  <c:v>0.63990566732850174</c:v>
                </c:pt>
                <c:pt idx="2">
                  <c:v>0.64195526732850172</c:v>
                </c:pt>
                <c:pt idx="3">
                  <c:v>0.6440571339951684</c:v>
                </c:pt>
                <c:pt idx="4">
                  <c:v>0.64621126732850176</c:v>
                </c:pt>
                <c:pt idx="5">
                  <c:v>0.6484176673285017</c:v>
                </c:pt>
                <c:pt idx="6">
                  <c:v>0.65067633399516844</c:v>
                </c:pt>
                <c:pt idx="7">
                  <c:v>0.65298726732850176</c:v>
                </c:pt>
                <c:pt idx="8">
                  <c:v>0.65535046732850177</c:v>
                </c:pt>
                <c:pt idx="9">
                  <c:v>0.65776593399516836</c:v>
                </c:pt>
                <c:pt idx="10">
                  <c:v>0.66023366732850175</c:v>
                </c:pt>
                <c:pt idx="11">
                  <c:v>0.66275366732850172</c:v>
                </c:pt>
                <c:pt idx="12">
                  <c:v>0.66532593399516837</c:v>
                </c:pt>
                <c:pt idx="13">
                  <c:v>0.66795046732850172</c:v>
                </c:pt>
                <c:pt idx="14">
                  <c:v>0.67062726732850175</c:v>
                </c:pt>
                <c:pt idx="15">
                  <c:v>0.67335633399516848</c:v>
                </c:pt>
                <c:pt idx="16">
                  <c:v>0.67613766732850178</c:v>
                </c:pt>
                <c:pt idx="17">
                  <c:v>0.67897126732850177</c:v>
                </c:pt>
                <c:pt idx="18">
                  <c:v>0.68185713399516845</c:v>
                </c:pt>
                <c:pt idx="19">
                  <c:v>0.68479526732850171</c:v>
                </c:pt>
                <c:pt idx="20">
                  <c:v>0.68778566732850177</c:v>
                </c:pt>
                <c:pt idx="21">
                  <c:v>0.69082833399516841</c:v>
                </c:pt>
                <c:pt idx="22">
                  <c:v>0.69392326732850174</c:v>
                </c:pt>
                <c:pt idx="23">
                  <c:v>0.69707046732850175</c:v>
                </c:pt>
                <c:pt idx="24">
                  <c:v>0.70026993399516846</c:v>
                </c:pt>
                <c:pt idx="25">
                  <c:v>0.70352166732850174</c:v>
                </c:pt>
                <c:pt idx="26">
                  <c:v>0.70682566732850183</c:v>
                </c:pt>
                <c:pt idx="27">
                  <c:v>0.71018193399516838</c:v>
                </c:pt>
                <c:pt idx="28">
                  <c:v>0.71359046732850173</c:v>
                </c:pt>
                <c:pt idx="29">
                  <c:v>0.71705126732850177</c:v>
                </c:pt>
                <c:pt idx="30">
                  <c:v>0.72056433399516839</c:v>
                </c:pt>
                <c:pt idx="31">
                  <c:v>0.72412966732850181</c:v>
                </c:pt>
                <c:pt idx="32">
                  <c:v>0.7277472673285017</c:v>
                </c:pt>
                <c:pt idx="33">
                  <c:v>0.7314171339951685</c:v>
                </c:pt>
                <c:pt idx="34">
                  <c:v>0.73513926732850177</c:v>
                </c:pt>
                <c:pt idx="35">
                  <c:v>0.73891366732850172</c:v>
                </c:pt>
                <c:pt idx="36">
                  <c:v>0.74274033399516837</c:v>
                </c:pt>
                <c:pt idx="37">
                  <c:v>0.7466192673285017</c:v>
                </c:pt>
                <c:pt idx="38">
                  <c:v>0.75055046732850172</c:v>
                </c:pt>
                <c:pt idx="39">
                  <c:v>0.75453393399516833</c:v>
                </c:pt>
                <c:pt idx="40">
                  <c:v>0.75856966732850173</c:v>
                </c:pt>
                <c:pt idx="41">
                  <c:v>0.76265766732850171</c:v>
                </c:pt>
                <c:pt idx="42">
                  <c:v>0.76679793399516849</c:v>
                </c:pt>
                <c:pt idx="43">
                  <c:v>0.77099046732850174</c:v>
                </c:pt>
                <c:pt idx="44">
                  <c:v>0.77523526732850168</c:v>
                </c:pt>
                <c:pt idx="45">
                  <c:v>0.77953233399516841</c:v>
                </c:pt>
                <c:pt idx="46">
                  <c:v>0.78388166732850184</c:v>
                </c:pt>
                <c:pt idx="47">
                  <c:v>0.78828326732850174</c:v>
                </c:pt>
                <c:pt idx="48">
                  <c:v>0.79273713399516832</c:v>
                </c:pt>
                <c:pt idx="49">
                  <c:v>0.7972432673285017</c:v>
                </c:pt>
                <c:pt idx="50">
                  <c:v>0.80180166732850178</c:v>
                </c:pt>
                <c:pt idx="51">
                  <c:v>0.80641233399516843</c:v>
                </c:pt>
                <c:pt idx="52">
                  <c:v>0.81107526732850177</c:v>
                </c:pt>
                <c:pt idx="53">
                  <c:v>0.8157904673285018</c:v>
                </c:pt>
                <c:pt idx="54">
                  <c:v>0.82055793399516841</c:v>
                </c:pt>
                <c:pt idx="55">
                  <c:v>0.82537766732850182</c:v>
                </c:pt>
                <c:pt idx="56">
                  <c:v>0.83024966732850169</c:v>
                </c:pt>
                <c:pt idx="57">
                  <c:v>0.83517393399516837</c:v>
                </c:pt>
                <c:pt idx="58">
                  <c:v>0.84015046732850174</c:v>
                </c:pt>
                <c:pt idx="59">
                  <c:v>0.84517926732850168</c:v>
                </c:pt>
                <c:pt idx="60">
                  <c:v>0.85026033399516843</c:v>
                </c:pt>
                <c:pt idx="61">
                  <c:v>0.85539366732850175</c:v>
                </c:pt>
                <c:pt idx="62">
                  <c:v>0.86057926732850187</c:v>
                </c:pt>
                <c:pt idx="63">
                  <c:v>0.86581713399516835</c:v>
                </c:pt>
                <c:pt idx="64">
                  <c:v>0.87110726732850186</c:v>
                </c:pt>
                <c:pt idx="65">
                  <c:v>0.87644966732850182</c:v>
                </c:pt>
                <c:pt idx="66">
                  <c:v>0.88184433399516837</c:v>
                </c:pt>
                <c:pt idx="67">
                  <c:v>0.88729126732850183</c:v>
                </c:pt>
                <c:pt idx="68">
                  <c:v>0.89279046732850165</c:v>
                </c:pt>
                <c:pt idx="69">
                  <c:v>0.89834193399516837</c:v>
                </c:pt>
                <c:pt idx="70">
                  <c:v>0.90394566732850168</c:v>
                </c:pt>
                <c:pt idx="71">
                  <c:v>0.90960166732850167</c:v>
                </c:pt>
                <c:pt idx="72">
                  <c:v>0.91530993399516836</c:v>
                </c:pt>
                <c:pt idx="73">
                  <c:v>0.92107046732850173</c:v>
                </c:pt>
                <c:pt idx="74">
                  <c:v>0.92688326732850179</c:v>
                </c:pt>
                <c:pt idx="75">
                  <c:v>0.93274833399516832</c:v>
                </c:pt>
                <c:pt idx="76">
                  <c:v>0.93866566732850176</c:v>
                </c:pt>
                <c:pt idx="77">
                  <c:v>0.94463526732850167</c:v>
                </c:pt>
                <c:pt idx="78">
                  <c:v>0.95065713399516838</c:v>
                </c:pt>
                <c:pt idx="79">
                  <c:v>0.95673126732850167</c:v>
                </c:pt>
                <c:pt idx="80">
                  <c:v>0.96285766732850175</c:v>
                </c:pt>
                <c:pt idx="81">
                  <c:v>0.96903633399516842</c:v>
                </c:pt>
                <c:pt idx="82">
                  <c:v>0.97526726732850166</c:v>
                </c:pt>
                <c:pt idx="83">
                  <c:v>0.98155046732850182</c:v>
                </c:pt>
                <c:pt idx="84">
                  <c:v>0.98788593399516844</c:v>
                </c:pt>
                <c:pt idx="85">
                  <c:v>0.99427366732850175</c:v>
                </c:pt>
                <c:pt idx="86">
                  <c:v>1.0007136673285018</c:v>
                </c:pt>
                <c:pt idx="87">
                  <c:v>1.0072059339951684</c:v>
                </c:pt>
                <c:pt idx="88">
                  <c:v>1.0137504673285016</c:v>
                </c:pt>
                <c:pt idx="89">
                  <c:v>1.0203472673285017</c:v>
                </c:pt>
                <c:pt idx="90">
                  <c:v>1.0269963339951684</c:v>
                </c:pt>
                <c:pt idx="91">
                  <c:v>1.0336976673285017</c:v>
                </c:pt>
                <c:pt idx="92">
                  <c:v>1.0404512673285016</c:v>
                </c:pt>
                <c:pt idx="93">
                  <c:v>1.0472571339951684</c:v>
                </c:pt>
                <c:pt idx="94">
                  <c:v>1.0541152673285017</c:v>
                </c:pt>
                <c:pt idx="95">
                  <c:v>1.0610256673285017</c:v>
                </c:pt>
                <c:pt idx="96">
                  <c:v>1.0679883339951683</c:v>
                </c:pt>
                <c:pt idx="97">
                  <c:v>1.0750032673285017</c:v>
                </c:pt>
                <c:pt idx="98">
                  <c:v>1.0820704673285015</c:v>
                </c:pt>
                <c:pt idx="99">
                  <c:v>1.0891899339951683</c:v>
                </c:pt>
                <c:pt idx="100">
                  <c:v>1.0963616673285017</c:v>
                </c:pt>
                <c:pt idx="101">
                  <c:v>1.1035856673285016</c:v>
                </c:pt>
                <c:pt idx="102">
                  <c:v>1.1108619339951684</c:v>
                </c:pt>
                <c:pt idx="103">
                  <c:v>1.1181904673285017</c:v>
                </c:pt>
                <c:pt idx="104">
                  <c:v>1.1255712673285017</c:v>
                </c:pt>
                <c:pt idx="105">
                  <c:v>1.1330043339951683</c:v>
                </c:pt>
                <c:pt idx="106">
                  <c:v>1.1404896673285019</c:v>
                </c:pt>
                <c:pt idx="107">
                  <c:v>1.1480272673285017</c:v>
                </c:pt>
                <c:pt idx="108">
                  <c:v>1.1556171339951684</c:v>
                </c:pt>
                <c:pt idx="109">
                  <c:v>1.1632592673285016</c:v>
                </c:pt>
                <c:pt idx="110">
                  <c:v>1.1709536673285019</c:v>
                </c:pt>
                <c:pt idx="111">
                  <c:v>1.1787003339951685</c:v>
                </c:pt>
                <c:pt idx="112">
                  <c:v>1.1864992673285015</c:v>
                </c:pt>
                <c:pt idx="113">
                  <c:v>1.1943504673285019</c:v>
                </c:pt>
                <c:pt idx="114">
                  <c:v>1.2022539339951683</c:v>
                </c:pt>
                <c:pt idx="115">
                  <c:v>1.2102096673285019</c:v>
                </c:pt>
                <c:pt idx="116">
                  <c:v>1.2182176673285019</c:v>
                </c:pt>
                <c:pt idx="117">
                  <c:v>1.2262779339951684</c:v>
                </c:pt>
                <c:pt idx="118">
                  <c:v>1.2343904673285018</c:v>
                </c:pt>
                <c:pt idx="119">
                  <c:v>1.2425552673285019</c:v>
                </c:pt>
                <c:pt idx="120">
                  <c:v>1.2507723339951684</c:v>
                </c:pt>
                <c:pt idx="121">
                  <c:v>1.2590416673285016</c:v>
                </c:pt>
                <c:pt idx="122">
                  <c:v>1.2673632673285018</c:v>
                </c:pt>
                <c:pt idx="123">
                  <c:v>1.2757371339951682</c:v>
                </c:pt>
                <c:pt idx="124">
                  <c:v>1.2841632673285017</c:v>
                </c:pt>
                <c:pt idx="125">
                  <c:v>1.2926416673285019</c:v>
                </c:pt>
                <c:pt idx="126">
                  <c:v>1.3011723339951682</c:v>
                </c:pt>
                <c:pt idx="127">
                  <c:v>1.3097552673285018</c:v>
                </c:pt>
                <c:pt idx="128">
                  <c:v>1.3183904673285016</c:v>
                </c:pt>
                <c:pt idx="129">
                  <c:v>1.3270779339951686</c:v>
                </c:pt>
                <c:pt idx="130">
                  <c:v>1.3358176673285018</c:v>
                </c:pt>
                <c:pt idx="131">
                  <c:v>1.3446096673285015</c:v>
                </c:pt>
                <c:pt idx="132">
                  <c:v>1.3534539339951683</c:v>
                </c:pt>
                <c:pt idx="133">
                  <c:v>1.3623504673285018</c:v>
                </c:pt>
                <c:pt idx="134">
                  <c:v>1.3712992673285016</c:v>
                </c:pt>
                <c:pt idx="135">
                  <c:v>1.3803003339951685</c:v>
                </c:pt>
                <c:pt idx="136">
                  <c:v>1.3893536673285016</c:v>
                </c:pt>
                <c:pt idx="137">
                  <c:v>1.3984592673285019</c:v>
                </c:pt>
                <c:pt idx="138">
                  <c:v>1.4076171339951684</c:v>
                </c:pt>
                <c:pt idx="139">
                  <c:v>1.4168272673285018</c:v>
                </c:pt>
                <c:pt idx="140">
                  <c:v>1.4260896673285015</c:v>
                </c:pt>
                <c:pt idx="141">
                  <c:v>1.4354043339951685</c:v>
                </c:pt>
                <c:pt idx="142">
                  <c:v>1.4447712673285016</c:v>
                </c:pt>
                <c:pt idx="143">
                  <c:v>1.454190467328502</c:v>
                </c:pt>
                <c:pt idx="144">
                  <c:v>1.4636619339951684</c:v>
                </c:pt>
                <c:pt idx="145">
                  <c:v>1.4731856673285018</c:v>
                </c:pt>
                <c:pt idx="146">
                  <c:v>1.4827616673285018</c:v>
                </c:pt>
                <c:pt idx="147">
                  <c:v>1.4923899339951685</c:v>
                </c:pt>
                <c:pt idx="148">
                  <c:v>1.5020704673285015</c:v>
                </c:pt>
                <c:pt idx="149">
                  <c:v>1.5118032673285018</c:v>
                </c:pt>
                <c:pt idx="150">
                  <c:v>1.5215883339951684</c:v>
                </c:pt>
              </c:numCache>
            </c:numRef>
          </c:yVal>
          <c:smooth val="1"/>
          <c:extLst>
            <c:ext xmlns:c16="http://schemas.microsoft.com/office/drawing/2014/chart" uri="{C3380CC4-5D6E-409C-BE32-E72D297353CC}">
              <c16:uniqueId val="{00000002-A990-4ED0-A166-4B5A02BBF415}"/>
            </c:ext>
          </c:extLst>
        </c:ser>
        <c:ser>
          <c:idx val="3"/>
          <c:order val="3"/>
          <c:tx>
            <c:v>RCS</c:v>
          </c:tx>
          <c:marker>
            <c:symbol val="none"/>
          </c:marker>
          <c:xVal>
            <c:numRef>
              <c:f>[1]Eff_vs_IOUT!$S$7:$S$157</c:f>
              <c:numCache>
                <c:formatCode>General</c:formatCode>
                <c:ptCount val="151"/>
                <c:pt idx="0">
                  <c:v>0</c:v>
                </c:pt>
                <c:pt idx="1">
                  <c:v>9.3333333333333338E-2</c:v>
                </c:pt>
                <c:pt idx="2">
                  <c:v>0.18666666666666668</c:v>
                </c:pt>
                <c:pt idx="3">
                  <c:v>0.28000000000000003</c:v>
                </c:pt>
                <c:pt idx="4">
                  <c:v>0.37333333333333335</c:v>
                </c:pt>
                <c:pt idx="5">
                  <c:v>0.46666666666666667</c:v>
                </c:pt>
                <c:pt idx="6">
                  <c:v>0.56000000000000005</c:v>
                </c:pt>
                <c:pt idx="7">
                  <c:v>0.65333333333333332</c:v>
                </c:pt>
                <c:pt idx="8">
                  <c:v>0.7466666666666667</c:v>
                </c:pt>
                <c:pt idx="9">
                  <c:v>0.84000000000000008</c:v>
                </c:pt>
                <c:pt idx="10">
                  <c:v>0.93333333333333335</c:v>
                </c:pt>
                <c:pt idx="11">
                  <c:v>1.0266666666666666</c:v>
                </c:pt>
                <c:pt idx="12">
                  <c:v>1.1200000000000001</c:v>
                </c:pt>
                <c:pt idx="13">
                  <c:v>1.2133333333333334</c:v>
                </c:pt>
                <c:pt idx="14">
                  <c:v>1.3066666666666666</c:v>
                </c:pt>
                <c:pt idx="15">
                  <c:v>1.4000000000000001</c:v>
                </c:pt>
                <c:pt idx="16">
                  <c:v>1.4933333333333334</c:v>
                </c:pt>
                <c:pt idx="17">
                  <c:v>1.5866666666666667</c:v>
                </c:pt>
                <c:pt idx="18">
                  <c:v>1.6800000000000002</c:v>
                </c:pt>
                <c:pt idx="19">
                  <c:v>1.7733333333333334</c:v>
                </c:pt>
                <c:pt idx="20">
                  <c:v>1.8666666666666667</c:v>
                </c:pt>
                <c:pt idx="21">
                  <c:v>1.9600000000000002</c:v>
                </c:pt>
                <c:pt idx="22">
                  <c:v>2.0533333333333332</c:v>
                </c:pt>
                <c:pt idx="23">
                  <c:v>2.1466666666666669</c:v>
                </c:pt>
                <c:pt idx="24">
                  <c:v>2.2400000000000002</c:v>
                </c:pt>
                <c:pt idx="25">
                  <c:v>2.3333333333333335</c:v>
                </c:pt>
                <c:pt idx="26">
                  <c:v>2.4266666666666667</c:v>
                </c:pt>
                <c:pt idx="27">
                  <c:v>2.52</c:v>
                </c:pt>
                <c:pt idx="28">
                  <c:v>2.6133333333333333</c:v>
                </c:pt>
                <c:pt idx="29">
                  <c:v>2.706666666666667</c:v>
                </c:pt>
                <c:pt idx="30">
                  <c:v>2.8000000000000003</c:v>
                </c:pt>
                <c:pt idx="31">
                  <c:v>2.8933333333333335</c:v>
                </c:pt>
                <c:pt idx="32">
                  <c:v>2.9866666666666668</c:v>
                </c:pt>
                <c:pt idx="33">
                  <c:v>3.08</c:v>
                </c:pt>
                <c:pt idx="34">
                  <c:v>3.1733333333333333</c:v>
                </c:pt>
                <c:pt idx="35">
                  <c:v>3.2666666666666666</c:v>
                </c:pt>
                <c:pt idx="36">
                  <c:v>3.3600000000000003</c:v>
                </c:pt>
                <c:pt idx="37">
                  <c:v>3.4533333333333336</c:v>
                </c:pt>
                <c:pt idx="38">
                  <c:v>3.5466666666666669</c:v>
                </c:pt>
                <c:pt idx="39">
                  <c:v>3.64</c:v>
                </c:pt>
                <c:pt idx="40">
                  <c:v>3.7333333333333334</c:v>
                </c:pt>
                <c:pt idx="41">
                  <c:v>3.8266666666666667</c:v>
                </c:pt>
                <c:pt idx="42">
                  <c:v>3.9200000000000004</c:v>
                </c:pt>
                <c:pt idx="43">
                  <c:v>4.0133333333333336</c:v>
                </c:pt>
                <c:pt idx="44">
                  <c:v>4.1066666666666665</c:v>
                </c:pt>
                <c:pt idx="45">
                  <c:v>4.2</c:v>
                </c:pt>
                <c:pt idx="46">
                  <c:v>4.2933333333333339</c:v>
                </c:pt>
                <c:pt idx="47">
                  <c:v>4.3866666666666667</c:v>
                </c:pt>
                <c:pt idx="48">
                  <c:v>4.4800000000000004</c:v>
                </c:pt>
                <c:pt idx="49">
                  <c:v>4.5733333333333333</c:v>
                </c:pt>
                <c:pt idx="50">
                  <c:v>4.666666666666667</c:v>
                </c:pt>
                <c:pt idx="51">
                  <c:v>4.76</c:v>
                </c:pt>
                <c:pt idx="52">
                  <c:v>4.8533333333333335</c:v>
                </c:pt>
                <c:pt idx="53">
                  <c:v>4.9466666666666672</c:v>
                </c:pt>
                <c:pt idx="54">
                  <c:v>5.04</c:v>
                </c:pt>
                <c:pt idx="55">
                  <c:v>5.1333333333333337</c:v>
                </c:pt>
                <c:pt idx="56">
                  <c:v>5.2266666666666666</c:v>
                </c:pt>
                <c:pt idx="57">
                  <c:v>5.32</c:v>
                </c:pt>
                <c:pt idx="58">
                  <c:v>5.413333333333334</c:v>
                </c:pt>
                <c:pt idx="59">
                  <c:v>5.5066666666666668</c:v>
                </c:pt>
                <c:pt idx="60">
                  <c:v>5.6000000000000005</c:v>
                </c:pt>
                <c:pt idx="61">
                  <c:v>5.6933333333333334</c:v>
                </c:pt>
                <c:pt idx="62">
                  <c:v>5.7866666666666671</c:v>
                </c:pt>
                <c:pt idx="63">
                  <c:v>5.88</c:v>
                </c:pt>
                <c:pt idx="64">
                  <c:v>5.9733333333333336</c:v>
                </c:pt>
                <c:pt idx="65">
                  <c:v>6.0666666666666673</c:v>
                </c:pt>
                <c:pt idx="66">
                  <c:v>6.16</c:v>
                </c:pt>
                <c:pt idx="67">
                  <c:v>6.2533333333333339</c:v>
                </c:pt>
                <c:pt idx="68">
                  <c:v>6.3466666666666667</c:v>
                </c:pt>
                <c:pt idx="69">
                  <c:v>6.44</c:v>
                </c:pt>
                <c:pt idx="70">
                  <c:v>6.5333333333333332</c:v>
                </c:pt>
                <c:pt idx="71">
                  <c:v>6.6266666666666669</c:v>
                </c:pt>
                <c:pt idx="72">
                  <c:v>6.7200000000000006</c:v>
                </c:pt>
                <c:pt idx="73">
                  <c:v>6.8133333333333335</c:v>
                </c:pt>
                <c:pt idx="74">
                  <c:v>6.9066666666666672</c:v>
                </c:pt>
                <c:pt idx="75">
                  <c:v>7</c:v>
                </c:pt>
                <c:pt idx="76">
                  <c:v>7.0933333333333337</c:v>
                </c:pt>
                <c:pt idx="77">
                  <c:v>7.1866666666666674</c:v>
                </c:pt>
                <c:pt idx="78">
                  <c:v>7.28</c:v>
                </c:pt>
                <c:pt idx="79">
                  <c:v>7.373333333333334</c:v>
                </c:pt>
                <c:pt idx="80">
                  <c:v>7.4666666666666668</c:v>
                </c:pt>
                <c:pt idx="81">
                  <c:v>7.5600000000000005</c:v>
                </c:pt>
                <c:pt idx="82">
                  <c:v>7.6533333333333333</c:v>
                </c:pt>
                <c:pt idx="83">
                  <c:v>7.746666666666667</c:v>
                </c:pt>
                <c:pt idx="84">
                  <c:v>7.8400000000000007</c:v>
                </c:pt>
                <c:pt idx="85">
                  <c:v>7.9333333333333336</c:v>
                </c:pt>
                <c:pt idx="86">
                  <c:v>8.0266666666666673</c:v>
                </c:pt>
                <c:pt idx="87">
                  <c:v>8.120000000000001</c:v>
                </c:pt>
                <c:pt idx="88">
                  <c:v>8.2133333333333329</c:v>
                </c:pt>
                <c:pt idx="89">
                  <c:v>8.3066666666666666</c:v>
                </c:pt>
                <c:pt idx="90">
                  <c:v>8.4</c:v>
                </c:pt>
                <c:pt idx="91">
                  <c:v>8.4933333333333341</c:v>
                </c:pt>
                <c:pt idx="92">
                  <c:v>8.5866666666666678</c:v>
                </c:pt>
                <c:pt idx="93">
                  <c:v>8.68</c:v>
                </c:pt>
                <c:pt idx="94">
                  <c:v>8.7733333333333334</c:v>
                </c:pt>
                <c:pt idx="95">
                  <c:v>8.8666666666666671</c:v>
                </c:pt>
                <c:pt idx="96">
                  <c:v>8.9600000000000009</c:v>
                </c:pt>
                <c:pt idx="97">
                  <c:v>9.0533333333333346</c:v>
                </c:pt>
                <c:pt idx="98">
                  <c:v>9.1466666666666665</c:v>
                </c:pt>
                <c:pt idx="99">
                  <c:v>9.24</c:v>
                </c:pt>
                <c:pt idx="100">
                  <c:v>9.3333333333333339</c:v>
                </c:pt>
                <c:pt idx="101">
                  <c:v>9.4266666666666676</c:v>
                </c:pt>
                <c:pt idx="102">
                  <c:v>9.52</c:v>
                </c:pt>
                <c:pt idx="103">
                  <c:v>9.6133333333333333</c:v>
                </c:pt>
                <c:pt idx="104">
                  <c:v>9.706666666666667</c:v>
                </c:pt>
                <c:pt idx="105">
                  <c:v>9.8000000000000007</c:v>
                </c:pt>
                <c:pt idx="106">
                  <c:v>9.8933333333333344</c:v>
                </c:pt>
                <c:pt idx="107">
                  <c:v>9.9866666666666664</c:v>
                </c:pt>
                <c:pt idx="108">
                  <c:v>10.08</c:v>
                </c:pt>
                <c:pt idx="109">
                  <c:v>10.173333333333334</c:v>
                </c:pt>
                <c:pt idx="110">
                  <c:v>10.266666666666667</c:v>
                </c:pt>
                <c:pt idx="111">
                  <c:v>10.360000000000001</c:v>
                </c:pt>
                <c:pt idx="112">
                  <c:v>10.453333333333333</c:v>
                </c:pt>
                <c:pt idx="113">
                  <c:v>10.546666666666667</c:v>
                </c:pt>
                <c:pt idx="114">
                  <c:v>10.64</c:v>
                </c:pt>
                <c:pt idx="115">
                  <c:v>10.733333333333334</c:v>
                </c:pt>
                <c:pt idx="116">
                  <c:v>10.826666666666668</c:v>
                </c:pt>
                <c:pt idx="117">
                  <c:v>10.92</c:v>
                </c:pt>
                <c:pt idx="118">
                  <c:v>11.013333333333334</c:v>
                </c:pt>
                <c:pt idx="119">
                  <c:v>11.106666666666667</c:v>
                </c:pt>
                <c:pt idx="120">
                  <c:v>11.200000000000001</c:v>
                </c:pt>
                <c:pt idx="121">
                  <c:v>11.293333333333333</c:v>
                </c:pt>
                <c:pt idx="122">
                  <c:v>11.386666666666667</c:v>
                </c:pt>
                <c:pt idx="123">
                  <c:v>11.48</c:v>
                </c:pt>
                <c:pt idx="124">
                  <c:v>11.573333333333334</c:v>
                </c:pt>
                <c:pt idx="125">
                  <c:v>11.666666666666668</c:v>
                </c:pt>
                <c:pt idx="126">
                  <c:v>11.76</c:v>
                </c:pt>
                <c:pt idx="127">
                  <c:v>11.853333333333333</c:v>
                </c:pt>
                <c:pt idx="128">
                  <c:v>11.946666666666667</c:v>
                </c:pt>
                <c:pt idx="129">
                  <c:v>12.040000000000001</c:v>
                </c:pt>
                <c:pt idx="130">
                  <c:v>12.133333333333335</c:v>
                </c:pt>
                <c:pt idx="131">
                  <c:v>12.226666666666667</c:v>
                </c:pt>
                <c:pt idx="132">
                  <c:v>12.32</c:v>
                </c:pt>
                <c:pt idx="133">
                  <c:v>12.413333333333334</c:v>
                </c:pt>
                <c:pt idx="134">
                  <c:v>12.506666666666668</c:v>
                </c:pt>
                <c:pt idx="135">
                  <c:v>12.600000000000001</c:v>
                </c:pt>
                <c:pt idx="136">
                  <c:v>12.693333333333333</c:v>
                </c:pt>
                <c:pt idx="137">
                  <c:v>12.786666666666667</c:v>
                </c:pt>
                <c:pt idx="138">
                  <c:v>12.88</c:v>
                </c:pt>
                <c:pt idx="139">
                  <c:v>12.973333333333334</c:v>
                </c:pt>
                <c:pt idx="140">
                  <c:v>13.066666666666666</c:v>
                </c:pt>
                <c:pt idx="141">
                  <c:v>13.16</c:v>
                </c:pt>
                <c:pt idx="142">
                  <c:v>13.253333333333334</c:v>
                </c:pt>
                <c:pt idx="143">
                  <c:v>13.346666666666668</c:v>
                </c:pt>
                <c:pt idx="144">
                  <c:v>13.440000000000001</c:v>
                </c:pt>
                <c:pt idx="145">
                  <c:v>13.533333333333333</c:v>
                </c:pt>
                <c:pt idx="146">
                  <c:v>13.626666666666667</c:v>
                </c:pt>
                <c:pt idx="147">
                  <c:v>13.72</c:v>
                </c:pt>
                <c:pt idx="148">
                  <c:v>13.813333333333334</c:v>
                </c:pt>
                <c:pt idx="149">
                  <c:v>13.906666666666668</c:v>
                </c:pt>
                <c:pt idx="150">
                  <c:v>14</c:v>
                </c:pt>
              </c:numCache>
            </c:numRef>
          </c:xVal>
          <c:yVal>
            <c:numRef>
              <c:f>[1]Eff_vs_IOUT!$AP$7:$AP$157</c:f>
              <c:numCache>
                <c:formatCode>General</c:formatCode>
                <c:ptCount val="151"/>
                <c:pt idx="0">
                  <c:v>2.5461412761301648E-3</c:v>
                </c:pt>
                <c:pt idx="1">
                  <c:v>2.663741276130165E-3</c:v>
                </c:pt>
                <c:pt idx="2">
                  <c:v>3.0165412761301649E-3</c:v>
                </c:pt>
                <c:pt idx="3">
                  <c:v>3.6045412761301645E-3</c:v>
                </c:pt>
                <c:pt idx="4">
                  <c:v>4.4277412761301654E-3</c:v>
                </c:pt>
                <c:pt idx="5">
                  <c:v>5.4861412761301655E-3</c:v>
                </c:pt>
                <c:pt idx="6">
                  <c:v>6.7797412761301645E-3</c:v>
                </c:pt>
                <c:pt idx="7">
                  <c:v>8.308541276130163E-3</c:v>
                </c:pt>
                <c:pt idx="8">
                  <c:v>1.0072541276130166E-2</c:v>
                </c:pt>
                <c:pt idx="9">
                  <c:v>1.2071741276130166E-2</c:v>
                </c:pt>
                <c:pt idx="10">
                  <c:v>1.4306141276130167E-2</c:v>
                </c:pt>
                <c:pt idx="11">
                  <c:v>1.6775741276130161E-2</c:v>
                </c:pt>
                <c:pt idx="12">
                  <c:v>1.9480541276130164E-2</c:v>
                </c:pt>
                <c:pt idx="13">
                  <c:v>2.242054127613017E-2</c:v>
                </c:pt>
                <c:pt idx="14">
                  <c:v>2.5595741276130162E-2</c:v>
                </c:pt>
                <c:pt idx="15">
                  <c:v>2.9006141276130167E-2</c:v>
                </c:pt>
                <c:pt idx="16">
                  <c:v>3.2651741276130172E-2</c:v>
                </c:pt>
                <c:pt idx="17">
                  <c:v>3.6532541276130169E-2</c:v>
                </c:pt>
                <c:pt idx="18">
                  <c:v>4.0648541276130171E-2</c:v>
                </c:pt>
                <c:pt idx="19">
                  <c:v>4.4999741276130177E-2</c:v>
                </c:pt>
                <c:pt idx="20">
                  <c:v>4.9586141276130175E-2</c:v>
                </c:pt>
                <c:pt idx="21">
                  <c:v>5.4407741276130184E-2</c:v>
                </c:pt>
                <c:pt idx="22">
                  <c:v>5.9464541276130156E-2</c:v>
                </c:pt>
                <c:pt idx="23">
                  <c:v>6.4756541276130161E-2</c:v>
                </c:pt>
                <c:pt idx="24">
                  <c:v>7.0283741276130171E-2</c:v>
                </c:pt>
                <c:pt idx="25">
                  <c:v>7.6046141276130172E-2</c:v>
                </c:pt>
                <c:pt idx="26">
                  <c:v>8.2043741276130178E-2</c:v>
                </c:pt>
                <c:pt idx="27">
                  <c:v>8.827654127613016E-2</c:v>
                </c:pt>
                <c:pt idx="28">
                  <c:v>9.4744541276130148E-2</c:v>
                </c:pt>
                <c:pt idx="29">
                  <c:v>0.10144774127613021</c:v>
                </c:pt>
                <c:pt idx="30">
                  <c:v>0.10838614127613017</c:v>
                </c:pt>
                <c:pt idx="31">
                  <c:v>0.11555974127613018</c:v>
                </c:pt>
                <c:pt idx="32">
                  <c:v>0.12296854127613016</c:v>
                </c:pt>
                <c:pt idx="33">
                  <c:v>0.13061254127613015</c:v>
                </c:pt>
                <c:pt idx="34">
                  <c:v>0.13849174127613015</c:v>
                </c:pt>
                <c:pt idx="35">
                  <c:v>0.14660614127613011</c:v>
                </c:pt>
                <c:pt idx="36">
                  <c:v>0.15495574127613018</c:v>
                </c:pt>
                <c:pt idx="37">
                  <c:v>0.16354054127613019</c:v>
                </c:pt>
                <c:pt idx="38">
                  <c:v>0.17236054127613018</c:v>
                </c:pt>
                <c:pt idx="39">
                  <c:v>0.18141574127613017</c:v>
                </c:pt>
                <c:pt idx="40">
                  <c:v>0.1907061412761302</c:v>
                </c:pt>
                <c:pt idx="41">
                  <c:v>0.20023174127613019</c:v>
                </c:pt>
                <c:pt idx="42">
                  <c:v>0.20999254127613026</c:v>
                </c:pt>
                <c:pt idx="43">
                  <c:v>0.21998854127613024</c:v>
                </c:pt>
                <c:pt idx="44">
                  <c:v>0.2302197412761301</c:v>
                </c:pt>
                <c:pt idx="45">
                  <c:v>0.24068614127613017</c:v>
                </c:pt>
                <c:pt idx="46">
                  <c:v>0.25138774127613023</c:v>
                </c:pt>
                <c:pt idx="47">
                  <c:v>0.26232454127613014</c:v>
                </c:pt>
                <c:pt idx="48">
                  <c:v>0.27349654127613016</c:v>
                </c:pt>
                <c:pt idx="49">
                  <c:v>0.28490374127613011</c:v>
                </c:pt>
                <c:pt idx="50">
                  <c:v>0.29654614127613022</c:v>
                </c:pt>
                <c:pt idx="51">
                  <c:v>0.3084237412761302</c:v>
                </c:pt>
                <c:pt idx="52">
                  <c:v>0.32053654127613024</c:v>
                </c:pt>
                <c:pt idx="53">
                  <c:v>0.33288454127613021</c:v>
                </c:pt>
                <c:pt idx="54">
                  <c:v>0.34546774127613017</c:v>
                </c:pt>
                <c:pt idx="55">
                  <c:v>0.35828614127613029</c:v>
                </c:pt>
                <c:pt idx="56">
                  <c:v>0.37133974127613001</c:v>
                </c:pt>
                <c:pt idx="57">
                  <c:v>0.38462854127613016</c:v>
                </c:pt>
                <c:pt idx="58">
                  <c:v>0.3981525412761302</c:v>
                </c:pt>
                <c:pt idx="59">
                  <c:v>0.41191174127613006</c:v>
                </c:pt>
                <c:pt idx="60">
                  <c:v>0.42590614127613013</c:v>
                </c:pt>
                <c:pt idx="61">
                  <c:v>0.44013574127613031</c:v>
                </c:pt>
                <c:pt idx="62">
                  <c:v>0.45460054127613025</c:v>
                </c:pt>
                <c:pt idx="63">
                  <c:v>0.46930054127613019</c:v>
                </c:pt>
                <c:pt idx="64">
                  <c:v>0.48423574127613017</c:v>
                </c:pt>
                <c:pt idx="65">
                  <c:v>0.49940614127613037</c:v>
                </c:pt>
                <c:pt idx="66">
                  <c:v>0.51481174127613027</c:v>
                </c:pt>
                <c:pt idx="67">
                  <c:v>0.53045254127613017</c:v>
                </c:pt>
                <c:pt idx="68">
                  <c:v>0.54632854127613006</c:v>
                </c:pt>
                <c:pt idx="69">
                  <c:v>0.56243974127613017</c:v>
                </c:pt>
                <c:pt idx="70">
                  <c:v>0.57878614127612993</c:v>
                </c:pt>
                <c:pt idx="71">
                  <c:v>0.59536774127613012</c:v>
                </c:pt>
                <c:pt idx="72">
                  <c:v>0.6121845412761302</c:v>
                </c:pt>
                <c:pt idx="73">
                  <c:v>0.62923654127613027</c:v>
                </c:pt>
                <c:pt idx="74">
                  <c:v>0.64652374127613033</c:v>
                </c:pt>
                <c:pt idx="75">
                  <c:v>0.66404614127613015</c:v>
                </c:pt>
                <c:pt idx="76">
                  <c:v>0.68180374127613019</c:v>
                </c:pt>
                <c:pt idx="77">
                  <c:v>0.69979654127613033</c:v>
                </c:pt>
                <c:pt idx="78">
                  <c:v>0.71802454127613013</c:v>
                </c:pt>
                <c:pt idx="79">
                  <c:v>0.73648774127613015</c:v>
                </c:pt>
                <c:pt idx="80">
                  <c:v>0.75518614127613026</c:v>
                </c:pt>
                <c:pt idx="81">
                  <c:v>0.77411974127613048</c:v>
                </c:pt>
                <c:pt idx="82">
                  <c:v>0.79328854127613024</c:v>
                </c:pt>
                <c:pt idx="83">
                  <c:v>0.81269254127613033</c:v>
                </c:pt>
                <c:pt idx="84">
                  <c:v>0.83233174127613052</c:v>
                </c:pt>
                <c:pt idx="85">
                  <c:v>0.85220614127613015</c:v>
                </c:pt>
                <c:pt idx="86">
                  <c:v>0.87231574127613043</c:v>
                </c:pt>
                <c:pt idx="87">
                  <c:v>0.89266054127613048</c:v>
                </c:pt>
                <c:pt idx="88">
                  <c:v>0.91324054127612997</c:v>
                </c:pt>
                <c:pt idx="89">
                  <c:v>0.93405574127613</c:v>
                </c:pt>
                <c:pt idx="90">
                  <c:v>0.95510614127613036</c:v>
                </c:pt>
                <c:pt idx="91">
                  <c:v>0.97639174127613004</c:v>
                </c:pt>
                <c:pt idx="92">
                  <c:v>0.99791254127613027</c:v>
                </c:pt>
                <c:pt idx="93">
                  <c:v>1.0196685412761304</c:v>
                </c:pt>
                <c:pt idx="94">
                  <c:v>1.0416597412761301</c:v>
                </c:pt>
                <c:pt idx="95">
                  <c:v>1.06388614127613</c:v>
                </c:pt>
                <c:pt idx="96">
                  <c:v>1.0863477412761304</c:v>
                </c:pt>
                <c:pt idx="97">
                  <c:v>1.1090445412761303</c:v>
                </c:pt>
                <c:pt idx="98">
                  <c:v>1.13197654127613</c:v>
                </c:pt>
                <c:pt idx="99">
                  <c:v>1.1551437412761303</c:v>
                </c:pt>
                <c:pt idx="100">
                  <c:v>1.1785461412761302</c:v>
                </c:pt>
                <c:pt idx="101">
                  <c:v>1.2021837412761303</c:v>
                </c:pt>
                <c:pt idx="102">
                  <c:v>1.22605654127613</c:v>
                </c:pt>
                <c:pt idx="103">
                  <c:v>1.2501645412761302</c:v>
                </c:pt>
                <c:pt idx="104">
                  <c:v>1.2745077412761305</c:v>
                </c:pt>
                <c:pt idx="105">
                  <c:v>1.2990861412761303</c:v>
                </c:pt>
                <c:pt idx="106">
                  <c:v>1.3238997412761304</c:v>
                </c:pt>
                <c:pt idx="107">
                  <c:v>1.3489485412761304</c:v>
                </c:pt>
                <c:pt idx="108">
                  <c:v>1.3742325412761303</c:v>
                </c:pt>
                <c:pt idx="109">
                  <c:v>1.3997517412761304</c:v>
                </c:pt>
                <c:pt idx="110">
                  <c:v>1.4255061412761303</c:v>
                </c:pt>
                <c:pt idx="111">
                  <c:v>1.4514957412761309</c:v>
                </c:pt>
                <c:pt idx="112">
                  <c:v>1.4777205412761296</c:v>
                </c:pt>
                <c:pt idx="113">
                  <c:v>1.5041805412761304</c:v>
                </c:pt>
                <c:pt idx="114">
                  <c:v>1.5308757412761302</c:v>
                </c:pt>
                <c:pt idx="115">
                  <c:v>1.5578061412761306</c:v>
                </c:pt>
                <c:pt idx="116">
                  <c:v>1.5849717412761304</c:v>
                </c:pt>
                <c:pt idx="117">
                  <c:v>1.6123725412761301</c:v>
                </c:pt>
                <c:pt idx="118">
                  <c:v>1.6400085412761298</c:v>
                </c:pt>
                <c:pt idx="119">
                  <c:v>1.6678797412761301</c:v>
                </c:pt>
                <c:pt idx="120">
                  <c:v>1.6959861412761297</c:v>
                </c:pt>
                <c:pt idx="121">
                  <c:v>1.7243277412761302</c:v>
                </c:pt>
                <c:pt idx="122">
                  <c:v>1.7529045412761304</c:v>
                </c:pt>
                <c:pt idx="123">
                  <c:v>1.7817165412761307</c:v>
                </c:pt>
                <c:pt idx="124">
                  <c:v>1.8107637412761304</c:v>
                </c:pt>
                <c:pt idx="125">
                  <c:v>1.8400461412761306</c:v>
                </c:pt>
                <c:pt idx="126">
                  <c:v>1.8695637412761303</c:v>
                </c:pt>
                <c:pt idx="127">
                  <c:v>1.8993165412761301</c:v>
                </c:pt>
                <c:pt idx="128">
                  <c:v>1.92930454127613</c:v>
                </c:pt>
                <c:pt idx="129">
                  <c:v>1.9595277412761303</c:v>
                </c:pt>
                <c:pt idx="130">
                  <c:v>1.9899861412761308</c:v>
                </c:pt>
                <c:pt idx="131">
                  <c:v>2.0206797412761301</c:v>
                </c:pt>
                <c:pt idx="132">
                  <c:v>2.0516085412761305</c:v>
                </c:pt>
                <c:pt idx="133">
                  <c:v>2.08277254127613</c:v>
                </c:pt>
                <c:pt idx="134">
                  <c:v>2.1141717412761301</c:v>
                </c:pt>
                <c:pt idx="135">
                  <c:v>2.1458061412761307</c:v>
                </c:pt>
                <c:pt idx="136">
                  <c:v>2.1776757412761296</c:v>
                </c:pt>
                <c:pt idx="137">
                  <c:v>2.20978054127613</c:v>
                </c:pt>
                <c:pt idx="138">
                  <c:v>2.2421205412761296</c:v>
                </c:pt>
                <c:pt idx="139">
                  <c:v>2.2746957412761306</c:v>
                </c:pt>
                <c:pt idx="140">
                  <c:v>2.3075061412761295</c:v>
                </c:pt>
                <c:pt idx="141">
                  <c:v>2.3405517412761307</c:v>
                </c:pt>
                <c:pt idx="142">
                  <c:v>2.3738325412761303</c:v>
                </c:pt>
                <c:pt idx="143">
                  <c:v>2.4073485412761304</c:v>
                </c:pt>
                <c:pt idx="144">
                  <c:v>2.4410997412761302</c:v>
                </c:pt>
                <c:pt idx="145">
                  <c:v>2.4750861412761305</c:v>
                </c:pt>
                <c:pt idx="146">
                  <c:v>2.50930774127613</c:v>
                </c:pt>
                <c:pt idx="147">
                  <c:v>2.5437645412761301</c:v>
                </c:pt>
                <c:pt idx="148">
                  <c:v>2.5784565412761302</c:v>
                </c:pt>
                <c:pt idx="149">
                  <c:v>2.6133837412761314</c:v>
                </c:pt>
                <c:pt idx="150">
                  <c:v>2.6485461412761295</c:v>
                </c:pt>
              </c:numCache>
            </c:numRef>
          </c:yVal>
          <c:smooth val="1"/>
          <c:extLst>
            <c:ext xmlns:c16="http://schemas.microsoft.com/office/drawing/2014/chart" uri="{C3380CC4-5D6E-409C-BE32-E72D297353CC}">
              <c16:uniqueId val="{00000003-A990-4ED0-A166-4B5A02BBF415}"/>
            </c:ext>
          </c:extLst>
        </c:ser>
        <c:dLbls>
          <c:showLegendKey val="0"/>
          <c:showVal val="0"/>
          <c:showCatName val="0"/>
          <c:showSerName val="0"/>
          <c:showPercent val="0"/>
          <c:showBubbleSize val="0"/>
        </c:dLbls>
        <c:axId val="543660288"/>
        <c:axId val="543658752"/>
      </c:scatterChart>
      <c:valAx>
        <c:axId val="224130176"/>
        <c:scaling>
          <c:orientation val="minMax"/>
          <c:max val="6"/>
        </c:scaling>
        <c:delete val="0"/>
        <c:axPos val="b"/>
        <c:majorGridlines/>
        <c:numFmt formatCode="General" sourceLinked="1"/>
        <c:majorTickMark val="out"/>
        <c:minorTickMark val="none"/>
        <c:tickLblPos val="nextTo"/>
        <c:crossAx val="224131712"/>
        <c:crosses val="autoZero"/>
        <c:crossBetween val="midCat"/>
      </c:valAx>
      <c:valAx>
        <c:axId val="224131712"/>
        <c:scaling>
          <c:orientation val="minMax"/>
          <c:max val="100"/>
          <c:min val="60"/>
        </c:scaling>
        <c:delete val="0"/>
        <c:axPos val="l"/>
        <c:majorGridlines/>
        <c:title>
          <c:overlay val="0"/>
          <c:txPr>
            <a:bodyPr rot="-5400000" vert="horz"/>
            <a:lstStyle/>
            <a:p>
              <a:pPr>
                <a:defRPr/>
              </a:pPr>
              <a:endParaRPr lang="en-US"/>
            </a:p>
          </c:txPr>
        </c:title>
        <c:numFmt formatCode="General" sourceLinked="1"/>
        <c:majorTickMark val="out"/>
        <c:minorTickMark val="none"/>
        <c:tickLblPos val="nextTo"/>
        <c:crossAx val="224130176"/>
        <c:crosses val="autoZero"/>
        <c:crossBetween val="midCat"/>
      </c:valAx>
      <c:valAx>
        <c:axId val="543658752"/>
        <c:scaling>
          <c:orientation val="minMax"/>
        </c:scaling>
        <c:delete val="0"/>
        <c:axPos val="r"/>
        <c:numFmt formatCode="General" sourceLinked="1"/>
        <c:majorTickMark val="out"/>
        <c:minorTickMark val="none"/>
        <c:tickLblPos val="nextTo"/>
        <c:crossAx val="543660288"/>
        <c:crosses val="max"/>
        <c:crossBetween val="midCat"/>
      </c:valAx>
      <c:valAx>
        <c:axId val="543660288"/>
        <c:scaling>
          <c:orientation val="minMax"/>
        </c:scaling>
        <c:delete val="1"/>
        <c:axPos val="b"/>
        <c:numFmt formatCode="General" sourceLinked="1"/>
        <c:majorTickMark val="out"/>
        <c:minorTickMark val="none"/>
        <c:tickLblPos val="nextTo"/>
        <c:crossAx val="543658752"/>
        <c:crosses val="autoZero"/>
        <c:crossBetween val="midCat"/>
      </c:valAx>
    </c:plotArea>
    <c:legend>
      <c:legendPos val="r"/>
      <c:overlay val="1"/>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Eff_vs_VIN!$T$7:$T$157</c:f>
              <c:numCache>
                <c:formatCode>General</c:formatCode>
                <c:ptCount val="151"/>
                <c:pt idx="0">
                  <c:v>11</c:v>
                </c:pt>
                <c:pt idx="1">
                  <c:v>11.01</c:v>
                </c:pt>
                <c:pt idx="2">
                  <c:v>11.02</c:v>
                </c:pt>
                <c:pt idx="3">
                  <c:v>11.03</c:v>
                </c:pt>
                <c:pt idx="4">
                  <c:v>11.04</c:v>
                </c:pt>
                <c:pt idx="5">
                  <c:v>11.05</c:v>
                </c:pt>
                <c:pt idx="6">
                  <c:v>11.06</c:v>
                </c:pt>
                <c:pt idx="7">
                  <c:v>11.07</c:v>
                </c:pt>
                <c:pt idx="8">
                  <c:v>11.08</c:v>
                </c:pt>
                <c:pt idx="9">
                  <c:v>11.09</c:v>
                </c:pt>
                <c:pt idx="10">
                  <c:v>11.1</c:v>
                </c:pt>
                <c:pt idx="11">
                  <c:v>11.11</c:v>
                </c:pt>
                <c:pt idx="12">
                  <c:v>11.12</c:v>
                </c:pt>
                <c:pt idx="13">
                  <c:v>11.13</c:v>
                </c:pt>
                <c:pt idx="14">
                  <c:v>11.14</c:v>
                </c:pt>
                <c:pt idx="15">
                  <c:v>11.15</c:v>
                </c:pt>
                <c:pt idx="16">
                  <c:v>11.16</c:v>
                </c:pt>
                <c:pt idx="17">
                  <c:v>11.17</c:v>
                </c:pt>
                <c:pt idx="18">
                  <c:v>11.18</c:v>
                </c:pt>
                <c:pt idx="19">
                  <c:v>11.19</c:v>
                </c:pt>
                <c:pt idx="20">
                  <c:v>11.2</c:v>
                </c:pt>
                <c:pt idx="21">
                  <c:v>11.21</c:v>
                </c:pt>
                <c:pt idx="22">
                  <c:v>11.22</c:v>
                </c:pt>
                <c:pt idx="23">
                  <c:v>11.23</c:v>
                </c:pt>
                <c:pt idx="24">
                  <c:v>11.24</c:v>
                </c:pt>
                <c:pt idx="25">
                  <c:v>11.25</c:v>
                </c:pt>
                <c:pt idx="26">
                  <c:v>11.26</c:v>
                </c:pt>
                <c:pt idx="27">
                  <c:v>11.27</c:v>
                </c:pt>
                <c:pt idx="28">
                  <c:v>11.28</c:v>
                </c:pt>
                <c:pt idx="29">
                  <c:v>11.29</c:v>
                </c:pt>
                <c:pt idx="30">
                  <c:v>11.3</c:v>
                </c:pt>
                <c:pt idx="31">
                  <c:v>11.31</c:v>
                </c:pt>
                <c:pt idx="32">
                  <c:v>11.32</c:v>
                </c:pt>
                <c:pt idx="33">
                  <c:v>11.33</c:v>
                </c:pt>
                <c:pt idx="34">
                  <c:v>11.34</c:v>
                </c:pt>
                <c:pt idx="35">
                  <c:v>11.35</c:v>
                </c:pt>
                <c:pt idx="36">
                  <c:v>11.36</c:v>
                </c:pt>
                <c:pt idx="37">
                  <c:v>11.37</c:v>
                </c:pt>
                <c:pt idx="38">
                  <c:v>11.38</c:v>
                </c:pt>
                <c:pt idx="39">
                  <c:v>11.39</c:v>
                </c:pt>
                <c:pt idx="40">
                  <c:v>11.4</c:v>
                </c:pt>
                <c:pt idx="41">
                  <c:v>11.41</c:v>
                </c:pt>
                <c:pt idx="42">
                  <c:v>11.42</c:v>
                </c:pt>
                <c:pt idx="43">
                  <c:v>11.43</c:v>
                </c:pt>
                <c:pt idx="44">
                  <c:v>11.44</c:v>
                </c:pt>
                <c:pt idx="45">
                  <c:v>11.45</c:v>
                </c:pt>
                <c:pt idx="46">
                  <c:v>11.46</c:v>
                </c:pt>
                <c:pt idx="47">
                  <c:v>11.47</c:v>
                </c:pt>
                <c:pt idx="48">
                  <c:v>11.48</c:v>
                </c:pt>
                <c:pt idx="49">
                  <c:v>11.49</c:v>
                </c:pt>
                <c:pt idx="50">
                  <c:v>11.5</c:v>
                </c:pt>
                <c:pt idx="51">
                  <c:v>11.51</c:v>
                </c:pt>
                <c:pt idx="52">
                  <c:v>11.52</c:v>
                </c:pt>
                <c:pt idx="53">
                  <c:v>11.53</c:v>
                </c:pt>
                <c:pt idx="54">
                  <c:v>11.54</c:v>
                </c:pt>
                <c:pt idx="55">
                  <c:v>11.55</c:v>
                </c:pt>
                <c:pt idx="56">
                  <c:v>11.56</c:v>
                </c:pt>
                <c:pt idx="57">
                  <c:v>11.57</c:v>
                </c:pt>
                <c:pt idx="58">
                  <c:v>11.58</c:v>
                </c:pt>
                <c:pt idx="59">
                  <c:v>11.59</c:v>
                </c:pt>
                <c:pt idx="60">
                  <c:v>11.6</c:v>
                </c:pt>
                <c:pt idx="61">
                  <c:v>11.61</c:v>
                </c:pt>
                <c:pt idx="62">
                  <c:v>11.62</c:v>
                </c:pt>
                <c:pt idx="63">
                  <c:v>11.63</c:v>
                </c:pt>
                <c:pt idx="64">
                  <c:v>11.64</c:v>
                </c:pt>
                <c:pt idx="65">
                  <c:v>11.65</c:v>
                </c:pt>
                <c:pt idx="66">
                  <c:v>11.66</c:v>
                </c:pt>
                <c:pt idx="67">
                  <c:v>11.67</c:v>
                </c:pt>
                <c:pt idx="68">
                  <c:v>11.68</c:v>
                </c:pt>
                <c:pt idx="69">
                  <c:v>11.69</c:v>
                </c:pt>
                <c:pt idx="70">
                  <c:v>11.7</c:v>
                </c:pt>
                <c:pt idx="71">
                  <c:v>11.71</c:v>
                </c:pt>
                <c:pt idx="72">
                  <c:v>11.72</c:v>
                </c:pt>
                <c:pt idx="73">
                  <c:v>11.73</c:v>
                </c:pt>
                <c:pt idx="74">
                  <c:v>11.74</c:v>
                </c:pt>
                <c:pt idx="75">
                  <c:v>11.75</c:v>
                </c:pt>
                <c:pt idx="76">
                  <c:v>11.76</c:v>
                </c:pt>
                <c:pt idx="77">
                  <c:v>11.77</c:v>
                </c:pt>
                <c:pt idx="78">
                  <c:v>11.78</c:v>
                </c:pt>
                <c:pt idx="79">
                  <c:v>11.79</c:v>
                </c:pt>
                <c:pt idx="80">
                  <c:v>11.8</c:v>
                </c:pt>
                <c:pt idx="81">
                  <c:v>11.81</c:v>
                </c:pt>
                <c:pt idx="82">
                  <c:v>11.82</c:v>
                </c:pt>
                <c:pt idx="83">
                  <c:v>11.83</c:v>
                </c:pt>
                <c:pt idx="84">
                  <c:v>11.84</c:v>
                </c:pt>
                <c:pt idx="85">
                  <c:v>11.85</c:v>
                </c:pt>
                <c:pt idx="86">
                  <c:v>11.86</c:v>
                </c:pt>
                <c:pt idx="87">
                  <c:v>11.87</c:v>
                </c:pt>
                <c:pt idx="88">
                  <c:v>11.88</c:v>
                </c:pt>
                <c:pt idx="89">
                  <c:v>11.89</c:v>
                </c:pt>
                <c:pt idx="90">
                  <c:v>11.9</c:v>
                </c:pt>
                <c:pt idx="91">
                  <c:v>11.91</c:v>
                </c:pt>
                <c:pt idx="92">
                  <c:v>11.92</c:v>
                </c:pt>
                <c:pt idx="93">
                  <c:v>11.93</c:v>
                </c:pt>
                <c:pt idx="94">
                  <c:v>11.94</c:v>
                </c:pt>
                <c:pt idx="95">
                  <c:v>11.95</c:v>
                </c:pt>
                <c:pt idx="96">
                  <c:v>11.96</c:v>
                </c:pt>
                <c:pt idx="97">
                  <c:v>11.97</c:v>
                </c:pt>
                <c:pt idx="98">
                  <c:v>11.98</c:v>
                </c:pt>
                <c:pt idx="99">
                  <c:v>11.99</c:v>
                </c:pt>
                <c:pt idx="100">
                  <c:v>12</c:v>
                </c:pt>
                <c:pt idx="101">
                  <c:v>12.01</c:v>
                </c:pt>
                <c:pt idx="102">
                  <c:v>12.02</c:v>
                </c:pt>
                <c:pt idx="103">
                  <c:v>12.03</c:v>
                </c:pt>
                <c:pt idx="104">
                  <c:v>12.04</c:v>
                </c:pt>
                <c:pt idx="105">
                  <c:v>12.05</c:v>
                </c:pt>
                <c:pt idx="106">
                  <c:v>12.06</c:v>
                </c:pt>
                <c:pt idx="107">
                  <c:v>12.07</c:v>
                </c:pt>
                <c:pt idx="108">
                  <c:v>12.08</c:v>
                </c:pt>
                <c:pt idx="109">
                  <c:v>12.09</c:v>
                </c:pt>
                <c:pt idx="110">
                  <c:v>12.1</c:v>
                </c:pt>
                <c:pt idx="111">
                  <c:v>12.11</c:v>
                </c:pt>
                <c:pt idx="112">
                  <c:v>12.120000000000001</c:v>
                </c:pt>
                <c:pt idx="113">
                  <c:v>12.13</c:v>
                </c:pt>
                <c:pt idx="114">
                  <c:v>12.14</c:v>
                </c:pt>
                <c:pt idx="115">
                  <c:v>12.15</c:v>
                </c:pt>
                <c:pt idx="116">
                  <c:v>12.16</c:v>
                </c:pt>
                <c:pt idx="117">
                  <c:v>12.17</c:v>
                </c:pt>
                <c:pt idx="118">
                  <c:v>12.18</c:v>
                </c:pt>
                <c:pt idx="119">
                  <c:v>12.19</c:v>
                </c:pt>
                <c:pt idx="120">
                  <c:v>12.2</c:v>
                </c:pt>
                <c:pt idx="121">
                  <c:v>12.21</c:v>
                </c:pt>
                <c:pt idx="122">
                  <c:v>12.22</c:v>
                </c:pt>
                <c:pt idx="123">
                  <c:v>12.23</c:v>
                </c:pt>
                <c:pt idx="124">
                  <c:v>12.24</c:v>
                </c:pt>
                <c:pt idx="125">
                  <c:v>12.25</c:v>
                </c:pt>
                <c:pt idx="126">
                  <c:v>12.26</c:v>
                </c:pt>
                <c:pt idx="127">
                  <c:v>12.27</c:v>
                </c:pt>
                <c:pt idx="128">
                  <c:v>12.28</c:v>
                </c:pt>
                <c:pt idx="129">
                  <c:v>12.29</c:v>
                </c:pt>
                <c:pt idx="130">
                  <c:v>12.3</c:v>
                </c:pt>
                <c:pt idx="131">
                  <c:v>12.31</c:v>
                </c:pt>
                <c:pt idx="132">
                  <c:v>12.32</c:v>
                </c:pt>
                <c:pt idx="133">
                  <c:v>12.33</c:v>
                </c:pt>
                <c:pt idx="134">
                  <c:v>12.34</c:v>
                </c:pt>
                <c:pt idx="135">
                  <c:v>12.35</c:v>
                </c:pt>
                <c:pt idx="136">
                  <c:v>12.36</c:v>
                </c:pt>
                <c:pt idx="137">
                  <c:v>12.370000000000001</c:v>
                </c:pt>
                <c:pt idx="138">
                  <c:v>12.38</c:v>
                </c:pt>
                <c:pt idx="139">
                  <c:v>12.39</c:v>
                </c:pt>
                <c:pt idx="140">
                  <c:v>12.4</c:v>
                </c:pt>
                <c:pt idx="141">
                  <c:v>12.41</c:v>
                </c:pt>
                <c:pt idx="142">
                  <c:v>12.42</c:v>
                </c:pt>
                <c:pt idx="143">
                  <c:v>12.43</c:v>
                </c:pt>
                <c:pt idx="144">
                  <c:v>12.44</c:v>
                </c:pt>
                <c:pt idx="145">
                  <c:v>12.45</c:v>
                </c:pt>
                <c:pt idx="146">
                  <c:v>12.46</c:v>
                </c:pt>
                <c:pt idx="147">
                  <c:v>12.47</c:v>
                </c:pt>
                <c:pt idx="148">
                  <c:v>12.48</c:v>
                </c:pt>
                <c:pt idx="149">
                  <c:v>12.49</c:v>
                </c:pt>
                <c:pt idx="150">
                  <c:v>12.5</c:v>
                </c:pt>
              </c:numCache>
            </c:numRef>
          </c:xVal>
          <c:yVal>
            <c:numRef>
              <c:f>Eff_vs_VIN!$AW$7:$AW$157</c:f>
              <c:numCache>
                <c:formatCode>General</c:formatCode>
                <c:ptCount val="151"/>
                <c:pt idx="0">
                  <c:v>88.042618082340013</c:v>
                </c:pt>
                <c:pt idx="1">
                  <c:v>88.060922743148453</c:v>
                </c:pt>
                <c:pt idx="2">
                  <c:v>88.079186060186487</c:v>
                </c:pt>
                <c:pt idx="3">
                  <c:v>88.097408154937469</c:v>
                </c:pt>
                <c:pt idx="4">
                  <c:v>88.115589148459122</c:v>
                </c:pt>
                <c:pt idx="5">
                  <c:v>88.133729161385091</c:v>
                </c:pt>
                <c:pt idx="6">
                  <c:v>88.151828313926529</c:v>
                </c:pt>
                <c:pt idx="7">
                  <c:v>88.169886725873837</c:v>
                </c:pt>
                <c:pt idx="8">
                  <c:v>88.18790451659801</c:v>
                </c:pt>
                <c:pt idx="9">
                  <c:v>88.205881805052385</c:v>
                </c:pt>
                <c:pt idx="10">
                  <c:v>88.223818709774164</c:v>
                </c:pt>
                <c:pt idx="11">
                  <c:v>88.241715348885961</c:v>
                </c:pt>
                <c:pt idx="12">
                  <c:v>88.259571840097394</c:v>
                </c:pt>
                <c:pt idx="13">
                  <c:v>88.27738830070659</c:v>
                </c:pt>
                <c:pt idx="14">
                  <c:v>88.295164847601797</c:v>
                </c:pt>
                <c:pt idx="15">
                  <c:v>88.312901597262837</c:v>
                </c:pt>
                <c:pt idx="16">
                  <c:v>88.33059866576275</c:v>
                </c:pt>
                <c:pt idx="17">
                  <c:v>88.34825616876924</c:v>
                </c:pt>
                <c:pt idx="18">
                  <c:v>88.365874221546207</c:v>
                </c:pt>
                <c:pt idx="19">
                  <c:v>88.383452938955287</c:v>
                </c:pt>
                <c:pt idx="20">
                  <c:v>88.400992435457354</c:v>
                </c:pt>
                <c:pt idx="21">
                  <c:v>88.418492825114043</c:v>
                </c:pt>
                <c:pt idx="22">
                  <c:v>88.435954221589185</c:v>
                </c:pt>
                <c:pt idx="23">
                  <c:v>88.453376738150368</c:v>
                </c:pt>
                <c:pt idx="24">
                  <c:v>88.470760487670432</c:v>
                </c:pt>
                <c:pt idx="25">
                  <c:v>88.488105582628862</c:v>
                </c:pt>
                <c:pt idx="26">
                  <c:v>88.50541213511336</c:v>
                </c:pt>
                <c:pt idx="27">
                  <c:v>88.522680256821261</c:v>
                </c:pt>
                <c:pt idx="28">
                  <c:v>88.539910059060986</c:v>
                </c:pt>
                <c:pt idx="29">
                  <c:v>88.557101652753573</c:v>
                </c:pt>
                <c:pt idx="30">
                  <c:v>88.574255148434048</c:v>
                </c:pt>
                <c:pt idx="31">
                  <c:v>88.591370656252906</c:v>
                </c:pt>
                <c:pt idx="32">
                  <c:v>88.608448285977559</c:v>
                </c:pt>
                <c:pt idx="33">
                  <c:v>88.62548814699376</c:v>
                </c:pt>
                <c:pt idx="34">
                  <c:v>88.642490348307007</c:v>
                </c:pt>
                <c:pt idx="35">
                  <c:v>88.659454998544064</c:v>
                </c:pt>
                <c:pt idx="36">
                  <c:v>88.676382205954212</c:v>
                </c:pt>
                <c:pt idx="37">
                  <c:v>88.693272078410871</c:v>
                </c:pt>
                <c:pt idx="38">
                  <c:v>88.710124723412804</c:v>
                </c:pt>
                <c:pt idx="39">
                  <c:v>88.72694024808564</c:v>
                </c:pt>
                <c:pt idx="40">
                  <c:v>88.743718759183267</c:v>
                </c:pt>
                <c:pt idx="41">
                  <c:v>88.76046036308918</c:v>
                </c:pt>
                <c:pt idx="42">
                  <c:v>88.777165165817848</c:v>
                </c:pt>
                <c:pt idx="43">
                  <c:v>88.793833273016162</c:v>
                </c:pt>
                <c:pt idx="44">
                  <c:v>88.810464789964811</c:v>
                </c:pt>
                <c:pt idx="45">
                  <c:v>88.827059821579553</c:v>
                </c:pt>
                <c:pt idx="46">
                  <c:v>88.843618472412643</c:v>
                </c:pt>
                <c:pt idx="47">
                  <c:v>88.860140846654247</c:v>
                </c:pt>
                <c:pt idx="48">
                  <c:v>88.876627048133699</c:v>
                </c:pt>
                <c:pt idx="49">
                  <c:v>88.893077180320873</c:v>
                </c:pt>
                <c:pt idx="50">
                  <c:v>88.909491346327556</c:v>
                </c:pt>
                <c:pt idx="51">
                  <c:v>88.925869648908773</c:v>
                </c:pt>
                <c:pt idx="52">
                  <c:v>88.942212190464105</c:v>
                </c:pt>
                <c:pt idx="53">
                  <c:v>88.958519073039028</c:v>
                </c:pt>
                <c:pt idx="54">
                  <c:v>88.974790398326206</c:v>
                </c:pt>
                <c:pt idx="55">
                  <c:v>88.991026267666882</c:v>
                </c:pt>
                <c:pt idx="56">
                  <c:v>89.007226782052072</c:v>
                </c:pt>
                <c:pt idx="57">
                  <c:v>89.023392042123987</c:v>
                </c:pt>
                <c:pt idx="58">
                  <c:v>89.039522148177255</c:v>
                </c:pt>
                <c:pt idx="59">
                  <c:v>89.055617200160256</c:v>
                </c:pt>
                <c:pt idx="60">
                  <c:v>89.071677297676359</c:v>
                </c:pt>
                <c:pt idx="61">
                  <c:v>89.087702539985315</c:v>
                </c:pt>
                <c:pt idx="62">
                  <c:v>89.103693026004407</c:v>
                </c:pt>
                <c:pt idx="63">
                  <c:v>89.11964885430983</c:v>
                </c:pt>
                <c:pt idx="64">
                  <c:v>89.135570123137882</c:v>
                </c:pt>
                <c:pt idx="65">
                  <c:v>89.151456930386274</c:v>
                </c:pt>
                <c:pt idx="66">
                  <c:v>89.167309373615396</c:v>
                </c:pt>
                <c:pt idx="67">
                  <c:v>89.183127550049534</c:v>
                </c:pt>
                <c:pt idx="68">
                  <c:v>89.198911556578167</c:v>
                </c:pt>
                <c:pt idx="69">
                  <c:v>89.214661489757134</c:v>
                </c:pt>
                <c:pt idx="70">
                  <c:v>89.230377445809978</c:v>
                </c:pt>
                <c:pt idx="71">
                  <c:v>89.246059520629103</c:v>
                </c:pt>
                <c:pt idx="72">
                  <c:v>89.26170780977705</c:v>
                </c:pt>
                <c:pt idx="73">
                  <c:v>89.277322408487663</c:v>
                </c:pt>
                <c:pt idx="74">
                  <c:v>89.292903411667382</c:v>
                </c:pt>
                <c:pt idx="75">
                  <c:v>89.308450913896408</c:v>
                </c:pt>
                <c:pt idx="76">
                  <c:v>89.323965009429955</c:v>
                </c:pt>
                <c:pt idx="77">
                  <c:v>89.339445792199385</c:v>
                </c:pt>
                <c:pt idx="78">
                  <c:v>89.354893355813502</c:v>
                </c:pt>
                <c:pt idx="79">
                  <c:v>89.370307793559689</c:v>
                </c:pt>
                <c:pt idx="80">
                  <c:v>89.385689198405075</c:v>
                </c:pt>
                <c:pt idx="81">
                  <c:v>89.401037662997823</c:v>
                </c:pt>
                <c:pt idx="82">
                  <c:v>89.416353279668186</c:v>
                </c:pt>
                <c:pt idx="83">
                  <c:v>89.431636140429816</c:v>
                </c:pt>
                <c:pt idx="84">
                  <c:v>89.446886336980782</c:v>
                </c:pt>
                <c:pt idx="85">
                  <c:v>89.462103960704908</c:v>
                </c:pt>
                <c:pt idx="86">
                  <c:v>89.477289102672813</c:v>
                </c:pt>
                <c:pt idx="87">
                  <c:v>89.492441853643101</c:v>
                </c:pt>
                <c:pt idx="88">
                  <c:v>89.507562304063555</c:v>
                </c:pt>
                <c:pt idx="89">
                  <c:v>89.522650544072206</c:v>
                </c:pt>
                <c:pt idx="90">
                  <c:v>89.537706663498582</c:v>
                </c:pt>
                <c:pt idx="91">
                  <c:v>89.5527307518648</c:v>
                </c:pt>
                <c:pt idx="92">
                  <c:v>89.567722898386634</c:v>
                </c:pt>
                <c:pt idx="93">
                  <c:v>89.58268319197478</c:v>
                </c:pt>
                <c:pt idx="94">
                  <c:v>89.59761172123585</c:v>
                </c:pt>
                <c:pt idx="95">
                  <c:v>89.612508574473608</c:v>
                </c:pt>
                <c:pt idx="96">
                  <c:v>89.627373839690037</c:v>
                </c:pt>
                <c:pt idx="97">
                  <c:v>89.642207604586432</c:v>
                </c:pt>
                <c:pt idx="98">
                  <c:v>89.657009956564536</c:v>
                </c:pt>
                <c:pt idx="99">
                  <c:v>89.67178098272764</c:v>
                </c:pt>
                <c:pt idx="100">
                  <c:v>89.68652076988171</c:v>
                </c:pt>
                <c:pt idx="101">
                  <c:v>89.70122940453642</c:v>
                </c:pt>
                <c:pt idx="102">
                  <c:v>89.715906972906325</c:v>
                </c:pt>
                <c:pt idx="103">
                  <c:v>89.730553560911858</c:v>
                </c:pt>
                <c:pt idx="104">
                  <c:v>89.74516925418051</c:v>
                </c:pt>
                <c:pt idx="105">
                  <c:v>89.759754138047839</c:v>
                </c:pt>
                <c:pt idx="106">
                  <c:v>89.774308297558562</c:v>
                </c:pt>
                <c:pt idx="107">
                  <c:v>89.788831817467624</c:v>
                </c:pt>
                <c:pt idx="108">
                  <c:v>89.80332478224129</c:v>
                </c:pt>
                <c:pt idx="109">
                  <c:v>89.817787276058169</c:v>
                </c:pt>
                <c:pt idx="110">
                  <c:v>89.832219382810337</c:v>
                </c:pt>
                <c:pt idx="111">
                  <c:v>89.846621186104272</c:v>
                </c:pt>
                <c:pt idx="112">
                  <c:v>89.860992769262026</c:v>
                </c:pt>
                <c:pt idx="113">
                  <c:v>89.875334215322226</c:v>
                </c:pt>
                <c:pt idx="114">
                  <c:v>89.889645607041061</c:v>
                </c:pt>
                <c:pt idx="115">
                  <c:v>89.903927026893399</c:v>
                </c:pt>
                <c:pt idx="116">
                  <c:v>89.918178557073801</c:v>
                </c:pt>
                <c:pt idx="117">
                  <c:v>89.932400279497543</c:v>
                </c:pt>
                <c:pt idx="118">
                  <c:v>89.946592275801564</c:v>
                </c:pt>
                <c:pt idx="119">
                  <c:v>89.960754627345679</c:v>
                </c:pt>
                <c:pt idx="120">
                  <c:v>89.97488741521336</c:v>
                </c:pt>
                <c:pt idx="121">
                  <c:v>89.988990720212925</c:v>
                </c:pt>
                <c:pt idx="122">
                  <c:v>90.003064622878469</c:v>
                </c:pt>
                <c:pt idx="123">
                  <c:v>90.017109203470909</c:v>
                </c:pt>
                <c:pt idx="124">
                  <c:v>90.031124541978912</c:v>
                </c:pt>
                <c:pt idx="125">
                  <c:v>90.045110718120014</c:v>
                </c:pt>
                <c:pt idx="126">
                  <c:v>90.05906781134145</c:v>
                </c:pt>
                <c:pt idx="127">
                  <c:v>90.072995900821311</c:v>
                </c:pt>
                <c:pt idx="128">
                  <c:v>90.086895065469434</c:v>
                </c:pt>
                <c:pt idx="129">
                  <c:v>90.100765383928348</c:v>
                </c:pt>
                <c:pt idx="130">
                  <c:v>90.114606934574368</c:v>
                </c:pt>
                <c:pt idx="131">
                  <c:v>90.128419795518482</c:v>
                </c:pt>
                <c:pt idx="132">
                  <c:v>90.142204044607325</c:v>
                </c:pt>
                <c:pt idx="133">
                  <c:v>90.155959759424206</c:v>
                </c:pt>
                <c:pt idx="134">
                  <c:v>90.169687017289974</c:v>
                </c:pt>
                <c:pt idx="135">
                  <c:v>90.183385895264053</c:v>
                </c:pt>
                <c:pt idx="136">
                  <c:v>90.19705647014537</c:v>
                </c:pt>
                <c:pt idx="137">
                  <c:v>90.210698818473332</c:v>
                </c:pt>
                <c:pt idx="138">
                  <c:v>90.224313016528711</c:v>
                </c:pt>
                <c:pt idx="139">
                  <c:v>90.237899140334633</c:v>
                </c:pt>
                <c:pt idx="140">
                  <c:v>90.251457265657521</c:v>
                </c:pt>
                <c:pt idx="141">
                  <c:v>90.264987468008002</c:v>
                </c:pt>
                <c:pt idx="142">
                  <c:v>90.278489822641887</c:v>
                </c:pt>
                <c:pt idx="143">
                  <c:v>90.291964404561028</c:v>
                </c:pt>
                <c:pt idx="144">
                  <c:v>90.305411288514307</c:v>
                </c:pt>
                <c:pt idx="145">
                  <c:v>90.31883054899852</c:v>
                </c:pt>
                <c:pt idx="146">
                  <c:v>90.332222260259329</c:v>
                </c:pt>
                <c:pt idx="147">
                  <c:v>90.345586496292114</c:v>
                </c:pt>
                <c:pt idx="148">
                  <c:v>90.358923330842984</c:v>
                </c:pt>
                <c:pt idx="149">
                  <c:v>90.372232837409541</c:v>
                </c:pt>
                <c:pt idx="150">
                  <c:v>90.385515089241935</c:v>
                </c:pt>
              </c:numCache>
            </c:numRef>
          </c:yVal>
          <c:smooth val="0"/>
          <c:extLst>
            <c:ext xmlns:c16="http://schemas.microsoft.com/office/drawing/2014/chart" uri="{C3380CC4-5D6E-409C-BE32-E72D297353CC}">
              <c16:uniqueId val="{00000000-A9EB-4B3D-B1F8-864F59D7502D}"/>
            </c:ext>
          </c:extLst>
        </c:ser>
        <c:dLbls>
          <c:showLegendKey val="0"/>
          <c:showVal val="0"/>
          <c:showCatName val="0"/>
          <c:showSerName val="0"/>
          <c:showPercent val="0"/>
          <c:showBubbleSize val="0"/>
        </c:dLbls>
        <c:axId val="361445248"/>
        <c:axId val="361446784"/>
      </c:scatterChart>
      <c:scatterChart>
        <c:scatterStyle val="smoothMarker"/>
        <c:varyColors val="0"/>
        <c:ser>
          <c:idx val="1"/>
          <c:order val="1"/>
          <c:tx>
            <c:v>LS MOSFET</c:v>
          </c:tx>
          <c:spPr>
            <a:ln>
              <a:solidFill>
                <a:schemeClr val="tx2">
                  <a:lumMod val="75000"/>
                </a:schemeClr>
              </a:solidFill>
              <a:prstDash val="dashDot"/>
            </a:ln>
          </c:spPr>
          <c:marker>
            <c:symbol val="none"/>
          </c:marker>
          <c:xVal>
            <c:numRef>
              <c:f>Eff_vs_VIN!$T$7:$T$157</c:f>
              <c:numCache>
                <c:formatCode>General</c:formatCode>
                <c:ptCount val="151"/>
                <c:pt idx="0">
                  <c:v>11</c:v>
                </c:pt>
                <c:pt idx="1">
                  <c:v>11.01</c:v>
                </c:pt>
                <c:pt idx="2">
                  <c:v>11.02</c:v>
                </c:pt>
                <c:pt idx="3">
                  <c:v>11.03</c:v>
                </c:pt>
                <c:pt idx="4">
                  <c:v>11.04</c:v>
                </c:pt>
                <c:pt idx="5">
                  <c:v>11.05</c:v>
                </c:pt>
                <c:pt idx="6">
                  <c:v>11.06</c:v>
                </c:pt>
                <c:pt idx="7">
                  <c:v>11.07</c:v>
                </c:pt>
                <c:pt idx="8">
                  <c:v>11.08</c:v>
                </c:pt>
                <c:pt idx="9">
                  <c:v>11.09</c:v>
                </c:pt>
                <c:pt idx="10">
                  <c:v>11.1</c:v>
                </c:pt>
                <c:pt idx="11">
                  <c:v>11.11</c:v>
                </c:pt>
                <c:pt idx="12">
                  <c:v>11.12</c:v>
                </c:pt>
                <c:pt idx="13">
                  <c:v>11.13</c:v>
                </c:pt>
                <c:pt idx="14">
                  <c:v>11.14</c:v>
                </c:pt>
                <c:pt idx="15">
                  <c:v>11.15</c:v>
                </c:pt>
                <c:pt idx="16">
                  <c:v>11.16</c:v>
                </c:pt>
                <c:pt idx="17">
                  <c:v>11.17</c:v>
                </c:pt>
                <c:pt idx="18">
                  <c:v>11.18</c:v>
                </c:pt>
                <c:pt idx="19">
                  <c:v>11.19</c:v>
                </c:pt>
                <c:pt idx="20">
                  <c:v>11.2</c:v>
                </c:pt>
                <c:pt idx="21">
                  <c:v>11.21</c:v>
                </c:pt>
                <c:pt idx="22">
                  <c:v>11.22</c:v>
                </c:pt>
                <c:pt idx="23">
                  <c:v>11.23</c:v>
                </c:pt>
                <c:pt idx="24">
                  <c:v>11.24</c:v>
                </c:pt>
                <c:pt idx="25">
                  <c:v>11.25</c:v>
                </c:pt>
                <c:pt idx="26">
                  <c:v>11.26</c:v>
                </c:pt>
                <c:pt idx="27">
                  <c:v>11.27</c:v>
                </c:pt>
                <c:pt idx="28">
                  <c:v>11.28</c:v>
                </c:pt>
                <c:pt idx="29">
                  <c:v>11.29</c:v>
                </c:pt>
                <c:pt idx="30">
                  <c:v>11.3</c:v>
                </c:pt>
                <c:pt idx="31">
                  <c:v>11.31</c:v>
                </c:pt>
                <c:pt idx="32">
                  <c:v>11.32</c:v>
                </c:pt>
                <c:pt idx="33">
                  <c:v>11.33</c:v>
                </c:pt>
                <c:pt idx="34">
                  <c:v>11.34</c:v>
                </c:pt>
                <c:pt idx="35">
                  <c:v>11.35</c:v>
                </c:pt>
                <c:pt idx="36">
                  <c:v>11.36</c:v>
                </c:pt>
                <c:pt idx="37">
                  <c:v>11.37</c:v>
                </c:pt>
                <c:pt idx="38">
                  <c:v>11.38</c:v>
                </c:pt>
                <c:pt idx="39">
                  <c:v>11.39</c:v>
                </c:pt>
                <c:pt idx="40">
                  <c:v>11.4</c:v>
                </c:pt>
                <c:pt idx="41">
                  <c:v>11.41</c:v>
                </c:pt>
                <c:pt idx="42">
                  <c:v>11.42</c:v>
                </c:pt>
                <c:pt idx="43">
                  <c:v>11.43</c:v>
                </c:pt>
                <c:pt idx="44">
                  <c:v>11.44</c:v>
                </c:pt>
                <c:pt idx="45">
                  <c:v>11.45</c:v>
                </c:pt>
                <c:pt idx="46">
                  <c:v>11.46</c:v>
                </c:pt>
                <c:pt idx="47">
                  <c:v>11.47</c:v>
                </c:pt>
                <c:pt idx="48">
                  <c:v>11.48</c:v>
                </c:pt>
                <c:pt idx="49">
                  <c:v>11.49</c:v>
                </c:pt>
                <c:pt idx="50">
                  <c:v>11.5</c:v>
                </c:pt>
                <c:pt idx="51">
                  <c:v>11.51</c:v>
                </c:pt>
                <c:pt idx="52">
                  <c:v>11.52</c:v>
                </c:pt>
                <c:pt idx="53">
                  <c:v>11.53</c:v>
                </c:pt>
                <c:pt idx="54">
                  <c:v>11.54</c:v>
                </c:pt>
                <c:pt idx="55">
                  <c:v>11.55</c:v>
                </c:pt>
                <c:pt idx="56">
                  <c:v>11.56</c:v>
                </c:pt>
                <c:pt idx="57">
                  <c:v>11.57</c:v>
                </c:pt>
                <c:pt idx="58">
                  <c:v>11.58</c:v>
                </c:pt>
                <c:pt idx="59">
                  <c:v>11.59</c:v>
                </c:pt>
                <c:pt idx="60">
                  <c:v>11.6</c:v>
                </c:pt>
                <c:pt idx="61">
                  <c:v>11.61</c:v>
                </c:pt>
                <c:pt idx="62">
                  <c:v>11.62</c:v>
                </c:pt>
                <c:pt idx="63">
                  <c:v>11.63</c:v>
                </c:pt>
                <c:pt idx="64">
                  <c:v>11.64</c:v>
                </c:pt>
                <c:pt idx="65">
                  <c:v>11.65</c:v>
                </c:pt>
                <c:pt idx="66">
                  <c:v>11.66</c:v>
                </c:pt>
                <c:pt idx="67">
                  <c:v>11.67</c:v>
                </c:pt>
                <c:pt idx="68">
                  <c:v>11.68</c:v>
                </c:pt>
                <c:pt idx="69">
                  <c:v>11.69</c:v>
                </c:pt>
                <c:pt idx="70">
                  <c:v>11.7</c:v>
                </c:pt>
                <c:pt idx="71">
                  <c:v>11.71</c:v>
                </c:pt>
                <c:pt idx="72">
                  <c:v>11.72</c:v>
                </c:pt>
                <c:pt idx="73">
                  <c:v>11.73</c:v>
                </c:pt>
                <c:pt idx="74">
                  <c:v>11.74</c:v>
                </c:pt>
                <c:pt idx="75">
                  <c:v>11.75</c:v>
                </c:pt>
                <c:pt idx="76">
                  <c:v>11.76</c:v>
                </c:pt>
                <c:pt idx="77">
                  <c:v>11.77</c:v>
                </c:pt>
                <c:pt idx="78">
                  <c:v>11.78</c:v>
                </c:pt>
                <c:pt idx="79">
                  <c:v>11.79</c:v>
                </c:pt>
                <c:pt idx="80">
                  <c:v>11.8</c:v>
                </c:pt>
                <c:pt idx="81">
                  <c:v>11.81</c:v>
                </c:pt>
                <c:pt idx="82">
                  <c:v>11.82</c:v>
                </c:pt>
                <c:pt idx="83">
                  <c:v>11.83</c:v>
                </c:pt>
                <c:pt idx="84">
                  <c:v>11.84</c:v>
                </c:pt>
                <c:pt idx="85">
                  <c:v>11.85</c:v>
                </c:pt>
                <c:pt idx="86">
                  <c:v>11.86</c:v>
                </c:pt>
                <c:pt idx="87">
                  <c:v>11.87</c:v>
                </c:pt>
                <c:pt idx="88">
                  <c:v>11.88</c:v>
                </c:pt>
                <c:pt idx="89">
                  <c:v>11.89</c:v>
                </c:pt>
                <c:pt idx="90">
                  <c:v>11.9</c:v>
                </c:pt>
                <c:pt idx="91">
                  <c:v>11.91</c:v>
                </c:pt>
                <c:pt idx="92">
                  <c:v>11.92</c:v>
                </c:pt>
                <c:pt idx="93">
                  <c:v>11.93</c:v>
                </c:pt>
                <c:pt idx="94">
                  <c:v>11.94</c:v>
                </c:pt>
                <c:pt idx="95">
                  <c:v>11.95</c:v>
                </c:pt>
                <c:pt idx="96">
                  <c:v>11.96</c:v>
                </c:pt>
                <c:pt idx="97">
                  <c:v>11.97</c:v>
                </c:pt>
                <c:pt idx="98">
                  <c:v>11.98</c:v>
                </c:pt>
                <c:pt idx="99">
                  <c:v>11.99</c:v>
                </c:pt>
                <c:pt idx="100">
                  <c:v>12</c:v>
                </c:pt>
                <c:pt idx="101">
                  <c:v>12.01</c:v>
                </c:pt>
                <c:pt idx="102">
                  <c:v>12.02</c:v>
                </c:pt>
                <c:pt idx="103">
                  <c:v>12.03</c:v>
                </c:pt>
                <c:pt idx="104">
                  <c:v>12.04</c:v>
                </c:pt>
                <c:pt idx="105">
                  <c:v>12.05</c:v>
                </c:pt>
                <c:pt idx="106">
                  <c:v>12.06</c:v>
                </c:pt>
                <c:pt idx="107">
                  <c:v>12.07</c:v>
                </c:pt>
                <c:pt idx="108">
                  <c:v>12.08</c:v>
                </c:pt>
                <c:pt idx="109">
                  <c:v>12.09</c:v>
                </c:pt>
                <c:pt idx="110">
                  <c:v>12.1</c:v>
                </c:pt>
                <c:pt idx="111">
                  <c:v>12.11</c:v>
                </c:pt>
                <c:pt idx="112">
                  <c:v>12.120000000000001</c:v>
                </c:pt>
                <c:pt idx="113">
                  <c:v>12.13</c:v>
                </c:pt>
                <c:pt idx="114">
                  <c:v>12.14</c:v>
                </c:pt>
                <c:pt idx="115">
                  <c:v>12.15</c:v>
                </c:pt>
                <c:pt idx="116">
                  <c:v>12.16</c:v>
                </c:pt>
                <c:pt idx="117">
                  <c:v>12.17</c:v>
                </c:pt>
                <c:pt idx="118">
                  <c:v>12.18</c:v>
                </c:pt>
                <c:pt idx="119">
                  <c:v>12.19</c:v>
                </c:pt>
                <c:pt idx="120">
                  <c:v>12.2</c:v>
                </c:pt>
                <c:pt idx="121">
                  <c:v>12.21</c:v>
                </c:pt>
                <c:pt idx="122">
                  <c:v>12.22</c:v>
                </c:pt>
                <c:pt idx="123">
                  <c:v>12.23</c:v>
                </c:pt>
                <c:pt idx="124">
                  <c:v>12.24</c:v>
                </c:pt>
                <c:pt idx="125">
                  <c:v>12.25</c:v>
                </c:pt>
                <c:pt idx="126">
                  <c:v>12.26</c:v>
                </c:pt>
                <c:pt idx="127">
                  <c:v>12.27</c:v>
                </c:pt>
                <c:pt idx="128">
                  <c:v>12.28</c:v>
                </c:pt>
                <c:pt idx="129">
                  <c:v>12.29</c:v>
                </c:pt>
                <c:pt idx="130">
                  <c:v>12.3</c:v>
                </c:pt>
                <c:pt idx="131">
                  <c:v>12.31</c:v>
                </c:pt>
                <c:pt idx="132">
                  <c:v>12.32</c:v>
                </c:pt>
                <c:pt idx="133">
                  <c:v>12.33</c:v>
                </c:pt>
                <c:pt idx="134">
                  <c:v>12.34</c:v>
                </c:pt>
                <c:pt idx="135">
                  <c:v>12.35</c:v>
                </c:pt>
                <c:pt idx="136">
                  <c:v>12.36</c:v>
                </c:pt>
                <c:pt idx="137">
                  <c:v>12.370000000000001</c:v>
                </c:pt>
                <c:pt idx="138">
                  <c:v>12.38</c:v>
                </c:pt>
                <c:pt idx="139">
                  <c:v>12.39</c:v>
                </c:pt>
                <c:pt idx="140">
                  <c:v>12.4</c:v>
                </c:pt>
                <c:pt idx="141">
                  <c:v>12.41</c:v>
                </c:pt>
                <c:pt idx="142">
                  <c:v>12.42</c:v>
                </c:pt>
                <c:pt idx="143">
                  <c:v>12.43</c:v>
                </c:pt>
                <c:pt idx="144">
                  <c:v>12.44</c:v>
                </c:pt>
                <c:pt idx="145">
                  <c:v>12.45</c:v>
                </c:pt>
                <c:pt idx="146">
                  <c:v>12.46</c:v>
                </c:pt>
                <c:pt idx="147">
                  <c:v>12.47</c:v>
                </c:pt>
                <c:pt idx="148">
                  <c:v>12.48</c:v>
                </c:pt>
                <c:pt idx="149">
                  <c:v>12.49</c:v>
                </c:pt>
                <c:pt idx="150">
                  <c:v>12.5</c:v>
                </c:pt>
              </c:numCache>
            </c:numRef>
          </c:xVal>
          <c:yVal>
            <c:numRef>
              <c:f>Eff_vs_VIN!$AI$7:$AI$157</c:f>
              <c:numCache>
                <c:formatCode>General</c:formatCode>
                <c:ptCount val="151"/>
                <c:pt idx="0">
                  <c:v>0.33040628608510458</c:v>
                </c:pt>
                <c:pt idx="1">
                  <c:v>0.33004529551603512</c:v>
                </c:pt>
                <c:pt idx="2">
                  <c:v>0.32968506966660255</c:v>
                </c:pt>
                <c:pt idx="3">
                  <c:v>0.32932560615980105</c:v>
                </c:pt>
                <c:pt idx="4">
                  <c:v>0.32896690262832962</c:v>
                </c:pt>
                <c:pt idx="5">
                  <c:v>0.3286089567145431</c:v>
                </c:pt>
                <c:pt idx="6">
                  <c:v>0.32825176607040424</c:v>
                </c:pt>
                <c:pt idx="7">
                  <c:v>0.32789532835743435</c:v>
                </c:pt>
                <c:pt idx="8">
                  <c:v>0.32753964124666679</c:v>
                </c:pt>
                <c:pt idx="9">
                  <c:v>0.32718470241859754</c:v>
                </c:pt>
                <c:pt idx="10">
                  <c:v>0.32683050956313942</c:v>
                </c:pt>
                <c:pt idx="11">
                  <c:v>0.32647706037957391</c:v>
                </c:pt>
                <c:pt idx="12">
                  <c:v>0.32612435257650479</c:v>
                </c:pt>
                <c:pt idx="13">
                  <c:v>0.32577238387181146</c:v>
                </c:pt>
                <c:pt idx="14">
                  <c:v>0.32542115199260263</c:v>
                </c:pt>
                <c:pt idx="15">
                  <c:v>0.32507065467517016</c:v>
                </c:pt>
                <c:pt idx="16">
                  <c:v>0.32472088966494361</c:v>
                </c:pt>
                <c:pt idx="17">
                  <c:v>0.32437185471644464</c:v>
                </c:pt>
                <c:pt idx="18">
                  <c:v>0.32402354759324159</c:v>
                </c:pt>
                <c:pt idx="19">
                  <c:v>0.32367596606790489</c:v>
                </c:pt>
                <c:pt idx="20">
                  <c:v>0.32332910792196223</c:v>
                </c:pt>
                <c:pt idx="21">
                  <c:v>0.32298297094585393</c:v>
                </c:pt>
                <c:pt idx="22">
                  <c:v>0.32263755293888946</c:v>
                </c:pt>
                <c:pt idx="23">
                  <c:v>0.32229285170920247</c:v>
                </c:pt>
                <c:pt idx="24">
                  <c:v>0.32194886507370835</c:v>
                </c:pt>
                <c:pt idx="25">
                  <c:v>0.32160559085805995</c:v>
                </c:pt>
                <c:pt idx="26">
                  <c:v>0.32126302689660474</c:v>
                </c:pt>
                <c:pt idx="27">
                  <c:v>0.32092117103234213</c:v>
                </c:pt>
                <c:pt idx="28">
                  <c:v>0.32058002111688072</c:v>
                </c:pt>
                <c:pt idx="29">
                  <c:v>0.32023957501039579</c:v>
                </c:pt>
                <c:pt idx="30">
                  <c:v>0.31989983058158716</c:v>
                </c:pt>
                <c:pt idx="31">
                  <c:v>0.31956078570763796</c:v>
                </c:pt>
                <c:pt idx="32">
                  <c:v>0.31922243827417174</c:v>
                </c:pt>
                <c:pt idx="33">
                  <c:v>0.31888478617521232</c:v>
                </c:pt>
                <c:pt idx="34">
                  <c:v>0.31854782731314202</c:v>
                </c:pt>
                <c:pt idx="35">
                  <c:v>0.3182115595986606</c:v>
                </c:pt>
                <c:pt idx="36">
                  <c:v>0.31787598095074515</c:v>
                </c:pt>
                <c:pt idx="37">
                  <c:v>0.31754108929660912</c:v>
                </c:pt>
                <c:pt idx="38">
                  <c:v>0.31720688257166235</c:v>
                </c:pt>
                <c:pt idx="39">
                  <c:v>0.31687335871947125</c:v>
                </c:pt>
                <c:pt idx="40">
                  <c:v>0.31654051569171848</c:v>
                </c:pt>
                <c:pt idx="41">
                  <c:v>0.31620835144816412</c:v>
                </c:pt>
                <c:pt idx="42">
                  <c:v>0.31587686395660619</c:v>
                </c:pt>
                <c:pt idx="43">
                  <c:v>0.31554605119284113</c:v>
                </c:pt>
                <c:pt idx="44">
                  <c:v>0.31521591114062558</c:v>
                </c:pt>
                <c:pt idx="45">
                  <c:v>0.31488644179163733</c:v>
                </c:pt>
                <c:pt idx="46">
                  <c:v>0.31455764114543722</c:v>
                </c:pt>
                <c:pt idx="47">
                  <c:v>0.31422950720943099</c:v>
                </c:pt>
                <c:pt idx="48">
                  <c:v>0.31390203799883104</c:v>
                </c:pt>
                <c:pt idx="49">
                  <c:v>0.31357523153661876</c:v>
                </c:pt>
                <c:pt idx="50">
                  <c:v>0.31324908585350736</c:v>
                </c:pt>
                <c:pt idx="51">
                  <c:v>0.31292359898790412</c:v>
                </c:pt>
                <c:pt idx="52">
                  <c:v>0.31259876898587363</c:v>
                </c:pt>
                <c:pt idx="53">
                  <c:v>0.31227459390110074</c:v>
                </c:pt>
                <c:pt idx="54">
                  <c:v>0.31195107179485393</c:v>
                </c:pt>
                <c:pt idx="55">
                  <c:v>0.31162820073594882</c:v>
                </c:pt>
                <c:pt idx="56">
                  <c:v>0.31130597880071209</c:v>
                </c:pt>
                <c:pt idx="57">
                  <c:v>0.31098440407294531</c:v>
                </c:pt>
                <c:pt idx="58">
                  <c:v>0.31066347464388883</c:v>
                </c:pt>
                <c:pt idx="59">
                  <c:v>0.31034318861218674</c:v>
                </c:pt>
                <c:pt idx="60">
                  <c:v>0.31002354408385113</c:v>
                </c:pt>
                <c:pt idx="61">
                  <c:v>0.30970453917222651</c:v>
                </c:pt>
                <c:pt idx="62">
                  <c:v>0.30938617199795554</c:v>
                </c:pt>
                <c:pt idx="63">
                  <c:v>0.30906844068894324</c:v>
                </c:pt>
                <c:pt idx="64">
                  <c:v>0.30875134338032356</c:v>
                </c:pt>
                <c:pt idx="65">
                  <c:v>0.30843487821442372</c:v>
                </c:pt>
                <c:pt idx="66">
                  <c:v>0.30811904334073081</c:v>
                </c:pt>
                <c:pt idx="67">
                  <c:v>0.30780383691585717</c:v>
                </c:pt>
                <c:pt idx="68">
                  <c:v>0.30748925710350722</c:v>
                </c:pt>
                <c:pt idx="69">
                  <c:v>0.30717530207444288</c:v>
                </c:pt>
                <c:pt idx="70">
                  <c:v>0.30686197000645093</c:v>
                </c:pt>
                <c:pt idx="71">
                  <c:v>0.30654925908430913</c:v>
                </c:pt>
                <c:pt idx="72">
                  <c:v>0.30623716749975372</c:v>
                </c:pt>
                <c:pt idx="73">
                  <c:v>0.30592569345144555</c:v>
                </c:pt>
                <c:pt idx="74">
                  <c:v>0.30561483514493859</c:v>
                </c:pt>
                <c:pt idx="75">
                  <c:v>0.30530459079264605</c:v>
                </c:pt>
                <c:pt idx="76">
                  <c:v>0.30499495861380926</c:v>
                </c:pt>
                <c:pt idx="77">
                  <c:v>0.30468593683446443</c:v>
                </c:pt>
                <c:pt idx="78">
                  <c:v>0.30437752368741144</c:v>
                </c:pt>
                <c:pt idx="79">
                  <c:v>0.30406971741218158</c:v>
                </c:pt>
                <c:pt idx="80">
                  <c:v>0.30376251625500572</c:v>
                </c:pt>
                <c:pt idx="81">
                  <c:v>0.30345591846878373</c:v>
                </c:pt>
                <c:pt idx="82">
                  <c:v>0.30314992231305193</c:v>
                </c:pt>
                <c:pt idx="83">
                  <c:v>0.3028445260539529</c:v>
                </c:pt>
                <c:pt idx="84">
                  <c:v>0.3025397279642042</c:v>
                </c:pt>
                <c:pt idx="85">
                  <c:v>0.3022355263230676</c:v>
                </c:pt>
                <c:pt idx="86">
                  <c:v>0.30193191941631836</c:v>
                </c:pt>
                <c:pt idx="87">
                  <c:v>0.30162890553621496</c:v>
                </c:pt>
                <c:pt idx="88">
                  <c:v>0.30132648298146875</c:v>
                </c:pt>
                <c:pt idx="89">
                  <c:v>0.30102465005721413</c:v>
                </c:pt>
                <c:pt idx="90">
                  <c:v>0.30072340507497797</c:v>
                </c:pt>
                <c:pt idx="91">
                  <c:v>0.30042274635265032</c:v>
                </c:pt>
                <c:pt idx="92">
                  <c:v>0.30012267221445482</c:v>
                </c:pt>
                <c:pt idx="93">
                  <c:v>0.29982318099091898</c:v>
                </c:pt>
                <c:pt idx="94">
                  <c:v>0.29952427101884505</c:v>
                </c:pt>
                <c:pt idx="95">
                  <c:v>0.29922594064128116</c:v>
                </c:pt>
                <c:pt idx="96">
                  <c:v>0.29892818820749156</c:v>
                </c:pt>
                <c:pt idx="97">
                  <c:v>0.29863101207292886</c:v>
                </c:pt>
                <c:pt idx="98">
                  <c:v>0.29833441059920468</c:v>
                </c:pt>
                <c:pt idx="99">
                  <c:v>0.29803838215406114</c:v>
                </c:pt>
                <c:pt idx="100">
                  <c:v>0.29774292511134309</c:v>
                </c:pt>
                <c:pt idx="101">
                  <c:v>0.29744803785096918</c:v>
                </c:pt>
                <c:pt idx="102">
                  <c:v>0.29715371875890473</c:v>
                </c:pt>
                <c:pt idx="103">
                  <c:v>0.29685996622713295</c:v>
                </c:pt>
                <c:pt idx="104">
                  <c:v>0.29656677865362774</c:v>
                </c:pt>
                <c:pt idx="105">
                  <c:v>0.29627415444232602</c:v>
                </c:pt>
                <c:pt idx="106">
                  <c:v>0.29598209200310072</c:v>
                </c:pt>
                <c:pt idx="107">
                  <c:v>0.29569058975173229</c:v>
                </c:pt>
                <c:pt idx="108">
                  <c:v>0.29539964610988317</c:v>
                </c:pt>
                <c:pt idx="109">
                  <c:v>0.29510925950506955</c:v>
                </c:pt>
                <c:pt idx="110">
                  <c:v>0.29481942837063535</c:v>
                </c:pt>
                <c:pt idx="111">
                  <c:v>0.29453015114572517</c:v>
                </c:pt>
                <c:pt idx="112">
                  <c:v>0.29424142627525751</c:v>
                </c:pt>
                <c:pt idx="113">
                  <c:v>0.29395325220989921</c:v>
                </c:pt>
                <c:pt idx="114">
                  <c:v>0.2936656274060383</c:v>
                </c:pt>
                <c:pt idx="115">
                  <c:v>0.29337855032575849</c:v>
                </c:pt>
                <c:pt idx="116">
                  <c:v>0.29309201943681285</c:v>
                </c:pt>
                <c:pt idx="117">
                  <c:v>0.29280603321259813</c:v>
                </c:pt>
                <c:pt idx="118">
                  <c:v>0.29252059013212933</c:v>
                </c:pt>
                <c:pt idx="119">
                  <c:v>0.29223568868001354</c:v>
                </c:pt>
                <c:pt idx="120">
                  <c:v>0.29195132734642493</c:v>
                </c:pt>
                <c:pt idx="121">
                  <c:v>0.29166750462707969</c:v>
                </c:pt>
                <c:pt idx="122">
                  <c:v>0.2913842190232106</c:v>
                </c:pt>
                <c:pt idx="123">
                  <c:v>0.29110146904154188</c:v>
                </c:pt>
                <c:pt idx="124">
                  <c:v>0.29081925319426455</c:v>
                </c:pt>
                <c:pt idx="125">
                  <c:v>0.29053756999901181</c:v>
                </c:pt>
                <c:pt idx="126">
                  <c:v>0.29025641797883406</c:v>
                </c:pt>
                <c:pt idx="127">
                  <c:v>0.28997579566217491</c:v>
                </c:pt>
                <c:pt idx="128">
                  <c:v>0.28969570158284641</c:v>
                </c:pt>
                <c:pt idx="129">
                  <c:v>0.28941613428000507</c:v>
                </c:pt>
                <c:pt idx="130">
                  <c:v>0.28913709229812762</c:v>
                </c:pt>
                <c:pt idx="131">
                  <c:v>0.28885857418698757</c:v>
                </c:pt>
                <c:pt idx="132">
                  <c:v>0.28858057850163055</c:v>
                </c:pt>
                <c:pt idx="133">
                  <c:v>0.28830310380235119</c:v>
                </c:pt>
                <c:pt idx="134">
                  <c:v>0.28802614865466941</c:v>
                </c:pt>
                <c:pt idx="135">
                  <c:v>0.28774971162930696</c:v>
                </c:pt>
                <c:pt idx="136">
                  <c:v>0.28747379130216433</c:v>
                </c:pt>
                <c:pt idx="137">
                  <c:v>0.28719838625429694</c:v>
                </c:pt>
                <c:pt idx="138">
                  <c:v>0.28692349507189291</c:v>
                </c:pt>
                <c:pt idx="139">
                  <c:v>0.28664911634624918</c:v>
                </c:pt>
                <c:pt idx="140">
                  <c:v>0.28637524867374969</c:v>
                </c:pt>
                <c:pt idx="141">
                  <c:v>0.28610189065584185</c:v>
                </c:pt>
                <c:pt idx="142">
                  <c:v>0.28582904089901412</c:v>
                </c:pt>
                <c:pt idx="143">
                  <c:v>0.28555669801477396</c:v>
                </c:pt>
                <c:pt idx="144">
                  <c:v>0.28528486061962499</c:v>
                </c:pt>
                <c:pt idx="145">
                  <c:v>0.28501352733504509</c:v>
                </c:pt>
                <c:pt idx="146">
                  <c:v>0.28474269678746411</c:v>
                </c:pt>
                <c:pt idx="147">
                  <c:v>0.28447236760824191</c:v>
                </c:pt>
                <c:pt idx="148">
                  <c:v>0.2842025384336464</c:v>
                </c:pt>
                <c:pt idx="149">
                  <c:v>0.28393320790483195</c:v>
                </c:pt>
                <c:pt idx="150">
                  <c:v>0.28366437466781758</c:v>
                </c:pt>
              </c:numCache>
            </c:numRef>
          </c:yVal>
          <c:smooth val="1"/>
          <c:extLst>
            <c:ext xmlns:c16="http://schemas.microsoft.com/office/drawing/2014/chart" uri="{C3380CC4-5D6E-409C-BE32-E72D297353CC}">
              <c16:uniqueId val="{00000001-A9EB-4B3D-B1F8-864F59D7502D}"/>
            </c:ext>
          </c:extLst>
        </c:ser>
        <c:ser>
          <c:idx val="2"/>
          <c:order val="2"/>
          <c:tx>
            <c:v>HS MOSFET</c:v>
          </c:tx>
          <c:spPr>
            <a:ln>
              <a:solidFill>
                <a:schemeClr val="bg2">
                  <a:lumMod val="50000"/>
                </a:schemeClr>
              </a:solidFill>
              <a:prstDash val="sysDash"/>
            </a:ln>
          </c:spPr>
          <c:marker>
            <c:symbol val="none"/>
          </c:marker>
          <c:xVal>
            <c:numRef>
              <c:f>Eff_vs_VIN!$T$7:$T$157</c:f>
              <c:numCache>
                <c:formatCode>General</c:formatCode>
                <c:ptCount val="151"/>
                <c:pt idx="0">
                  <c:v>11</c:v>
                </c:pt>
                <c:pt idx="1">
                  <c:v>11.01</c:v>
                </c:pt>
                <c:pt idx="2">
                  <c:v>11.02</c:v>
                </c:pt>
                <c:pt idx="3">
                  <c:v>11.03</c:v>
                </c:pt>
                <c:pt idx="4">
                  <c:v>11.04</c:v>
                </c:pt>
                <c:pt idx="5">
                  <c:v>11.05</c:v>
                </c:pt>
                <c:pt idx="6">
                  <c:v>11.06</c:v>
                </c:pt>
                <c:pt idx="7">
                  <c:v>11.07</c:v>
                </c:pt>
                <c:pt idx="8">
                  <c:v>11.08</c:v>
                </c:pt>
                <c:pt idx="9">
                  <c:v>11.09</c:v>
                </c:pt>
                <c:pt idx="10">
                  <c:v>11.1</c:v>
                </c:pt>
                <c:pt idx="11">
                  <c:v>11.11</c:v>
                </c:pt>
                <c:pt idx="12">
                  <c:v>11.12</c:v>
                </c:pt>
                <c:pt idx="13">
                  <c:v>11.13</c:v>
                </c:pt>
                <c:pt idx="14">
                  <c:v>11.14</c:v>
                </c:pt>
                <c:pt idx="15">
                  <c:v>11.15</c:v>
                </c:pt>
                <c:pt idx="16">
                  <c:v>11.16</c:v>
                </c:pt>
                <c:pt idx="17">
                  <c:v>11.17</c:v>
                </c:pt>
                <c:pt idx="18">
                  <c:v>11.18</c:v>
                </c:pt>
                <c:pt idx="19">
                  <c:v>11.19</c:v>
                </c:pt>
                <c:pt idx="20">
                  <c:v>11.2</c:v>
                </c:pt>
                <c:pt idx="21">
                  <c:v>11.21</c:v>
                </c:pt>
                <c:pt idx="22">
                  <c:v>11.22</c:v>
                </c:pt>
                <c:pt idx="23">
                  <c:v>11.23</c:v>
                </c:pt>
                <c:pt idx="24">
                  <c:v>11.24</c:v>
                </c:pt>
                <c:pt idx="25">
                  <c:v>11.25</c:v>
                </c:pt>
                <c:pt idx="26">
                  <c:v>11.26</c:v>
                </c:pt>
                <c:pt idx="27">
                  <c:v>11.27</c:v>
                </c:pt>
                <c:pt idx="28">
                  <c:v>11.28</c:v>
                </c:pt>
                <c:pt idx="29">
                  <c:v>11.29</c:v>
                </c:pt>
                <c:pt idx="30">
                  <c:v>11.3</c:v>
                </c:pt>
                <c:pt idx="31">
                  <c:v>11.31</c:v>
                </c:pt>
                <c:pt idx="32">
                  <c:v>11.32</c:v>
                </c:pt>
                <c:pt idx="33">
                  <c:v>11.33</c:v>
                </c:pt>
                <c:pt idx="34">
                  <c:v>11.34</c:v>
                </c:pt>
                <c:pt idx="35">
                  <c:v>11.35</c:v>
                </c:pt>
                <c:pt idx="36">
                  <c:v>11.36</c:v>
                </c:pt>
                <c:pt idx="37">
                  <c:v>11.37</c:v>
                </c:pt>
                <c:pt idx="38">
                  <c:v>11.38</c:v>
                </c:pt>
                <c:pt idx="39">
                  <c:v>11.39</c:v>
                </c:pt>
                <c:pt idx="40">
                  <c:v>11.4</c:v>
                </c:pt>
                <c:pt idx="41">
                  <c:v>11.41</c:v>
                </c:pt>
                <c:pt idx="42">
                  <c:v>11.42</c:v>
                </c:pt>
                <c:pt idx="43">
                  <c:v>11.43</c:v>
                </c:pt>
                <c:pt idx="44">
                  <c:v>11.44</c:v>
                </c:pt>
                <c:pt idx="45">
                  <c:v>11.45</c:v>
                </c:pt>
                <c:pt idx="46">
                  <c:v>11.46</c:v>
                </c:pt>
                <c:pt idx="47">
                  <c:v>11.47</c:v>
                </c:pt>
                <c:pt idx="48">
                  <c:v>11.48</c:v>
                </c:pt>
                <c:pt idx="49">
                  <c:v>11.49</c:v>
                </c:pt>
                <c:pt idx="50">
                  <c:v>11.5</c:v>
                </c:pt>
                <c:pt idx="51">
                  <c:v>11.51</c:v>
                </c:pt>
                <c:pt idx="52">
                  <c:v>11.52</c:v>
                </c:pt>
                <c:pt idx="53">
                  <c:v>11.53</c:v>
                </c:pt>
                <c:pt idx="54">
                  <c:v>11.54</c:v>
                </c:pt>
                <c:pt idx="55">
                  <c:v>11.55</c:v>
                </c:pt>
                <c:pt idx="56">
                  <c:v>11.56</c:v>
                </c:pt>
                <c:pt idx="57">
                  <c:v>11.57</c:v>
                </c:pt>
                <c:pt idx="58">
                  <c:v>11.58</c:v>
                </c:pt>
                <c:pt idx="59">
                  <c:v>11.59</c:v>
                </c:pt>
                <c:pt idx="60">
                  <c:v>11.6</c:v>
                </c:pt>
                <c:pt idx="61">
                  <c:v>11.61</c:v>
                </c:pt>
                <c:pt idx="62">
                  <c:v>11.62</c:v>
                </c:pt>
                <c:pt idx="63">
                  <c:v>11.63</c:v>
                </c:pt>
                <c:pt idx="64">
                  <c:v>11.64</c:v>
                </c:pt>
                <c:pt idx="65">
                  <c:v>11.65</c:v>
                </c:pt>
                <c:pt idx="66">
                  <c:v>11.66</c:v>
                </c:pt>
                <c:pt idx="67">
                  <c:v>11.67</c:v>
                </c:pt>
                <c:pt idx="68">
                  <c:v>11.68</c:v>
                </c:pt>
                <c:pt idx="69">
                  <c:v>11.69</c:v>
                </c:pt>
                <c:pt idx="70">
                  <c:v>11.7</c:v>
                </c:pt>
                <c:pt idx="71">
                  <c:v>11.71</c:v>
                </c:pt>
                <c:pt idx="72">
                  <c:v>11.72</c:v>
                </c:pt>
                <c:pt idx="73">
                  <c:v>11.73</c:v>
                </c:pt>
                <c:pt idx="74">
                  <c:v>11.74</c:v>
                </c:pt>
                <c:pt idx="75">
                  <c:v>11.75</c:v>
                </c:pt>
                <c:pt idx="76">
                  <c:v>11.76</c:v>
                </c:pt>
                <c:pt idx="77">
                  <c:v>11.77</c:v>
                </c:pt>
                <c:pt idx="78">
                  <c:v>11.78</c:v>
                </c:pt>
                <c:pt idx="79">
                  <c:v>11.79</c:v>
                </c:pt>
                <c:pt idx="80">
                  <c:v>11.8</c:v>
                </c:pt>
                <c:pt idx="81">
                  <c:v>11.81</c:v>
                </c:pt>
                <c:pt idx="82">
                  <c:v>11.82</c:v>
                </c:pt>
                <c:pt idx="83">
                  <c:v>11.83</c:v>
                </c:pt>
                <c:pt idx="84">
                  <c:v>11.84</c:v>
                </c:pt>
                <c:pt idx="85">
                  <c:v>11.85</c:v>
                </c:pt>
                <c:pt idx="86">
                  <c:v>11.86</c:v>
                </c:pt>
                <c:pt idx="87">
                  <c:v>11.87</c:v>
                </c:pt>
                <c:pt idx="88">
                  <c:v>11.88</c:v>
                </c:pt>
                <c:pt idx="89">
                  <c:v>11.89</c:v>
                </c:pt>
                <c:pt idx="90">
                  <c:v>11.9</c:v>
                </c:pt>
                <c:pt idx="91">
                  <c:v>11.91</c:v>
                </c:pt>
                <c:pt idx="92">
                  <c:v>11.92</c:v>
                </c:pt>
                <c:pt idx="93">
                  <c:v>11.93</c:v>
                </c:pt>
                <c:pt idx="94">
                  <c:v>11.94</c:v>
                </c:pt>
                <c:pt idx="95">
                  <c:v>11.95</c:v>
                </c:pt>
                <c:pt idx="96">
                  <c:v>11.96</c:v>
                </c:pt>
                <c:pt idx="97">
                  <c:v>11.97</c:v>
                </c:pt>
                <c:pt idx="98">
                  <c:v>11.98</c:v>
                </c:pt>
                <c:pt idx="99">
                  <c:v>11.99</c:v>
                </c:pt>
                <c:pt idx="100">
                  <c:v>12</c:v>
                </c:pt>
                <c:pt idx="101">
                  <c:v>12.01</c:v>
                </c:pt>
                <c:pt idx="102">
                  <c:v>12.02</c:v>
                </c:pt>
                <c:pt idx="103">
                  <c:v>12.03</c:v>
                </c:pt>
                <c:pt idx="104">
                  <c:v>12.04</c:v>
                </c:pt>
                <c:pt idx="105">
                  <c:v>12.05</c:v>
                </c:pt>
                <c:pt idx="106">
                  <c:v>12.06</c:v>
                </c:pt>
                <c:pt idx="107">
                  <c:v>12.07</c:v>
                </c:pt>
                <c:pt idx="108">
                  <c:v>12.08</c:v>
                </c:pt>
                <c:pt idx="109">
                  <c:v>12.09</c:v>
                </c:pt>
                <c:pt idx="110">
                  <c:v>12.1</c:v>
                </c:pt>
                <c:pt idx="111">
                  <c:v>12.11</c:v>
                </c:pt>
                <c:pt idx="112">
                  <c:v>12.120000000000001</c:v>
                </c:pt>
                <c:pt idx="113">
                  <c:v>12.13</c:v>
                </c:pt>
                <c:pt idx="114">
                  <c:v>12.14</c:v>
                </c:pt>
                <c:pt idx="115">
                  <c:v>12.15</c:v>
                </c:pt>
                <c:pt idx="116">
                  <c:v>12.16</c:v>
                </c:pt>
                <c:pt idx="117">
                  <c:v>12.17</c:v>
                </c:pt>
                <c:pt idx="118">
                  <c:v>12.18</c:v>
                </c:pt>
                <c:pt idx="119">
                  <c:v>12.19</c:v>
                </c:pt>
                <c:pt idx="120">
                  <c:v>12.2</c:v>
                </c:pt>
                <c:pt idx="121">
                  <c:v>12.21</c:v>
                </c:pt>
                <c:pt idx="122">
                  <c:v>12.22</c:v>
                </c:pt>
                <c:pt idx="123">
                  <c:v>12.23</c:v>
                </c:pt>
                <c:pt idx="124">
                  <c:v>12.24</c:v>
                </c:pt>
                <c:pt idx="125">
                  <c:v>12.25</c:v>
                </c:pt>
                <c:pt idx="126">
                  <c:v>12.26</c:v>
                </c:pt>
                <c:pt idx="127">
                  <c:v>12.27</c:v>
                </c:pt>
                <c:pt idx="128">
                  <c:v>12.28</c:v>
                </c:pt>
                <c:pt idx="129">
                  <c:v>12.29</c:v>
                </c:pt>
                <c:pt idx="130">
                  <c:v>12.3</c:v>
                </c:pt>
                <c:pt idx="131">
                  <c:v>12.31</c:v>
                </c:pt>
                <c:pt idx="132">
                  <c:v>12.32</c:v>
                </c:pt>
                <c:pt idx="133">
                  <c:v>12.33</c:v>
                </c:pt>
                <c:pt idx="134">
                  <c:v>12.34</c:v>
                </c:pt>
                <c:pt idx="135">
                  <c:v>12.35</c:v>
                </c:pt>
                <c:pt idx="136">
                  <c:v>12.36</c:v>
                </c:pt>
                <c:pt idx="137">
                  <c:v>12.370000000000001</c:v>
                </c:pt>
                <c:pt idx="138">
                  <c:v>12.38</c:v>
                </c:pt>
                <c:pt idx="139">
                  <c:v>12.39</c:v>
                </c:pt>
                <c:pt idx="140">
                  <c:v>12.4</c:v>
                </c:pt>
                <c:pt idx="141">
                  <c:v>12.41</c:v>
                </c:pt>
                <c:pt idx="142">
                  <c:v>12.42</c:v>
                </c:pt>
                <c:pt idx="143">
                  <c:v>12.43</c:v>
                </c:pt>
                <c:pt idx="144">
                  <c:v>12.44</c:v>
                </c:pt>
                <c:pt idx="145">
                  <c:v>12.45</c:v>
                </c:pt>
                <c:pt idx="146">
                  <c:v>12.46</c:v>
                </c:pt>
                <c:pt idx="147">
                  <c:v>12.47</c:v>
                </c:pt>
                <c:pt idx="148">
                  <c:v>12.48</c:v>
                </c:pt>
                <c:pt idx="149">
                  <c:v>12.49</c:v>
                </c:pt>
                <c:pt idx="150">
                  <c:v>12.5</c:v>
                </c:pt>
              </c:numCache>
            </c:numRef>
          </c:xVal>
          <c:yVal>
            <c:numRef>
              <c:f>Eff_vs_VIN!$AO$7:$AO$157</c:f>
              <c:numCache>
                <c:formatCode>General</c:formatCode>
                <c:ptCount val="151"/>
                <c:pt idx="0">
                  <c:v>0.34075617678846082</c:v>
                </c:pt>
                <c:pt idx="1">
                  <c:v>0.34059297156956658</c:v>
                </c:pt>
                <c:pt idx="2">
                  <c:v>0.34043001304276832</c:v>
                </c:pt>
                <c:pt idx="3">
                  <c:v>0.34026730043706749</c:v>
                </c:pt>
                <c:pt idx="4">
                  <c:v>0.34010483298426686</c:v>
                </c:pt>
                <c:pt idx="5">
                  <c:v>0.33994260991895825</c:v>
                </c:pt>
                <c:pt idx="6">
                  <c:v>0.33978063047850987</c:v>
                </c:pt>
                <c:pt idx="7">
                  <c:v>0.33961889390305366</c:v>
                </c:pt>
                <c:pt idx="8">
                  <c:v>0.33945739943547348</c:v>
                </c:pt>
                <c:pt idx="9">
                  <c:v>0.33929614632139216</c:v>
                </c:pt>
                <c:pt idx="10">
                  <c:v>0.33913513380915916</c:v>
                </c:pt>
                <c:pt idx="11">
                  <c:v>0.33897436114983936</c:v>
                </c:pt>
                <c:pt idx="12">
                  <c:v>0.33881382759719958</c:v>
                </c:pt>
                <c:pt idx="13">
                  <c:v>0.33865353240769763</c:v>
                </c:pt>
                <c:pt idx="14">
                  <c:v>0.33849347484046965</c:v>
                </c:pt>
                <c:pt idx="15">
                  <c:v>0.33833365415731842</c:v>
                </c:pt>
                <c:pt idx="16">
                  <c:v>0.33817406962270147</c:v>
                </c:pt>
                <c:pt idx="17">
                  <c:v>0.33801472050371928</c:v>
                </c:pt>
                <c:pt idx="18">
                  <c:v>0.33785560607010345</c:v>
                </c:pt>
                <c:pt idx="19">
                  <c:v>0.33769672559420505</c:v>
                </c:pt>
                <c:pt idx="20">
                  <c:v>0.33753807835098315</c:v>
                </c:pt>
                <c:pt idx="21">
                  <c:v>0.3373796636179931</c:v>
                </c:pt>
                <c:pt idx="22">
                  <c:v>0.33722148067537511</c:v>
                </c:pt>
                <c:pt idx="23">
                  <c:v>0.33706352880584256</c:v>
                </c:pt>
                <c:pt idx="24">
                  <c:v>0.33690580729467129</c:v>
                </c:pt>
                <c:pt idx="25">
                  <c:v>0.33674831542968753</c:v>
                </c:pt>
                <c:pt idx="26">
                  <c:v>0.33659105250125709</c:v>
                </c:pt>
                <c:pt idx="27">
                  <c:v>0.33643401780227389</c:v>
                </c:pt>
                <c:pt idx="28">
                  <c:v>0.3362772106281493</c:v>
                </c:pt>
                <c:pt idx="29">
                  <c:v>0.33612063027680061</c:v>
                </c:pt>
                <c:pt idx="30">
                  <c:v>0.33596427604864004</c:v>
                </c:pt>
                <c:pt idx="31">
                  <c:v>0.33580814724656416</c:v>
                </c:pt>
                <c:pt idx="32">
                  <c:v>0.33565224317594267</c:v>
                </c:pt>
                <c:pt idx="33">
                  <c:v>0.33549656314460763</c:v>
                </c:pt>
                <c:pt idx="34">
                  <c:v>0.33534110646284271</c:v>
                </c:pt>
                <c:pt idx="35">
                  <c:v>0.33518587244337239</c:v>
                </c:pt>
                <c:pt idx="36">
                  <c:v>0.33503086040135149</c:v>
                </c:pt>
                <c:pt idx="37">
                  <c:v>0.33487606965435435</c:v>
                </c:pt>
                <c:pt idx="38">
                  <c:v>0.3347214995223643</c:v>
                </c:pt>
                <c:pt idx="39">
                  <c:v>0.33456714932776344</c:v>
                </c:pt>
                <c:pt idx="40">
                  <c:v>0.33441301839532167</c:v>
                </c:pt>
                <c:pt idx="41">
                  <c:v>0.33425910605218689</c:v>
                </c:pt>
                <c:pt idx="42">
                  <c:v>0.33410541162787422</c:v>
                </c:pt>
                <c:pt idx="43">
                  <c:v>0.33395193445425597</c:v>
                </c:pt>
                <c:pt idx="44">
                  <c:v>0.33379867386555123</c:v>
                </c:pt>
                <c:pt idx="45">
                  <c:v>0.33364562919831597</c:v>
                </c:pt>
                <c:pt idx="46">
                  <c:v>0.33349279979143265</c:v>
                </c:pt>
                <c:pt idx="47">
                  <c:v>0.33334018498610024</c:v>
                </c:pt>
                <c:pt idx="48">
                  <c:v>0.33318778412582428</c:v>
                </c:pt>
                <c:pt idx="49">
                  <c:v>0.33303559655640697</c:v>
                </c:pt>
                <c:pt idx="50">
                  <c:v>0.33288362162593688</c:v>
                </c:pt>
                <c:pt idx="51">
                  <c:v>0.33273185868477978</c:v>
                </c:pt>
                <c:pt idx="52">
                  <c:v>0.33258030708556807</c:v>
                </c:pt>
                <c:pt idx="53">
                  <c:v>0.33242896618319162</c:v>
                </c:pt>
                <c:pt idx="54">
                  <c:v>0.33227783533478783</c:v>
                </c:pt>
                <c:pt idx="55">
                  <c:v>0.3321269138997317</c:v>
                </c:pt>
                <c:pt idx="56">
                  <c:v>0.33197620123962712</c:v>
                </c:pt>
                <c:pt idx="57">
                  <c:v>0.3318256967182962</c:v>
                </c:pt>
                <c:pt idx="58">
                  <c:v>0.33167539970177046</c:v>
                </c:pt>
                <c:pt idx="59">
                  <c:v>0.33152530955828119</c:v>
                </c:pt>
                <c:pt idx="60">
                  <c:v>0.33137542565825018</c:v>
                </c:pt>
                <c:pt idx="61">
                  <c:v>0.33122574737428012</c:v>
                </c:pt>
                <c:pt idx="62">
                  <c:v>0.33107627408114559</c:v>
                </c:pt>
                <c:pt idx="63">
                  <c:v>0.33092700515578322</c:v>
                </c:pt>
                <c:pt idx="64">
                  <c:v>0.3307779399772835</c:v>
                </c:pt>
                <c:pt idx="65">
                  <c:v>0.33062907792688057</c:v>
                </c:pt>
                <c:pt idx="66">
                  <c:v>0.33048041838794384</c:v>
                </c:pt>
                <c:pt idx="67">
                  <c:v>0.33033196074596838</c:v>
                </c:pt>
                <c:pt idx="68">
                  <c:v>0.33018370438856637</c:v>
                </c:pt>
                <c:pt idx="69">
                  <c:v>0.33003564870545776</c:v>
                </c:pt>
                <c:pt idx="70">
                  <c:v>0.32988779308846161</c:v>
                </c:pt>
                <c:pt idx="71">
                  <c:v>0.32974013693148696</c:v>
                </c:pt>
                <c:pt idx="72">
                  <c:v>0.3295926796305243</c:v>
                </c:pt>
                <c:pt idx="73">
                  <c:v>0.32944542058363641</c:v>
                </c:pt>
                <c:pt idx="74">
                  <c:v>0.32929835919094996</c:v>
                </c:pt>
                <c:pt idx="75">
                  <c:v>0.32915149485464656</c:v>
                </c:pt>
                <c:pt idx="76">
                  <c:v>0.32900482697895417</c:v>
                </c:pt>
                <c:pt idx="77">
                  <c:v>0.32885835497013871</c:v>
                </c:pt>
                <c:pt idx="78">
                  <c:v>0.32871207823649518</c:v>
                </c:pt>
                <c:pt idx="79">
                  <c:v>0.32856599618833893</c:v>
                </c:pt>
                <c:pt idx="80">
                  <c:v>0.32842010823799805</c:v>
                </c:pt>
                <c:pt idx="81">
                  <c:v>0.32827441379980415</c:v>
                </c:pt>
                <c:pt idx="82">
                  <c:v>0.32812891229008401</c:v>
                </c:pt>
                <c:pt idx="83">
                  <c:v>0.32798360312715169</c:v>
                </c:pt>
                <c:pt idx="84">
                  <c:v>0.32783848573129976</c:v>
                </c:pt>
                <c:pt idx="85">
                  <c:v>0.32769355952479129</c:v>
                </c:pt>
                <c:pt idx="86">
                  <c:v>0.32754882393185147</c:v>
                </c:pt>
                <c:pt idx="87">
                  <c:v>0.32740427837865982</c:v>
                </c:pt>
                <c:pt idx="88">
                  <c:v>0.32725992229334111</c:v>
                </c:pt>
                <c:pt idx="89">
                  <c:v>0.32711575510595847</c:v>
                </c:pt>
                <c:pt idx="90">
                  <c:v>0.3269717762485046</c:v>
                </c:pt>
                <c:pt idx="91">
                  <c:v>0.32682798515489359</c:v>
                </c:pt>
                <c:pt idx="92">
                  <c:v>0.32668438126095356</c:v>
                </c:pt>
                <c:pt idx="93">
                  <c:v>0.32654096400441823</c:v>
                </c:pt>
                <c:pt idx="94">
                  <c:v>0.32639773282491935</c:v>
                </c:pt>
                <c:pt idx="95">
                  <c:v>0.32625468716397854</c:v>
                </c:pt>
                <c:pt idx="96">
                  <c:v>0.32611182646499953</c:v>
                </c:pt>
                <c:pt idx="97">
                  <c:v>0.32596915017326078</c:v>
                </c:pt>
                <c:pt idx="98">
                  <c:v>0.32582665773590724</c:v>
                </c:pt>
                <c:pt idx="99">
                  <c:v>0.32568434860194256</c:v>
                </c:pt>
                <c:pt idx="100">
                  <c:v>0.32554222222222229</c:v>
                </c:pt>
                <c:pt idx="101">
                  <c:v>0.32540027804944505</c:v>
                </c:pt>
                <c:pt idx="102">
                  <c:v>0.325258515538146</c:v>
                </c:pt>
                <c:pt idx="103">
                  <c:v>0.32511693414468851</c:v>
                </c:pt>
                <c:pt idx="104">
                  <c:v>0.3249755333272572</c:v>
                </c:pt>
                <c:pt idx="105">
                  <c:v>0.32483431254585021</c:v>
                </c:pt>
                <c:pt idx="106">
                  <c:v>0.32469327126227177</c:v>
                </c:pt>
                <c:pt idx="107">
                  <c:v>0.32455240894012483</c:v>
                </c:pt>
                <c:pt idx="108">
                  <c:v>0.32441172504480376</c:v>
                </c:pt>
                <c:pt idx="109">
                  <c:v>0.32427121904348677</c:v>
                </c:pt>
                <c:pt idx="110">
                  <c:v>0.32413089040512899</c:v>
                </c:pt>
                <c:pt idx="111">
                  <c:v>0.32399073860045507</c:v>
                </c:pt>
                <c:pt idx="112">
                  <c:v>0.32385076310195177</c:v>
                </c:pt>
                <c:pt idx="113">
                  <c:v>0.32371096338386107</c:v>
                </c:pt>
                <c:pt idx="114">
                  <c:v>0.32357133892217294</c:v>
                </c:pt>
                <c:pt idx="115">
                  <c:v>0.32343188919461813</c:v>
                </c:pt>
                <c:pt idx="116">
                  <c:v>0.32329261368066092</c:v>
                </c:pt>
                <c:pt idx="117">
                  <c:v>0.32315351186149271</c:v>
                </c:pt>
                <c:pt idx="118">
                  <c:v>0.32301458322002441</c:v>
                </c:pt>
                <c:pt idx="119">
                  <c:v>0.3228758272408796</c:v>
                </c:pt>
                <c:pt idx="120">
                  <c:v>0.32273724341038779</c:v>
                </c:pt>
                <c:pt idx="121">
                  <c:v>0.3225988312165774</c:v>
                </c:pt>
                <c:pt idx="122">
                  <c:v>0.32246059014916895</c:v>
                </c:pt>
                <c:pt idx="123">
                  <c:v>0.32232251969956793</c:v>
                </c:pt>
                <c:pt idx="124">
                  <c:v>0.32218461936085835</c:v>
                </c:pt>
                <c:pt idx="125">
                  <c:v>0.32204688862779612</c:v>
                </c:pt>
                <c:pt idx="126">
                  <c:v>0.32190932699680153</c:v>
                </c:pt>
                <c:pt idx="127">
                  <c:v>0.3217719339659536</c:v>
                </c:pt>
                <c:pt idx="128">
                  <c:v>0.32163470903498259</c:v>
                </c:pt>
                <c:pt idx="129">
                  <c:v>0.32149765170526368</c:v>
                </c:pt>
                <c:pt idx="130">
                  <c:v>0.32136076147981035</c:v>
                </c:pt>
                <c:pt idx="131">
                  <c:v>0.32122403786326792</c:v>
                </c:pt>
                <c:pt idx="132">
                  <c:v>0.32108748036190693</c:v>
                </c:pt>
                <c:pt idx="133">
                  <c:v>0.3209510884836162</c:v>
                </c:pt>
                <c:pt idx="134">
                  <c:v>0.32081486173789742</c:v>
                </c:pt>
                <c:pt idx="135">
                  <c:v>0.32067879963585749</c:v>
                </c:pt>
                <c:pt idx="136">
                  <c:v>0.32054290169020294</c:v>
                </c:pt>
                <c:pt idx="137">
                  <c:v>0.32040716741523312</c:v>
                </c:pt>
                <c:pt idx="138">
                  <c:v>0.32027159632683411</c:v>
                </c:pt>
                <c:pt idx="139">
                  <c:v>0.32013618794247223</c:v>
                </c:pt>
                <c:pt idx="140">
                  <c:v>0.32000094178118799</c:v>
                </c:pt>
                <c:pt idx="141">
                  <c:v>0.31986585736358941</c:v>
                </c:pt>
                <c:pt idx="142">
                  <c:v>0.31973093421184628</c:v>
                </c:pt>
                <c:pt idx="143">
                  <c:v>0.31959617184968359</c:v>
                </c:pt>
                <c:pt idx="144">
                  <c:v>0.31946156980237539</c:v>
                </c:pt>
                <c:pt idx="145">
                  <c:v>0.31932712759673909</c:v>
                </c:pt>
                <c:pt idx="146">
                  <c:v>0.31919284476112875</c:v>
                </c:pt>
                <c:pt idx="147">
                  <c:v>0.31905872082542941</c:v>
                </c:pt>
                <c:pt idx="148">
                  <c:v>0.3189247553210508</c:v>
                </c:pt>
                <c:pt idx="149">
                  <c:v>0.31879094778092165</c:v>
                </c:pt>
                <c:pt idx="150">
                  <c:v>0.31865729773948337</c:v>
                </c:pt>
              </c:numCache>
            </c:numRef>
          </c:yVal>
          <c:smooth val="1"/>
          <c:extLst>
            <c:ext xmlns:c16="http://schemas.microsoft.com/office/drawing/2014/chart" uri="{C3380CC4-5D6E-409C-BE32-E72D297353CC}">
              <c16:uniqueId val="{00000002-A9EB-4B3D-B1F8-864F59D7502D}"/>
            </c:ext>
          </c:extLst>
        </c:ser>
        <c:ser>
          <c:idx val="3"/>
          <c:order val="3"/>
          <c:tx>
            <c:v>RCS</c:v>
          </c:tx>
          <c:spPr>
            <a:ln>
              <a:solidFill>
                <a:schemeClr val="accent5">
                  <a:lumMod val="75000"/>
                </a:schemeClr>
              </a:solidFill>
              <a:prstDash val="lgDashDotDot"/>
            </a:ln>
          </c:spPr>
          <c:marker>
            <c:symbol val="none"/>
          </c:marker>
          <c:xVal>
            <c:numRef>
              <c:f>Eff_vs_VIN!$T$7:$T$157</c:f>
              <c:numCache>
                <c:formatCode>General</c:formatCode>
                <c:ptCount val="151"/>
                <c:pt idx="0">
                  <c:v>11</c:v>
                </c:pt>
                <c:pt idx="1">
                  <c:v>11.01</c:v>
                </c:pt>
                <c:pt idx="2">
                  <c:v>11.02</c:v>
                </c:pt>
                <c:pt idx="3">
                  <c:v>11.03</c:v>
                </c:pt>
                <c:pt idx="4">
                  <c:v>11.04</c:v>
                </c:pt>
                <c:pt idx="5">
                  <c:v>11.05</c:v>
                </c:pt>
                <c:pt idx="6">
                  <c:v>11.06</c:v>
                </c:pt>
                <c:pt idx="7">
                  <c:v>11.07</c:v>
                </c:pt>
                <c:pt idx="8">
                  <c:v>11.08</c:v>
                </c:pt>
                <c:pt idx="9">
                  <c:v>11.09</c:v>
                </c:pt>
                <c:pt idx="10">
                  <c:v>11.1</c:v>
                </c:pt>
                <c:pt idx="11">
                  <c:v>11.11</c:v>
                </c:pt>
                <c:pt idx="12">
                  <c:v>11.12</c:v>
                </c:pt>
                <c:pt idx="13">
                  <c:v>11.13</c:v>
                </c:pt>
                <c:pt idx="14">
                  <c:v>11.14</c:v>
                </c:pt>
                <c:pt idx="15">
                  <c:v>11.15</c:v>
                </c:pt>
                <c:pt idx="16">
                  <c:v>11.16</c:v>
                </c:pt>
                <c:pt idx="17">
                  <c:v>11.17</c:v>
                </c:pt>
                <c:pt idx="18">
                  <c:v>11.18</c:v>
                </c:pt>
                <c:pt idx="19">
                  <c:v>11.19</c:v>
                </c:pt>
                <c:pt idx="20">
                  <c:v>11.2</c:v>
                </c:pt>
                <c:pt idx="21">
                  <c:v>11.21</c:v>
                </c:pt>
                <c:pt idx="22">
                  <c:v>11.22</c:v>
                </c:pt>
                <c:pt idx="23">
                  <c:v>11.23</c:v>
                </c:pt>
                <c:pt idx="24">
                  <c:v>11.24</c:v>
                </c:pt>
                <c:pt idx="25">
                  <c:v>11.25</c:v>
                </c:pt>
                <c:pt idx="26">
                  <c:v>11.26</c:v>
                </c:pt>
                <c:pt idx="27">
                  <c:v>11.27</c:v>
                </c:pt>
                <c:pt idx="28">
                  <c:v>11.28</c:v>
                </c:pt>
                <c:pt idx="29">
                  <c:v>11.29</c:v>
                </c:pt>
                <c:pt idx="30">
                  <c:v>11.3</c:v>
                </c:pt>
                <c:pt idx="31">
                  <c:v>11.31</c:v>
                </c:pt>
                <c:pt idx="32">
                  <c:v>11.32</c:v>
                </c:pt>
                <c:pt idx="33">
                  <c:v>11.33</c:v>
                </c:pt>
                <c:pt idx="34">
                  <c:v>11.34</c:v>
                </c:pt>
                <c:pt idx="35">
                  <c:v>11.35</c:v>
                </c:pt>
                <c:pt idx="36">
                  <c:v>11.36</c:v>
                </c:pt>
                <c:pt idx="37">
                  <c:v>11.37</c:v>
                </c:pt>
                <c:pt idx="38">
                  <c:v>11.38</c:v>
                </c:pt>
                <c:pt idx="39">
                  <c:v>11.39</c:v>
                </c:pt>
                <c:pt idx="40">
                  <c:v>11.4</c:v>
                </c:pt>
                <c:pt idx="41">
                  <c:v>11.41</c:v>
                </c:pt>
                <c:pt idx="42">
                  <c:v>11.42</c:v>
                </c:pt>
                <c:pt idx="43">
                  <c:v>11.43</c:v>
                </c:pt>
                <c:pt idx="44">
                  <c:v>11.44</c:v>
                </c:pt>
                <c:pt idx="45">
                  <c:v>11.45</c:v>
                </c:pt>
                <c:pt idx="46">
                  <c:v>11.46</c:v>
                </c:pt>
                <c:pt idx="47">
                  <c:v>11.47</c:v>
                </c:pt>
                <c:pt idx="48">
                  <c:v>11.48</c:v>
                </c:pt>
                <c:pt idx="49">
                  <c:v>11.49</c:v>
                </c:pt>
                <c:pt idx="50">
                  <c:v>11.5</c:v>
                </c:pt>
                <c:pt idx="51">
                  <c:v>11.51</c:v>
                </c:pt>
                <c:pt idx="52">
                  <c:v>11.52</c:v>
                </c:pt>
                <c:pt idx="53">
                  <c:v>11.53</c:v>
                </c:pt>
                <c:pt idx="54">
                  <c:v>11.54</c:v>
                </c:pt>
                <c:pt idx="55">
                  <c:v>11.55</c:v>
                </c:pt>
                <c:pt idx="56">
                  <c:v>11.56</c:v>
                </c:pt>
                <c:pt idx="57">
                  <c:v>11.57</c:v>
                </c:pt>
                <c:pt idx="58">
                  <c:v>11.58</c:v>
                </c:pt>
                <c:pt idx="59">
                  <c:v>11.59</c:v>
                </c:pt>
                <c:pt idx="60">
                  <c:v>11.6</c:v>
                </c:pt>
                <c:pt idx="61">
                  <c:v>11.61</c:v>
                </c:pt>
                <c:pt idx="62">
                  <c:v>11.62</c:v>
                </c:pt>
                <c:pt idx="63">
                  <c:v>11.63</c:v>
                </c:pt>
                <c:pt idx="64">
                  <c:v>11.64</c:v>
                </c:pt>
                <c:pt idx="65">
                  <c:v>11.65</c:v>
                </c:pt>
                <c:pt idx="66">
                  <c:v>11.66</c:v>
                </c:pt>
                <c:pt idx="67">
                  <c:v>11.67</c:v>
                </c:pt>
                <c:pt idx="68">
                  <c:v>11.68</c:v>
                </c:pt>
                <c:pt idx="69">
                  <c:v>11.69</c:v>
                </c:pt>
                <c:pt idx="70">
                  <c:v>11.7</c:v>
                </c:pt>
                <c:pt idx="71">
                  <c:v>11.71</c:v>
                </c:pt>
                <c:pt idx="72">
                  <c:v>11.72</c:v>
                </c:pt>
                <c:pt idx="73">
                  <c:v>11.73</c:v>
                </c:pt>
                <c:pt idx="74">
                  <c:v>11.74</c:v>
                </c:pt>
                <c:pt idx="75">
                  <c:v>11.75</c:v>
                </c:pt>
                <c:pt idx="76">
                  <c:v>11.76</c:v>
                </c:pt>
                <c:pt idx="77">
                  <c:v>11.77</c:v>
                </c:pt>
                <c:pt idx="78">
                  <c:v>11.78</c:v>
                </c:pt>
                <c:pt idx="79">
                  <c:v>11.79</c:v>
                </c:pt>
                <c:pt idx="80">
                  <c:v>11.8</c:v>
                </c:pt>
                <c:pt idx="81">
                  <c:v>11.81</c:v>
                </c:pt>
                <c:pt idx="82">
                  <c:v>11.82</c:v>
                </c:pt>
                <c:pt idx="83">
                  <c:v>11.83</c:v>
                </c:pt>
                <c:pt idx="84">
                  <c:v>11.84</c:v>
                </c:pt>
                <c:pt idx="85">
                  <c:v>11.85</c:v>
                </c:pt>
                <c:pt idx="86">
                  <c:v>11.86</c:v>
                </c:pt>
                <c:pt idx="87">
                  <c:v>11.87</c:v>
                </c:pt>
                <c:pt idx="88">
                  <c:v>11.88</c:v>
                </c:pt>
                <c:pt idx="89">
                  <c:v>11.89</c:v>
                </c:pt>
                <c:pt idx="90">
                  <c:v>11.9</c:v>
                </c:pt>
                <c:pt idx="91">
                  <c:v>11.91</c:v>
                </c:pt>
                <c:pt idx="92">
                  <c:v>11.92</c:v>
                </c:pt>
                <c:pt idx="93">
                  <c:v>11.93</c:v>
                </c:pt>
                <c:pt idx="94">
                  <c:v>11.94</c:v>
                </c:pt>
                <c:pt idx="95">
                  <c:v>11.95</c:v>
                </c:pt>
                <c:pt idx="96">
                  <c:v>11.96</c:v>
                </c:pt>
                <c:pt idx="97">
                  <c:v>11.97</c:v>
                </c:pt>
                <c:pt idx="98">
                  <c:v>11.98</c:v>
                </c:pt>
                <c:pt idx="99">
                  <c:v>11.99</c:v>
                </c:pt>
                <c:pt idx="100">
                  <c:v>12</c:v>
                </c:pt>
                <c:pt idx="101">
                  <c:v>12.01</c:v>
                </c:pt>
                <c:pt idx="102">
                  <c:v>12.02</c:v>
                </c:pt>
                <c:pt idx="103">
                  <c:v>12.03</c:v>
                </c:pt>
                <c:pt idx="104">
                  <c:v>12.04</c:v>
                </c:pt>
                <c:pt idx="105">
                  <c:v>12.05</c:v>
                </c:pt>
                <c:pt idx="106">
                  <c:v>12.06</c:v>
                </c:pt>
                <c:pt idx="107">
                  <c:v>12.07</c:v>
                </c:pt>
                <c:pt idx="108">
                  <c:v>12.08</c:v>
                </c:pt>
                <c:pt idx="109">
                  <c:v>12.09</c:v>
                </c:pt>
                <c:pt idx="110">
                  <c:v>12.1</c:v>
                </c:pt>
                <c:pt idx="111">
                  <c:v>12.11</c:v>
                </c:pt>
                <c:pt idx="112">
                  <c:v>12.120000000000001</c:v>
                </c:pt>
                <c:pt idx="113">
                  <c:v>12.13</c:v>
                </c:pt>
                <c:pt idx="114">
                  <c:v>12.14</c:v>
                </c:pt>
                <c:pt idx="115">
                  <c:v>12.15</c:v>
                </c:pt>
                <c:pt idx="116">
                  <c:v>12.16</c:v>
                </c:pt>
                <c:pt idx="117">
                  <c:v>12.17</c:v>
                </c:pt>
                <c:pt idx="118">
                  <c:v>12.18</c:v>
                </c:pt>
                <c:pt idx="119">
                  <c:v>12.19</c:v>
                </c:pt>
                <c:pt idx="120">
                  <c:v>12.2</c:v>
                </c:pt>
                <c:pt idx="121">
                  <c:v>12.21</c:v>
                </c:pt>
                <c:pt idx="122">
                  <c:v>12.22</c:v>
                </c:pt>
                <c:pt idx="123">
                  <c:v>12.23</c:v>
                </c:pt>
                <c:pt idx="124">
                  <c:v>12.24</c:v>
                </c:pt>
                <c:pt idx="125">
                  <c:v>12.25</c:v>
                </c:pt>
                <c:pt idx="126">
                  <c:v>12.26</c:v>
                </c:pt>
                <c:pt idx="127">
                  <c:v>12.27</c:v>
                </c:pt>
                <c:pt idx="128">
                  <c:v>12.28</c:v>
                </c:pt>
                <c:pt idx="129">
                  <c:v>12.29</c:v>
                </c:pt>
                <c:pt idx="130">
                  <c:v>12.3</c:v>
                </c:pt>
                <c:pt idx="131">
                  <c:v>12.31</c:v>
                </c:pt>
                <c:pt idx="132">
                  <c:v>12.32</c:v>
                </c:pt>
                <c:pt idx="133">
                  <c:v>12.33</c:v>
                </c:pt>
                <c:pt idx="134">
                  <c:v>12.34</c:v>
                </c:pt>
                <c:pt idx="135">
                  <c:v>12.35</c:v>
                </c:pt>
                <c:pt idx="136">
                  <c:v>12.36</c:v>
                </c:pt>
                <c:pt idx="137">
                  <c:v>12.370000000000001</c:v>
                </c:pt>
                <c:pt idx="138">
                  <c:v>12.38</c:v>
                </c:pt>
                <c:pt idx="139">
                  <c:v>12.39</c:v>
                </c:pt>
                <c:pt idx="140">
                  <c:v>12.4</c:v>
                </c:pt>
                <c:pt idx="141">
                  <c:v>12.41</c:v>
                </c:pt>
                <c:pt idx="142">
                  <c:v>12.42</c:v>
                </c:pt>
                <c:pt idx="143">
                  <c:v>12.43</c:v>
                </c:pt>
                <c:pt idx="144">
                  <c:v>12.44</c:v>
                </c:pt>
                <c:pt idx="145">
                  <c:v>12.45</c:v>
                </c:pt>
                <c:pt idx="146">
                  <c:v>12.46</c:v>
                </c:pt>
                <c:pt idx="147">
                  <c:v>12.47</c:v>
                </c:pt>
                <c:pt idx="148">
                  <c:v>12.48</c:v>
                </c:pt>
                <c:pt idx="149">
                  <c:v>12.49</c:v>
                </c:pt>
                <c:pt idx="150">
                  <c:v>12.5</c:v>
                </c:pt>
              </c:numCache>
            </c:numRef>
          </c:xVal>
          <c:yVal>
            <c:numRef>
              <c:f>Eff_vs_VIN!$AP$7:$AP$157</c:f>
              <c:numCache>
                <c:formatCode>General</c:formatCode>
                <c:ptCount val="151"/>
                <c:pt idx="0">
                  <c:v>0.2687445621195117</c:v>
                </c:pt>
                <c:pt idx="1">
                  <c:v>0.26825735695174957</c:v>
                </c:pt>
                <c:pt idx="2">
                  <c:v>0.26777147021134712</c:v>
                </c:pt>
                <c:pt idx="3">
                  <c:v>0.26728689711075204</c:v>
                </c:pt>
                <c:pt idx="4">
                  <c:v>0.26680363288415987</c:v>
                </c:pt>
                <c:pt idx="5">
                  <c:v>0.26632167278739693</c:v>
                </c:pt>
                <c:pt idx="6">
                  <c:v>0.26584101209780386</c:v>
                </c:pt>
                <c:pt idx="7">
                  <c:v>0.26536164611411733</c:v>
                </c:pt>
                <c:pt idx="8">
                  <c:v>0.26488357015635661</c:v>
                </c:pt>
                <c:pt idx="9">
                  <c:v>0.26440677956570713</c:v>
                </c:pt>
                <c:pt idx="10">
                  <c:v>0.26393126970440711</c:v>
                </c:pt>
                <c:pt idx="11">
                  <c:v>0.26345703595563424</c:v>
                </c:pt>
                <c:pt idx="12">
                  <c:v>0.26298407372339228</c:v>
                </c:pt>
                <c:pt idx="13">
                  <c:v>0.26251237843239966</c:v>
                </c:pt>
                <c:pt idx="14">
                  <c:v>0.26204194552797799</c:v>
                </c:pt>
                <c:pt idx="15">
                  <c:v>0.26157277047594107</c:v>
                </c:pt>
                <c:pt idx="16">
                  <c:v>0.26110484876248574</c:v>
                </c:pt>
                <c:pt idx="17">
                  <c:v>0.260638175894082</c:v>
                </c:pt>
                <c:pt idx="18">
                  <c:v>0.26017274739736485</c:v>
                </c:pt>
                <c:pt idx="19">
                  <c:v>0.25970855881902616</c:v>
                </c:pt>
                <c:pt idx="20">
                  <c:v>0.25924560572570754</c:v>
                </c:pt>
                <c:pt idx="21">
                  <c:v>0.25878388370389421</c:v>
                </c:pt>
                <c:pt idx="22">
                  <c:v>0.25832338835980873</c:v>
                </c:pt>
                <c:pt idx="23">
                  <c:v>0.25786411531930559</c:v>
                </c:pt>
                <c:pt idx="24">
                  <c:v>0.2574060602277673</c:v>
                </c:pt>
                <c:pt idx="25">
                  <c:v>0.25694921875000004</c:v>
                </c:pt>
                <c:pt idx="26">
                  <c:v>0.25649358657013049</c:v>
                </c:pt>
                <c:pt idx="27">
                  <c:v>0.2560391593915034</c:v>
                </c:pt>
                <c:pt idx="28">
                  <c:v>0.25558593293657972</c:v>
                </c:pt>
                <c:pt idx="29">
                  <c:v>0.25513390294683452</c:v>
                </c:pt>
                <c:pt idx="30">
                  <c:v>0.25468306518265715</c:v>
                </c:pt>
                <c:pt idx="31">
                  <c:v>0.25423341542325095</c:v>
                </c:pt>
                <c:pt idx="32">
                  <c:v>0.25378494946653335</c:v>
                </c:pt>
                <c:pt idx="33">
                  <c:v>0.25333766312903755</c:v>
                </c:pt>
                <c:pt idx="34">
                  <c:v>0.25289155224581389</c:v>
                </c:pt>
                <c:pt idx="35">
                  <c:v>0.25244661267033242</c:v>
                </c:pt>
                <c:pt idx="36">
                  <c:v>0.2520028402743858</c:v>
                </c:pt>
                <c:pt idx="37">
                  <c:v>0.25156023094799301</c:v>
                </c:pt>
                <c:pt idx="38">
                  <c:v>0.25111878059930309</c:v>
                </c:pt>
                <c:pt idx="39">
                  <c:v>0.25067848515450059</c:v>
                </c:pt>
                <c:pt idx="40">
                  <c:v>0.25023934055771008</c:v>
                </c:pt>
                <c:pt idx="41">
                  <c:v>0.24980134277090257</c:v>
                </c:pt>
                <c:pt idx="42">
                  <c:v>0.24936448777380199</c:v>
                </c:pt>
                <c:pt idx="43">
                  <c:v>0.24892877156379201</c:v>
                </c:pt>
                <c:pt idx="44">
                  <c:v>0.2484941901558238</c:v>
                </c:pt>
                <c:pt idx="45">
                  <c:v>0.24806073958232436</c:v>
                </c:pt>
                <c:pt idx="46">
                  <c:v>0.24762841589310472</c:v>
                </c:pt>
                <c:pt idx="47">
                  <c:v>0.24719721515527027</c:v>
                </c:pt>
                <c:pt idx="48">
                  <c:v>0.24676713345312945</c:v>
                </c:pt>
                <c:pt idx="49">
                  <c:v>0.24633816688810492</c:v>
                </c:pt>
                <c:pt idx="50">
                  <c:v>0.24591031157864437</c:v>
                </c:pt>
                <c:pt idx="51">
                  <c:v>0.24548356366013191</c:v>
                </c:pt>
                <c:pt idx="52">
                  <c:v>0.24505791928479997</c:v>
                </c:pt>
                <c:pt idx="53">
                  <c:v>0.24463337462164242</c:v>
                </c:pt>
                <c:pt idx="54">
                  <c:v>0.24420992585632678</c:v>
                </c:pt>
                <c:pt idx="55">
                  <c:v>0.24378756919110864</c:v>
                </c:pt>
                <c:pt idx="56">
                  <c:v>0.2433663008447457</c:v>
                </c:pt>
                <c:pt idx="57">
                  <c:v>0.24294611705241193</c:v>
                </c:pt>
                <c:pt idx="58">
                  <c:v>0.24252701406561319</c:v>
                </c:pt>
                <c:pt idx="59">
                  <c:v>0.24210898815210274</c:v>
                </c:pt>
                <c:pt idx="60">
                  <c:v>0.24169203559579772</c:v>
                </c:pt>
                <c:pt idx="61">
                  <c:v>0.24127615269669533</c:v>
                </c:pt>
                <c:pt idx="62">
                  <c:v>0.24086133577079066</c:v>
                </c:pt>
                <c:pt idx="63">
                  <c:v>0.24044758114999384</c:v>
                </c:pt>
                <c:pt idx="64">
                  <c:v>0.24003488518204877</c:v>
                </c:pt>
                <c:pt idx="65">
                  <c:v>0.2396232442304512</c:v>
                </c:pt>
                <c:pt idx="66">
                  <c:v>0.23921265467436847</c:v>
                </c:pt>
                <c:pt idx="67">
                  <c:v>0.23880311290855899</c:v>
                </c:pt>
                <c:pt idx="68">
                  <c:v>0.23839461534329209</c:v>
                </c:pt>
                <c:pt idx="69">
                  <c:v>0.23798715840426918</c:v>
                </c:pt>
                <c:pt idx="70">
                  <c:v>0.23758073853254438</c:v>
                </c:pt>
                <c:pt idx="71">
                  <c:v>0.23717535218444638</c:v>
                </c:pt>
                <c:pt idx="72">
                  <c:v>0.23677099583150038</c:v>
                </c:pt>
                <c:pt idx="73">
                  <c:v>0.23636766596035053</c:v>
                </c:pt>
                <c:pt idx="74">
                  <c:v>0.23596535907268304</c:v>
                </c:pt>
                <c:pt idx="75">
                  <c:v>0.23556407168514937</c:v>
                </c:pt>
                <c:pt idx="76">
                  <c:v>0.23516380032929032</c:v>
                </c:pt>
                <c:pt idx="77">
                  <c:v>0.23476454155146059</c:v>
                </c:pt>
                <c:pt idx="78">
                  <c:v>0.23436629191275282</c:v>
                </c:pt>
                <c:pt idx="79">
                  <c:v>0.2339690479889234</c:v>
                </c:pt>
                <c:pt idx="80">
                  <c:v>0.2335728063703183</c:v>
                </c:pt>
                <c:pt idx="81">
                  <c:v>0.23317756366179873</c:v>
                </c:pt>
                <c:pt idx="82">
                  <c:v>0.2327833164826677</c:v>
                </c:pt>
                <c:pt idx="83">
                  <c:v>0.23239006146659721</c:v>
                </c:pt>
                <c:pt idx="84">
                  <c:v>0.23199779526155587</c:v>
                </c:pt>
                <c:pt idx="85">
                  <c:v>0.23160651452973621</c:v>
                </c:pt>
                <c:pt idx="86">
                  <c:v>0.23121621594748326</c:v>
                </c:pt>
                <c:pt idx="87">
                  <c:v>0.23082689620522345</c:v>
                </c:pt>
                <c:pt idx="88">
                  <c:v>0.23043855200739319</c:v>
                </c:pt>
                <c:pt idx="89">
                  <c:v>0.23005118007236885</c:v>
                </c:pt>
                <c:pt idx="90">
                  <c:v>0.22966477713239661</c:v>
                </c:pt>
                <c:pt idx="91">
                  <c:v>0.22927933993352256</c:v>
                </c:pt>
                <c:pt idx="92">
                  <c:v>0.22889486523552369</c:v>
                </c:pt>
                <c:pt idx="93">
                  <c:v>0.22851134981183924</c:v>
                </c:pt>
                <c:pt idx="94">
                  <c:v>0.22812879044950182</c:v>
                </c:pt>
                <c:pt idx="95">
                  <c:v>0.22774718394906984</c:v>
                </c:pt>
                <c:pt idx="96">
                  <c:v>0.22736652712455938</c:v>
                </c:pt>
                <c:pt idx="97">
                  <c:v>0.22698681680337754</c:v>
                </c:pt>
                <c:pt idx="98">
                  <c:v>0.22660804982625515</c:v>
                </c:pt>
                <c:pt idx="99">
                  <c:v>0.22623022304718055</c:v>
                </c:pt>
                <c:pt idx="100">
                  <c:v>0.22585333333333335</c:v>
                </c:pt>
                <c:pt idx="101">
                  <c:v>0.22547737756501898</c:v>
                </c:pt>
                <c:pt idx="102">
                  <c:v>0.22510235263560316</c:v>
                </c:pt>
                <c:pt idx="103">
                  <c:v>0.22472825545144726</c:v>
                </c:pt>
                <c:pt idx="104">
                  <c:v>0.22435508293184336</c:v>
                </c:pt>
                <c:pt idx="105">
                  <c:v>0.22398283200895042</c:v>
                </c:pt>
                <c:pt idx="106">
                  <c:v>0.22361149962773064</c:v>
                </c:pt>
                <c:pt idx="107">
                  <c:v>0.22324108274588553</c:v>
                </c:pt>
                <c:pt idx="108">
                  <c:v>0.22287157833379315</c:v>
                </c:pt>
                <c:pt idx="109">
                  <c:v>0.22250298337444549</c:v>
                </c:pt>
                <c:pt idx="110">
                  <c:v>0.22213529486338579</c:v>
                </c:pt>
                <c:pt idx="111">
                  <c:v>0.22176850980864726</c:v>
                </c:pt>
                <c:pt idx="112">
                  <c:v>0.22140262523069051</c:v>
                </c:pt>
                <c:pt idx="113">
                  <c:v>0.22103763816234342</c:v>
                </c:pt>
                <c:pt idx="114">
                  <c:v>0.22067354564873917</c:v>
                </c:pt>
                <c:pt idx="115">
                  <c:v>0.2203103447472565</c:v>
                </c:pt>
                <c:pt idx="116">
                  <c:v>0.2199480325274589</c:v>
                </c:pt>
                <c:pt idx="117">
                  <c:v>0.2195866060710352</c:v>
                </c:pt>
                <c:pt idx="118">
                  <c:v>0.2192260624717399</c:v>
                </c:pt>
                <c:pt idx="119">
                  <c:v>0.2188663988353339</c:v>
                </c:pt>
                <c:pt idx="120">
                  <c:v>0.21850761227952578</c:v>
                </c:pt>
                <c:pt idx="121">
                  <c:v>0.21814969993391328</c:v>
                </c:pt>
                <c:pt idx="122">
                  <c:v>0.21779265893992539</c:v>
                </c:pt>
                <c:pt idx="123">
                  <c:v>0.21743648645076397</c:v>
                </c:pt>
                <c:pt idx="124">
                  <c:v>0.21708117963134668</c:v>
                </c:pt>
                <c:pt idx="125">
                  <c:v>0.21672673565824979</c:v>
                </c:pt>
                <c:pt idx="126">
                  <c:v>0.21637315171965119</c:v>
                </c:pt>
                <c:pt idx="127">
                  <c:v>0.21602042501527394</c:v>
                </c:pt>
                <c:pt idx="128">
                  <c:v>0.21566855275633001</c:v>
                </c:pt>
                <c:pt idx="129">
                  <c:v>0.21531753216546462</c:v>
                </c:pt>
                <c:pt idx="130">
                  <c:v>0.21496736047670034</c:v>
                </c:pt>
                <c:pt idx="131">
                  <c:v>0.21461803493538242</c:v>
                </c:pt>
                <c:pt idx="132">
                  <c:v>0.2142695527981231</c:v>
                </c:pt>
                <c:pt idx="133">
                  <c:v>0.21392191133274752</c:v>
                </c:pt>
                <c:pt idx="134">
                  <c:v>0.21357510781823924</c:v>
                </c:pt>
                <c:pt idx="135">
                  <c:v>0.21322913954468653</c:v>
                </c:pt>
                <c:pt idx="136">
                  <c:v>0.21288400381322811</c:v>
                </c:pt>
                <c:pt idx="137">
                  <c:v>0.21253969793600011</c:v>
                </c:pt>
                <c:pt idx="138">
                  <c:v>0.21219621923608334</c:v>
                </c:pt>
                <c:pt idx="139">
                  <c:v>0.2118535650474497</c:v>
                </c:pt>
                <c:pt idx="140">
                  <c:v>0.21151173271491028</c:v>
                </c:pt>
                <c:pt idx="141">
                  <c:v>0.21117071959406297</c:v>
                </c:pt>
                <c:pt idx="142">
                  <c:v>0.21083052305124064</c:v>
                </c:pt>
                <c:pt idx="143">
                  <c:v>0.21049114046345949</c:v>
                </c:pt>
                <c:pt idx="144">
                  <c:v>0.21015256921836753</c:v>
                </c:pt>
                <c:pt idx="145">
                  <c:v>0.20981480671419414</c:v>
                </c:pt>
                <c:pt idx="146">
                  <c:v>0.20947785035969851</c:v>
                </c:pt>
                <c:pt idx="147">
                  <c:v>0.20914169757412004</c:v>
                </c:pt>
                <c:pt idx="148">
                  <c:v>0.20880634578712742</c:v>
                </c:pt>
                <c:pt idx="149">
                  <c:v>0.20847179243876912</c:v>
                </c:pt>
                <c:pt idx="150">
                  <c:v>0.20813803497942387</c:v>
                </c:pt>
              </c:numCache>
            </c:numRef>
          </c:yVal>
          <c:smooth val="1"/>
          <c:extLst>
            <c:ext xmlns:c16="http://schemas.microsoft.com/office/drawing/2014/chart" uri="{C3380CC4-5D6E-409C-BE32-E72D297353CC}">
              <c16:uniqueId val="{00000003-A9EB-4B3D-B1F8-864F59D7502D}"/>
            </c:ext>
          </c:extLst>
        </c:ser>
        <c:dLbls>
          <c:showLegendKey val="0"/>
          <c:showVal val="0"/>
          <c:showCatName val="0"/>
          <c:showSerName val="0"/>
          <c:showPercent val="0"/>
          <c:showBubbleSize val="0"/>
        </c:dLbls>
        <c:axId val="361467264"/>
        <c:axId val="361465344"/>
      </c:scatterChart>
      <c:valAx>
        <c:axId val="361445248"/>
        <c:scaling>
          <c:orientation val="minMax"/>
        </c:scaling>
        <c:delete val="0"/>
        <c:axPos val="b"/>
        <c:majorGridlines/>
        <c:numFmt formatCode="General" sourceLinked="1"/>
        <c:majorTickMark val="out"/>
        <c:minorTickMark val="none"/>
        <c:tickLblPos val="nextTo"/>
        <c:crossAx val="361446784"/>
        <c:crosses val="autoZero"/>
        <c:crossBetween val="midCat"/>
      </c:valAx>
      <c:valAx>
        <c:axId val="361446784"/>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361445248"/>
        <c:crosses val="autoZero"/>
        <c:crossBetween val="midCat"/>
      </c:valAx>
      <c:valAx>
        <c:axId val="361465344"/>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361467264"/>
        <c:crosses val="max"/>
        <c:crossBetween val="midCat"/>
      </c:valAx>
      <c:valAx>
        <c:axId val="361467264"/>
        <c:scaling>
          <c:orientation val="minMax"/>
        </c:scaling>
        <c:delete val="1"/>
        <c:axPos val="b"/>
        <c:title>
          <c:tx>
            <c:rich>
              <a:bodyPr/>
              <a:lstStyle/>
              <a:p>
                <a:pPr>
                  <a:defRPr/>
                </a:pPr>
                <a:r>
                  <a:rPr lang="en-US" baseline="0"/>
                  <a:t>Input Voltage (V)</a:t>
                </a:r>
                <a:endParaRPr lang="en-US"/>
              </a:p>
            </c:rich>
          </c:tx>
          <c:overlay val="0"/>
        </c:title>
        <c:numFmt formatCode="General" sourceLinked="1"/>
        <c:majorTickMark val="out"/>
        <c:minorTickMark val="none"/>
        <c:tickLblPos val="nextTo"/>
        <c:crossAx val="361465344"/>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Eff_vs_IOUT!$S$7:$S$157</c:f>
              <c:numCache>
                <c:formatCode>General</c:formatCode>
                <c:ptCount val="151"/>
                <c:pt idx="0">
                  <c:v>0</c:v>
                </c:pt>
                <c:pt idx="1">
                  <c:v>3.3333333333333333E-2</c:v>
                </c:pt>
                <c:pt idx="2">
                  <c:v>6.6666666666666666E-2</c:v>
                </c:pt>
                <c:pt idx="3">
                  <c:v>0.1</c:v>
                </c:pt>
                <c:pt idx="4">
                  <c:v>0.13333333333333333</c:v>
                </c:pt>
                <c:pt idx="5">
                  <c:v>0.16666666666666666</c:v>
                </c:pt>
                <c:pt idx="6">
                  <c:v>0.2</c:v>
                </c:pt>
                <c:pt idx="7">
                  <c:v>0.23333333333333334</c:v>
                </c:pt>
                <c:pt idx="8">
                  <c:v>0.26666666666666666</c:v>
                </c:pt>
                <c:pt idx="9">
                  <c:v>0.3</c:v>
                </c:pt>
                <c:pt idx="10">
                  <c:v>0.33333333333333331</c:v>
                </c:pt>
                <c:pt idx="11">
                  <c:v>0.36666666666666664</c:v>
                </c:pt>
                <c:pt idx="12">
                  <c:v>0.4</c:v>
                </c:pt>
                <c:pt idx="13">
                  <c:v>0.43333333333333335</c:v>
                </c:pt>
                <c:pt idx="14">
                  <c:v>0.46666666666666667</c:v>
                </c:pt>
                <c:pt idx="15">
                  <c:v>0.5</c:v>
                </c:pt>
                <c:pt idx="16">
                  <c:v>0.53333333333333333</c:v>
                </c:pt>
                <c:pt idx="17">
                  <c:v>0.56666666666666665</c:v>
                </c:pt>
                <c:pt idx="18">
                  <c:v>0.6</c:v>
                </c:pt>
                <c:pt idx="19">
                  <c:v>0.6333333333333333</c:v>
                </c:pt>
                <c:pt idx="20">
                  <c:v>0.66666666666666663</c:v>
                </c:pt>
                <c:pt idx="21">
                  <c:v>0.7</c:v>
                </c:pt>
                <c:pt idx="22">
                  <c:v>0.73333333333333328</c:v>
                </c:pt>
                <c:pt idx="23">
                  <c:v>0.76666666666666661</c:v>
                </c:pt>
                <c:pt idx="24">
                  <c:v>0.8</c:v>
                </c:pt>
                <c:pt idx="25">
                  <c:v>0.83333333333333337</c:v>
                </c:pt>
                <c:pt idx="26">
                  <c:v>0.8666666666666667</c:v>
                </c:pt>
                <c:pt idx="27">
                  <c:v>0.9</c:v>
                </c:pt>
                <c:pt idx="28">
                  <c:v>0.93333333333333335</c:v>
                </c:pt>
                <c:pt idx="29">
                  <c:v>0.96666666666666667</c:v>
                </c:pt>
                <c:pt idx="30">
                  <c:v>1</c:v>
                </c:pt>
                <c:pt idx="31">
                  <c:v>1.0333333333333332</c:v>
                </c:pt>
                <c:pt idx="32">
                  <c:v>1.0666666666666667</c:v>
                </c:pt>
                <c:pt idx="33">
                  <c:v>1.1000000000000001</c:v>
                </c:pt>
                <c:pt idx="34">
                  <c:v>1.1333333333333333</c:v>
                </c:pt>
                <c:pt idx="35">
                  <c:v>1.1666666666666667</c:v>
                </c:pt>
                <c:pt idx="36">
                  <c:v>1.2</c:v>
                </c:pt>
                <c:pt idx="37">
                  <c:v>1.2333333333333334</c:v>
                </c:pt>
                <c:pt idx="38">
                  <c:v>1.2666666666666666</c:v>
                </c:pt>
                <c:pt idx="39">
                  <c:v>1.3</c:v>
                </c:pt>
                <c:pt idx="40">
                  <c:v>1.3333333333333333</c:v>
                </c:pt>
                <c:pt idx="41">
                  <c:v>1.3666666666666667</c:v>
                </c:pt>
                <c:pt idx="42">
                  <c:v>1.4</c:v>
                </c:pt>
                <c:pt idx="43">
                  <c:v>1.4333333333333333</c:v>
                </c:pt>
                <c:pt idx="44">
                  <c:v>1.4666666666666666</c:v>
                </c:pt>
                <c:pt idx="45">
                  <c:v>1.5</c:v>
                </c:pt>
                <c:pt idx="46">
                  <c:v>1.5333333333333332</c:v>
                </c:pt>
                <c:pt idx="47">
                  <c:v>1.5666666666666667</c:v>
                </c:pt>
                <c:pt idx="48">
                  <c:v>1.6</c:v>
                </c:pt>
                <c:pt idx="49">
                  <c:v>1.6333333333333333</c:v>
                </c:pt>
                <c:pt idx="50">
                  <c:v>1.6666666666666667</c:v>
                </c:pt>
                <c:pt idx="51">
                  <c:v>1.7</c:v>
                </c:pt>
                <c:pt idx="52">
                  <c:v>1.7333333333333334</c:v>
                </c:pt>
                <c:pt idx="53">
                  <c:v>1.7666666666666666</c:v>
                </c:pt>
                <c:pt idx="54">
                  <c:v>1.8</c:v>
                </c:pt>
                <c:pt idx="55">
                  <c:v>1.8333333333333333</c:v>
                </c:pt>
                <c:pt idx="56">
                  <c:v>1.8666666666666667</c:v>
                </c:pt>
                <c:pt idx="57">
                  <c:v>1.9</c:v>
                </c:pt>
                <c:pt idx="58">
                  <c:v>1.9333333333333333</c:v>
                </c:pt>
                <c:pt idx="59">
                  <c:v>1.9666666666666666</c:v>
                </c:pt>
                <c:pt idx="60">
                  <c:v>2</c:v>
                </c:pt>
                <c:pt idx="61">
                  <c:v>2.0333333333333332</c:v>
                </c:pt>
                <c:pt idx="62">
                  <c:v>2.0666666666666664</c:v>
                </c:pt>
                <c:pt idx="63">
                  <c:v>2.1</c:v>
                </c:pt>
                <c:pt idx="64">
                  <c:v>2.1333333333333333</c:v>
                </c:pt>
                <c:pt idx="65">
                  <c:v>2.1666666666666665</c:v>
                </c:pt>
                <c:pt idx="66">
                  <c:v>2.2000000000000002</c:v>
                </c:pt>
                <c:pt idx="67">
                  <c:v>2.2333333333333334</c:v>
                </c:pt>
                <c:pt idx="68">
                  <c:v>2.2666666666666666</c:v>
                </c:pt>
                <c:pt idx="69">
                  <c:v>2.2999999999999998</c:v>
                </c:pt>
                <c:pt idx="70">
                  <c:v>2.3333333333333335</c:v>
                </c:pt>
                <c:pt idx="71">
                  <c:v>2.3666666666666667</c:v>
                </c:pt>
                <c:pt idx="72">
                  <c:v>2.4</c:v>
                </c:pt>
                <c:pt idx="73">
                  <c:v>2.4333333333333331</c:v>
                </c:pt>
                <c:pt idx="74">
                  <c:v>2.4666666666666668</c:v>
                </c:pt>
                <c:pt idx="75">
                  <c:v>2.5</c:v>
                </c:pt>
                <c:pt idx="76">
                  <c:v>2.5333333333333332</c:v>
                </c:pt>
                <c:pt idx="77">
                  <c:v>2.5666666666666664</c:v>
                </c:pt>
                <c:pt idx="78">
                  <c:v>2.6</c:v>
                </c:pt>
                <c:pt idx="79">
                  <c:v>2.6333333333333333</c:v>
                </c:pt>
                <c:pt idx="80">
                  <c:v>2.6666666666666665</c:v>
                </c:pt>
                <c:pt idx="81">
                  <c:v>2.7</c:v>
                </c:pt>
                <c:pt idx="82">
                  <c:v>2.7333333333333334</c:v>
                </c:pt>
                <c:pt idx="83">
                  <c:v>2.7666666666666666</c:v>
                </c:pt>
                <c:pt idx="84">
                  <c:v>2.8</c:v>
                </c:pt>
                <c:pt idx="85">
                  <c:v>2.8333333333333335</c:v>
                </c:pt>
                <c:pt idx="86">
                  <c:v>2.8666666666666667</c:v>
                </c:pt>
                <c:pt idx="87">
                  <c:v>2.9</c:v>
                </c:pt>
                <c:pt idx="88">
                  <c:v>2.9333333333333331</c:v>
                </c:pt>
                <c:pt idx="89">
                  <c:v>2.9666666666666668</c:v>
                </c:pt>
                <c:pt idx="90">
                  <c:v>3</c:v>
                </c:pt>
                <c:pt idx="91">
                  <c:v>3.0333333333333332</c:v>
                </c:pt>
                <c:pt idx="92">
                  <c:v>3.0666666666666664</c:v>
                </c:pt>
                <c:pt idx="93">
                  <c:v>3.1</c:v>
                </c:pt>
                <c:pt idx="94">
                  <c:v>3.1333333333333333</c:v>
                </c:pt>
                <c:pt idx="95">
                  <c:v>3.1666666666666665</c:v>
                </c:pt>
                <c:pt idx="96">
                  <c:v>3.2</c:v>
                </c:pt>
                <c:pt idx="97">
                  <c:v>3.2333333333333334</c:v>
                </c:pt>
                <c:pt idx="98">
                  <c:v>3.2666666666666666</c:v>
                </c:pt>
                <c:pt idx="99">
                  <c:v>3.3</c:v>
                </c:pt>
                <c:pt idx="100">
                  <c:v>3.3333333333333335</c:v>
                </c:pt>
                <c:pt idx="101">
                  <c:v>3.3666666666666667</c:v>
                </c:pt>
                <c:pt idx="102">
                  <c:v>3.4</c:v>
                </c:pt>
                <c:pt idx="103">
                  <c:v>3.4333333333333331</c:v>
                </c:pt>
                <c:pt idx="104">
                  <c:v>3.4666666666666668</c:v>
                </c:pt>
                <c:pt idx="105">
                  <c:v>3.5</c:v>
                </c:pt>
                <c:pt idx="106">
                  <c:v>3.5333333333333332</c:v>
                </c:pt>
                <c:pt idx="107">
                  <c:v>3.5666666666666664</c:v>
                </c:pt>
                <c:pt idx="108">
                  <c:v>3.6</c:v>
                </c:pt>
                <c:pt idx="109">
                  <c:v>3.6333333333333333</c:v>
                </c:pt>
                <c:pt idx="110">
                  <c:v>3.6666666666666665</c:v>
                </c:pt>
                <c:pt idx="111">
                  <c:v>3.6999999999999997</c:v>
                </c:pt>
                <c:pt idx="112">
                  <c:v>3.7333333333333334</c:v>
                </c:pt>
                <c:pt idx="113">
                  <c:v>3.7666666666666666</c:v>
                </c:pt>
                <c:pt idx="114">
                  <c:v>3.8</c:v>
                </c:pt>
                <c:pt idx="115">
                  <c:v>3.8333333333333335</c:v>
                </c:pt>
                <c:pt idx="116">
                  <c:v>3.8666666666666667</c:v>
                </c:pt>
                <c:pt idx="117">
                  <c:v>3.9</c:v>
                </c:pt>
                <c:pt idx="118">
                  <c:v>3.9333333333333331</c:v>
                </c:pt>
                <c:pt idx="119">
                  <c:v>3.9666666666666668</c:v>
                </c:pt>
                <c:pt idx="120">
                  <c:v>4</c:v>
                </c:pt>
                <c:pt idx="121">
                  <c:v>4.0333333333333332</c:v>
                </c:pt>
                <c:pt idx="122">
                  <c:v>4.0666666666666664</c:v>
                </c:pt>
                <c:pt idx="123">
                  <c:v>4.0999999999999996</c:v>
                </c:pt>
                <c:pt idx="124">
                  <c:v>4.1333333333333329</c:v>
                </c:pt>
                <c:pt idx="125">
                  <c:v>4.166666666666667</c:v>
                </c:pt>
                <c:pt idx="126">
                  <c:v>4.2</c:v>
                </c:pt>
                <c:pt idx="127">
                  <c:v>4.2333333333333334</c:v>
                </c:pt>
                <c:pt idx="128">
                  <c:v>4.2666666666666666</c:v>
                </c:pt>
                <c:pt idx="129">
                  <c:v>4.3</c:v>
                </c:pt>
                <c:pt idx="130">
                  <c:v>4.333333333333333</c:v>
                </c:pt>
                <c:pt idx="131">
                  <c:v>4.3666666666666663</c:v>
                </c:pt>
                <c:pt idx="132">
                  <c:v>4.4000000000000004</c:v>
                </c:pt>
                <c:pt idx="133">
                  <c:v>4.4333333333333336</c:v>
                </c:pt>
                <c:pt idx="134">
                  <c:v>4.4666666666666668</c:v>
                </c:pt>
                <c:pt idx="135">
                  <c:v>4.5</c:v>
                </c:pt>
                <c:pt idx="136">
                  <c:v>4.5333333333333332</c:v>
                </c:pt>
                <c:pt idx="137">
                  <c:v>4.5666666666666664</c:v>
                </c:pt>
                <c:pt idx="138">
                  <c:v>4.5999999999999996</c:v>
                </c:pt>
                <c:pt idx="139">
                  <c:v>4.6333333333333329</c:v>
                </c:pt>
                <c:pt idx="140">
                  <c:v>4.666666666666667</c:v>
                </c:pt>
                <c:pt idx="141">
                  <c:v>4.7</c:v>
                </c:pt>
                <c:pt idx="142">
                  <c:v>4.7333333333333334</c:v>
                </c:pt>
                <c:pt idx="143">
                  <c:v>4.7666666666666666</c:v>
                </c:pt>
                <c:pt idx="144">
                  <c:v>4.8</c:v>
                </c:pt>
                <c:pt idx="145">
                  <c:v>4.833333333333333</c:v>
                </c:pt>
                <c:pt idx="146">
                  <c:v>4.8666666666666663</c:v>
                </c:pt>
                <c:pt idx="147">
                  <c:v>4.9000000000000004</c:v>
                </c:pt>
                <c:pt idx="148">
                  <c:v>4.9333333333333336</c:v>
                </c:pt>
                <c:pt idx="149">
                  <c:v>4.9666666666666668</c:v>
                </c:pt>
                <c:pt idx="150">
                  <c:v>5</c:v>
                </c:pt>
              </c:numCache>
            </c:numRef>
          </c:xVal>
          <c:yVal>
            <c:numRef>
              <c:f>Eff_vs_IOUT!$AW$7:$AW$157</c:f>
              <c:numCache>
                <c:formatCode>General</c:formatCode>
                <c:ptCount val="151"/>
                <c:pt idx="0">
                  <c:v>0</c:v>
                </c:pt>
                <c:pt idx="1">
                  <c:v>64.175044792716534</c:v>
                </c:pt>
                <c:pt idx="2">
                  <c:v>77.978544514370199</c:v>
                </c:pt>
                <c:pt idx="3">
                  <c:v>83.967685140152298</c:v>
                </c:pt>
                <c:pt idx="4">
                  <c:v>87.293874688744737</c:v>
                </c:pt>
                <c:pt idx="5">
                  <c:v>89.396374857436939</c:v>
                </c:pt>
                <c:pt idx="6">
                  <c:v>90.83562518732063</c:v>
                </c:pt>
                <c:pt idx="7">
                  <c:v>91.875177615559537</c:v>
                </c:pt>
                <c:pt idx="8">
                  <c:v>92.655297340671822</c:v>
                </c:pt>
                <c:pt idx="9">
                  <c:v>93.257504989681635</c:v>
                </c:pt>
                <c:pt idx="10">
                  <c:v>93.732415358041322</c:v>
                </c:pt>
                <c:pt idx="11">
                  <c:v>94.113115552771205</c:v>
                </c:pt>
                <c:pt idx="12">
                  <c:v>94.422147652744812</c:v>
                </c:pt>
                <c:pt idx="13">
                  <c:v>94.675399614054029</c:v>
                </c:pt>
                <c:pt idx="14">
                  <c:v>94.884391773989435</c:v>
                </c:pt>
                <c:pt idx="15">
                  <c:v>95.057681151904646</c:v>
                </c:pt>
                <c:pt idx="16">
                  <c:v>95.201756664673638</c:v>
                </c:pt>
                <c:pt idx="17">
                  <c:v>95.321628300710685</c:v>
                </c:pt>
                <c:pt idx="18">
                  <c:v>95.421225734486853</c:v>
                </c:pt>
                <c:pt idx="19">
                  <c:v>95.503674609539004</c:v>
                </c:pt>
                <c:pt idx="20">
                  <c:v>95.571492158311941</c:v>
                </c:pt>
                <c:pt idx="21">
                  <c:v>95.626728359271596</c:v>
                </c:pt>
                <c:pt idx="22">
                  <c:v>95.671069537028984</c:v>
                </c:pt>
                <c:pt idx="23">
                  <c:v>95.705915568500217</c:v>
                </c:pt>
                <c:pt idx="24">
                  <c:v>95.732438220610106</c:v>
                </c:pt>
                <c:pt idx="25">
                  <c:v>95.751625788804247</c:v>
                </c:pt>
                <c:pt idx="26">
                  <c:v>95.764317648090895</c:v>
                </c:pt>
                <c:pt idx="27">
                  <c:v>95.771231279591589</c:v>
                </c:pt>
                <c:pt idx="28">
                  <c:v>95.772983617428494</c:v>
                </c:pt>
                <c:pt idx="29">
                  <c:v>95.770108061345383</c:v>
                </c:pt>
                <c:pt idx="30">
                  <c:v>95.763068148155142</c:v>
                </c:pt>
                <c:pt idx="31">
                  <c:v>95.75226862330058</c:v>
                </c:pt>
                <c:pt idx="32">
                  <c:v>95.738064471628235</c:v>
                </c:pt>
                <c:pt idx="33">
                  <c:v>95.720768333162269</c:v>
                </c:pt>
                <c:pt idx="34">
                  <c:v>95.700656631076896</c:v>
                </c:pt>
                <c:pt idx="35">
                  <c:v>95.677974665436921</c:v>
                </c:pt>
                <c:pt idx="36">
                  <c:v>95.652940870775936</c:v>
                </c:pt>
                <c:pt idx="37">
                  <c:v>95.625750393384592</c:v>
                </c:pt>
                <c:pt idx="38">
                  <c:v>95.596578111834717</c:v>
                </c:pt>
                <c:pt idx="39">
                  <c:v>95.565581199279464</c:v>
                </c:pt>
                <c:pt idx="40">
                  <c:v>95.532901306629299</c:v>
                </c:pt>
                <c:pt idx="41">
                  <c:v>95.498666430474387</c:v>
                </c:pt>
                <c:pt idx="42">
                  <c:v>95.462992517615035</c:v>
                </c:pt>
                <c:pt idx="43">
                  <c:v>95.425984848536189</c:v>
                </c:pt>
                <c:pt idx="44">
                  <c:v>95.387739234558424</c:v>
                </c:pt>
                <c:pt idx="45">
                  <c:v>95.348343057299189</c:v>
                </c:pt>
                <c:pt idx="46">
                  <c:v>95.30787617415632</c:v>
                </c:pt>
                <c:pt idx="47">
                  <c:v>95.266411709536669</c:v>
                </c:pt>
                <c:pt idx="48">
                  <c:v>95.224016748303342</c:v>
                </c:pt>
                <c:pt idx="49">
                  <c:v>95.180752945254611</c:v>
                </c:pt>
                <c:pt idx="50">
                  <c:v>95.136677062262294</c:v>
                </c:pt>
                <c:pt idx="51">
                  <c:v>95.091841442892374</c:v>
                </c:pt>
                <c:pt idx="52">
                  <c:v>95.046294432835637</c:v>
                </c:pt>
                <c:pt idx="53">
                  <c:v>95.0000807532317</c:v>
                </c:pt>
                <c:pt idx="54">
                  <c:v>94.953241832931454</c:v>
                </c:pt>
                <c:pt idx="55">
                  <c:v>94.905816104871803</c:v>
                </c:pt>
                <c:pt idx="56">
                  <c:v>94.85783927100519</c:v>
                </c:pt>
                <c:pt idx="57">
                  <c:v>94.809344539608574</c:v>
                </c:pt>
                <c:pt idx="58">
                  <c:v>94.76036283827392</c:v>
                </c:pt>
                <c:pt idx="59">
                  <c:v>94.710923005438929</c:v>
                </c:pt>
                <c:pt idx="60">
                  <c:v>94.661051962938743</c:v>
                </c:pt>
                <c:pt idx="61">
                  <c:v>94.610774871737092</c:v>
                </c:pt>
                <c:pt idx="62">
                  <c:v>94.560115272719273</c:v>
                </c:pt>
                <c:pt idx="63">
                  <c:v>94.509095214192271</c:v>
                </c:pt>
                <c:pt idx="64">
                  <c:v>94.457735367533786</c:v>
                </c:pt>
                <c:pt idx="65">
                  <c:v>94.406055132255219</c:v>
                </c:pt>
                <c:pt idx="66">
                  <c:v>94.354072731592822</c:v>
                </c:pt>
                <c:pt idx="67">
                  <c:v>94.301805299607665</c:v>
                </c:pt>
                <c:pt idx="68">
                  <c:v>94.249268960662306</c:v>
                </c:pt>
                <c:pt idx="69">
                  <c:v>94.196478902040752</c:v>
                </c:pt>
                <c:pt idx="70">
                  <c:v>94.143449440392587</c:v>
                </c:pt>
                <c:pt idx="71">
                  <c:v>94.090194082604967</c:v>
                </c:pt>
                <c:pt idx="72">
                  <c:v>94.036725581640539</c:v>
                </c:pt>
                <c:pt idx="73">
                  <c:v>93.983055987819995</c:v>
                </c:pt>
                <c:pt idx="74">
                  <c:v>93.929196695977396</c:v>
                </c:pt>
                <c:pt idx="75">
                  <c:v>93.875158488870241</c:v>
                </c:pt>
                <c:pt idx="76">
                  <c:v>93.820951577187145</c:v>
                </c:pt>
                <c:pt idx="77">
                  <c:v>93.766585636459965</c:v>
                </c:pt>
                <c:pt idx="78">
                  <c:v>93.712069841156335</c:v>
                </c:pt>
                <c:pt idx="79">
                  <c:v>93.657412896200768</c:v>
                </c:pt>
                <c:pt idx="80">
                  <c:v>93.602623066147672</c:v>
                </c:pt>
                <c:pt idx="81">
                  <c:v>93.5477082022079</c:v>
                </c:pt>
                <c:pt idx="82">
                  <c:v>93.492675767310956</c:v>
                </c:pt>
                <c:pt idx="83">
                  <c:v>93.437532859367039</c:v>
                </c:pt>
                <c:pt idx="84">
                  <c:v>93.382286232878556</c:v>
                </c:pt>
                <c:pt idx="85">
                  <c:v>93.326942319035595</c:v>
                </c:pt>
                <c:pt idx="86">
                  <c:v>93.271507244418373</c:v>
                </c:pt>
                <c:pt idx="87">
                  <c:v>93.215986848417799</c:v>
                </c:pt>
                <c:pt idx="88">
                  <c:v>93.160386699475509</c:v>
                </c:pt>
                <c:pt idx="89">
                  <c:v>93.104712110235866</c:v>
                </c:pt>
                <c:pt idx="90">
                  <c:v>93.048968151693728</c:v>
                </c:pt>
                <c:pt idx="91">
                  <c:v>92.993159666414968</c:v>
                </c:pt>
                <c:pt idx="92">
                  <c:v>92.937291280899899</c:v>
                </c:pt>
                <c:pt idx="93">
                  <c:v>92.881367417153484</c:v>
                </c:pt>
                <c:pt idx="94">
                  <c:v>92.825392303521483</c:v>
                </c:pt>
                <c:pt idx="95">
                  <c:v>92.769369984845866</c:v>
                </c:pt>
                <c:pt idx="96">
                  <c:v>92.713304331989121</c:v>
                </c:pt>
                <c:pt idx="97">
                  <c:v>92.657199050772704</c:v>
                </c:pt>
                <c:pt idx="98">
                  <c:v>92.601057690371135</c:v>
                </c:pt>
                <c:pt idx="99">
                  <c:v>92.544883651200223</c:v>
                </c:pt>
                <c:pt idx="100">
                  <c:v>92.488680192334343</c:v>
                </c:pt>
                <c:pt idx="101">
                  <c:v>92.432450438485574</c:v>
                </c:pt>
                <c:pt idx="102">
                  <c:v>92.376197386574205</c:v>
                </c:pt>
                <c:pt idx="103">
                  <c:v>92.319923911918707</c:v>
                </c:pt>
                <c:pt idx="104">
                  <c:v>92.263632774070203</c:v>
                </c:pt>
                <c:pt idx="105">
                  <c:v>92.207326622315236</c:v>
                </c:pt>
                <c:pt idx="106">
                  <c:v>92.151008000868714</c:v>
                </c:pt>
                <c:pt idx="107">
                  <c:v>92.094679353776996</c:v>
                </c:pt>
                <c:pt idx="108">
                  <c:v>92.038343029549793</c:v>
                </c:pt>
                <c:pt idx="109">
                  <c:v>91.98200128553853</c:v>
                </c:pt>
                <c:pt idx="110">
                  <c:v>91.925656292076823</c:v>
                </c:pt>
                <c:pt idx="111">
                  <c:v>91.869310136398269</c:v>
                </c:pt>
                <c:pt idx="112">
                  <c:v>91.81296482634535</c:v>
                </c:pt>
                <c:pt idx="113">
                  <c:v>91.756622293882174</c:v>
                </c:pt>
                <c:pt idx="114">
                  <c:v>91.700284398423221</c:v>
                </c:pt>
                <c:pt idx="115">
                  <c:v>91.643952929989297</c:v>
                </c:pt>
                <c:pt idx="116">
                  <c:v>91.587629612200658</c:v>
                </c:pt>
                <c:pt idx="117">
                  <c:v>91.531316105117639</c:v>
                </c:pt>
                <c:pt idx="118">
                  <c:v>91.47501400793719</c:v>
                </c:pt>
                <c:pt idx="119">
                  <c:v>91.418724861554196</c:v>
                </c:pt>
                <c:pt idx="120">
                  <c:v>91.362450150995116</c:v>
                </c:pt>
                <c:pt idx="121">
                  <c:v>91.306191307731524</c:v>
                </c:pt>
                <c:pt idx="122">
                  <c:v>91.249949711880276</c:v>
                </c:pt>
                <c:pt idx="123">
                  <c:v>91.193726694296814</c:v>
                </c:pt>
                <c:pt idx="124">
                  <c:v>91.137523538567507</c:v>
                </c:pt>
                <c:pt idx="125">
                  <c:v>91.081341482906794</c:v>
                </c:pt>
                <c:pt idx="126">
                  <c:v>91.025181721964259</c:v>
                </c:pt>
                <c:pt idx="127">
                  <c:v>90.969045408546663</c:v>
                </c:pt>
                <c:pt idx="128">
                  <c:v>90.912933655259607</c:v>
                </c:pt>
                <c:pt idx="129">
                  <c:v>90.856847536073033</c:v>
                </c:pt>
                <c:pt idx="130">
                  <c:v>90.800788087814709</c:v>
                </c:pt>
                <c:pt idx="131">
                  <c:v>90.744756311595665</c:v>
                </c:pt>
                <c:pt idx="132">
                  <c:v>90.688753174170841</c:v>
                </c:pt>
                <c:pt idx="133">
                  <c:v>90.632779609238838</c:v>
                </c:pt>
                <c:pt idx="134">
                  <c:v>90.576836518683407</c:v>
                </c:pt>
                <c:pt idx="135">
                  <c:v>90.520924773760029</c:v>
                </c:pt>
                <c:pt idx="136">
                  <c:v>90.465045216230294</c:v>
                </c:pt>
                <c:pt idx="137">
                  <c:v>90.409198659446858</c:v>
                </c:pt>
                <c:pt idx="138">
                  <c:v>90.353385889391149</c:v>
                </c:pt>
                <c:pt idx="139">
                  <c:v>90.297607665666618</c:v>
                </c:pt>
                <c:pt idx="140">
                  <c:v>90.241864722449407</c:v>
                </c:pt>
                <c:pt idx="141">
                  <c:v>90.18615776939869</c:v>
                </c:pt>
                <c:pt idx="142">
                  <c:v>90.130487492528772</c:v>
                </c:pt>
                <c:pt idx="143">
                  <c:v>90.07485455504451</c:v>
                </c:pt>
                <c:pt idx="144">
                  <c:v>90.019259598142142</c:v>
                </c:pt>
                <c:pt idx="145">
                  <c:v>89.963703241776955</c:v>
                </c:pt>
                <c:pt idx="146">
                  <c:v>89.908186085399663</c:v>
                </c:pt>
                <c:pt idx="147">
                  <c:v>89.852708708662547</c:v>
                </c:pt>
                <c:pt idx="148">
                  <c:v>89.797271672097196</c:v>
                </c:pt>
                <c:pt idx="149">
                  <c:v>89.741875517765038</c:v>
                </c:pt>
                <c:pt idx="150">
                  <c:v>89.68652076988171</c:v>
                </c:pt>
              </c:numCache>
            </c:numRef>
          </c:yVal>
          <c:smooth val="0"/>
          <c:extLst>
            <c:ext xmlns:c16="http://schemas.microsoft.com/office/drawing/2014/chart" uri="{C3380CC4-5D6E-409C-BE32-E72D297353CC}">
              <c16:uniqueId val="{00000000-6DF5-4D18-8D30-EE142E0FBE5F}"/>
            </c:ext>
          </c:extLst>
        </c:ser>
        <c:dLbls>
          <c:showLegendKey val="0"/>
          <c:showVal val="0"/>
          <c:showCatName val="0"/>
          <c:showSerName val="0"/>
          <c:showPercent val="0"/>
          <c:showBubbleSize val="0"/>
        </c:dLbls>
        <c:axId val="361445248"/>
        <c:axId val="361446784"/>
      </c:scatterChart>
      <c:scatterChart>
        <c:scatterStyle val="smoothMarker"/>
        <c:varyColors val="0"/>
        <c:ser>
          <c:idx val="1"/>
          <c:order val="1"/>
          <c:tx>
            <c:v>LS MOSFET</c:v>
          </c:tx>
          <c:spPr>
            <a:ln>
              <a:solidFill>
                <a:schemeClr val="tx2">
                  <a:lumMod val="75000"/>
                </a:schemeClr>
              </a:solidFill>
              <a:prstDash val="dashDot"/>
            </a:ln>
          </c:spPr>
          <c:marker>
            <c:symbol val="none"/>
          </c:marker>
          <c:xVal>
            <c:numRef>
              <c:f>Eff_vs_IOUT!$S$7:$S$157</c:f>
              <c:numCache>
                <c:formatCode>General</c:formatCode>
                <c:ptCount val="151"/>
                <c:pt idx="0">
                  <c:v>0</c:v>
                </c:pt>
                <c:pt idx="1">
                  <c:v>3.3333333333333333E-2</c:v>
                </c:pt>
                <c:pt idx="2">
                  <c:v>6.6666666666666666E-2</c:v>
                </c:pt>
                <c:pt idx="3">
                  <c:v>0.1</c:v>
                </c:pt>
                <c:pt idx="4">
                  <c:v>0.13333333333333333</c:v>
                </c:pt>
                <c:pt idx="5">
                  <c:v>0.16666666666666666</c:v>
                </c:pt>
                <c:pt idx="6">
                  <c:v>0.2</c:v>
                </c:pt>
                <c:pt idx="7">
                  <c:v>0.23333333333333334</c:v>
                </c:pt>
                <c:pt idx="8">
                  <c:v>0.26666666666666666</c:v>
                </c:pt>
                <c:pt idx="9">
                  <c:v>0.3</c:v>
                </c:pt>
                <c:pt idx="10">
                  <c:v>0.33333333333333331</c:v>
                </c:pt>
                <c:pt idx="11">
                  <c:v>0.36666666666666664</c:v>
                </c:pt>
                <c:pt idx="12">
                  <c:v>0.4</c:v>
                </c:pt>
                <c:pt idx="13">
                  <c:v>0.43333333333333335</c:v>
                </c:pt>
                <c:pt idx="14">
                  <c:v>0.46666666666666667</c:v>
                </c:pt>
                <c:pt idx="15">
                  <c:v>0.5</c:v>
                </c:pt>
                <c:pt idx="16">
                  <c:v>0.53333333333333333</c:v>
                </c:pt>
                <c:pt idx="17">
                  <c:v>0.56666666666666665</c:v>
                </c:pt>
                <c:pt idx="18">
                  <c:v>0.6</c:v>
                </c:pt>
                <c:pt idx="19">
                  <c:v>0.6333333333333333</c:v>
                </c:pt>
                <c:pt idx="20">
                  <c:v>0.66666666666666663</c:v>
                </c:pt>
                <c:pt idx="21">
                  <c:v>0.7</c:v>
                </c:pt>
                <c:pt idx="22">
                  <c:v>0.73333333333333328</c:v>
                </c:pt>
                <c:pt idx="23">
                  <c:v>0.76666666666666661</c:v>
                </c:pt>
                <c:pt idx="24">
                  <c:v>0.8</c:v>
                </c:pt>
                <c:pt idx="25">
                  <c:v>0.83333333333333337</c:v>
                </c:pt>
                <c:pt idx="26">
                  <c:v>0.8666666666666667</c:v>
                </c:pt>
                <c:pt idx="27">
                  <c:v>0.9</c:v>
                </c:pt>
                <c:pt idx="28">
                  <c:v>0.93333333333333335</c:v>
                </c:pt>
                <c:pt idx="29">
                  <c:v>0.96666666666666667</c:v>
                </c:pt>
                <c:pt idx="30">
                  <c:v>1</c:v>
                </c:pt>
                <c:pt idx="31">
                  <c:v>1.0333333333333332</c:v>
                </c:pt>
                <c:pt idx="32">
                  <c:v>1.0666666666666667</c:v>
                </c:pt>
                <c:pt idx="33">
                  <c:v>1.1000000000000001</c:v>
                </c:pt>
                <c:pt idx="34">
                  <c:v>1.1333333333333333</c:v>
                </c:pt>
                <c:pt idx="35">
                  <c:v>1.1666666666666667</c:v>
                </c:pt>
                <c:pt idx="36">
                  <c:v>1.2</c:v>
                </c:pt>
                <c:pt idx="37">
                  <c:v>1.2333333333333334</c:v>
                </c:pt>
                <c:pt idx="38">
                  <c:v>1.2666666666666666</c:v>
                </c:pt>
                <c:pt idx="39">
                  <c:v>1.3</c:v>
                </c:pt>
                <c:pt idx="40">
                  <c:v>1.3333333333333333</c:v>
                </c:pt>
                <c:pt idx="41">
                  <c:v>1.3666666666666667</c:v>
                </c:pt>
                <c:pt idx="42">
                  <c:v>1.4</c:v>
                </c:pt>
                <c:pt idx="43">
                  <c:v>1.4333333333333333</c:v>
                </c:pt>
                <c:pt idx="44">
                  <c:v>1.4666666666666666</c:v>
                </c:pt>
                <c:pt idx="45">
                  <c:v>1.5</c:v>
                </c:pt>
                <c:pt idx="46">
                  <c:v>1.5333333333333332</c:v>
                </c:pt>
                <c:pt idx="47">
                  <c:v>1.5666666666666667</c:v>
                </c:pt>
                <c:pt idx="48">
                  <c:v>1.6</c:v>
                </c:pt>
                <c:pt idx="49">
                  <c:v>1.6333333333333333</c:v>
                </c:pt>
                <c:pt idx="50">
                  <c:v>1.6666666666666667</c:v>
                </c:pt>
                <c:pt idx="51">
                  <c:v>1.7</c:v>
                </c:pt>
                <c:pt idx="52">
                  <c:v>1.7333333333333334</c:v>
                </c:pt>
                <c:pt idx="53">
                  <c:v>1.7666666666666666</c:v>
                </c:pt>
                <c:pt idx="54">
                  <c:v>1.8</c:v>
                </c:pt>
                <c:pt idx="55">
                  <c:v>1.8333333333333333</c:v>
                </c:pt>
                <c:pt idx="56">
                  <c:v>1.8666666666666667</c:v>
                </c:pt>
                <c:pt idx="57">
                  <c:v>1.9</c:v>
                </c:pt>
                <c:pt idx="58">
                  <c:v>1.9333333333333333</c:v>
                </c:pt>
                <c:pt idx="59">
                  <c:v>1.9666666666666666</c:v>
                </c:pt>
                <c:pt idx="60">
                  <c:v>2</c:v>
                </c:pt>
                <c:pt idx="61">
                  <c:v>2.0333333333333332</c:v>
                </c:pt>
                <c:pt idx="62">
                  <c:v>2.0666666666666664</c:v>
                </c:pt>
                <c:pt idx="63">
                  <c:v>2.1</c:v>
                </c:pt>
                <c:pt idx="64">
                  <c:v>2.1333333333333333</c:v>
                </c:pt>
                <c:pt idx="65">
                  <c:v>2.1666666666666665</c:v>
                </c:pt>
                <c:pt idx="66">
                  <c:v>2.2000000000000002</c:v>
                </c:pt>
                <c:pt idx="67">
                  <c:v>2.2333333333333334</c:v>
                </c:pt>
                <c:pt idx="68">
                  <c:v>2.2666666666666666</c:v>
                </c:pt>
                <c:pt idx="69">
                  <c:v>2.2999999999999998</c:v>
                </c:pt>
                <c:pt idx="70">
                  <c:v>2.3333333333333335</c:v>
                </c:pt>
                <c:pt idx="71">
                  <c:v>2.3666666666666667</c:v>
                </c:pt>
                <c:pt idx="72">
                  <c:v>2.4</c:v>
                </c:pt>
                <c:pt idx="73">
                  <c:v>2.4333333333333331</c:v>
                </c:pt>
                <c:pt idx="74">
                  <c:v>2.4666666666666668</c:v>
                </c:pt>
                <c:pt idx="75">
                  <c:v>2.5</c:v>
                </c:pt>
                <c:pt idx="76">
                  <c:v>2.5333333333333332</c:v>
                </c:pt>
                <c:pt idx="77">
                  <c:v>2.5666666666666664</c:v>
                </c:pt>
                <c:pt idx="78">
                  <c:v>2.6</c:v>
                </c:pt>
                <c:pt idx="79">
                  <c:v>2.6333333333333333</c:v>
                </c:pt>
                <c:pt idx="80">
                  <c:v>2.6666666666666665</c:v>
                </c:pt>
                <c:pt idx="81">
                  <c:v>2.7</c:v>
                </c:pt>
                <c:pt idx="82">
                  <c:v>2.7333333333333334</c:v>
                </c:pt>
                <c:pt idx="83">
                  <c:v>2.7666666666666666</c:v>
                </c:pt>
                <c:pt idx="84">
                  <c:v>2.8</c:v>
                </c:pt>
                <c:pt idx="85">
                  <c:v>2.8333333333333335</c:v>
                </c:pt>
                <c:pt idx="86">
                  <c:v>2.8666666666666667</c:v>
                </c:pt>
                <c:pt idx="87">
                  <c:v>2.9</c:v>
                </c:pt>
                <c:pt idx="88">
                  <c:v>2.9333333333333331</c:v>
                </c:pt>
                <c:pt idx="89">
                  <c:v>2.9666666666666668</c:v>
                </c:pt>
                <c:pt idx="90">
                  <c:v>3</c:v>
                </c:pt>
                <c:pt idx="91">
                  <c:v>3.0333333333333332</c:v>
                </c:pt>
                <c:pt idx="92">
                  <c:v>3.0666666666666664</c:v>
                </c:pt>
                <c:pt idx="93">
                  <c:v>3.1</c:v>
                </c:pt>
                <c:pt idx="94">
                  <c:v>3.1333333333333333</c:v>
                </c:pt>
                <c:pt idx="95">
                  <c:v>3.1666666666666665</c:v>
                </c:pt>
                <c:pt idx="96">
                  <c:v>3.2</c:v>
                </c:pt>
                <c:pt idx="97">
                  <c:v>3.2333333333333334</c:v>
                </c:pt>
                <c:pt idx="98">
                  <c:v>3.2666666666666666</c:v>
                </c:pt>
                <c:pt idx="99">
                  <c:v>3.3</c:v>
                </c:pt>
                <c:pt idx="100">
                  <c:v>3.3333333333333335</c:v>
                </c:pt>
                <c:pt idx="101">
                  <c:v>3.3666666666666667</c:v>
                </c:pt>
                <c:pt idx="102">
                  <c:v>3.4</c:v>
                </c:pt>
                <c:pt idx="103">
                  <c:v>3.4333333333333331</c:v>
                </c:pt>
                <c:pt idx="104">
                  <c:v>3.4666666666666668</c:v>
                </c:pt>
                <c:pt idx="105">
                  <c:v>3.5</c:v>
                </c:pt>
                <c:pt idx="106">
                  <c:v>3.5333333333333332</c:v>
                </c:pt>
                <c:pt idx="107">
                  <c:v>3.5666666666666664</c:v>
                </c:pt>
                <c:pt idx="108">
                  <c:v>3.6</c:v>
                </c:pt>
                <c:pt idx="109">
                  <c:v>3.6333333333333333</c:v>
                </c:pt>
                <c:pt idx="110">
                  <c:v>3.6666666666666665</c:v>
                </c:pt>
                <c:pt idx="111">
                  <c:v>3.6999999999999997</c:v>
                </c:pt>
                <c:pt idx="112">
                  <c:v>3.7333333333333334</c:v>
                </c:pt>
                <c:pt idx="113">
                  <c:v>3.7666666666666666</c:v>
                </c:pt>
                <c:pt idx="114">
                  <c:v>3.8</c:v>
                </c:pt>
                <c:pt idx="115">
                  <c:v>3.8333333333333335</c:v>
                </c:pt>
                <c:pt idx="116">
                  <c:v>3.8666666666666667</c:v>
                </c:pt>
                <c:pt idx="117">
                  <c:v>3.9</c:v>
                </c:pt>
                <c:pt idx="118">
                  <c:v>3.9333333333333331</c:v>
                </c:pt>
                <c:pt idx="119">
                  <c:v>3.9666666666666668</c:v>
                </c:pt>
                <c:pt idx="120">
                  <c:v>4</c:v>
                </c:pt>
                <c:pt idx="121">
                  <c:v>4.0333333333333332</c:v>
                </c:pt>
                <c:pt idx="122">
                  <c:v>4.0666666666666664</c:v>
                </c:pt>
                <c:pt idx="123">
                  <c:v>4.0999999999999996</c:v>
                </c:pt>
                <c:pt idx="124">
                  <c:v>4.1333333333333329</c:v>
                </c:pt>
                <c:pt idx="125">
                  <c:v>4.166666666666667</c:v>
                </c:pt>
                <c:pt idx="126">
                  <c:v>4.2</c:v>
                </c:pt>
                <c:pt idx="127">
                  <c:v>4.2333333333333334</c:v>
                </c:pt>
                <c:pt idx="128">
                  <c:v>4.2666666666666666</c:v>
                </c:pt>
                <c:pt idx="129">
                  <c:v>4.3</c:v>
                </c:pt>
                <c:pt idx="130">
                  <c:v>4.333333333333333</c:v>
                </c:pt>
                <c:pt idx="131">
                  <c:v>4.3666666666666663</c:v>
                </c:pt>
                <c:pt idx="132">
                  <c:v>4.4000000000000004</c:v>
                </c:pt>
                <c:pt idx="133">
                  <c:v>4.4333333333333336</c:v>
                </c:pt>
                <c:pt idx="134">
                  <c:v>4.4666666666666668</c:v>
                </c:pt>
                <c:pt idx="135">
                  <c:v>4.5</c:v>
                </c:pt>
                <c:pt idx="136">
                  <c:v>4.5333333333333332</c:v>
                </c:pt>
                <c:pt idx="137">
                  <c:v>4.5666666666666664</c:v>
                </c:pt>
                <c:pt idx="138">
                  <c:v>4.5999999999999996</c:v>
                </c:pt>
                <c:pt idx="139">
                  <c:v>4.6333333333333329</c:v>
                </c:pt>
                <c:pt idx="140">
                  <c:v>4.666666666666667</c:v>
                </c:pt>
                <c:pt idx="141">
                  <c:v>4.7</c:v>
                </c:pt>
                <c:pt idx="142">
                  <c:v>4.7333333333333334</c:v>
                </c:pt>
                <c:pt idx="143">
                  <c:v>4.7666666666666666</c:v>
                </c:pt>
                <c:pt idx="144">
                  <c:v>4.8</c:v>
                </c:pt>
                <c:pt idx="145">
                  <c:v>4.833333333333333</c:v>
                </c:pt>
                <c:pt idx="146">
                  <c:v>4.8666666666666663</c:v>
                </c:pt>
                <c:pt idx="147">
                  <c:v>4.9000000000000004</c:v>
                </c:pt>
                <c:pt idx="148">
                  <c:v>4.9333333333333336</c:v>
                </c:pt>
                <c:pt idx="149">
                  <c:v>4.9666666666666668</c:v>
                </c:pt>
                <c:pt idx="150">
                  <c:v>5</c:v>
                </c:pt>
              </c:numCache>
            </c:numRef>
          </c:xVal>
          <c:yVal>
            <c:numRef>
              <c:f>Eff_vs_IOUT!$AI$7:$AI$157</c:f>
              <c:numCache>
                <c:formatCode>General</c:formatCode>
                <c:ptCount val="151"/>
                <c:pt idx="0">
                  <c:v>7.1111111111111147E-5</c:v>
                </c:pt>
                <c:pt idx="1">
                  <c:v>1.9314232044459906E-3</c:v>
                </c:pt>
                <c:pt idx="2">
                  <c:v>3.7934019644475371E-3</c:v>
                </c:pt>
                <c:pt idx="3">
                  <c:v>5.6570473911157493E-3</c:v>
                </c:pt>
                <c:pt idx="4">
                  <c:v>7.5223594844506291E-3</c:v>
                </c:pt>
                <c:pt idx="5">
                  <c:v>9.3893382444521778E-3</c:v>
                </c:pt>
                <c:pt idx="6">
                  <c:v>1.1257983671120388E-2</c:v>
                </c:pt>
                <c:pt idx="7">
                  <c:v>1.3128295764455272E-2</c:v>
                </c:pt>
                <c:pt idx="8">
                  <c:v>1.5000274524456814E-2</c:v>
                </c:pt>
                <c:pt idx="9">
                  <c:v>1.6873919951125027E-2</c:v>
                </c:pt>
                <c:pt idx="10">
                  <c:v>1.8749232044459909E-2</c:v>
                </c:pt>
                <c:pt idx="11">
                  <c:v>2.0626210804461451E-2</c:v>
                </c:pt>
                <c:pt idx="12">
                  <c:v>2.2504856231129664E-2</c:v>
                </c:pt>
                <c:pt idx="13">
                  <c:v>2.4385168324464551E-2</c:v>
                </c:pt>
                <c:pt idx="14">
                  <c:v>2.6267147084466098E-2</c:v>
                </c:pt>
                <c:pt idx="15">
                  <c:v>2.8150792511134309E-2</c:v>
                </c:pt>
                <c:pt idx="16">
                  <c:v>3.0036104604469184E-2</c:v>
                </c:pt>
                <c:pt idx="17">
                  <c:v>3.1923083364470729E-2</c:v>
                </c:pt>
                <c:pt idx="18">
                  <c:v>3.3811728791138945E-2</c:v>
                </c:pt>
                <c:pt idx="19">
                  <c:v>3.5702040884473818E-2</c:v>
                </c:pt>
                <c:pt idx="20">
                  <c:v>3.7594019644475375E-2</c:v>
                </c:pt>
                <c:pt idx="21">
                  <c:v>3.9487665071143596E-2</c:v>
                </c:pt>
                <c:pt idx="22">
                  <c:v>4.138297716447846E-2</c:v>
                </c:pt>
                <c:pt idx="23">
                  <c:v>4.3279955924480015E-2</c:v>
                </c:pt>
                <c:pt idx="24">
                  <c:v>4.517860135114822E-2</c:v>
                </c:pt>
                <c:pt idx="25">
                  <c:v>4.7078913444483103E-2</c:v>
                </c:pt>
                <c:pt idx="26">
                  <c:v>4.8980892204484656E-2</c:v>
                </c:pt>
                <c:pt idx="27">
                  <c:v>5.0884537631152853E-2</c:v>
                </c:pt>
                <c:pt idx="28">
                  <c:v>5.2789849724487754E-2</c:v>
                </c:pt>
                <c:pt idx="29">
                  <c:v>5.4696828484489285E-2</c:v>
                </c:pt>
                <c:pt idx="30">
                  <c:v>5.6605473911157507E-2</c:v>
                </c:pt>
                <c:pt idx="31">
                  <c:v>5.8515786004492386E-2</c:v>
                </c:pt>
                <c:pt idx="32">
                  <c:v>6.0427764764493921E-2</c:v>
                </c:pt>
                <c:pt idx="33">
                  <c:v>6.2341410191162148E-2</c:v>
                </c:pt>
                <c:pt idx="34">
                  <c:v>6.4256722284497025E-2</c:v>
                </c:pt>
                <c:pt idx="35">
                  <c:v>6.6173701044498573E-2</c:v>
                </c:pt>
                <c:pt idx="36">
                  <c:v>6.8092346471166784E-2</c:v>
                </c:pt>
                <c:pt idx="37">
                  <c:v>7.0012658564501673E-2</c:v>
                </c:pt>
                <c:pt idx="38">
                  <c:v>7.1934637324503184E-2</c:v>
                </c:pt>
                <c:pt idx="39">
                  <c:v>7.3858282751171414E-2</c:v>
                </c:pt>
                <c:pt idx="40">
                  <c:v>7.5783594844506308E-2</c:v>
                </c:pt>
                <c:pt idx="41">
                  <c:v>7.7710573604507865E-2</c:v>
                </c:pt>
                <c:pt idx="42">
                  <c:v>7.9639219031176087E-2</c:v>
                </c:pt>
                <c:pt idx="43">
                  <c:v>8.156953112451093E-2</c:v>
                </c:pt>
                <c:pt idx="44">
                  <c:v>8.3501509884512479E-2</c:v>
                </c:pt>
                <c:pt idx="45">
                  <c:v>8.5435155311180705E-2</c:v>
                </c:pt>
                <c:pt idx="46">
                  <c:v>8.7370467404515581E-2</c:v>
                </c:pt>
                <c:pt idx="47">
                  <c:v>8.9307446164517149E-2</c:v>
                </c:pt>
                <c:pt idx="48">
                  <c:v>9.1246091591185324E-2</c:v>
                </c:pt>
                <c:pt idx="49">
                  <c:v>9.3186403684520205E-2</c:v>
                </c:pt>
                <c:pt idx="50">
                  <c:v>9.5128382444521764E-2</c:v>
                </c:pt>
                <c:pt idx="51">
                  <c:v>9.7072027871189973E-2</c:v>
                </c:pt>
                <c:pt idx="52">
                  <c:v>9.9017339964524873E-2</c:v>
                </c:pt>
                <c:pt idx="53">
                  <c:v>0.10096431872452638</c:v>
                </c:pt>
                <c:pt idx="54">
                  <c:v>0.10291296415119459</c:v>
                </c:pt>
                <c:pt idx="55">
                  <c:v>0.10486327624452949</c:v>
                </c:pt>
                <c:pt idx="56">
                  <c:v>0.10681525500453107</c:v>
                </c:pt>
                <c:pt idx="57">
                  <c:v>0.10876890043119926</c:v>
                </c:pt>
                <c:pt idx="58">
                  <c:v>0.11072421252453413</c:v>
                </c:pt>
                <c:pt idx="59">
                  <c:v>0.11268119128453567</c:v>
                </c:pt>
                <c:pt idx="60">
                  <c:v>0.1146398367112039</c:v>
                </c:pt>
                <c:pt idx="61">
                  <c:v>0.11660014880453877</c:v>
                </c:pt>
                <c:pt idx="62">
                  <c:v>0.11856212756454032</c:v>
                </c:pt>
                <c:pt idx="63">
                  <c:v>0.12052577299120854</c:v>
                </c:pt>
                <c:pt idx="64">
                  <c:v>0.1224910850845434</c:v>
                </c:pt>
                <c:pt idx="65">
                  <c:v>0.12445806384454496</c:v>
                </c:pt>
                <c:pt idx="66">
                  <c:v>0.12642670927121319</c:v>
                </c:pt>
                <c:pt idx="67">
                  <c:v>0.12839702136454806</c:v>
                </c:pt>
                <c:pt idx="68">
                  <c:v>0.13036900012454961</c:v>
                </c:pt>
                <c:pt idx="69">
                  <c:v>0.1323426455512178</c:v>
                </c:pt>
                <c:pt idx="70">
                  <c:v>0.13431795764455268</c:v>
                </c:pt>
                <c:pt idx="71">
                  <c:v>0.13629493640455426</c:v>
                </c:pt>
                <c:pt idx="72">
                  <c:v>0.13827358183122246</c:v>
                </c:pt>
                <c:pt idx="73">
                  <c:v>0.14025389392455734</c:v>
                </c:pt>
                <c:pt idx="74">
                  <c:v>0.14223587268455889</c:v>
                </c:pt>
                <c:pt idx="75">
                  <c:v>0.1442195181112271</c:v>
                </c:pt>
                <c:pt idx="76">
                  <c:v>0.14620483020456193</c:v>
                </c:pt>
                <c:pt idx="77">
                  <c:v>0.14819180896456352</c:v>
                </c:pt>
                <c:pt idx="78">
                  <c:v>0.15018045439123173</c:v>
                </c:pt>
                <c:pt idx="79">
                  <c:v>0.15217076648456662</c:v>
                </c:pt>
                <c:pt idx="80">
                  <c:v>0.15416274524456816</c:v>
                </c:pt>
                <c:pt idx="81">
                  <c:v>0.15615639067123635</c:v>
                </c:pt>
                <c:pt idx="82">
                  <c:v>0.1581517027645713</c:v>
                </c:pt>
                <c:pt idx="83">
                  <c:v>0.16014868152457276</c:v>
                </c:pt>
                <c:pt idx="84">
                  <c:v>0.16214732695124104</c:v>
                </c:pt>
                <c:pt idx="85">
                  <c:v>0.16414763904457588</c:v>
                </c:pt>
                <c:pt idx="86">
                  <c:v>0.16614961780457743</c:v>
                </c:pt>
                <c:pt idx="87">
                  <c:v>0.16815326323124563</c:v>
                </c:pt>
                <c:pt idx="88">
                  <c:v>0.17015857532458051</c:v>
                </c:pt>
                <c:pt idx="89">
                  <c:v>0.17216555408458209</c:v>
                </c:pt>
                <c:pt idx="90">
                  <c:v>0.17417419951125029</c:v>
                </c:pt>
                <c:pt idx="91">
                  <c:v>0.17618451160458512</c:v>
                </c:pt>
                <c:pt idx="92">
                  <c:v>0.17819649036458671</c:v>
                </c:pt>
                <c:pt idx="93">
                  <c:v>0.18021013579125492</c:v>
                </c:pt>
                <c:pt idx="94">
                  <c:v>0.18222544788458983</c:v>
                </c:pt>
                <c:pt idx="95">
                  <c:v>0.18424242664459134</c:v>
                </c:pt>
                <c:pt idx="96">
                  <c:v>0.18626107207125953</c:v>
                </c:pt>
                <c:pt idx="97">
                  <c:v>0.1882813841645945</c:v>
                </c:pt>
                <c:pt idx="98">
                  <c:v>0.19030336292459596</c:v>
                </c:pt>
                <c:pt idx="99">
                  <c:v>0.19232700835126423</c:v>
                </c:pt>
                <c:pt idx="100">
                  <c:v>0.19435232044459907</c:v>
                </c:pt>
                <c:pt idx="101">
                  <c:v>0.19637929920460062</c:v>
                </c:pt>
                <c:pt idx="102">
                  <c:v>0.19840794463126885</c:v>
                </c:pt>
                <c:pt idx="103">
                  <c:v>0.20043825672460369</c:v>
                </c:pt>
                <c:pt idx="104">
                  <c:v>0.2024702354846053</c:v>
                </c:pt>
                <c:pt idx="105">
                  <c:v>0.2045038809112735</c:v>
                </c:pt>
                <c:pt idx="106">
                  <c:v>0.20653919300460832</c:v>
                </c:pt>
                <c:pt idx="107">
                  <c:v>0.20857617176460988</c:v>
                </c:pt>
                <c:pt idx="108">
                  <c:v>0.21061481719127809</c:v>
                </c:pt>
                <c:pt idx="109">
                  <c:v>0.21265512928461303</c:v>
                </c:pt>
                <c:pt idx="110">
                  <c:v>0.21469710804461453</c:v>
                </c:pt>
                <c:pt idx="111">
                  <c:v>0.21674075347128274</c:v>
                </c:pt>
                <c:pt idx="112">
                  <c:v>0.21878606556461769</c:v>
                </c:pt>
                <c:pt idx="113">
                  <c:v>0.22083304432461917</c:v>
                </c:pt>
                <c:pt idx="114">
                  <c:v>0.22288168975128742</c:v>
                </c:pt>
                <c:pt idx="115">
                  <c:v>0.22493200184462228</c:v>
                </c:pt>
                <c:pt idx="116">
                  <c:v>0.2269839806046238</c:v>
                </c:pt>
                <c:pt idx="117">
                  <c:v>0.22903762603129207</c:v>
                </c:pt>
                <c:pt idx="118">
                  <c:v>0.23109293812462689</c:v>
                </c:pt>
                <c:pt idx="119">
                  <c:v>0.23314991688462849</c:v>
                </c:pt>
                <c:pt idx="120">
                  <c:v>0.23520856231129669</c:v>
                </c:pt>
                <c:pt idx="121">
                  <c:v>0.23726887440463151</c:v>
                </c:pt>
                <c:pt idx="122">
                  <c:v>0.23933085316463307</c:v>
                </c:pt>
                <c:pt idx="123">
                  <c:v>0.24139449859130127</c:v>
                </c:pt>
                <c:pt idx="124">
                  <c:v>0.24345981068463621</c:v>
                </c:pt>
                <c:pt idx="125">
                  <c:v>0.24552678944463774</c:v>
                </c:pt>
                <c:pt idx="126">
                  <c:v>0.24759543487130597</c:v>
                </c:pt>
                <c:pt idx="127">
                  <c:v>0.24966574696464089</c:v>
                </c:pt>
                <c:pt idx="128">
                  <c:v>0.25173772572464237</c:v>
                </c:pt>
                <c:pt idx="129">
                  <c:v>0.25381137115131058</c:v>
                </c:pt>
                <c:pt idx="130">
                  <c:v>0.25588668324464547</c:v>
                </c:pt>
                <c:pt idx="131">
                  <c:v>0.25796366200464699</c:v>
                </c:pt>
                <c:pt idx="132">
                  <c:v>0.26004230743131529</c:v>
                </c:pt>
                <c:pt idx="133">
                  <c:v>0.26212261952465016</c:v>
                </c:pt>
                <c:pt idx="134">
                  <c:v>0.2642045982846517</c:v>
                </c:pt>
                <c:pt idx="135">
                  <c:v>0.26628824371131987</c:v>
                </c:pt>
                <c:pt idx="136">
                  <c:v>0.26837355580465477</c:v>
                </c:pt>
                <c:pt idx="137">
                  <c:v>0.2704605345646563</c:v>
                </c:pt>
                <c:pt idx="138">
                  <c:v>0.2725491799913245</c:v>
                </c:pt>
                <c:pt idx="139">
                  <c:v>0.27463949208465938</c:v>
                </c:pt>
                <c:pt idx="140">
                  <c:v>0.27673147084466093</c:v>
                </c:pt>
                <c:pt idx="141">
                  <c:v>0.27882511627132911</c:v>
                </c:pt>
                <c:pt idx="142">
                  <c:v>0.28092042836466408</c:v>
                </c:pt>
                <c:pt idx="143">
                  <c:v>0.2830174071246655</c:v>
                </c:pt>
                <c:pt idx="144">
                  <c:v>0.28511605255133377</c:v>
                </c:pt>
                <c:pt idx="145">
                  <c:v>0.28721636464466871</c:v>
                </c:pt>
                <c:pt idx="146">
                  <c:v>0.28931834340467022</c:v>
                </c:pt>
                <c:pt idx="147">
                  <c:v>0.29142198883133852</c:v>
                </c:pt>
                <c:pt idx="148">
                  <c:v>0.29352730092467338</c:v>
                </c:pt>
                <c:pt idx="149">
                  <c:v>0.29563427968467487</c:v>
                </c:pt>
                <c:pt idx="150">
                  <c:v>0.29774292511134309</c:v>
                </c:pt>
              </c:numCache>
            </c:numRef>
          </c:yVal>
          <c:smooth val="1"/>
          <c:extLst>
            <c:ext xmlns:c16="http://schemas.microsoft.com/office/drawing/2014/chart" uri="{C3380CC4-5D6E-409C-BE32-E72D297353CC}">
              <c16:uniqueId val="{00000001-6DF5-4D18-8D30-EE142E0FBE5F}"/>
            </c:ext>
          </c:extLst>
        </c:ser>
        <c:ser>
          <c:idx val="2"/>
          <c:order val="2"/>
          <c:tx>
            <c:v>HS MOSFET</c:v>
          </c:tx>
          <c:spPr>
            <a:ln>
              <a:solidFill>
                <a:schemeClr val="bg2">
                  <a:lumMod val="50000"/>
                </a:schemeClr>
              </a:solidFill>
              <a:prstDash val="sysDash"/>
            </a:ln>
          </c:spPr>
          <c:marker>
            <c:symbol val="none"/>
          </c:marker>
          <c:xVal>
            <c:numRef>
              <c:f>Eff_vs_IOUT!$S$7:$S$157</c:f>
              <c:numCache>
                <c:formatCode>General</c:formatCode>
                <c:ptCount val="151"/>
                <c:pt idx="0">
                  <c:v>0</c:v>
                </c:pt>
                <c:pt idx="1">
                  <c:v>3.3333333333333333E-2</c:v>
                </c:pt>
                <c:pt idx="2">
                  <c:v>6.6666666666666666E-2</c:v>
                </c:pt>
                <c:pt idx="3">
                  <c:v>0.1</c:v>
                </c:pt>
                <c:pt idx="4">
                  <c:v>0.13333333333333333</c:v>
                </c:pt>
                <c:pt idx="5">
                  <c:v>0.16666666666666666</c:v>
                </c:pt>
                <c:pt idx="6">
                  <c:v>0.2</c:v>
                </c:pt>
                <c:pt idx="7">
                  <c:v>0.23333333333333334</c:v>
                </c:pt>
                <c:pt idx="8">
                  <c:v>0.26666666666666666</c:v>
                </c:pt>
                <c:pt idx="9">
                  <c:v>0.3</c:v>
                </c:pt>
                <c:pt idx="10">
                  <c:v>0.33333333333333331</c:v>
                </c:pt>
                <c:pt idx="11">
                  <c:v>0.36666666666666664</c:v>
                </c:pt>
                <c:pt idx="12">
                  <c:v>0.4</c:v>
                </c:pt>
                <c:pt idx="13">
                  <c:v>0.43333333333333335</c:v>
                </c:pt>
                <c:pt idx="14">
                  <c:v>0.46666666666666667</c:v>
                </c:pt>
                <c:pt idx="15">
                  <c:v>0.5</c:v>
                </c:pt>
                <c:pt idx="16">
                  <c:v>0.53333333333333333</c:v>
                </c:pt>
                <c:pt idx="17">
                  <c:v>0.56666666666666665</c:v>
                </c:pt>
                <c:pt idx="18">
                  <c:v>0.6</c:v>
                </c:pt>
                <c:pt idx="19">
                  <c:v>0.6333333333333333</c:v>
                </c:pt>
                <c:pt idx="20">
                  <c:v>0.66666666666666663</c:v>
                </c:pt>
                <c:pt idx="21">
                  <c:v>0.7</c:v>
                </c:pt>
                <c:pt idx="22">
                  <c:v>0.73333333333333328</c:v>
                </c:pt>
                <c:pt idx="23">
                  <c:v>0.76666666666666661</c:v>
                </c:pt>
                <c:pt idx="24">
                  <c:v>0.8</c:v>
                </c:pt>
                <c:pt idx="25">
                  <c:v>0.83333333333333337</c:v>
                </c:pt>
                <c:pt idx="26">
                  <c:v>0.8666666666666667</c:v>
                </c:pt>
                <c:pt idx="27">
                  <c:v>0.9</c:v>
                </c:pt>
                <c:pt idx="28">
                  <c:v>0.93333333333333335</c:v>
                </c:pt>
                <c:pt idx="29">
                  <c:v>0.96666666666666667</c:v>
                </c:pt>
                <c:pt idx="30">
                  <c:v>1</c:v>
                </c:pt>
                <c:pt idx="31">
                  <c:v>1.0333333333333332</c:v>
                </c:pt>
                <c:pt idx="32">
                  <c:v>1.0666666666666667</c:v>
                </c:pt>
                <c:pt idx="33">
                  <c:v>1.1000000000000001</c:v>
                </c:pt>
                <c:pt idx="34">
                  <c:v>1.1333333333333333</c:v>
                </c:pt>
                <c:pt idx="35">
                  <c:v>1.1666666666666667</c:v>
                </c:pt>
                <c:pt idx="36">
                  <c:v>1.2</c:v>
                </c:pt>
                <c:pt idx="37">
                  <c:v>1.2333333333333334</c:v>
                </c:pt>
                <c:pt idx="38">
                  <c:v>1.2666666666666666</c:v>
                </c:pt>
                <c:pt idx="39">
                  <c:v>1.3</c:v>
                </c:pt>
                <c:pt idx="40">
                  <c:v>1.3333333333333333</c:v>
                </c:pt>
                <c:pt idx="41">
                  <c:v>1.3666666666666667</c:v>
                </c:pt>
                <c:pt idx="42">
                  <c:v>1.4</c:v>
                </c:pt>
                <c:pt idx="43">
                  <c:v>1.4333333333333333</c:v>
                </c:pt>
                <c:pt idx="44">
                  <c:v>1.4666666666666666</c:v>
                </c:pt>
                <c:pt idx="45">
                  <c:v>1.5</c:v>
                </c:pt>
                <c:pt idx="46">
                  <c:v>1.5333333333333332</c:v>
                </c:pt>
                <c:pt idx="47">
                  <c:v>1.5666666666666667</c:v>
                </c:pt>
                <c:pt idx="48">
                  <c:v>1.6</c:v>
                </c:pt>
                <c:pt idx="49">
                  <c:v>1.6333333333333333</c:v>
                </c:pt>
                <c:pt idx="50">
                  <c:v>1.6666666666666667</c:v>
                </c:pt>
                <c:pt idx="51">
                  <c:v>1.7</c:v>
                </c:pt>
                <c:pt idx="52">
                  <c:v>1.7333333333333334</c:v>
                </c:pt>
                <c:pt idx="53">
                  <c:v>1.7666666666666666</c:v>
                </c:pt>
                <c:pt idx="54">
                  <c:v>1.8</c:v>
                </c:pt>
                <c:pt idx="55">
                  <c:v>1.8333333333333333</c:v>
                </c:pt>
                <c:pt idx="56">
                  <c:v>1.8666666666666667</c:v>
                </c:pt>
                <c:pt idx="57">
                  <c:v>1.9</c:v>
                </c:pt>
                <c:pt idx="58">
                  <c:v>1.9333333333333333</c:v>
                </c:pt>
                <c:pt idx="59">
                  <c:v>1.9666666666666666</c:v>
                </c:pt>
                <c:pt idx="60">
                  <c:v>2</c:v>
                </c:pt>
                <c:pt idx="61">
                  <c:v>2.0333333333333332</c:v>
                </c:pt>
                <c:pt idx="62">
                  <c:v>2.0666666666666664</c:v>
                </c:pt>
                <c:pt idx="63">
                  <c:v>2.1</c:v>
                </c:pt>
                <c:pt idx="64">
                  <c:v>2.1333333333333333</c:v>
                </c:pt>
                <c:pt idx="65">
                  <c:v>2.1666666666666665</c:v>
                </c:pt>
                <c:pt idx="66">
                  <c:v>2.2000000000000002</c:v>
                </c:pt>
                <c:pt idx="67">
                  <c:v>2.2333333333333334</c:v>
                </c:pt>
                <c:pt idx="68">
                  <c:v>2.2666666666666666</c:v>
                </c:pt>
                <c:pt idx="69">
                  <c:v>2.2999999999999998</c:v>
                </c:pt>
                <c:pt idx="70">
                  <c:v>2.3333333333333335</c:v>
                </c:pt>
                <c:pt idx="71">
                  <c:v>2.3666666666666667</c:v>
                </c:pt>
                <c:pt idx="72">
                  <c:v>2.4</c:v>
                </c:pt>
                <c:pt idx="73">
                  <c:v>2.4333333333333331</c:v>
                </c:pt>
                <c:pt idx="74">
                  <c:v>2.4666666666666668</c:v>
                </c:pt>
                <c:pt idx="75">
                  <c:v>2.5</c:v>
                </c:pt>
                <c:pt idx="76">
                  <c:v>2.5333333333333332</c:v>
                </c:pt>
                <c:pt idx="77">
                  <c:v>2.5666666666666664</c:v>
                </c:pt>
                <c:pt idx="78">
                  <c:v>2.6</c:v>
                </c:pt>
                <c:pt idx="79">
                  <c:v>2.6333333333333333</c:v>
                </c:pt>
                <c:pt idx="80">
                  <c:v>2.6666666666666665</c:v>
                </c:pt>
                <c:pt idx="81">
                  <c:v>2.7</c:v>
                </c:pt>
                <c:pt idx="82">
                  <c:v>2.7333333333333334</c:v>
                </c:pt>
                <c:pt idx="83">
                  <c:v>2.7666666666666666</c:v>
                </c:pt>
                <c:pt idx="84">
                  <c:v>2.8</c:v>
                </c:pt>
                <c:pt idx="85">
                  <c:v>2.8333333333333335</c:v>
                </c:pt>
                <c:pt idx="86">
                  <c:v>2.8666666666666667</c:v>
                </c:pt>
                <c:pt idx="87">
                  <c:v>2.9</c:v>
                </c:pt>
                <c:pt idx="88">
                  <c:v>2.9333333333333331</c:v>
                </c:pt>
                <c:pt idx="89">
                  <c:v>2.9666666666666668</c:v>
                </c:pt>
                <c:pt idx="90">
                  <c:v>3</c:v>
                </c:pt>
                <c:pt idx="91">
                  <c:v>3.0333333333333332</c:v>
                </c:pt>
                <c:pt idx="92">
                  <c:v>3.0666666666666664</c:v>
                </c:pt>
                <c:pt idx="93">
                  <c:v>3.1</c:v>
                </c:pt>
                <c:pt idx="94">
                  <c:v>3.1333333333333333</c:v>
                </c:pt>
                <c:pt idx="95">
                  <c:v>3.1666666666666665</c:v>
                </c:pt>
                <c:pt idx="96">
                  <c:v>3.2</c:v>
                </c:pt>
                <c:pt idx="97">
                  <c:v>3.2333333333333334</c:v>
                </c:pt>
                <c:pt idx="98">
                  <c:v>3.2666666666666666</c:v>
                </c:pt>
                <c:pt idx="99">
                  <c:v>3.3</c:v>
                </c:pt>
                <c:pt idx="100">
                  <c:v>3.3333333333333335</c:v>
                </c:pt>
                <c:pt idx="101">
                  <c:v>3.3666666666666667</c:v>
                </c:pt>
                <c:pt idx="102">
                  <c:v>3.4</c:v>
                </c:pt>
                <c:pt idx="103">
                  <c:v>3.4333333333333331</c:v>
                </c:pt>
                <c:pt idx="104">
                  <c:v>3.4666666666666668</c:v>
                </c:pt>
                <c:pt idx="105">
                  <c:v>3.5</c:v>
                </c:pt>
                <c:pt idx="106">
                  <c:v>3.5333333333333332</c:v>
                </c:pt>
                <c:pt idx="107">
                  <c:v>3.5666666666666664</c:v>
                </c:pt>
                <c:pt idx="108">
                  <c:v>3.6</c:v>
                </c:pt>
                <c:pt idx="109">
                  <c:v>3.6333333333333333</c:v>
                </c:pt>
                <c:pt idx="110">
                  <c:v>3.6666666666666665</c:v>
                </c:pt>
                <c:pt idx="111">
                  <c:v>3.6999999999999997</c:v>
                </c:pt>
                <c:pt idx="112">
                  <c:v>3.7333333333333334</c:v>
                </c:pt>
                <c:pt idx="113">
                  <c:v>3.7666666666666666</c:v>
                </c:pt>
                <c:pt idx="114">
                  <c:v>3.8</c:v>
                </c:pt>
                <c:pt idx="115">
                  <c:v>3.8333333333333335</c:v>
                </c:pt>
                <c:pt idx="116">
                  <c:v>3.8666666666666667</c:v>
                </c:pt>
                <c:pt idx="117">
                  <c:v>3.9</c:v>
                </c:pt>
                <c:pt idx="118">
                  <c:v>3.9333333333333331</c:v>
                </c:pt>
                <c:pt idx="119">
                  <c:v>3.9666666666666668</c:v>
                </c:pt>
                <c:pt idx="120">
                  <c:v>4</c:v>
                </c:pt>
                <c:pt idx="121">
                  <c:v>4.0333333333333332</c:v>
                </c:pt>
                <c:pt idx="122">
                  <c:v>4.0666666666666664</c:v>
                </c:pt>
                <c:pt idx="123">
                  <c:v>4.0999999999999996</c:v>
                </c:pt>
                <c:pt idx="124">
                  <c:v>4.1333333333333329</c:v>
                </c:pt>
                <c:pt idx="125">
                  <c:v>4.166666666666667</c:v>
                </c:pt>
                <c:pt idx="126">
                  <c:v>4.2</c:v>
                </c:pt>
                <c:pt idx="127">
                  <c:v>4.2333333333333334</c:v>
                </c:pt>
                <c:pt idx="128">
                  <c:v>4.2666666666666666</c:v>
                </c:pt>
                <c:pt idx="129">
                  <c:v>4.3</c:v>
                </c:pt>
                <c:pt idx="130">
                  <c:v>4.333333333333333</c:v>
                </c:pt>
                <c:pt idx="131">
                  <c:v>4.3666666666666663</c:v>
                </c:pt>
                <c:pt idx="132">
                  <c:v>4.4000000000000004</c:v>
                </c:pt>
                <c:pt idx="133">
                  <c:v>4.4333333333333336</c:v>
                </c:pt>
                <c:pt idx="134">
                  <c:v>4.4666666666666668</c:v>
                </c:pt>
                <c:pt idx="135">
                  <c:v>4.5</c:v>
                </c:pt>
                <c:pt idx="136">
                  <c:v>4.5333333333333332</c:v>
                </c:pt>
                <c:pt idx="137">
                  <c:v>4.5666666666666664</c:v>
                </c:pt>
                <c:pt idx="138">
                  <c:v>4.5999999999999996</c:v>
                </c:pt>
                <c:pt idx="139">
                  <c:v>4.6333333333333329</c:v>
                </c:pt>
                <c:pt idx="140">
                  <c:v>4.666666666666667</c:v>
                </c:pt>
                <c:pt idx="141">
                  <c:v>4.7</c:v>
                </c:pt>
                <c:pt idx="142">
                  <c:v>4.7333333333333334</c:v>
                </c:pt>
                <c:pt idx="143">
                  <c:v>4.7666666666666666</c:v>
                </c:pt>
                <c:pt idx="144">
                  <c:v>4.8</c:v>
                </c:pt>
                <c:pt idx="145">
                  <c:v>4.833333333333333</c:v>
                </c:pt>
                <c:pt idx="146">
                  <c:v>4.8666666666666663</c:v>
                </c:pt>
                <c:pt idx="147">
                  <c:v>4.9000000000000004</c:v>
                </c:pt>
                <c:pt idx="148">
                  <c:v>4.9333333333333336</c:v>
                </c:pt>
                <c:pt idx="149">
                  <c:v>4.9666666666666668</c:v>
                </c:pt>
                <c:pt idx="150">
                  <c:v>5</c:v>
                </c:pt>
              </c:numCache>
            </c:numRef>
          </c:xVal>
          <c:yVal>
            <c:numRef>
              <c:f>Eff_vs_IOUT!$AO$7:$AO$157</c:f>
              <c:numCache>
                <c:formatCode>General</c:formatCode>
                <c:ptCount val="151"/>
                <c:pt idx="0">
                  <c:v>0.16804222222222226</c:v>
                </c:pt>
                <c:pt idx="1">
                  <c:v>0.16884388888888893</c:v>
                </c:pt>
                <c:pt idx="2">
                  <c:v>0.16964888888888893</c:v>
                </c:pt>
                <c:pt idx="3">
                  <c:v>0.17045722222222226</c:v>
                </c:pt>
                <c:pt idx="4">
                  <c:v>0.17126888888888891</c:v>
                </c:pt>
                <c:pt idx="5">
                  <c:v>0.17208388888888895</c:v>
                </c:pt>
                <c:pt idx="6">
                  <c:v>0.17290222222222226</c:v>
                </c:pt>
                <c:pt idx="7">
                  <c:v>0.17372388888888893</c:v>
                </c:pt>
                <c:pt idx="8">
                  <c:v>0.17454888888888892</c:v>
                </c:pt>
                <c:pt idx="9">
                  <c:v>0.17537722222222227</c:v>
                </c:pt>
                <c:pt idx="10">
                  <c:v>0.17620888888888894</c:v>
                </c:pt>
                <c:pt idx="11">
                  <c:v>0.17704388888888895</c:v>
                </c:pt>
                <c:pt idx="12">
                  <c:v>0.17788222222222227</c:v>
                </c:pt>
                <c:pt idx="13">
                  <c:v>0.17872388888888893</c:v>
                </c:pt>
                <c:pt idx="14">
                  <c:v>0.17956888888888892</c:v>
                </c:pt>
                <c:pt idx="15">
                  <c:v>0.18041722222222228</c:v>
                </c:pt>
                <c:pt idx="16">
                  <c:v>0.18126888888888895</c:v>
                </c:pt>
                <c:pt idx="17">
                  <c:v>0.18212388888888895</c:v>
                </c:pt>
                <c:pt idx="18">
                  <c:v>0.18298222222222227</c:v>
                </c:pt>
                <c:pt idx="19">
                  <c:v>0.18384388888888892</c:v>
                </c:pt>
                <c:pt idx="20">
                  <c:v>0.18470888888888892</c:v>
                </c:pt>
                <c:pt idx="21">
                  <c:v>0.18557722222222228</c:v>
                </c:pt>
                <c:pt idx="22">
                  <c:v>0.18644888888888894</c:v>
                </c:pt>
                <c:pt idx="23">
                  <c:v>0.18732388888888893</c:v>
                </c:pt>
                <c:pt idx="24">
                  <c:v>0.18820222222222227</c:v>
                </c:pt>
                <c:pt idx="25">
                  <c:v>0.18908388888888894</c:v>
                </c:pt>
                <c:pt idx="26">
                  <c:v>0.18996888888888896</c:v>
                </c:pt>
                <c:pt idx="27">
                  <c:v>0.19085722222222229</c:v>
                </c:pt>
                <c:pt idx="28">
                  <c:v>0.19174888888888894</c:v>
                </c:pt>
                <c:pt idx="29">
                  <c:v>0.19264388888888895</c:v>
                </c:pt>
                <c:pt idx="30">
                  <c:v>0.19354222222222225</c:v>
                </c:pt>
                <c:pt idx="31">
                  <c:v>0.19444388888888892</c:v>
                </c:pt>
                <c:pt idx="32">
                  <c:v>0.19534888888888893</c:v>
                </c:pt>
                <c:pt idx="33">
                  <c:v>0.19625722222222228</c:v>
                </c:pt>
                <c:pt idx="34">
                  <c:v>0.19716888888888895</c:v>
                </c:pt>
                <c:pt idx="35">
                  <c:v>0.19808388888888895</c:v>
                </c:pt>
                <c:pt idx="36">
                  <c:v>0.19900222222222227</c:v>
                </c:pt>
                <c:pt idx="37">
                  <c:v>0.19992388888888896</c:v>
                </c:pt>
                <c:pt idx="38">
                  <c:v>0.20084888888888891</c:v>
                </c:pt>
                <c:pt idx="39">
                  <c:v>0.20177722222222227</c:v>
                </c:pt>
                <c:pt idx="40">
                  <c:v>0.20270888888888894</c:v>
                </c:pt>
                <c:pt idx="41">
                  <c:v>0.20364388888888893</c:v>
                </c:pt>
                <c:pt idx="42">
                  <c:v>0.20458222222222228</c:v>
                </c:pt>
                <c:pt idx="43">
                  <c:v>0.20552388888888895</c:v>
                </c:pt>
                <c:pt idx="44">
                  <c:v>0.20646888888888892</c:v>
                </c:pt>
                <c:pt idx="45">
                  <c:v>0.20741722222222225</c:v>
                </c:pt>
                <c:pt idx="46">
                  <c:v>0.20836888888888894</c:v>
                </c:pt>
                <c:pt idx="47">
                  <c:v>0.20932388888888892</c:v>
                </c:pt>
                <c:pt idx="48">
                  <c:v>0.21028222222222226</c:v>
                </c:pt>
                <c:pt idx="49">
                  <c:v>0.21124388888888895</c:v>
                </c:pt>
                <c:pt idx="50">
                  <c:v>0.21220888888888895</c:v>
                </c:pt>
                <c:pt idx="51">
                  <c:v>0.21317722222222224</c:v>
                </c:pt>
                <c:pt idx="52">
                  <c:v>0.21414888888888894</c:v>
                </c:pt>
                <c:pt idx="53">
                  <c:v>0.21512388888888892</c:v>
                </c:pt>
                <c:pt idx="54">
                  <c:v>0.21610222222222225</c:v>
                </c:pt>
                <c:pt idx="55">
                  <c:v>0.21708388888888891</c:v>
                </c:pt>
                <c:pt idx="56">
                  <c:v>0.21806888888888895</c:v>
                </c:pt>
                <c:pt idx="57">
                  <c:v>0.21905722222222224</c:v>
                </c:pt>
                <c:pt idx="58">
                  <c:v>0.22004888888888893</c:v>
                </c:pt>
                <c:pt idx="59">
                  <c:v>0.22104388888888893</c:v>
                </c:pt>
                <c:pt idx="60">
                  <c:v>0.22204222222222225</c:v>
                </c:pt>
                <c:pt idx="61">
                  <c:v>0.22304388888888893</c:v>
                </c:pt>
                <c:pt idx="62">
                  <c:v>0.22404888888888891</c:v>
                </c:pt>
                <c:pt idx="63">
                  <c:v>0.22505722222222227</c:v>
                </c:pt>
                <c:pt idx="64">
                  <c:v>0.22606888888888893</c:v>
                </c:pt>
                <c:pt idx="65">
                  <c:v>0.22708388888888892</c:v>
                </c:pt>
                <c:pt idx="66">
                  <c:v>0.22810222222222226</c:v>
                </c:pt>
                <c:pt idx="67">
                  <c:v>0.22912388888888896</c:v>
                </c:pt>
                <c:pt idx="68">
                  <c:v>0.23014888888888893</c:v>
                </c:pt>
                <c:pt idx="69">
                  <c:v>0.23117722222222226</c:v>
                </c:pt>
                <c:pt idx="70">
                  <c:v>0.23220888888888894</c:v>
                </c:pt>
                <c:pt idx="71">
                  <c:v>0.23324388888888892</c:v>
                </c:pt>
                <c:pt idx="72">
                  <c:v>0.23428222222222225</c:v>
                </c:pt>
                <c:pt idx="73">
                  <c:v>0.23532388888888894</c:v>
                </c:pt>
                <c:pt idx="74">
                  <c:v>0.23636888888888896</c:v>
                </c:pt>
                <c:pt idx="75">
                  <c:v>0.23741722222222228</c:v>
                </c:pt>
                <c:pt idx="76">
                  <c:v>0.23846888888888892</c:v>
                </c:pt>
                <c:pt idx="77">
                  <c:v>0.23952388888888893</c:v>
                </c:pt>
                <c:pt idx="78">
                  <c:v>0.24058222222222225</c:v>
                </c:pt>
                <c:pt idx="79">
                  <c:v>0.24164388888888894</c:v>
                </c:pt>
                <c:pt idx="80">
                  <c:v>0.24270888888888892</c:v>
                </c:pt>
                <c:pt idx="81">
                  <c:v>0.24377722222222226</c:v>
                </c:pt>
                <c:pt idx="82">
                  <c:v>0.24484888888888895</c:v>
                </c:pt>
                <c:pt idx="83">
                  <c:v>0.24592388888888891</c:v>
                </c:pt>
                <c:pt idx="84">
                  <c:v>0.24700222222222229</c:v>
                </c:pt>
                <c:pt idx="85">
                  <c:v>0.24808388888888894</c:v>
                </c:pt>
                <c:pt idx="86">
                  <c:v>0.24916888888888894</c:v>
                </c:pt>
                <c:pt idx="87">
                  <c:v>0.25025722222222224</c:v>
                </c:pt>
                <c:pt idx="88">
                  <c:v>0.25134888888888895</c:v>
                </c:pt>
                <c:pt idx="89">
                  <c:v>0.25244388888888891</c:v>
                </c:pt>
                <c:pt idx="90">
                  <c:v>0.25354222222222228</c:v>
                </c:pt>
                <c:pt idx="91">
                  <c:v>0.25464388888888895</c:v>
                </c:pt>
                <c:pt idx="92">
                  <c:v>0.25574888888888891</c:v>
                </c:pt>
                <c:pt idx="93">
                  <c:v>0.25685722222222229</c:v>
                </c:pt>
                <c:pt idx="94">
                  <c:v>0.25796888888888891</c:v>
                </c:pt>
                <c:pt idx="95">
                  <c:v>0.25908388888888895</c:v>
                </c:pt>
                <c:pt idx="96">
                  <c:v>0.26020222222222228</c:v>
                </c:pt>
                <c:pt idx="97">
                  <c:v>0.26132388888888891</c:v>
                </c:pt>
                <c:pt idx="98">
                  <c:v>0.2624488888888889</c:v>
                </c:pt>
                <c:pt idx="99">
                  <c:v>0.26357722222222224</c:v>
                </c:pt>
                <c:pt idx="100">
                  <c:v>0.26470888888888894</c:v>
                </c:pt>
                <c:pt idx="101">
                  <c:v>0.26584388888888894</c:v>
                </c:pt>
                <c:pt idx="102">
                  <c:v>0.26698222222222223</c:v>
                </c:pt>
                <c:pt idx="103">
                  <c:v>0.26812388888888894</c:v>
                </c:pt>
                <c:pt idx="104">
                  <c:v>0.26926888888888889</c:v>
                </c:pt>
                <c:pt idx="105">
                  <c:v>0.27041722222222225</c:v>
                </c:pt>
                <c:pt idx="106">
                  <c:v>0.27156888888888892</c:v>
                </c:pt>
                <c:pt idx="107">
                  <c:v>0.27272388888888888</c:v>
                </c:pt>
                <c:pt idx="108">
                  <c:v>0.27388222222222225</c:v>
                </c:pt>
                <c:pt idx="109">
                  <c:v>0.27504388888888898</c:v>
                </c:pt>
                <c:pt idx="110">
                  <c:v>0.27620888888888895</c:v>
                </c:pt>
                <c:pt idx="111">
                  <c:v>0.27737722222222227</c:v>
                </c:pt>
                <c:pt idx="112">
                  <c:v>0.27854888888888896</c:v>
                </c:pt>
                <c:pt idx="113">
                  <c:v>0.27972388888888888</c:v>
                </c:pt>
                <c:pt idx="114">
                  <c:v>0.28090222222222222</c:v>
                </c:pt>
                <c:pt idx="115">
                  <c:v>0.28208388888888891</c:v>
                </c:pt>
                <c:pt idx="116">
                  <c:v>0.2832688888888889</c:v>
                </c:pt>
                <c:pt idx="117">
                  <c:v>0.28445722222222225</c:v>
                </c:pt>
                <c:pt idx="118">
                  <c:v>0.28564888888888895</c:v>
                </c:pt>
                <c:pt idx="119">
                  <c:v>0.28684388888888895</c:v>
                </c:pt>
                <c:pt idx="120">
                  <c:v>0.28804222222222226</c:v>
                </c:pt>
                <c:pt idx="121">
                  <c:v>0.28924388888888897</c:v>
                </c:pt>
                <c:pt idx="122">
                  <c:v>0.29044888888888892</c:v>
                </c:pt>
                <c:pt idx="123">
                  <c:v>0.29165722222222223</c:v>
                </c:pt>
                <c:pt idx="124">
                  <c:v>0.2928688888888889</c:v>
                </c:pt>
                <c:pt idx="125">
                  <c:v>0.29408388888888892</c:v>
                </c:pt>
                <c:pt idx="126">
                  <c:v>0.29530222222222224</c:v>
                </c:pt>
                <c:pt idx="127">
                  <c:v>0.29652388888888892</c:v>
                </c:pt>
                <c:pt idx="128">
                  <c:v>0.29774888888888895</c:v>
                </c:pt>
                <c:pt idx="129">
                  <c:v>0.29897722222222223</c:v>
                </c:pt>
                <c:pt idx="130">
                  <c:v>0.30020888888888891</c:v>
                </c:pt>
                <c:pt idx="131">
                  <c:v>0.3014438888888889</c:v>
                </c:pt>
                <c:pt idx="132">
                  <c:v>0.3026822222222223</c:v>
                </c:pt>
                <c:pt idx="133">
                  <c:v>0.30392388888888894</c:v>
                </c:pt>
                <c:pt idx="134">
                  <c:v>0.30516888888888893</c:v>
                </c:pt>
                <c:pt idx="135">
                  <c:v>0.30641722222222229</c:v>
                </c:pt>
                <c:pt idx="136">
                  <c:v>0.30766888888888894</c:v>
                </c:pt>
                <c:pt idx="137">
                  <c:v>0.30892388888888889</c:v>
                </c:pt>
                <c:pt idx="138">
                  <c:v>0.31018222222222225</c:v>
                </c:pt>
                <c:pt idx="139">
                  <c:v>0.31144388888888891</c:v>
                </c:pt>
                <c:pt idx="140">
                  <c:v>0.31270888888888893</c:v>
                </c:pt>
                <c:pt idx="141">
                  <c:v>0.31397722222222224</c:v>
                </c:pt>
                <c:pt idx="142">
                  <c:v>0.31524888888888891</c:v>
                </c:pt>
                <c:pt idx="143">
                  <c:v>0.31652388888888894</c:v>
                </c:pt>
                <c:pt idx="144">
                  <c:v>0.31780222222222221</c:v>
                </c:pt>
                <c:pt idx="145">
                  <c:v>0.31908388888888894</c:v>
                </c:pt>
                <c:pt idx="146">
                  <c:v>0.32036888888888893</c:v>
                </c:pt>
                <c:pt idx="147">
                  <c:v>0.32165722222222226</c:v>
                </c:pt>
                <c:pt idx="148">
                  <c:v>0.32294888888888895</c:v>
                </c:pt>
                <c:pt idx="149">
                  <c:v>0.32424388888888894</c:v>
                </c:pt>
                <c:pt idx="150">
                  <c:v>0.32554222222222229</c:v>
                </c:pt>
              </c:numCache>
            </c:numRef>
          </c:yVal>
          <c:smooth val="1"/>
          <c:extLst>
            <c:ext xmlns:c16="http://schemas.microsoft.com/office/drawing/2014/chart" uri="{C3380CC4-5D6E-409C-BE32-E72D297353CC}">
              <c16:uniqueId val="{00000002-6DF5-4D18-8D30-EE142E0FBE5F}"/>
            </c:ext>
          </c:extLst>
        </c:ser>
        <c:ser>
          <c:idx val="3"/>
          <c:order val="3"/>
          <c:tx>
            <c:v>RCS</c:v>
          </c:tx>
          <c:spPr>
            <a:ln>
              <a:solidFill>
                <a:schemeClr val="accent5">
                  <a:lumMod val="75000"/>
                </a:schemeClr>
              </a:solidFill>
              <a:prstDash val="lgDashDotDot"/>
            </a:ln>
          </c:spPr>
          <c:marker>
            <c:symbol val="none"/>
          </c:marker>
          <c:xVal>
            <c:numRef>
              <c:f>Eff_vs_IOUT!$S$7:$S$157</c:f>
              <c:numCache>
                <c:formatCode>General</c:formatCode>
                <c:ptCount val="151"/>
                <c:pt idx="0">
                  <c:v>0</c:v>
                </c:pt>
                <c:pt idx="1">
                  <c:v>3.3333333333333333E-2</c:v>
                </c:pt>
                <c:pt idx="2">
                  <c:v>6.6666666666666666E-2</c:v>
                </c:pt>
                <c:pt idx="3">
                  <c:v>0.1</c:v>
                </c:pt>
                <c:pt idx="4">
                  <c:v>0.13333333333333333</c:v>
                </c:pt>
                <c:pt idx="5">
                  <c:v>0.16666666666666666</c:v>
                </c:pt>
                <c:pt idx="6">
                  <c:v>0.2</c:v>
                </c:pt>
                <c:pt idx="7">
                  <c:v>0.23333333333333334</c:v>
                </c:pt>
                <c:pt idx="8">
                  <c:v>0.26666666666666666</c:v>
                </c:pt>
                <c:pt idx="9">
                  <c:v>0.3</c:v>
                </c:pt>
                <c:pt idx="10">
                  <c:v>0.33333333333333331</c:v>
                </c:pt>
                <c:pt idx="11">
                  <c:v>0.36666666666666664</c:v>
                </c:pt>
                <c:pt idx="12">
                  <c:v>0.4</c:v>
                </c:pt>
                <c:pt idx="13">
                  <c:v>0.43333333333333335</c:v>
                </c:pt>
                <c:pt idx="14">
                  <c:v>0.46666666666666667</c:v>
                </c:pt>
                <c:pt idx="15">
                  <c:v>0.5</c:v>
                </c:pt>
                <c:pt idx="16">
                  <c:v>0.53333333333333333</c:v>
                </c:pt>
                <c:pt idx="17">
                  <c:v>0.56666666666666665</c:v>
                </c:pt>
                <c:pt idx="18">
                  <c:v>0.6</c:v>
                </c:pt>
                <c:pt idx="19">
                  <c:v>0.6333333333333333</c:v>
                </c:pt>
                <c:pt idx="20">
                  <c:v>0.66666666666666663</c:v>
                </c:pt>
                <c:pt idx="21">
                  <c:v>0.7</c:v>
                </c:pt>
                <c:pt idx="22">
                  <c:v>0.73333333333333328</c:v>
                </c:pt>
                <c:pt idx="23">
                  <c:v>0.76666666666666661</c:v>
                </c:pt>
                <c:pt idx="24">
                  <c:v>0.8</c:v>
                </c:pt>
                <c:pt idx="25">
                  <c:v>0.83333333333333337</c:v>
                </c:pt>
                <c:pt idx="26">
                  <c:v>0.8666666666666667</c:v>
                </c:pt>
                <c:pt idx="27">
                  <c:v>0.9</c:v>
                </c:pt>
                <c:pt idx="28">
                  <c:v>0.93333333333333335</c:v>
                </c:pt>
                <c:pt idx="29">
                  <c:v>0.96666666666666667</c:v>
                </c:pt>
                <c:pt idx="30">
                  <c:v>1</c:v>
                </c:pt>
                <c:pt idx="31">
                  <c:v>1.0333333333333332</c:v>
                </c:pt>
                <c:pt idx="32">
                  <c:v>1.0666666666666667</c:v>
                </c:pt>
                <c:pt idx="33">
                  <c:v>1.1000000000000001</c:v>
                </c:pt>
                <c:pt idx="34">
                  <c:v>1.1333333333333333</c:v>
                </c:pt>
                <c:pt idx="35">
                  <c:v>1.1666666666666667</c:v>
                </c:pt>
                <c:pt idx="36">
                  <c:v>1.2</c:v>
                </c:pt>
                <c:pt idx="37">
                  <c:v>1.2333333333333334</c:v>
                </c:pt>
                <c:pt idx="38">
                  <c:v>1.2666666666666666</c:v>
                </c:pt>
                <c:pt idx="39">
                  <c:v>1.3</c:v>
                </c:pt>
                <c:pt idx="40">
                  <c:v>1.3333333333333333</c:v>
                </c:pt>
                <c:pt idx="41">
                  <c:v>1.3666666666666667</c:v>
                </c:pt>
                <c:pt idx="42">
                  <c:v>1.4</c:v>
                </c:pt>
                <c:pt idx="43">
                  <c:v>1.4333333333333333</c:v>
                </c:pt>
                <c:pt idx="44">
                  <c:v>1.4666666666666666</c:v>
                </c:pt>
                <c:pt idx="45">
                  <c:v>1.5</c:v>
                </c:pt>
                <c:pt idx="46">
                  <c:v>1.5333333333333332</c:v>
                </c:pt>
                <c:pt idx="47">
                  <c:v>1.5666666666666667</c:v>
                </c:pt>
                <c:pt idx="48">
                  <c:v>1.6</c:v>
                </c:pt>
                <c:pt idx="49">
                  <c:v>1.6333333333333333</c:v>
                </c:pt>
                <c:pt idx="50">
                  <c:v>1.6666666666666667</c:v>
                </c:pt>
                <c:pt idx="51">
                  <c:v>1.7</c:v>
                </c:pt>
                <c:pt idx="52">
                  <c:v>1.7333333333333334</c:v>
                </c:pt>
                <c:pt idx="53">
                  <c:v>1.7666666666666666</c:v>
                </c:pt>
                <c:pt idx="54">
                  <c:v>1.8</c:v>
                </c:pt>
                <c:pt idx="55">
                  <c:v>1.8333333333333333</c:v>
                </c:pt>
                <c:pt idx="56">
                  <c:v>1.8666666666666667</c:v>
                </c:pt>
                <c:pt idx="57">
                  <c:v>1.9</c:v>
                </c:pt>
                <c:pt idx="58">
                  <c:v>1.9333333333333333</c:v>
                </c:pt>
                <c:pt idx="59">
                  <c:v>1.9666666666666666</c:v>
                </c:pt>
                <c:pt idx="60">
                  <c:v>2</c:v>
                </c:pt>
                <c:pt idx="61">
                  <c:v>2.0333333333333332</c:v>
                </c:pt>
                <c:pt idx="62">
                  <c:v>2.0666666666666664</c:v>
                </c:pt>
                <c:pt idx="63">
                  <c:v>2.1</c:v>
                </c:pt>
                <c:pt idx="64">
                  <c:v>2.1333333333333333</c:v>
                </c:pt>
                <c:pt idx="65">
                  <c:v>2.1666666666666665</c:v>
                </c:pt>
                <c:pt idx="66">
                  <c:v>2.2000000000000002</c:v>
                </c:pt>
                <c:pt idx="67">
                  <c:v>2.2333333333333334</c:v>
                </c:pt>
                <c:pt idx="68">
                  <c:v>2.2666666666666666</c:v>
                </c:pt>
                <c:pt idx="69">
                  <c:v>2.2999999999999998</c:v>
                </c:pt>
                <c:pt idx="70">
                  <c:v>2.3333333333333335</c:v>
                </c:pt>
                <c:pt idx="71">
                  <c:v>2.3666666666666667</c:v>
                </c:pt>
                <c:pt idx="72">
                  <c:v>2.4</c:v>
                </c:pt>
                <c:pt idx="73">
                  <c:v>2.4333333333333331</c:v>
                </c:pt>
                <c:pt idx="74">
                  <c:v>2.4666666666666668</c:v>
                </c:pt>
                <c:pt idx="75">
                  <c:v>2.5</c:v>
                </c:pt>
                <c:pt idx="76">
                  <c:v>2.5333333333333332</c:v>
                </c:pt>
                <c:pt idx="77">
                  <c:v>2.5666666666666664</c:v>
                </c:pt>
                <c:pt idx="78">
                  <c:v>2.6</c:v>
                </c:pt>
                <c:pt idx="79">
                  <c:v>2.6333333333333333</c:v>
                </c:pt>
                <c:pt idx="80">
                  <c:v>2.6666666666666665</c:v>
                </c:pt>
                <c:pt idx="81">
                  <c:v>2.7</c:v>
                </c:pt>
                <c:pt idx="82">
                  <c:v>2.7333333333333334</c:v>
                </c:pt>
                <c:pt idx="83">
                  <c:v>2.7666666666666666</c:v>
                </c:pt>
                <c:pt idx="84">
                  <c:v>2.8</c:v>
                </c:pt>
                <c:pt idx="85">
                  <c:v>2.8333333333333335</c:v>
                </c:pt>
                <c:pt idx="86">
                  <c:v>2.8666666666666667</c:v>
                </c:pt>
                <c:pt idx="87">
                  <c:v>2.9</c:v>
                </c:pt>
                <c:pt idx="88">
                  <c:v>2.9333333333333331</c:v>
                </c:pt>
                <c:pt idx="89">
                  <c:v>2.9666666666666668</c:v>
                </c:pt>
                <c:pt idx="90">
                  <c:v>3</c:v>
                </c:pt>
                <c:pt idx="91">
                  <c:v>3.0333333333333332</c:v>
                </c:pt>
                <c:pt idx="92">
                  <c:v>3.0666666666666664</c:v>
                </c:pt>
                <c:pt idx="93">
                  <c:v>3.1</c:v>
                </c:pt>
                <c:pt idx="94">
                  <c:v>3.1333333333333333</c:v>
                </c:pt>
                <c:pt idx="95">
                  <c:v>3.1666666666666665</c:v>
                </c:pt>
                <c:pt idx="96">
                  <c:v>3.2</c:v>
                </c:pt>
                <c:pt idx="97">
                  <c:v>3.2333333333333334</c:v>
                </c:pt>
                <c:pt idx="98">
                  <c:v>3.2666666666666666</c:v>
                </c:pt>
                <c:pt idx="99">
                  <c:v>3.3</c:v>
                </c:pt>
                <c:pt idx="100">
                  <c:v>3.3333333333333335</c:v>
                </c:pt>
                <c:pt idx="101">
                  <c:v>3.3666666666666667</c:v>
                </c:pt>
                <c:pt idx="102">
                  <c:v>3.4</c:v>
                </c:pt>
                <c:pt idx="103">
                  <c:v>3.4333333333333331</c:v>
                </c:pt>
                <c:pt idx="104">
                  <c:v>3.4666666666666668</c:v>
                </c:pt>
                <c:pt idx="105">
                  <c:v>3.5</c:v>
                </c:pt>
                <c:pt idx="106">
                  <c:v>3.5333333333333332</c:v>
                </c:pt>
                <c:pt idx="107">
                  <c:v>3.5666666666666664</c:v>
                </c:pt>
                <c:pt idx="108">
                  <c:v>3.6</c:v>
                </c:pt>
                <c:pt idx="109">
                  <c:v>3.6333333333333333</c:v>
                </c:pt>
                <c:pt idx="110">
                  <c:v>3.6666666666666665</c:v>
                </c:pt>
                <c:pt idx="111">
                  <c:v>3.6999999999999997</c:v>
                </c:pt>
                <c:pt idx="112">
                  <c:v>3.7333333333333334</c:v>
                </c:pt>
                <c:pt idx="113">
                  <c:v>3.7666666666666666</c:v>
                </c:pt>
                <c:pt idx="114">
                  <c:v>3.8</c:v>
                </c:pt>
                <c:pt idx="115">
                  <c:v>3.8333333333333335</c:v>
                </c:pt>
                <c:pt idx="116">
                  <c:v>3.8666666666666667</c:v>
                </c:pt>
                <c:pt idx="117">
                  <c:v>3.9</c:v>
                </c:pt>
                <c:pt idx="118">
                  <c:v>3.9333333333333331</c:v>
                </c:pt>
                <c:pt idx="119">
                  <c:v>3.9666666666666668</c:v>
                </c:pt>
                <c:pt idx="120">
                  <c:v>4</c:v>
                </c:pt>
                <c:pt idx="121">
                  <c:v>4.0333333333333332</c:v>
                </c:pt>
                <c:pt idx="122">
                  <c:v>4.0666666666666664</c:v>
                </c:pt>
                <c:pt idx="123">
                  <c:v>4.0999999999999996</c:v>
                </c:pt>
                <c:pt idx="124">
                  <c:v>4.1333333333333329</c:v>
                </c:pt>
                <c:pt idx="125">
                  <c:v>4.166666666666667</c:v>
                </c:pt>
                <c:pt idx="126">
                  <c:v>4.2</c:v>
                </c:pt>
                <c:pt idx="127">
                  <c:v>4.2333333333333334</c:v>
                </c:pt>
                <c:pt idx="128">
                  <c:v>4.2666666666666666</c:v>
                </c:pt>
                <c:pt idx="129">
                  <c:v>4.3</c:v>
                </c:pt>
                <c:pt idx="130">
                  <c:v>4.333333333333333</c:v>
                </c:pt>
                <c:pt idx="131">
                  <c:v>4.3666666666666663</c:v>
                </c:pt>
                <c:pt idx="132">
                  <c:v>4.4000000000000004</c:v>
                </c:pt>
                <c:pt idx="133">
                  <c:v>4.4333333333333336</c:v>
                </c:pt>
                <c:pt idx="134">
                  <c:v>4.4666666666666668</c:v>
                </c:pt>
                <c:pt idx="135">
                  <c:v>4.5</c:v>
                </c:pt>
                <c:pt idx="136">
                  <c:v>4.5333333333333332</c:v>
                </c:pt>
                <c:pt idx="137">
                  <c:v>4.5666666666666664</c:v>
                </c:pt>
                <c:pt idx="138">
                  <c:v>4.5999999999999996</c:v>
                </c:pt>
                <c:pt idx="139">
                  <c:v>4.6333333333333329</c:v>
                </c:pt>
                <c:pt idx="140">
                  <c:v>4.666666666666667</c:v>
                </c:pt>
                <c:pt idx="141">
                  <c:v>4.7</c:v>
                </c:pt>
                <c:pt idx="142">
                  <c:v>4.7333333333333334</c:v>
                </c:pt>
                <c:pt idx="143">
                  <c:v>4.7666666666666666</c:v>
                </c:pt>
                <c:pt idx="144">
                  <c:v>4.8</c:v>
                </c:pt>
                <c:pt idx="145">
                  <c:v>4.833333333333333</c:v>
                </c:pt>
                <c:pt idx="146">
                  <c:v>4.8666666666666663</c:v>
                </c:pt>
                <c:pt idx="147">
                  <c:v>4.9000000000000004</c:v>
                </c:pt>
                <c:pt idx="148">
                  <c:v>4.9333333333333336</c:v>
                </c:pt>
                <c:pt idx="149">
                  <c:v>4.9666666666666668</c:v>
                </c:pt>
                <c:pt idx="150">
                  <c:v>5</c:v>
                </c:pt>
              </c:numCache>
            </c:numRef>
          </c:xVal>
          <c:yVal>
            <c:numRef>
              <c:f>Eff_vs_IOUT!$AP$7:$AP$157</c:f>
              <c:numCache>
                <c:formatCode>General</c:formatCode>
                <c:ptCount val="151"/>
                <c:pt idx="0">
                  <c:v>8.5333333333333355E-4</c:v>
                </c:pt>
                <c:pt idx="1">
                  <c:v>8.6333333333333357E-4</c:v>
                </c:pt>
                <c:pt idx="2">
                  <c:v>8.9333333333333365E-4</c:v>
                </c:pt>
                <c:pt idx="3">
                  <c:v>9.4333333333333357E-4</c:v>
                </c:pt>
                <c:pt idx="4">
                  <c:v>1.0133333333333335E-3</c:v>
                </c:pt>
                <c:pt idx="5">
                  <c:v>1.1033333333333338E-3</c:v>
                </c:pt>
                <c:pt idx="6">
                  <c:v>1.2133333333333336E-3</c:v>
                </c:pt>
                <c:pt idx="7">
                  <c:v>1.3433333333333337E-3</c:v>
                </c:pt>
                <c:pt idx="8">
                  <c:v>1.4933333333333333E-3</c:v>
                </c:pt>
                <c:pt idx="9">
                  <c:v>1.6633333333333333E-3</c:v>
                </c:pt>
                <c:pt idx="10">
                  <c:v>1.8533333333333334E-3</c:v>
                </c:pt>
                <c:pt idx="11">
                  <c:v>2.0633333333333341E-3</c:v>
                </c:pt>
                <c:pt idx="12">
                  <c:v>2.293333333333333E-3</c:v>
                </c:pt>
                <c:pt idx="13">
                  <c:v>2.5433333333333345E-3</c:v>
                </c:pt>
                <c:pt idx="14">
                  <c:v>2.8133333333333339E-3</c:v>
                </c:pt>
                <c:pt idx="15">
                  <c:v>3.1033333333333334E-3</c:v>
                </c:pt>
                <c:pt idx="16">
                  <c:v>3.4133333333333333E-3</c:v>
                </c:pt>
                <c:pt idx="17">
                  <c:v>3.7433333333333333E-3</c:v>
                </c:pt>
                <c:pt idx="18">
                  <c:v>4.0933333333333316E-3</c:v>
                </c:pt>
                <c:pt idx="19">
                  <c:v>4.4633333333333322E-3</c:v>
                </c:pt>
                <c:pt idx="20">
                  <c:v>4.8533333333333345E-3</c:v>
                </c:pt>
                <c:pt idx="21">
                  <c:v>5.2633333333333325E-3</c:v>
                </c:pt>
                <c:pt idx="22">
                  <c:v>5.6933333333333332E-3</c:v>
                </c:pt>
                <c:pt idx="23">
                  <c:v>6.1433333333333322E-3</c:v>
                </c:pt>
                <c:pt idx="24">
                  <c:v>6.613333333333333E-3</c:v>
                </c:pt>
                <c:pt idx="25">
                  <c:v>7.1033333333333348E-3</c:v>
                </c:pt>
                <c:pt idx="26">
                  <c:v>7.6133333333333348E-3</c:v>
                </c:pt>
                <c:pt idx="27">
                  <c:v>8.1433333333333306E-3</c:v>
                </c:pt>
                <c:pt idx="28">
                  <c:v>8.6933333333333359E-3</c:v>
                </c:pt>
                <c:pt idx="29">
                  <c:v>9.2633333333333335E-3</c:v>
                </c:pt>
                <c:pt idx="30">
                  <c:v>9.853333333333332E-3</c:v>
                </c:pt>
                <c:pt idx="31">
                  <c:v>1.0463333333333331E-2</c:v>
                </c:pt>
                <c:pt idx="32">
                  <c:v>1.1093333333333332E-2</c:v>
                </c:pt>
                <c:pt idx="33">
                  <c:v>1.1743333333333337E-2</c:v>
                </c:pt>
                <c:pt idx="34">
                  <c:v>1.241333333333333E-2</c:v>
                </c:pt>
                <c:pt idx="35">
                  <c:v>1.3103333333333333E-2</c:v>
                </c:pt>
                <c:pt idx="36">
                  <c:v>1.3813333333333334E-2</c:v>
                </c:pt>
                <c:pt idx="37">
                  <c:v>1.4543333333333339E-2</c:v>
                </c:pt>
                <c:pt idx="38">
                  <c:v>1.5293333333333332E-2</c:v>
                </c:pt>
                <c:pt idx="39">
                  <c:v>1.6063333333333339E-2</c:v>
                </c:pt>
                <c:pt idx="40">
                  <c:v>1.6853333333333328E-2</c:v>
                </c:pt>
                <c:pt idx="41">
                  <c:v>1.7663333333333336E-2</c:v>
                </c:pt>
                <c:pt idx="42">
                  <c:v>1.8493333333333337E-2</c:v>
                </c:pt>
                <c:pt idx="43">
                  <c:v>1.934333333333333E-2</c:v>
                </c:pt>
                <c:pt idx="44">
                  <c:v>2.021333333333333E-2</c:v>
                </c:pt>
                <c:pt idx="45">
                  <c:v>2.1103333333333335E-2</c:v>
                </c:pt>
                <c:pt idx="46">
                  <c:v>2.2013333333333326E-2</c:v>
                </c:pt>
                <c:pt idx="47">
                  <c:v>2.2943333333333336E-2</c:v>
                </c:pt>
                <c:pt idx="48">
                  <c:v>2.3893333333333332E-2</c:v>
                </c:pt>
                <c:pt idx="49">
                  <c:v>2.4863333333333331E-2</c:v>
                </c:pt>
                <c:pt idx="50">
                  <c:v>2.5853333333333336E-2</c:v>
                </c:pt>
                <c:pt idx="51">
                  <c:v>2.6863333333333326E-2</c:v>
                </c:pt>
                <c:pt idx="52">
                  <c:v>2.7893333333333339E-2</c:v>
                </c:pt>
                <c:pt idx="53">
                  <c:v>2.8943333333333331E-2</c:v>
                </c:pt>
                <c:pt idx="54">
                  <c:v>3.0013333333333329E-2</c:v>
                </c:pt>
                <c:pt idx="55">
                  <c:v>3.1103333333333337E-2</c:v>
                </c:pt>
                <c:pt idx="56">
                  <c:v>3.2213333333333337E-2</c:v>
                </c:pt>
                <c:pt idx="57">
                  <c:v>3.3343333333333329E-2</c:v>
                </c:pt>
                <c:pt idx="58">
                  <c:v>3.4493333333333334E-2</c:v>
                </c:pt>
                <c:pt idx="59">
                  <c:v>3.5663333333333318E-2</c:v>
                </c:pt>
                <c:pt idx="60">
                  <c:v>3.6853333333333335E-2</c:v>
                </c:pt>
                <c:pt idx="61">
                  <c:v>3.8063333333333317E-2</c:v>
                </c:pt>
                <c:pt idx="62">
                  <c:v>3.9293333333333326E-2</c:v>
                </c:pt>
                <c:pt idx="63">
                  <c:v>4.0543333333333348E-2</c:v>
                </c:pt>
                <c:pt idx="64">
                  <c:v>4.1813333333333327E-2</c:v>
                </c:pt>
                <c:pt idx="65">
                  <c:v>4.3103333333333334E-2</c:v>
                </c:pt>
                <c:pt idx="66">
                  <c:v>4.4413333333333339E-2</c:v>
                </c:pt>
                <c:pt idx="67">
                  <c:v>4.574333333333333E-2</c:v>
                </c:pt>
                <c:pt idx="68">
                  <c:v>4.709333333333332E-2</c:v>
                </c:pt>
                <c:pt idx="69">
                  <c:v>4.8463333333333324E-2</c:v>
                </c:pt>
                <c:pt idx="70">
                  <c:v>4.9853333333333333E-2</c:v>
                </c:pt>
                <c:pt idx="71">
                  <c:v>5.1263333333333341E-2</c:v>
                </c:pt>
                <c:pt idx="72">
                  <c:v>5.2693333333333321E-2</c:v>
                </c:pt>
                <c:pt idx="73">
                  <c:v>5.4143333333333335E-2</c:v>
                </c:pt>
                <c:pt idx="74">
                  <c:v>5.5613333333333348E-2</c:v>
                </c:pt>
                <c:pt idx="75">
                  <c:v>5.7103333333333325E-2</c:v>
                </c:pt>
                <c:pt idx="76">
                  <c:v>5.8613333333333309E-2</c:v>
                </c:pt>
                <c:pt idx="77">
                  <c:v>6.0143333333333326E-2</c:v>
                </c:pt>
                <c:pt idx="78">
                  <c:v>6.169333333333335E-2</c:v>
                </c:pt>
                <c:pt idx="79">
                  <c:v>6.3263333333333324E-2</c:v>
                </c:pt>
                <c:pt idx="80">
                  <c:v>6.4853333333333346E-2</c:v>
                </c:pt>
                <c:pt idx="81">
                  <c:v>6.646333333333336E-2</c:v>
                </c:pt>
                <c:pt idx="82">
                  <c:v>6.8093333333333367E-2</c:v>
                </c:pt>
                <c:pt idx="83">
                  <c:v>6.9743333333333338E-2</c:v>
                </c:pt>
                <c:pt idx="84">
                  <c:v>7.1413333333333343E-2</c:v>
                </c:pt>
                <c:pt idx="85">
                  <c:v>7.3103333333333326E-2</c:v>
                </c:pt>
                <c:pt idx="86">
                  <c:v>7.4813333333333343E-2</c:v>
                </c:pt>
                <c:pt idx="87">
                  <c:v>7.6543333333333338E-2</c:v>
                </c:pt>
                <c:pt idx="88">
                  <c:v>7.8293333333333312E-2</c:v>
                </c:pt>
                <c:pt idx="89">
                  <c:v>8.0063333333333334E-2</c:v>
                </c:pt>
                <c:pt idx="90">
                  <c:v>8.1853333333333347E-2</c:v>
                </c:pt>
                <c:pt idx="91">
                  <c:v>8.3663333333333326E-2</c:v>
                </c:pt>
                <c:pt idx="92">
                  <c:v>8.5493333333333338E-2</c:v>
                </c:pt>
                <c:pt idx="93">
                  <c:v>8.7343333333333342E-2</c:v>
                </c:pt>
                <c:pt idx="94">
                  <c:v>8.9213333333333353E-2</c:v>
                </c:pt>
                <c:pt idx="95">
                  <c:v>9.1103333333333342E-2</c:v>
                </c:pt>
                <c:pt idx="96">
                  <c:v>9.3013333333333351E-2</c:v>
                </c:pt>
                <c:pt idx="97">
                  <c:v>9.4943333333333352E-2</c:v>
                </c:pt>
                <c:pt idx="98">
                  <c:v>9.6893333333333317E-2</c:v>
                </c:pt>
                <c:pt idx="99">
                  <c:v>9.8863333333333345E-2</c:v>
                </c:pt>
                <c:pt idx="100">
                  <c:v>0.10085333333333335</c:v>
                </c:pt>
                <c:pt idx="101">
                  <c:v>0.10286333333333335</c:v>
                </c:pt>
                <c:pt idx="102">
                  <c:v>0.10489333333333334</c:v>
                </c:pt>
                <c:pt idx="103">
                  <c:v>0.10694333333333333</c:v>
                </c:pt>
                <c:pt idx="104">
                  <c:v>0.10901333333333334</c:v>
                </c:pt>
                <c:pt idx="105">
                  <c:v>0.11110333333333333</c:v>
                </c:pt>
                <c:pt idx="106">
                  <c:v>0.11321333333333336</c:v>
                </c:pt>
                <c:pt idx="107">
                  <c:v>0.11534333333333331</c:v>
                </c:pt>
                <c:pt idx="108">
                  <c:v>0.11749333333333331</c:v>
                </c:pt>
                <c:pt idx="109">
                  <c:v>0.11966333333333336</c:v>
                </c:pt>
                <c:pt idx="110">
                  <c:v>0.12185333333333334</c:v>
                </c:pt>
                <c:pt idx="111">
                  <c:v>0.12406333333333334</c:v>
                </c:pt>
                <c:pt idx="112">
                  <c:v>0.12629333333333337</c:v>
                </c:pt>
                <c:pt idx="113">
                  <c:v>0.12854333333333329</c:v>
                </c:pt>
                <c:pt idx="114">
                  <c:v>0.13081333333333331</c:v>
                </c:pt>
                <c:pt idx="115">
                  <c:v>0.13310333333333332</c:v>
                </c:pt>
                <c:pt idx="116">
                  <c:v>0.1354133333333333</c:v>
                </c:pt>
                <c:pt idx="117">
                  <c:v>0.13774333333333333</c:v>
                </c:pt>
                <c:pt idx="118">
                  <c:v>0.14009333333333332</c:v>
                </c:pt>
                <c:pt idx="119">
                  <c:v>0.14246333333333336</c:v>
                </c:pt>
                <c:pt idx="120">
                  <c:v>0.14485333333333333</c:v>
                </c:pt>
                <c:pt idx="121">
                  <c:v>0.14726333333333333</c:v>
                </c:pt>
                <c:pt idx="122">
                  <c:v>0.14969333333333326</c:v>
                </c:pt>
                <c:pt idx="123">
                  <c:v>0.1521433333333333</c:v>
                </c:pt>
                <c:pt idx="124">
                  <c:v>0.1546133333333333</c:v>
                </c:pt>
                <c:pt idx="125">
                  <c:v>0.15710333333333332</c:v>
                </c:pt>
                <c:pt idx="126">
                  <c:v>0.15961333333333336</c:v>
                </c:pt>
                <c:pt idx="127">
                  <c:v>0.16214333333333336</c:v>
                </c:pt>
                <c:pt idx="128">
                  <c:v>0.1646933333333333</c:v>
                </c:pt>
                <c:pt idx="129">
                  <c:v>0.16726333333333329</c:v>
                </c:pt>
                <c:pt idx="130">
                  <c:v>0.16985333333333336</c:v>
                </c:pt>
                <c:pt idx="131">
                  <c:v>0.17246333333333333</c:v>
                </c:pt>
                <c:pt idx="132">
                  <c:v>0.17509333333333341</c:v>
                </c:pt>
                <c:pt idx="133">
                  <c:v>0.17774333333333339</c:v>
                </c:pt>
                <c:pt idx="134">
                  <c:v>0.18041333333333331</c:v>
                </c:pt>
                <c:pt idx="135">
                  <c:v>0.18310333333333331</c:v>
                </c:pt>
                <c:pt idx="136">
                  <c:v>0.1858133333333333</c:v>
                </c:pt>
                <c:pt idx="137">
                  <c:v>0.18854333333333326</c:v>
                </c:pt>
                <c:pt idx="138">
                  <c:v>0.19129333333333329</c:v>
                </c:pt>
                <c:pt idx="139">
                  <c:v>0.19406333333333331</c:v>
                </c:pt>
                <c:pt idx="140">
                  <c:v>0.1968533333333333</c:v>
                </c:pt>
                <c:pt idx="141">
                  <c:v>0.19966333333333333</c:v>
                </c:pt>
                <c:pt idx="142">
                  <c:v>0.20249333333333341</c:v>
                </c:pt>
                <c:pt idx="143">
                  <c:v>0.20534333333333332</c:v>
                </c:pt>
                <c:pt idx="144">
                  <c:v>0.20821333333333328</c:v>
                </c:pt>
                <c:pt idx="145">
                  <c:v>0.21110333333333331</c:v>
                </c:pt>
                <c:pt idx="146">
                  <c:v>0.21401333333333331</c:v>
                </c:pt>
                <c:pt idx="147">
                  <c:v>0.21694333333333332</c:v>
                </c:pt>
                <c:pt idx="148">
                  <c:v>0.21989333333333341</c:v>
                </c:pt>
                <c:pt idx="149">
                  <c:v>0.22286333333333339</c:v>
                </c:pt>
                <c:pt idx="150">
                  <c:v>0.22585333333333335</c:v>
                </c:pt>
              </c:numCache>
            </c:numRef>
          </c:yVal>
          <c:smooth val="1"/>
          <c:extLst>
            <c:ext xmlns:c16="http://schemas.microsoft.com/office/drawing/2014/chart" uri="{C3380CC4-5D6E-409C-BE32-E72D297353CC}">
              <c16:uniqueId val="{00000003-6DF5-4D18-8D30-EE142E0FBE5F}"/>
            </c:ext>
          </c:extLst>
        </c:ser>
        <c:dLbls>
          <c:showLegendKey val="0"/>
          <c:showVal val="0"/>
          <c:showCatName val="0"/>
          <c:showSerName val="0"/>
          <c:showPercent val="0"/>
          <c:showBubbleSize val="0"/>
        </c:dLbls>
        <c:axId val="361467264"/>
        <c:axId val="361465344"/>
      </c:scatterChart>
      <c:valAx>
        <c:axId val="361445248"/>
        <c:scaling>
          <c:orientation val="minMax"/>
        </c:scaling>
        <c:delete val="0"/>
        <c:axPos val="b"/>
        <c:majorGridlines/>
        <c:numFmt formatCode="General" sourceLinked="1"/>
        <c:majorTickMark val="out"/>
        <c:minorTickMark val="none"/>
        <c:tickLblPos val="nextTo"/>
        <c:crossAx val="361446784"/>
        <c:crosses val="autoZero"/>
        <c:crossBetween val="midCat"/>
      </c:valAx>
      <c:valAx>
        <c:axId val="361446784"/>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361445248"/>
        <c:crosses val="autoZero"/>
        <c:crossBetween val="midCat"/>
      </c:valAx>
      <c:valAx>
        <c:axId val="361465344"/>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361467264"/>
        <c:crosses val="max"/>
        <c:crossBetween val="midCat"/>
      </c:valAx>
      <c:valAx>
        <c:axId val="361467264"/>
        <c:scaling>
          <c:orientation val="minMax"/>
        </c:scaling>
        <c:delete val="1"/>
        <c:axPos val="b"/>
        <c:title>
          <c:tx>
            <c:rich>
              <a:bodyPr/>
              <a:lstStyle/>
              <a:p>
                <a:pPr>
                  <a:defRPr/>
                </a:pPr>
                <a:r>
                  <a:rPr lang="en-US"/>
                  <a:t>Load</a:t>
                </a:r>
                <a:r>
                  <a:rPr lang="en-US" baseline="0"/>
                  <a:t> Current (A)</a:t>
                </a:r>
                <a:endParaRPr lang="en-US"/>
              </a:p>
            </c:rich>
          </c:tx>
          <c:overlay val="0"/>
        </c:title>
        <c:numFmt formatCode="General" sourceLinked="1"/>
        <c:majorTickMark val="out"/>
        <c:minorTickMark val="none"/>
        <c:tickLblPos val="nextTo"/>
        <c:crossAx val="361465344"/>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Eff_vs_VIN!$T$7:$T$157</c:f>
              <c:numCache>
                <c:formatCode>General</c:formatCode>
                <c:ptCount val="151"/>
                <c:pt idx="0">
                  <c:v>11</c:v>
                </c:pt>
                <c:pt idx="1">
                  <c:v>11.01</c:v>
                </c:pt>
                <c:pt idx="2">
                  <c:v>11.02</c:v>
                </c:pt>
                <c:pt idx="3">
                  <c:v>11.03</c:v>
                </c:pt>
                <c:pt idx="4">
                  <c:v>11.04</c:v>
                </c:pt>
                <c:pt idx="5">
                  <c:v>11.05</c:v>
                </c:pt>
                <c:pt idx="6">
                  <c:v>11.06</c:v>
                </c:pt>
                <c:pt idx="7">
                  <c:v>11.07</c:v>
                </c:pt>
                <c:pt idx="8">
                  <c:v>11.08</c:v>
                </c:pt>
                <c:pt idx="9">
                  <c:v>11.09</c:v>
                </c:pt>
                <c:pt idx="10">
                  <c:v>11.1</c:v>
                </c:pt>
                <c:pt idx="11">
                  <c:v>11.11</c:v>
                </c:pt>
                <c:pt idx="12">
                  <c:v>11.12</c:v>
                </c:pt>
                <c:pt idx="13">
                  <c:v>11.13</c:v>
                </c:pt>
                <c:pt idx="14">
                  <c:v>11.14</c:v>
                </c:pt>
                <c:pt idx="15">
                  <c:v>11.15</c:v>
                </c:pt>
                <c:pt idx="16">
                  <c:v>11.16</c:v>
                </c:pt>
                <c:pt idx="17">
                  <c:v>11.17</c:v>
                </c:pt>
                <c:pt idx="18">
                  <c:v>11.18</c:v>
                </c:pt>
                <c:pt idx="19">
                  <c:v>11.19</c:v>
                </c:pt>
                <c:pt idx="20">
                  <c:v>11.2</c:v>
                </c:pt>
                <c:pt idx="21">
                  <c:v>11.21</c:v>
                </c:pt>
                <c:pt idx="22">
                  <c:v>11.22</c:v>
                </c:pt>
                <c:pt idx="23">
                  <c:v>11.23</c:v>
                </c:pt>
                <c:pt idx="24">
                  <c:v>11.24</c:v>
                </c:pt>
                <c:pt idx="25">
                  <c:v>11.25</c:v>
                </c:pt>
                <c:pt idx="26">
                  <c:v>11.26</c:v>
                </c:pt>
                <c:pt idx="27">
                  <c:v>11.27</c:v>
                </c:pt>
                <c:pt idx="28">
                  <c:v>11.28</c:v>
                </c:pt>
                <c:pt idx="29">
                  <c:v>11.29</c:v>
                </c:pt>
                <c:pt idx="30">
                  <c:v>11.3</c:v>
                </c:pt>
                <c:pt idx="31">
                  <c:v>11.31</c:v>
                </c:pt>
                <c:pt idx="32">
                  <c:v>11.32</c:v>
                </c:pt>
                <c:pt idx="33">
                  <c:v>11.33</c:v>
                </c:pt>
                <c:pt idx="34">
                  <c:v>11.34</c:v>
                </c:pt>
                <c:pt idx="35">
                  <c:v>11.35</c:v>
                </c:pt>
                <c:pt idx="36">
                  <c:v>11.36</c:v>
                </c:pt>
                <c:pt idx="37">
                  <c:v>11.37</c:v>
                </c:pt>
                <c:pt idx="38">
                  <c:v>11.38</c:v>
                </c:pt>
                <c:pt idx="39">
                  <c:v>11.39</c:v>
                </c:pt>
                <c:pt idx="40">
                  <c:v>11.4</c:v>
                </c:pt>
                <c:pt idx="41">
                  <c:v>11.41</c:v>
                </c:pt>
                <c:pt idx="42">
                  <c:v>11.42</c:v>
                </c:pt>
                <c:pt idx="43">
                  <c:v>11.43</c:v>
                </c:pt>
                <c:pt idx="44">
                  <c:v>11.44</c:v>
                </c:pt>
                <c:pt idx="45">
                  <c:v>11.45</c:v>
                </c:pt>
                <c:pt idx="46">
                  <c:v>11.46</c:v>
                </c:pt>
                <c:pt idx="47">
                  <c:v>11.47</c:v>
                </c:pt>
                <c:pt idx="48">
                  <c:v>11.48</c:v>
                </c:pt>
                <c:pt idx="49">
                  <c:v>11.49</c:v>
                </c:pt>
                <c:pt idx="50">
                  <c:v>11.5</c:v>
                </c:pt>
                <c:pt idx="51">
                  <c:v>11.51</c:v>
                </c:pt>
                <c:pt idx="52">
                  <c:v>11.52</c:v>
                </c:pt>
                <c:pt idx="53">
                  <c:v>11.53</c:v>
                </c:pt>
                <c:pt idx="54">
                  <c:v>11.54</c:v>
                </c:pt>
                <c:pt idx="55">
                  <c:v>11.55</c:v>
                </c:pt>
                <c:pt idx="56">
                  <c:v>11.56</c:v>
                </c:pt>
                <c:pt idx="57">
                  <c:v>11.57</c:v>
                </c:pt>
                <c:pt idx="58">
                  <c:v>11.58</c:v>
                </c:pt>
                <c:pt idx="59">
                  <c:v>11.59</c:v>
                </c:pt>
                <c:pt idx="60">
                  <c:v>11.6</c:v>
                </c:pt>
                <c:pt idx="61">
                  <c:v>11.61</c:v>
                </c:pt>
                <c:pt idx="62">
                  <c:v>11.62</c:v>
                </c:pt>
                <c:pt idx="63">
                  <c:v>11.63</c:v>
                </c:pt>
                <c:pt idx="64">
                  <c:v>11.64</c:v>
                </c:pt>
                <c:pt idx="65">
                  <c:v>11.65</c:v>
                </c:pt>
                <c:pt idx="66">
                  <c:v>11.66</c:v>
                </c:pt>
                <c:pt idx="67">
                  <c:v>11.67</c:v>
                </c:pt>
                <c:pt idx="68">
                  <c:v>11.68</c:v>
                </c:pt>
                <c:pt idx="69">
                  <c:v>11.69</c:v>
                </c:pt>
                <c:pt idx="70">
                  <c:v>11.7</c:v>
                </c:pt>
                <c:pt idx="71">
                  <c:v>11.71</c:v>
                </c:pt>
                <c:pt idx="72">
                  <c:v>11.72</c:v>
                </c:pt>
                <c:pt idx="73">
                  <c:v>11.73</c:v>
                </c:pt>
                <c:pt idx="74">
                  <c:v>11.74</c:v>
                </c:pt>
                <c:pt idx="75">
                  <c:v>11.75</c:v>
                </c:pt>
                <c:pt idx="76">
                  <c:v>11.76</c:v>
                </c:pt>
                <c:pt idx="77">
                  <c:v>11.77</c:v>
                </c:pt>
                <c:pt idx="78">
                  <c:v>11.78</c:v>
                </c:pt>
                <c:pt idx="79">
                  <c:v>11.79</c:v>
                </c:pt>
                <c:pt idx="80">
                  <c:v>11.8</c:v>
                </c:pt>
                <c:pt idx="81">
                  <c:v>11.81</c:v>
                </c:pt>
                <c:pt idx="82">
                  <c:v>11.82</c:v>
                </c:pt>
                <c:pt idx="83">
                  <c:v>11.83</c:v>
                </c:pt>
                <c:pt idx="84">
                  <c:v>11.84</c:v>
                </c:pt>
                <c:pt idx="85">
                  <c:v>11.85</c:v>
                </c:pt>
                <c:pt idx="86">
                  <c:v>11.86</c:v>
                </c:pt>
                <c:pt idx="87">
                  <c:v>11.87</c:v>
                </c:pt>
                <c:pt idx="88">
                  <c:v>11.88</c:v>
                </c:pt>
                <c:pt idx="89">
                  <c:v>11.89</c:v>
                </c:pt>
                <c:pt idx="90">
                  <c:v>11.9</c:v>
                </c:pt>
                <c:pt idx="91">
                  <c:v>11.91</c:v>
                </c:pt>
                <c:pt idx="92">
                  <c:v>11.92</c:v>
                </c:pt>
                <c:pt idx="93">
                  <c:v>11.93</c:v>
                </c:pt>
                <c:pt idx="94">
                  <c:v>11.94</c:v>
                </c:pt>
                <c:pt idx="95">
                  <c:v>11.95</c:v>
                </c:pt>
                <c:pt idx="96">
                  <c:v>11.96</c:v>
                </c:pt>
                <c:pt idx="97">
                  <c:v>11.97</c:v>
                </c:pt>
                <c:pt idx="98">
                  <c:v>11.98</c:v>
                </c:pt>
                <c:pt idx="99">
                  <c:v>11.99</c:v>
                </c:pt>
                <c:pt idx="100">
                  <c:v>12</c:v>
                </c:pt>
                <c:pt idx="101">
                  <c:v>12.01</c:v>
                </c:pt>
                <c:pt idx="102">
                  <c:v>12.02</c:v>
                </c:pt>
                <c:pt idx="103">
                  <c:v>12.03</c:v>
                </c:pt>
                <c:pt idx="104">
                  <c:v>12.04</c:v>
                </c:pt>
                <c:pt idx="105">
                  <c:v>12.05</c:v>
                </c:pt>
                <c:pt idx="106">
                  <c:v>12.06</c:v>
                </c:pt>
                <c:pt idx="107">
                  <c:v>12.07</c:v>
                </c:pt>
                <c:pt idx="108">
                  <c:v>12.08</c:v>
                </c:pt>
                <c:pt idx="109">
                  <c:v>12.09</c:v>
                </c:pt>
                <c:pt idx="110">
                  <c:v>12.1</c:v>
                </c:pt>
                <c:pt idx="111">
                  <c:v>12.11</c:v>
                </c:pt>
                <c:pt idx="112">
                  <c:v>12.120000000000001</c:v>
                </c:pt>
                <c:pt idx="113">
                  <c:v>12.13</c:v>
                </c:pt>
                <c:pt idx="114">
                  <c:v>12.14</c:v>
                </c:pt>
                <c:pt idx="115">
                  <c:v>12.15</c:v>
                </c:pt>
                <c:pt idx="116">
                  <c:v>12.16</c:v>
                </c:pt>
                <c:pt idx="117">
                  <c:v>12.17</c:v>
                </c:pt>
                <c:pt idx="118">
                  <c:v>12.18</c:v>
                </c:pt>
                <c:pt idx="119">
                  <c:v>12.19</c:v>
                </c:pt>
                <c:pt idx="120">
                  <c:v>12.2</c:v>
                </c:pt>
                <c:pt idx="121">
                  <c:v>12.21</c:v>
                </c:pt>
                <c:pt idx="122">
                  <c:v>12.22</c:v>
                </c:pt>
                <c:pt idx="123">
                  <c:v>12.23</c:v>
                </c:pt>
                <c:pt idx="124">
                  <c:v>12.24</c:v>
                </c:pt>
                <c:pt idx="125">
                  <c:v>12.25</c:v>
                </c:pt>
                <c:pt idx="126">
                  <c:v>12.26</c:v>
                </c:pt>
                <c:pt idx="127">
                  <c:v>12.27</c:v>
                </c:pt>
                <c:pt idx="128">
                  <c:v>12.28</c:v>
                </c:pt>
                <c:pt idx="129">
                  <c:v>12.29</c:v>
                </c:pt>
                <c:pt idx="130">
                  <c:v>12.3</c:v>
                </c:pt>
                <c:pt idx="131">
                  <c:v>12.31</c:v>
                </c:pt>
                <c:pt idx="132">
                  <c:v>12.32</c:v>
                </c:pt>
                <c:pt idx="133">
                  <c:v>12.33</c:v>
                </c:pt>
                <c:pt idx="134">
                  <c:v>12.34</c:v>
                </c:pt>
                <c:pt idx="135">
                  <c:v>12.35</c:v>
                </c:pt>
                <c:pt idx="136">
                  <c:v>12.36</c:v>
                </c:pt>
                <c:pt idx="137">
                  <c:v>12.370000000000001</c:v>
                </c:pt>
                <c:pt idx="138">
                  <c:v>12.38</c:v>
                </c:pt>
                <c:pt idx="139">
                  <c:v>12.39</c:v>
                </c:pt>
                <c:pt idx="140">
                  <c:v>12.4</c:v>
                </c:pt>
                <c:pt idx="141">
                  <c:v>12.41</c:v>
                </c:pt>
                <c:pt idx="142">
                  <c:v>12.42</c:v>
                </c:pt>
                <c:pt idx="143">
                  <c:v>12.43</c:v>
                </c:pt>
                <c:pt idx="144">
                  <c:v>12.44</c:v>
                </c:pt>
                <c:pt idx="145">
                  <c:v>12.45</c:v>
                </c:pt>
                <c:pt idx="146">
                  <c:v>12.46</c:v>
                </c:pt>
                <c:pt idx="147">
                  <c:v>12.47</c:v>
                </c:pt>
                <c:pt idx="148">
                  <c:v>12.48</c:v>
                </c:pt>
                <c:pt idx="149">
                  <c:v>12.49</c:v>
                </c:pt>
                <c:pt idx="150">
                  <c:v>12.5</c:v>
                </c:pt>
              </c:numCache>
            </c:numRef>
          </c:xVal>
          <c:yVal>
            <c:numRef>
              <c:f>Eff_vs_VIN!$AW$7:$AW$157</c:f>
              <c:numCache>
                <c:formatCode>General</c:formatCode>
                <c:ptCount val="151"/>
                <c:pt idx="0">
                  <c:v>88.042618082340013</c:v>
                </c:pt>
                <c:pt idx="1">
                  <c:v>88.060922743148453</c:v>
                </c:pt>
                <c:pt idx="2">
                  <c:v>88.079186060186487</c:v>
                </c:pt>
                <c:pt idx="3">
                  <c:v>88.097408154937469</c:v>
                </c:pt>
                <c:pt idx="4">
                  <c:v>88.115589148459122</c:v>
                </c:pt>
                <c:pt idx="5">
                  <c:v>88.133729161385091</c:v>
                </c:pt>
                <c:pt idx="6">
                  <c:v>88.151828313926529</c:v>
                </c:pt>
                <c:pt idx="7">
                  <c:v>88.169886725873837</c:v>
                </c:pt>
                <c:pt idx="8">
                  <c:v>88.18790451659801</c:v>
                </c:pt>
                <c:pt idx="9">
                  <c:v>88.205881805052385</c:v>
                </c:pt>
                <c:pt idx="10">
                  <c:v>88.223818709774164</c:v>
                </c:pt>
                <c:pt idx="11">
                  <c:v>88.241715348885961</c:v>
                </c:pt>
                <c:pt idx="12">
                  <c:v>88.259571840097394</c:v>
                </c:pt>
                <c:pt idx="13">
                  <c:v>88.27738830070659</c:v>
                </c:pt>
                <c:pt idx="14">
                  <c:v>88.295164847601797</c:v>
                </c:pt>
                <c:pt idx="15">
                  <c:v>88.312901597262837</c:v>
                </c:pt>
                <c:pt idx="16">
                  <c:v>88.33059866576275</c:v>
                </c:pt>
                <c:pt idx="17">
                  <c:v>88.34825616876924</c:v>
                </c:pt>
                <c:pt idx="18">
                  <c:v>88.365874221546207</c:v>
                </c:pt>
                <c:pt idx="19">
                  <c:v>88.383452938955287</c:v>
                </c:pt>
                <c:pt idx="20">
                  <c:v>88.400992435457354</c:v>
                </c:pt>
                <c:pt idx="21">
                  <c:v>88.418492825114043</c:v>
                </c:pt>
                <c:pt idx="22">
                  <c:v>88.435954221589185</c:v>
                </c:pt>
                <c:pt idx="23">
                  <c:v>88.453376738150368</c:v>
                </c:pt>
                <c:pt idx="24">
                  <c:v>88.470760487670432</c:v>
                </c:pt>
                <c:pt idx="25">
                  <c:v>88.488105582628862</c:v>
                </c:pt>
                <c:pt idx="26">
                  <c:v>88.50541213511336</c:v>
                </c:pt>
                <c:pt idx="27">
                  <c:v>88.522680256821261</c:v>
                </c:pt>
                <c:pt idx="28">
                  <c:v>88.539910059060986</c:v>
                </c:pt>
                <c:pt idx="29">
                  <c:v>88.557101652753573</c:v>
                </c:pt>
                <c:pt idx="30">
                  <c:v>88.574255148434048</c:v>
                </c:pt>
                <c:pt idx="31">
                  <c:v>88.591370656252906</c:v>
                </c:pt>
                <c:pt idx="32">
                  <c:v>88.608448285977559</c:v>
                </c:pt>
                <c:pt idx="33">
                  <c:v>88.62548814699376</c:v>
                </c:pt>
                <c:pt idx="34">
                  <c:v>88.642490348307007</c:v>
                </c:pt>
                <c:pt idx="35">
                  <c:v>88.659454998544064</c:v>
                </c:pt>
                <c:pt idx="36">
                  <c:v>88.676382205954212</c:v>
                </c:pt>
                <c:pt idx="37">
                  <c:v>88.693272078410871</c:v>
                </c:pt>
                <c:pt idx="38">
                  <c:v>88.710124723412804</c:v>
                </c:pt>
                <c:pt idx="39">
                  <c:v>88.72694024808564</c:v>
                </c:pt>
                <c:pt idx="40">
                  <c:v>88.743718759183267</c:v>
                </c:pt>
                <c:pt idx="41">
                  <c:v>88.76046036308918</c:v>
                </c:pt>
                <c:pt idx="42">
                  <c:v>88.777165165817848</c:v>
                </c:pt>
                <c:pt idx="43">
                  <c:v>88.793833273016162</c:v>
                </c:pt>
                <c:pt idx="44">
                  <c:v>88.810464789964811</c:v>
                </c:pt>
                <c:pt idx="45">
                  <c:v>88.827059821579553</c:v>
                </c:pt>
                <c:pt idx="46">
                  <c:v>88.843618472412643</c:v>
                </c:pt>
                <c:pt idx="47">
                  <c:v>88.860140846654247</c:v>
                </c:pt>
                <c:pt idx="48">
                  <c:v>88.876627048133699</c:v>
                </c:pt>
                <c:pt idx="49">
                  <c:v>88.893077180320873</c:v>
                </c:pt>
                <c:pt idx="50">
                  <c:v>88.909491346327556</c:v>
                </c:pt>
                <c:pt idx="51">
                  <c:v>88.925869648908773</c:v>
                </c:pt>
                <c:pt idx="52">
                  <c:v>88.942212190464105</c:v>
                </c:pt>
                <c:pt idx="53">
                  <c:v>88.958519073039028</c:v>
                </c:pt>
                <c:pt idx="54">
                  <c:v>88.974790398326206</c:v>
                </c:pt>
                <c:pt idx="55">
                  <c:v>88.991026267666882</c:v>
                </c:pt>
                <c:pt idx="56">
                  <c:v>89.007226782052072</c:v>
                </c:pt>
                <c:pt idx="57">
                  <c:v>89.023392042123987</c:v>
                </c:pt>
                <c:pt idx="58">
                  <c:v>89.039522148177255</c:v>
                </c:pt>
                <c:pt idx="59">
                  <c:v>89.055617200160256</c:v>
                </c:pt>
                <c:pt idx="60">
                  <c:v>89.071677297676359</c:v>
                </c:pt>
                <c:pt idx="61">
                  <c:v>89.087702539985315</c:v>
                </c:pt>
                <c:pt idx="62">
                  <c:v>89.103693026004407</c:v>
                </c:pt>
                <c:pt idx="63">
                  <c:v>89.11964885430983</c:v>
                </c:pt>
                <c:pt idx="64">
                  <c:v>89.135570123137882</c:v>
                </c:pt>
                <c:pt idx="65">
                  <c:v>89.151456930386274</c:v>
                </c:pt>
                <c:pt idx="66">
                  <c:v>89.167309373615396</c:v>
                </c:pt>
                <c:pt idx="67">
                  <c:v>89.183127550049534</c:v>
                </c:pt>
                <c:pt idx="68">
                  <c:v>89.198911556578167</c:v>
                </c:pt>
                <c:pt idx="69">
                  <c:v>89.214661489757134</c:v>
                </c:pt>
                <c:pt idx="70">
                  <c:v>89.230377445809978</c:v>
                </c:pt>
                <c:pt idx="71">
                  <c:v>89.246059520629103</c:v>
                </c:pt>
                <c:pt idx="72">
                  <c:v>89.26170780977705</c:v>
                </c:pt>
                <c:pt idx="73">
                  <c:v>89.277322408487663</c:v>
                </c:pt>
                <c:pt idx="74">
                  <c:v>89.292903411667382</c:v>
                </c:pt>
                <c:pt idx="75">
                  <c:v>89.308450913896408</c:v>
                </c:pt>
                <c:pt idx="76">
                  <c:v>89.323965009429955</c:v>
                </c:pt>
                <c:pt idx="77">
                  <c:v>89.339445792199385</c:v>
                </c:pt>
                <c:pt idx="78">
                  <c:v>89.354893355813502</c:v>
                </c:pt>
                <c:pt idx="79">
                  <c:v>89.370307793559689</c:v>
                </c:pt>
                <c:pt idx="80">
                  <c:v>89.385689198405075</c:v>
                </c:pt>
                <c:pt idx="81">
                  <c:v>89.401037662997823</c:v>
                </c:pt>
                <c:pt idx="82">
                  <c:v>89.416353279668186</c:v>
                </c:pt>
                <c:pt idx="83">
                  <c:v>89.431636140429816</c:v>
                </c:pt>
                <c:pt idx="84">
                  <c:v>89.446886336980782</c:v>
                </c:pt>
                <c:pt idx="85">
                  <c:v>89.462103960704908</c:v>
                </c:pt>
                <c:pt idx="86">
                  <c:v>89.477289102672813</c:v>
                </c:pt>
                <c:pt idx="87">
                  <c:v>89.492441853643101</c:v>
                </c:pt>
                <c:pt idx="88">
                  <c:v>89.507562304063555</c:v>
                </c:pt>
                <c:pt idx="89">
                  <c:v>89.522650544072206</c:v>
                </c:pt>
                <c:pt idx="90">
                  <c:v>89.537706663498582</c:v>
                </c:pt>
                <c:pt idx="91">
                  <c:v>89.5527307518648</c:v>
                </c:pt>
                <c:pt idx="92">
                  <c:v>89.567722898386634</c:v>
                </c:pt>
                <c:pt idx="93">
                  <c:v>89.58268319197478</c:v>
                </c:pt>
                <c:pt idx="94">
                  <c:v>89.59761172123585</c:v>
                </c:pt>
                <c:pt idx="95">
                  <c:v>89.612508574473608</c:v>
                </c:pt>
                <c:pt idx="96">
                  <c:v>89.627373839690037</c:v>
                </c:pt>
                <c:pt idx="97">
                  <c:v>89.642207604586432</c:v>
                </c:pt>
                <c:pt idx="98">
                  <c:v>89.657009956564536</c:v>
                </c:pt>
                <c:pt idx="99">
                  <c:v>89.67178098272764</c:v>
                </c:pt>
                <c:pt idx="100">
                  <c:v>89.68652076988171</c:v>
                </c:pt>
                <c:pt idx="101">
                  <c:v>89.70122940453642</c:v>
                </c:pt>
                <c:pt idx="102">
                  <c:v>89.715906972906325</c:v>
                </c:pt>
                <c:pt idx="103">
                  <c:v>89.730553560911858</c:v>
                </c:pt>
                <c:pt idx="104">
                  <c:v>89.74516925418051</c:v>
                </c:pt>
                <c:pt idx="105">
                  <c:v>89.759754138047839</c:v>
                </c:pt>
                <c:pt idx="106">
                  <c:v>89.774308297558562</c:v>
                </c:pt>
                <c:pt idx="107">
                  <c:v>89.788831817467624</c:v>
                </c:pt>
                <c:pt idx="108">
                  <c:v>89.80332478224129</c:v>
                </c:pt>
                <c:pt idx="109">
                  <c:v>89.817787276058169</c:v>
                </c:pt>
                <c:pt idx="110">
                  <c:v>89.832219382810337</c:v>
                </c:pt>
                <c:pt idx="111">
                  <c:v>89.846621186104272</c:v>
                </c:pt>
                <c:pt idx="112">
                  <c:v>89.860992769262026</c:v>
                </c:pt>
                <c:pt idx="113">
                  <c:v>89.875334215322226</c:v>
                </c:pt>
                <c:pt idx="114">
                  <c:v>89.889645607041061</c:v>
                </c:pt>
                <c:pt idx="115">
                  <c:v>89.903927026893399</c:v>
                </c:pt>
                <c:pt idx="116">
                  <c:v>89.918178557073801</c:v>
                </c:pt>
                <c:pt idx="117">
                  <c:v>89.932400279497543</c:v>
                </c:pt>
                <c:pt idx="118">
                  <c:v>89.946592275801564</c:v>
                </c:pt>
                <c:pt idx="119">
                  <c:v>89.960754627345679</c:v>
                </c:pt>
                <c:pt idx="120">
                  <c:v>89.97488741521336</c:v>
                </c:pt>
                <c:pt idx="121">
                  <c:v>89.988990720212925</c:v>
                </c:pt>
                <c:pt idx="122">
                  <c:v>90.003064622878469</c:v>
                </c:pt>
                <c:pt idx="123">
                  <c:v>90.017109203470909</c:v>
                </c:pt>
                <c:pt idx="124">
                  <c:v>90.031124541978912</c:v>
                </c:pt>
                <c:pt idx="125">
                  <c:v>90.045110718120014</c:v>
                </c:pt>
                <c:pt idx="126">
                  <c:v>90.05906781134145</c:v>
                </c:pt>
                <c:pt idx="127">
                  <c:v>90.072995900821311</c:v>
                </c:pt>
                <c:pt idx="128">
                  <c:v>90.086895065469434</c:v>
                </c:pt>
                <c:pt idx="129">
                  <c:v>90.100765383928348</c:v>
                </c:pt>
                <c:pt idx="130">
                  <c:v>90.114606934574368</c:v>
                </c:pt>
                <c:pt idx="131">
                  <c:v>90.128419795518482</c:v>
                </c:pt>
                <c:pt idx="132">
                  <c:v>90.142204044607325</c:v>
                </c:pt>
                <c:pt idx="133">
                  <c:v>90.155959759424206</c:v>
                </c:pt>
                <c:pt idx="134">
                  <c:v>90.169687017289974</c:v>
                </c:pt>
                <c:pt idx="135">
                  <c:v>90.183385895264053</c:v>
                </c:pt>
                <c:pt idx="136">
                  <c:v>90.19705647014537</c:v>
                </c:pt>
                <c:pt idx="137">
                  <c:v>90.210698818473332</c:v>
                </c:pt>
                <c:pt idx="138">
                  <c:v>90.224313016528711</c:v>
                </c:pt>
                <c:pt idx="139">
                  <c:v>90.237899140334633</c:v>
                </c:pt>
                <c:pt idx="140">
                  <c:v>90.251457265657521</c:v>
                </c:pt>
                <c:pt idx="141">
                  <c:v>90.264987468008002</c:v>
                </c:pt>
                <c:pt idx="142">
                  <c:v>90.278489822641887</c:v>
                </c:pt>
                <c:pt idx="143">
                  <c:v>90.291964404561028</c:v>
                </c:pt>
                <c:pt idx="144">
                  <c:v>90.305411288514307</c:v>
                </c:pt>
                <c:pt idx="145">
                  <c:v>90.31883054899852</c:v>
                </c:pt>
                <c:pt idx="146">
                  <c:v>90.332222260259329</c:v>
                </c:pt>
                <c:pt idx="147">
                  <c:v>90.345586496292114</c:v>
                </c:pt>
                <c:pt idx="148">
                  <c:v>90.358923330842984</c:v>
                </c:pt>
                <c:pt idx="149">
                  <c:v>90.372232837409541</c:v>
                </c:pt>
                <c:pt idx="150">
                  <c:v>90.385515089241935</c:v>
                </c:pt>
              </c:numCache>
            </c:numRef>
          </c:yVal>
          <c:smooth val="0"/>
          <c:extLst>
            <c:ext xmlns:c16="http://schemas.microsoft.com/office/drawing/2014/chart" uri="{C3380CC4-5D6E-409C-BE32-E72D297353CC}">
              <c16:uniqueId val="{00000000-0B1C-42A1-BAB5-10FCC4361A6B}"/>
            </c:ext>
          </c:extLst>
        </c:ser>
        <c:dLbls>
          <c:showLegendKey val="0"/>
          <c:showVal val="0"/>
          <c:showCatName val="0"/>
          <c:showSerName val="0"/>
          <c:showPercent val="0"/>
          <c:showBubbleSize val="0"/>
        </c:dLbls>
        <c:axId val="361445248"/>
        <c:axId val="361446784"/>
      </c:scatterChart>
      <c:scatterChart>
        <c:scatterStyle val="smoothMarker"/>
        <c:varyColors val="0"/>
        <c:ser>
          <c:idx val="1"/>
          <c:order val="1"/>
          <c:tx>
            <c:v>LS MOSFET</c:v>
          </c:tx>
          <c:spPr>
            <a:ln>
              <a:solidFill>
                <a:schemeClr val="tx2">
                  <a:lumMod val="75000"/>
                </a:schemeClr>
              </a:solidFill>
              <a:prstDash val="dashDot"/>
            </a:ln>
          </c:spPr>
          <c:marker>
            <c:symbol val="none"/>
          </c:marker>
          <c:xVal>
            <c:numRef>
              <c:f>Eff_vs_VIN!$T$7:$T$157</c:f>
              <c:numCache>
                <c:formatCode>General</c:formatCode>
                <c:ptCount val="151"/>
                <c:pt idx="0">
                  <c:v>11</c:v>
                </c:pt>
                <c:pt idx="1">
                  <c:v>11.01</c:v>
                </c:pt>
                <c:pt idx="2">
                  <c:v>11.02</c:v>
                </c:pt>
                <c:pt idx="3">
                  <c:v>11.03</c:v>
                </c:pt>
                <c:pt idx="4">
                  <c:v>11.04</c:v>
                </c:pt>
                <c:pt idx="5">
                  <c:v>11.05</c:v>
                </c:pt>
                <c:pt idx="6">
                  <c:v>11.06</c:v>
                </c:pt>
                <c:pt idx="7">
                  <c:v>11.07</c:v>
                </c:pt>
                <c:pt idx="8">
                  <c:v>11.08</c:v>
                </c:pt>
                <c:pt idx="9">
                  <c:v>11.09</c:v>
                </c:pt>
                <c:pt idx="10">
                  <c:v>11.1</c:v>
                </c:pt>
                <c:pt idx="11">
                  <c:v>11.11</c:v>
                </c:pt>
                <c:pt idx="12">
                  <c:v>11.12</c:v>
                </c:pt>
                <c:pt idx="13">
                  <c:v>11.13</c:v>
                </c:pt>
                <c:pt idx="14">
                  <c:v>11.14</c:v>
                </c:pt>
                <c:pt idx="15">
                  <c:v>11.15</c:v>
                </c:pt>
                <c:pt idx="16">
                  <c:v>11.16</c:v>
                </c:pt>
                <c:pt idx="17">
                  <c:v>11.17</c:v>
                </c:pt>
                <c:pt idx="18">
                  <c:v>11.18</c:v>
                </c:pt>
                <c:pt idx="19">
                  <c:v>11.19</c:v>
                </c:pt>
                <c:pt idx="20">
                  <c:v>11.2</c:v>
                </c:pt>
                <c:pt idx="21">
                  <c:v>11.21</c:v>
                </c:pt>
                <c:pt idx="22">
                  <c:v>11.22</c:v>
                </c:pt>
                <c:pt idx="23">
                  <c:v>11.23</c:v>
                </c:pt>
                <c:pt idx="24">
                  <c:v>11.24</c:v>
                </c:pt>
                <c:pt idx="25">
                  <c:v>11.25</c:v>
                </c:pt>
                <c:pt idx="26">
                  <c:v>11.26</c:v>
                </c:pt>
                <c:pt idx="27">
                  <c:v>11.27</c:v>
                </c:pt>
                <c:pt idx="28">
                  <c:v>11.28</c:v>
                </c:pt>
                <c:pt idx="29">
                  <c:v>11.29</c:v>
                </c:pt>
                <c:pt idx="30">
                  <c:v>11.3</c:v>
                </c:pt>
                <c:pt idx="31">
                  <c:v>11.31</c:v>
                </c:pt>
                <c:pt idx="32">
                  <c:v>11.32</c:v>
                </c:pt>
                <c:pt idx="33">
                  <c:v>11.33</c:v>
                </c:pt>
                <c:pt idx="34">
                  <c:v>11.34</c:v>
                </c:pt>
                <c:pt idx="35">
                  <c:v>11.35</c:v>
                </c:pt>
                <c:pt idx="36">
                  <c:v>11.36</c:v>
                </c:pt>
                <c:pt idx="37">
                  <c:v>11.37</c:v>
                </c:pt>
                <c:pt idx="38">
                  <c:v>11.38</c:v>
                </c:pt>
                <c:pt idx="39">
                  <c:v>11.39</c:v>
                </c:pt>
                <c:pt idx="40">
                  <c:v>11.4</c:v>
                </c:pt>
                <c:pt idx="41">
                  <c:v>11.41</c:v>
                </c:pt>
                <c:pt idx="42">
                  <c:v>11.42</c:v>
                </c:pt>
                <c:pt idx="43">
                  <c:v>11.43</c:v>
                </c:pt>
                <c:pt idx="44">
                  <c:v>11.44</c:v>
                </c:pt>
                <c:pt idx="45">
                  <c:v>11.45</c:v>
                </c:pt>
                <c:pt idx="46">
                  <c:v>11.46</c:v>
                </c:pt>
                <c:pt idx="47">
                  <c:v>11.47</c:v>
                </c:pt>
                <c:pt idx="48">
                  <c:v>11.48</c:v>
                </c:pt>
                <c:pt idx="49">
                  <c:v>11.49</c:v>
                </c:pt>
                <c:pt idx="50">
                  <c:v>11.5</c:v>
                </c:pt>
                <c:pt idx="51">
                  <c:v>11.51</c:v>
                </c:pt>
                <c:pt idx="52">
                  <c:v>11.52</c:v>
                </c:pt>
                <c:pt idx="53">
                  <c:v>11.53</c:v>
                </c:pt>
                <c:pt idx="54">
                  <c:v>11.54</c:v>
                </c:pt>
                <c:pt idx="55">
                  <c:v>11.55</c:v>
                </c:pt>
                <c:pt idx="56">
                  <c:v>11.56</c:v>
                </c:pt>
                <c:pt idx="57">
                  <c:v>11.57</c:v>
                </c:pt>
                <c:pt idx="58">
                  <c:v>11.58</c:v>
                </c:pt>
                <c:pt idx="59">
                  <c:v>11.59</c:v>
                </c:pt>
                <c:pt idx="60">
                  <c:v>11.6</c:v>
                </c:pt>
                <c:pt idx="61">
                  <c:v>11.61</c:v>
                </c:pt>
                <c:pt idx="62">
                  <c:v>11.62</c:v>
                </c:pt>
                <c:pt idx="63">
                  <c:v>11.63</c:v>
                </c:pt>
                <c:pt idx="64">
                  <c:v>11.64</c:v>
                </c:pt>
                <c:pt idx="65">
                  <c:v>11.65</c:v>
                </c:pt>
                <c:pt idx="66">
                  <c:v>11.66</c:v>
                </c:pt>
                <c:pt idx="67">
                  <c:v>11.67</c:v>
                </c:pt>
                <c:pt idx="68">
                  <c:v>11.68</c:v>
                </c:pt>
                <c:pt idx="69">
                  <c:v>11.69</c:v>
                </c:pt>
                <c:pt idx="70">
                  <c:v>11.7</c:v>
                </c:pt>
                <c:pt idx="71">
                  <c:v>11.71</c:v>
                </c:pt>
                <c:pt idx="72">
                  <c:v>11.72</c:v>
                </c:pt>
                <c:pt idx="73">
                  <c:v>11.73</c:v>
                </c:pt>
                <c:pt idx="74">
                  <c:v>11.74</c:v>
                </c:pt>
                <c:pt idx="75">
                  <c:v>11.75</c:v>
                </c:pt>
                <c:pt idx="76">
                  <c:v>11.76</c:v>
                </c:pt>
                <c:pt idx="77">
                  <c:v>11.77</c:v>
                </c:pt>
                <c:pt idx="78">
                  <c:v>11.78</c:v>
                </c:pt>
                <c:pt idx="79">
                  <c:v>11.79</c:v>
                </c:pt>
                <c:pt idx="80">
                  <c:v>11.8</c:v>
                </c:pt>
                <c:pt idx="81">
                  <c:v>11.81</c:v>
                </c:pt>
                <c:pt idx="82">
                  <c:v>11.82</c:v>
                </c:pt>
                <c:pt idx="83">
                  <c:v>11.83</c:v>
                </c:pt>
                <c:pt idx="84">
                  <c:v>11.84</c:v>
                </c:pt>
                <c:pt idx="85">
                  <c:v>11.85</c:v>
                </c:pt>
                <c:pt idx="86">
                  <c:v>11.86</c:v>
                </c:pt>
                <c:pt idx="87">
                  <c:v>11.87</c:v>
                </c:pt>
                <c:pt idx="88">
                  <c:v>11.88</c:v>
                </c:pt>
                <c:pt idx="89">
                  <c:v>11.89</c:v>
                </c:pt>
                <c:pt idx="90">
                  <c:v>11.9</c:v>
                </c:pt>
                <c:pt idx="91">
                  <c:v>11.91</c:v>
                </c:pt>
                <c:pt idx="92">
                  <c:v>11.92</c:v>
                </c:pt>
                <c:pt idx="93">
                  <c:v>11.93</c:v>
                </c:pt>
                <c:pt idx="94">
                  <c:v>11.94</c:v>
                </c:pt>
                <c:pt idx="95">
                  <c:v>11.95</c:v>
                </c:pt>
                <c:pt idx="96">
                  <c:v>11.96</c:v>
                </c:pt>
                <c:pt idx="97">
                  <c:v>11.97</c:v>
                </c:pt>
                <c:pt idx="98">
                  <c:v>11.98</c:v>
                </c:pt>
                <c:pt idx="99">
                  <c:v>11.99</c:v>
                </c:pt>
                <c:pt idx="100">
                  <c:v>12</c:v>
                </c:pt>
                <c:pt idx="101">
                  <c:v>12.01</c:v>
                </c:pt>
                <c:pt idx="102">
                  <c:v>12.02</c:v>
                </c:pt>
                <c:pt idx="103">
                  <c:v>12.03</c:v>
                </c:pt>
                <c:pt idx="104">
                  <c:v>12.04</c:v>
                </c:pt>
                <c:pt idx="105">
                  <c:v>12.05</c:v>
                </c:pt>
                <c:pt idx="106">
                  <c:v>12.06</c:v>
                </c:pt>
                <c:pt idx="107">
                  <c:v>12.07</c:v>
                </c:pt>
                <c:pt idx="108">
                  <c:v>12.08</c:v>
                </c:pt>
                <c:pt idx="109">
                  <c:v>12.09</c:v>
                </c:pt>
                <c:pt idx="110">
                  <c:v>12.1</c:v>
                </c:pt>
                <c:pt idx="111">
                  <c:v>12.11</c:v>
                </c:pt>
                <c:pt idx="112">
                  <c:v>12.120000000000001</c:v>
                </c:pt>
                <c:pt idx="113">
                  <c:v>12.13</c:v>
                </c:pt>
                <c:pt idx="114">
                  <c:v>12.14</c:v>
                </c:pt>
                <c:pt idx="115">
                  <c:v>12.15</c:v>
                </c:pt>
                <c:pt idx="116">
                  <c:v>12.16</c:v>
                </c:pt>
                <c:pt idx="117">
                  <c:v>12.17</c:v>
                </c:pt>
                <c:pt idx="118">
                  <c:v>12.18</c:v>
                </c:pt>
                <c:pt idx="119">
                  <c:v>12.19</c:v>
                </c:pt>
                <c:pt idx="120">
                  <c:v>12.2</c:v>
                </c:pt>
                <c:pt idx="121">
                  <c:v>12.21</c:v>
                </c:pt>
                <c:pt idx="122">
                  <c:v>12.22</c:v>
                </c:pt>
                <c:pt idx="123">
                  <c:v>12.23</c:v>
                </c:pt>
                <c:pt idx="124">
                  <c:v>12.24</c:v>
                </c:pt>
                <c:pt idx="125">
                  <c:v>12.25</c:v>
                </c:pt>
                <c:pt idx="126">
                  <c:v>12.26</c:v>
                </c:pt>
                <c:pt idx="127">
                  <c:v>12.27</c:v>
                </c:pt>
                <c:pt idx="128">
                  <c:v>12.28</c:v>
                </c:pt>
                <c:pt idx="129">
                  <c:v>12.29</c:v>
                </c:pt>
                <c:pt idx="130">
                  <c:v>12.3</c:v>
                </c:pt>
                <c:pt idx="131">
                  <c:v>12.31</c:v>
                </c:pt>
                <c:pt idx="132">
                  <c:v>12.32</c:v>
                </c:pt>
                <c:pt idx="133">
                  <c:v>12.33</c:v>
                </c:pt>
                <c:pt idx="134">
                  <c:v>12.34</c:v>
                </c:pt>
                <c:pt idx="135">
                  <c:v>12.35</c:v>
                </c:pt>
                <c:pt idx="136">
                  <c:v>12.36</c:v>
                </c:pt>
                <c:pt idx="137">
                  <c:v>12.370000000000001</c:v>
                </c:pt>
                <c:pt idx="138">
                  <c:v>12.38</c:v>
                </c:pt>
                <c:pt idx="139">
                  <c:v>12.39</c:v>
                </c:pt>
                <c:pt idx="140">
                  <c:v>12.4</c:v>
                </c:pt>
                <c:pt idx="141">
                  <c:v>12.41</c:v>
                </c:pt>
                <c:pt idx="142">
                  <c:v>12.42</c:v>
                </c:pt>
                <c:pt idx="143">
                  <c:v>12.43</c:v>
                </c:pt>
                <c:pt idx="144">
                  <c:v>12.44</c:v>
                </c:pt>
                <c:pt idx="145">
                  <c:v>12.45</c:v>
                </c:pt>
                <c:pt idx="146">
                  <c:v>12.46</c:v>
                </c:pt>
                <c:pt idx="147">
                  <c:v>12.47</c:v>
                </c:pt>
                <c:pt idx="148">
                  <c:v>12.48</c:v>
                </c:pt>
                <c:pt idx="149">
                  <c:v>12.49</c:v>
                </c:pt>
                <c:pt idx="150">
                  <c:v>12.5</c:v>
                </c:pt>
              </c:numCache>
            </c:numRef>
          </c:xVal>
          <c:yVal>
            <c:numRef>
              <c:f>Eff_vs_VIN!$AI$7:$AI$157</c:f>
              <c:numCache>
                <c:formatCode>General</c:formatCode>
                <c:ptCount val="151"/>
                <c:pt idx="0">
                  <c:v>0.33040628608510458</c:v>
                </c:pt>
                <c:pt idx="1">
                  <c:v>0.33004529551603512</c:v>
                </c:pt>
                <c:pt idx="2">
                  <c:v>0.32968506966660255</c:v>
                </c:pt>
                <c:pt idx="3">
                  <c:v>0.32932560615980105</c:v>
                </c:pt>
                <c:pt idx="4">
                  <c:v>0.32896690262832962</c:v>
                </c:pt>
                <c:pt idx="5">
                  <c:v>0.3286089567145431</c:v>
                </c:pt>
                <c:pt idx="6">
                  <c:v>0.32825176607040424</c:v>
                </c:pt>
                <c:pt idx="7">
                  <c:v>0.32789532835743435</c:v>
                </c:pt>
                <c:pt idx="8">
                  <c:v>0.32753964124666679</c:v>
                </c:pt>
                <c:pt idx="9">
                  <c:v>0.32718470241859754</c:v>
                </c:pt>
                <c:pt idx="10">
                  <c:v>0.32683050956313942</c:v>
                </c:pt>
                <c:pt idx="11">
                  <c:v>0.32647706037957391</c:v>
                </c:pt>
                <c:pt idx="12">
                  <c:v>0.32612435257650479</c:v>
                </c:pt>
                <c:pt idx="13">
                  <c:v>0.32577238387181146</c:v>
                </c:pt>
                <c:pt idx="14">
                  <c:v>0.32542115199260263</c:v>
                </c:pt>
                <c:pt idx="15">
                  <c:v>0.32507065467517016</c:v>
                </c:pt>
                <c:pt idx="16">
                  <c:v>0.32472088966494361</c:v>
                </c:pt>
                <c:pt idx="17">
                  <c:v>0.32437185471644464</c:v>
                </c:pt>
                <c:pt idx="18">
                  <c:v>0.32402354759324159</c:v>
                </c:pt>
                <c:pt idx="19">
                  <c:v>0.32367596606790489</c:v>
                </c:pt>
                <c:pt idx="20">
                  <c:v>0.32332910792196223</c:v>
                </c:pt>
                <c:pt idx="21">
                  <c:v>0.32298297094585393</c:v>
                </c:pt>
                <c:pt idx="22">
                  <c:v>0.32263755293888946</c:v>
                </c:pt>
                <c:pt idx="23">
                  <c:v>0.32229285170920247</c:v>
                </c:pt>
                <c:pt idx="24">
                  <c:v>0.32194886507370835</c:v>
                </c:pt>
                <c:pt idx="25">
                  <c:v>0.32160559085805995</c:v>
                </c:pt>
                <c:pt idx="26">
                  <c:v>0.32126302689660474</c:v>
                </c:pt>
                <c:pt idx="27">
                  <c:v>0.32092117103234213</c:v>
                </c:pt>
                <c:pt idx="28">
                  <c:v>0.32058002111688072</c:v>
                </c:pt>
                <c:pt idx="29">
                  <c:v>0.32023957501039579</c:v>
                </c:pt>
                <c:pt idx="30">
                  <c:v>0.31989983058158716</c:v>
                </c:pt>
                <c:pt idx="31">
                  <c:v>0.31956078570763796</c:v>
                </c:pt>
                <c:pt idx="32">
                  <c:v>0.31922243827417174</c:v>
                </c:pt>
                <c:pt idx="33">
                  <c:v>0.31888478617521232</c:v>
                </c:pt>
                <c:pt idx="34">
                  <c:v>0.31854782731314202</c:v>
                </c:pt>
                <c:pt idx="35">
                  <c:v>0.3182115595986606</c:v>
                </c:pt>
                <c:pt idx="36">
                  <c:v>0.31787598095074515</c:v>
                </c:pt>
                <c:pt idx="37">
                  <c:v>0.31754108929660912</c:v>
                </c:pt>
                <c:pt idx="38">
                  <c:v>0.31720688257166235</c:v>
                </c:pt>
                <c:pt idx="39">
                  <c:v>0.31687335871947125</c:v>
                </c:pt>
                <c:pt idx="40">
                  <c:v>0.31654051569171848</c:v>
                </c:pt>
                <c:pt idx="41">
                  <c:v>0.31620835144816412</c:v>
                </c:pt>
                <c:pt idx="42">
                  <c:v>0.31587686395660619</c:v>
                </c:pt>
                <c:pt idx="43">
                  <c:v>0.31554605119284113</c:v>
                </c:pt>
                <c:pt idx="44">
                  <c:v>0.31521591114062558</c:v>
                </c:pt>
                <c:pt idx="45">
                  <c:v>0.31488644179163733</c:v>
                </c:pt>
                <c:pt idx="46">
                  <c:v>0.31455764114543722</c:v>
                </c:pt>
                <c:pt idx="47">
                  <c:v>0.31422950720943099</c:v>
                </c:pt>
                <c:pt idx="48">
                  <c:v>0.31390203799883104</c:v>
                </c:pt>
                <c:pt idx="49">
                  <c:v>0.31357523153661876</c:v>
                </c:pt>
                <c:pt idx="50">
                  <c:v>0.31324908585350736</c:v>
                </c:pt>
                <c:pt idx="51">
                  <c:v>0.31292359898790412</c:v>
                </c:pt>
                <c:pt idx="52">
                  <c:v>0.31259876898587363</c:v>
                </c:pt>
                <c:pt idx="53">
                  <c:v>0.31227459390110074</c:v>
                </c:pt>
                <c:pt idx="54">
                  <c:v>0.31195107179485393</c:v>
                </c:pt>
                <c:pt idx="55">
                  <c:v>0.31162820073594882</c:v>
                </c:pt>
                <c:pt idx="56">
                  <c:v>0.31130597880071209</c:v>
                </c:pt>
                <c:pt idx="57">
                  <c:v>0.31098440407294531</c:v>
                </c:pt>
                <c:pt idx="58">
                  <c:v>0.31066347464388883</c:v>
                </c:pt>
                <c:pt idx="59">
                  <c:v>0.31034318861218674</c:v>
                </c:pt>
                <c:pt idx="60">
                  <c:v>0.31002354408385113</c:v>
                </c:pt>
                <c:pt idx="61">
                  <c:v>0.30970453917222651</c:v>
                </c:pt>
                <c:pt idx="62">
                  <c:v>0.30938617199795554</c:v>
                </c:pt>
                <c:pt idx="63">
                  <c:v>0.30906844068894324</c:v>
                </c:pt>
                <c:pt idx="64">
                  <c:v>0.30875134338032356</c:v>
                </c:pt>
                <c:pt idx="65">
                  <c:v>0.30843487821442372</c:v>
                </c:pt>
                <c:pt idx="66">
                  <c:v>0.30811904334073081</c:v>
                </c:pt>
                <c:pt idx="67">
                  <c:v>0.30780383691585717</c:v>
                </c:pt>
                <c:pt idx="68">
                  <c:v>0.30748925710350722</c:v>
                </c:pt>
                <c:pt idx="69">
                  <c:v>0.30717530207444288</c:v>
                </c:pt>
                <c:pt idx="70">
                  <c:v>0.30686197000645093</c:v>
                </c:pt>
                <c:pt idx="71">
                  <c:v>0.30654925908430913</c:v>
                </c:pt>
                <c:pt idx="72">
                  <c:v>0.30623716749975372</c:v>
                </c:pt>
                <c:pt idx="73">
                  <c:v>0.30592569345144555</c:v>
                </c:pt>
                <c:pt idx="74">
                  <c:v>0.30561483514493859</c:v>
                </c:pt>
                <c:pt idx="75">
                  <c:v>0.30530459079264605</c:v>
                </c:pt>
                <c:pt idx="76">
                  <c:v>0.30499495861380926</c:v>
                </c:pt>
                <c:pt idx="77">
                  <c:v>0.30468593683446443</c:v>
                </c:pt>
                <c:pt idx="78">
                  <c:v>0.30437752368741144</c:v>
                </c:pt>
                <c:pt idx="79">
                  <c:v>0.30406971741218158</c:v>
                </c:pt>
                <c:pt idx="80">
                  <c:v>0.30376251625500572</c:v>
                </c:pt>
                <c:pt idx="81">
                  <c:v>0.30345591846878373</c:v>
                </c:pt>
                <c:pt idx="82">
                  <c:v>0.30314992231305193</c:v>
                </c:pt>
                <c:pt idx="83">
                  <c:v>0.3028445260539529</c:v>
                </c:pt>
                <c:pt idx="84">
                  <c:v>0.3025397279642042</c:v>
                </c:pt>
                <c:pt idx="85">
                  <c:v>0.3022355263230676</c:v>
                </c:pt>
                <c:pt idx="86">
                  <c:v>0.30193191941631836</c:v>
                </c:pt>
                <c:pt idx="87">
                  <c:v>0.30162890553621496</c:v>
                </c:pt>
                <c:pt idx="88">
                  <c:v>0.30132648298146875</c:v>
                </c:pt>
                <c:pt idx="89">
                  <c:v>0.30102465005721413</c:v>
                </c:pt>
                <c:pt idx="90">
                  <c:v>0.30072340507497797</c:v>
                </c:pt>
                <c:pt idx="91">
                  <c:v>0.30042274635265032</c:v>
                </c:pt>
                <c:pt idx="92">
                  <c:v>0.30012267221445482</c:v>
                </c:pt>
                <c:pt idx="93">
                  <c:v>0.29982318099091898</c:v>
                </c:pt>
                <c:pt idx="94">
                  <c:v>0.29952427101884505</c:v>
                </c:pt>
                <c:pt idx="95">
                  <c:v>0.29922594064128116</c:v>
                </c:pt>
                <c:pt idx="96">
                  <c:v>0.29892818820749156</c:v>
                </c:pt>
                <c:pt idx="97">
                  <c:v>0.29863101207292886</c:v>
                </c:pt>
                <c:pt idx="98">
                  <c:v>0.29833441059920468</c:v>
                </c:pt>
                <c:pt idx="99">
                  <c:v>0.29803838215406114</c:v>
                </c:pt>
                <c:pt idx="100">
                  <c:v>0.29774292511134309</c:v>
                </c:pt>
                <c:pt idx="101">
                  <c:v>0.29744803785096918</c:v>
                </c:pt>
                <c:pt idx="102">
                  <c:v>0.29715371875890473</c:v>
                </c:pt>
                <c:pt idx="103">
                  <c:v>0.29685996622713295</c:v>
                </c:pt>
                <c:pt idx="104">
                  <c:v>0.29656677865362774</c:v>
                </c:pt>
                <c:pt idx="105">
                  <c:v>0.29627415444232602</c:v>
                </c:pt>
                <c:pt idx="106">
                  <c:v>0.29598209200310072</c:v>
                </c:pt>
                <c:pt idx="107">
                  <c:v>0.29569058975173229</c:v>
                </c:pt>
                <c:pt idx="108">
                  <c:v>0.29539964610988317</c:v>
                </c:pt>
                <c:pt idx="109">
                  <c:v>0.29510925950506955</c:v>
                </c:pt>
                <c:pt idx="110">
                  <c:v>0.29481942837063535</c:v>
                </c:pt>
                <c:pt idx="111">
                  <c:v>0.29453015114572517</c:v>
                </c:pt>
                <c:pt idx="112">
                  <c:v>0.29424142627525751</c:v>
                </c:pt>
                <c:pt idx="113">
                  <c:v>0.29395325220989921</c:v>
                </c:pt>
                <c:pt idx="114">
                  <c:v>0.2936656274060383</c:v>
                </c:pt>
                <c:pt idx="115">
                  <c:v>0.29337855032575849</c:v>
                </c:pt>
                <c:pt idx="116">
                  <c:v>0.29309201943681285</c:v>
                </c:pt>
                <c:pt idx="117">
                  <c:v>0.29280603321259813</c:v>
                </c:pt>
                <c:pt idx="118">
                  <c:v>0.29252059013212933</c:v>
                </c:pt>
                <c:pt idx="119">
                  <c:v>0.29223568868001354</c:v>
                </c:pt>
                <c:pt idx="120">
                  <c:v>0.29195132734642493</c:v>
                </c:pt>
                <c:pt idx="121">
                  <c:v>0.29166750462707969</c:v>
                </c:pt>
                <c:pt idx="122">
                  <c:v>0.2913842190232106</c:v>
                </c:pt>
                <c:pt idx="123">
                  <c:v>0.29110146904154188</c:v>
                </c:pt>
                <c:pt idx="124">
                  <c:v>0.29081925319426455</c:v>
                </c:pt>
                <c:pt idx="125">
                  <c:v>0.29053756999901181</c:v>
                </c:pt>
                <c:pt idx="126">
                  <c:v>0.29025641797883406</c:v>
                </c:pt>
                <c:pt idx="127">
                  <c:v>0.28997579566217491</c:v>
                </c:pt>
                <c:pt idx="128">
                  <c:v>0.28969570158284641</c:v>
                </c:pt>
                <c:pt idx="129">
                  <c:v>0.28941613428000507</c:v>
                </c:pt>
                <c:pt idx="130">
                  <c:v>0.28913709229812762</c:v>
                </c:pt>
                <c:pt idx="131">
                  <c:v>0.28885857418698757</c:v>
                </c:pt>
                <c:pt idx="132">
                  <c:v>0.28858057850163055</c:v>
                </c:pt>
                <c:pt idx="133">
                  <c:v>0.28830310380235119</c:v>
                </c:pt>
                <c:pt idx="134">
                  <c:v>0.28802614865466941</c:v>
                </c:pt>
                <c:pt idx="135">
                  <c:v>0.28774971162930696</c:v>
                </c:pt>
                <c:pt idx="136">
                  <c:v>0.28747379130216433</c:v>
                </c:pt>
                <c:pt idx="137">
                  <c:v>0.28719838625429694</c:v>
                </c:pt>
                <c:pt idx="138">
                  <c:v>0.28692349507189291</c:v>
                </c:pt>
                <c:pt idx="139">
                  <c:v>0.28664911634624918</c:v>
                </c:pt>
                <c:pt idx="140">
                  <c:v>0.28637524867374969</c:v>
                </c:pt>
                <c:pt idx="141">
                  <c:v>0.28610189065584185</c:v>
                </c:pt>
                <c:pt idx="142">
                  <c:v>0.28582904089901412</c:v>
                </c:pt>
                <c:pt idx="143">
                  <c:v>0.28555669801477396</c:v>
                </c:pt>
                <c:pt idx="144">
                  <c:v>0.28528486061962499</c:v>
                </c:pt>
                <c:pt idx="145">
                  <c:v>0.28501352733504509</c:v>
                </c:pt>
                <c:pt idx="146">
                  <c:v>0.28474269678746411</c:v>
                </c:pt>
                <c:pt idx="147">
                  <c:v>0.28447236760824191</c:v>
                </c:pt>
                <c:pt idx="148">
                  <c:v>0.2842025384336464</c:v>
                </c:pt>
                <c:pt idx="149">
                  <c:v>0.28393320790483195</c:v>
                </c:pt>
                <c:pt idx="150">
                  <c:v>0.28366437466781758</c:v>
                </c:pt>
              </c:numCache>
            </c:numRef>
          </c:yVal>
          <c:smooth val="1"/>
          <c:extLst>
            <c:ext xmlns:c16="http://schemas.microsoft.com/office/drawing/2014/chart" uri="{C3380CC4-5D6E-409C-BE32-E72D297353CC}">
              <c16:uniqueId val="{00000001-0B1C-42A1-BAB5-10FCC4361A6B}"/>
            </c:ext>
          </c:extLst>
        </c:ser>
        <c:ser>
          <c:idx val="2"/>
          <c:order val="2"/>
          <c:tx>
            <c:v>HS MOSFET</c:v>
          </c:tx>
          <c:spPr>
            <a:ln>
              <a:solidFill>
                <a:schemeClr val="bg2">
                  <a:lumMod val="50000"/>
                </a:schemeClr>
              </a:solidFill>
              <a:prstDash val="sysDash"/>
            </a:ln>
          </c:spPr>
          <c:marker>
            <c:symbol val="none"/>
          </c:marker>
          <c:xVal>
            <c:numRef>
              <c:f>Eff_vs_VIN!$T$7:$T$157</c:f>
              <c:numCache>
                <c:formatCode>General</c:formatCode>
                <c:ptCount val="151"/>
                <c:pt idx="0">
                  <c:v>11</c:v>
                </c:pt>
                <c:pt idx="1">
                  <c:v>11.01</c:v>
                </c:pt>
                <c:pt idx="2">
                  <c:v>11.02</c:v>
                </c:pt>
                <c:pt idx="3">
                  <c:v>11.03</c:v>
                </c:pt>
                <c:pt idx="4">
                  <c:v>11.04</c:v>
                </c:pt>
                <c:pt idx="5">
                  <c:v>11.05</c:v>
                </c:pt>
                <c:pt idx="6">
                  <c:v>11.06</c:v>
                </c:pt>
                <c:pt idx="7">
                  <c:v>11.07</c:v>
                </c:pt>
                <c:pt idx="8">
                  <c:v>11.08</c:v>
                </c:pt>
                <c:pt idx="9">
                  <c:v>11.09</c:v>
                </c:pt>
                <c:pt idx="10">
                  <c:v>11.1</c:v>
                </c:pt>
                <c:pt idx="11">
                  <c:v>11.11</c:v>
                </c:pt>
                <c:pt idx="12">
                  <c:v>11.12</c:v>
                </c:pt>
                <c:pt idx="13">
                  <c:v>11.13</c:v>
                </c:pt>
                <c:pt idx="14">
                  <c:v>11.14</c:v>
                </c:pt>
                <c:pt idx="15">
                  <c:v>11.15</c:v>
                </c:pt>
                <c:pt idx="16">
                  <c:v>11.16</c:v>
                </c:pt>
                <c:pt idx="17">
                  <c:v>11.17</c:v>
                </c:pt>
                <c:pt idx="18">
                  <c:v>11.18</c:v>
                </c:pt>
                <c:pt idx="19">
                  <c:v>11.19</c:v>
                </c:pt>
                <c:pt idx="20">
                  <c:v>11.2</c:v>
                </c:pt>
                <c:pt idx="21">
                  <c:v>11.21</c:v>
                </c:pt>
                <c:pt idx="22">
                  <c:v>11.22</c:v>
                </c:pt>
                <c:pt idx="23">
                  <c:v>11.23</c:v>
                </c:pt>
                <c:pt idx="24">
                  <c:v>11.24</c:v>
                </c:pt>
                <c:pt idx="25">
                  <c:v>11.25</c:v>
                </c:pt>
                <c:pt idx="26">
                  <c:v>11.26</c:v>
                </c:pt>
                <c:pt idx="27">
                  <c:v>11.27</c:v>
                </c:pt>
                <c:pt idx="28">
                  <c:v>11.28</c:v>
                </c:pt>
                <c:pt idx="29">
                  <c:v>11.29</c:v>
                </c:pt>
                <c:pt idx="30">
                  <c:v>11.3</c:v>
                </c:pt>
                <c:pt idx="31">
                  <c:v>11.31</c:v>
                </c:pt>
                <c:pt idx="32">
                  <c:v>11.32</c:v>
                </c:pt>
                <c:pt idx="33">
                  <c:v>11.33</c:v>
                </c:pt>
                <c:pt idx="34">
                  <c:v>11.34</c:v>
                </c:pt>
                <c:pt idx="35">
                  <c:v>11.35</c:v>
                </c:pt>
                <c:pt idx="36">
                  <c:v>11.36</c:v>
                </c:pt>
                <c:pt idx="37">
                  <c:v>11.37</c:v>
                </c:pt>
                <c:pt idx="38">
                  <c:v>11.38</c:v>
                </c:pt>
                <c:pt idx="39">
                  <c:v>11.39</c:v>
                </c:pt>
                <c:pt idx="40">
                  <c:v>11.4</c:v>
                </c:pt>
                <c:pt idx="41">
                  <c:v>11.41</c:v>
                </c:pt>
                <c:pt idx="42">
                  <c:v>11.42</c:v>
                </c:pt>
                <c:pt idx="43">
                  <c:v>11.43</c:v>
                </c:pt>
                <c:pt idx="44">
                  <c:v>11.44</c:v>
                </c:pt>
                <c:pt idx="45">
                  <c:v>11.45</c:v>
                </c:pt>
                <c:pt idx="46">
                  <c:v>11.46</c:v>
                </c:pt>
                <c:pt idx="47">
                  <c:v>11.47</c:v>
                </c:pt>
                <c:pt idx="48">
                  <c:v>11.48</c:v>
                </c:pt>
                <c:pt idx="49">
                  <c:v>11.49</c:v>
                </c:pt>
                <c:pt idx="50">
                  <c:v>11.5</c:v>
                </c:pt>
                <c:pt idx="51">
                  <c:v>11.51</c:v>
                </c:pt>
                <c:pt idx="52">
                  <c:v>11.52</c:v>
                </c:pt>
                <c:pt idx="53">
                  <c:v>11.53</c:v>
                </c:pt>
                <c:pt idx="54">
                  <c:v>11.54</c:v>
                </c:pt>
                <c:pt idx="55">
                  <c:v>11.55</c:v>
                </c:pt>
                <c:pt idx="56">
                  <c:v>11.56</c:v>
                </c:pt>
                <c:pt idx="57">
                  <c:v>11.57</c:v>
                </c:pt>
                <c:pt idx="58">
                  <c:v>11.58</c:v>
                </c:pt>
                <c:pt idx="59">
                  <c:v>11.59</c:v>
                </c:pt>
                <c:pt idx="60">
                  <c:v>11.6</c:v>
                </c:pt>
                <c:pt idx="61">
                  <c:v>11.61</c:v>
                </c:pt>
                <c:pt idx="62">
                  <c:v>11.62</c:v>
                </c:pt>
                <c:pt idx="63">
                  <c:v>11.63</c:v>
                </c:pt>
                <c:pt idx="64">
                  <c:v>11.64</c:v>
                </c:pt>
                <c:pt idx="65">
                  <c:v>11.65</c:v>
                </c:pt>
                <c:pt idx="66">
                  <c:v>11.66</c:v>
                </c:pt>
                <c:pt idx="67">
                  <c:v>11.67</c:v>
                </c:pt>
                <c:pt idx="68">
                  <c:v>11.68</c:v>
                </c:pt>
                <c:pt idx="69">
                  <c:v>11.69</c:v>
                </c:pt>
                <c:pt idx="70">
                  <c:v>11.7</c:v>
                </c:pt>
                <c:pt idx="71">
                  <c:v>11.71</c:v>
                </c:pt>
                <c:pt idx="72">
                  <c:v>11.72</c:v>
                </c:pt>
                <c:pt idx="73">
                  <c:v>11.73</c:v>
                </c:pt>
                <c:pt idx="74">
                  <c:v>11.74</c:v>
                </c:pt>
                <c:pt idx="75">
                  <c:v>11.75</c:v>
                </c:pt>
                <c:pt idx="76">
                  <c:v>11.76</c:v>
                </c:pt>
                <c:pt idx="77">
                  <c:v>11.77</c:v>
                </c:pt>
                <c:pt idx="78">
                  <c:v>11.78</c:v>
                </c:pt>
                <c:pt idx="79">
                  <c:v>11.79</c:v>
                </c:pt>
                <c:pt idx="80">
                  <c:v>11.8</c:v>
                </c:pt>
                <c:pt idx="81">
                  <c:v>11.81</c:v>
                </c:pt>
                <c:pt idx="82">
                  <c:v>11.82</c:v>
                </c:pt>
                <c:pt idx="83">
                  <c:v>11.83</c:v>
                </c:pt>
                <c:pt idx="84">
                  <c:v>11.84</c:v>
                </c:pt>
                <c:pt idx="85">
                  <c:v>11.85</c:v>
                </c:pt>
                <c:pt idx="86">
                  <c:v>11.86</c:v>
                </c:pt>
                <c:pt idx="87">
                  <c:v>11.87</c:v>
                </c:pt>
                <c:pt idx="88">
                  <c:v>11.88</c:v>
                </c:pt>
                <c:pt idx="89">
                  <c:v>11.89</c:v>
                </c:pt>
                <c:pt idx="90">
                  <c:v>11.9</c:v>
                </c:pt>
                <c:pt idx="91">
                  <c:v>11.91</c:v>
                </c:pt>
                <c:pt idx="92">
                  <c:v>11.92</c:v>
                </c:pt>
                <c:pt idx="93">
                  <c:v>11.93</c:v>
                </c:pt>
                <c:pt idx="94">
                  <c:v>11.94</c:v>
                </c:pt>
                <c:pt idx="95">
                  <c:v>11.95</c:v>
                </c:pt>
                <c:pt idx="96">
                  <c:v>11.96</c:v>
                </c:pt>
                <c:pt idx="97">
                  <c:v>11.97</c:v>
                </c:pt>
                <c:pt idx="98">
                  <c:v>11.98</c:v>
                </c:pt>
                <c:pt idx="99">
                  <c:v>11.99</c:v>
                </c:pt>
                <c:pt idx="100">
                  <c:v>12</c:v>
                </c:pt>
                <c:pt idx="101">
                  <c:v>12.01</c:v>
                </c:pt>
                <c:pt idx="102">
                  <c:v>12.02</c:v>
                </c:pt>
                <c:pt idx="103">
                  <c:v>12.03</c:v>
                </c:pt>
                <c:pt idx="104">
                  <c:v>12.04</c:v>
                </c:pt>
                <c:pt idx="105">
                  <c:v>12.05</c:v>
                </c:pt>
                <c:pt idx="106">
                  <c:v>12.06</c:v>
                </c:pt>
                <c:pt idx="107">
                  <c:v>12.07</c:v>
                </c:pt>
                <c:pt idx="108">
                  <c:v>12.08</c:v>
                </c:pt>
                <c:pt idx="109">
                  <c:v>12.09</c:v>
                </c:pt>
                <c:pt idx="110">
                  <c:v>12.1</c:v>
                </c:pt>
                <c:pt idx="111">
                  <c:v>12.11</c:v>
                </c:pt>
                <c:pt idx="112">
                  <c:v>12.120000000000001</c:v>
                </c:pt>
                <c:pt idx="113">
                  <c:v>12.13</c:v>
                </c:pt>
                <c:pt idx="114">
                  <c:v>12.14</c:v>
                </c:pt>
                <c:pt idx="115">
                  <c:v>12.15</c:v>
                </c:pt>
                <c:pt idx="116">
                  <c:v>12.16</c:v>
                </c:pt>
                <c:pt idx="117">
                  <c:v>12.17</c:v>
                </c:pt>
                <c:pt idx="118">
                  <c:v>12.18</c:v>
                </c:pt>
                <c:pt idx="119">
                  <c:v>12.19</c:v>
                </c:pt>
                <c:pt idx="120">
                  <c:v>12.2</c:v>
                </c:pt>
                <c:pt idx="121">
                  <c:v>12.21</c:v>
                </c:pt>
                <c:pt idx="122">
                  <c:v>12.22</c:v>
                </c:pt>
                <c:pt idx="123">
                  <c:v>12.23</c:v>
                </c:pt>
                <c:pt idx="124">
                  <c:v>12.24</c:v>
                </c:pt>
                <c:pt idx="125">
                  <c:v>12.25</c:v>
                </c:pt>
                <c:pt idx="126">
                  <c:v>12.26</c:v>
                </c:pt>
                <c:pt idx="127">
                  <c:v>12.27</c:v>
                </c:pt>
                <c:pt idx="128">
                  <c:v>12.28</c:v>
                </c:pt>
                <c:pt idx="129">
                  <c:v>12.29</c:v>
                </c:pt>
                <c:pt idx="130">
                  <c:v>12.3</c:v>
                </c:pt>
                <c:pt idx="131">
                  <c:v>12.31</c:v>
                </c:pt>
                <c:pt idx="132">
                  <c:v>12.32</c:v>
                </c:pt>
                <c:pt idx="133">
                  <c:v>12.33</c:v>
                </c:pt>
                <c:pt idx="134">
                  <c:v>12.34</c:v>
                </c:pt>
                <c:pt idx="135">
                  <c:v>12.35</c:v>
                </c:pt>
                <c:pt idx="136">
                  <c:v>12.36</c:v>
                </c:pt>
                <c:pt idx="137">
                  <c:v>12.370000000000001</c:v>
                </c:pt>
                <c:pt idx="138">
                  <c:v>12.38</c:v>
                </c:pt>
                <c:pt idx="139">
                  <c:v>12.39</c:v>
                </c:pt>
                <c:pt idx="140">
                  <c:v>12.4</c:v>
                </c:pt>
                <c:pt idx="141">
                  <c:v>12.41</c:v>
                </c:pt>
                <c:pt idx="142">
                  <c:v>12.42</c:v>
                </c:pt>
                <c:pt idx="143">
                  <c:v>12.43</c:v>
                </c:pt>
                <c:pt idx="144">
                  <c:v>12.44</c:v>
                </c:pt>
                <c:pt idx="145">
                  <c:v>12.45</c:v>
                </c:pt>
                <c:pt idx="146">
                  <c:v>12.46</c:v>
                </c:pt>
                <c:pt idx="147">
                  <c:v>12.47</c:v>
                </c:pt>
                <c:pt idx="148">
                  <c:v>12.48</c:v>
                </c:pt>
                <c:pt idx="149">
                  <c:v>12.49</c:v>
                </c:pt>
                <c:pt idx="150">
                  <c:v>12.5</c:v>
                </c:pt>
              </c:numCache>
            </c:numRef>
          </c:xVal>
          <c:yVal>
            <c:numRef>
              <c:f>Eff_vs_VIN!$AO$7:$AO$157</c:f>
              <c:numCache>
                <c:formatCode>General</c:formatCode>
                <c:ptCount val="151"/>
                <c:pt idx="0">
                  <c:v>0.34075617678846082</c:v>
                </c:pt>
                <c:pt idx="1">
                  <c:v>0.34059297156956658</c:v>
                </c:pt>
                <c:pt idx="2">
                  <c:v>0.34043001304276832</c:v>
                </c:pt>
                <c:pt idx="3">
                  <c:v>0.34026730043706749</c:v>
                </c:pt>
                <c:pt idx="4">
                  <c:v>0.34010483298426686</c:v>
                </c:pt>
                <c:pt idx="5">
                  <c:v>0.33994260991895825</c:v>
                </c:pt>
                <c:pt idx="6">
                  <c:v>0.33978063047850987</c:v>
                </c:pt>
                <c:pt idx="7">
                  <c:v>0.33961889390305366</c:v>
                </c:pt>
                <c:pt idx="8">
                  <c:v>0.33945739943547348</c:v>
                </c:pt>
                <c:pt idx="9">
                  <c:v>0.33929614632139216</c:v>
                </c:pt>
                <c:pt idx="10">
                  <c:v>0.33913513380915916</c:v>
                </c:pt>
                <c:pt idx="11">
                  <c:v>0.33897436114983936</c:v>
                </c:pt>
                <c:pt idx="12">
                  <c:v>0.33881382759719958</c:v>
                </c:pt>
                <c:pt idx="13">
                  <c:v>0.33865353240769763</c:v>
                </c:pt>
                <c:pt idx="14">
                  <c:v>0.33849347484046965</c:v>
                </c:pt>
                <c:pt idx="15">
                  <c:v>0.33833365415731842</c:v>
                </c:pt>
                <c:pt idx="16">
                  <c:v>0.33817406962270147</c:v>
                </c:pt>
                <c:pt idx="17">
                  <c:v>0.33801472050371928</c:v>
                </c:pt>
                <c:pt idx="18">
                  <c:v>0.33785560607010345</c:v>
                </c:pt>
                <c:pt idx="19">
                  <c:v>0.33769672559420505</c:v>
                </c:pt>
                <c:pt idx="20">
                  <c:v>0.33753807835098315</c:v>
                </c:pt>
                <c:pt idx="21">
                  <c:v>0.3373796636179931</c:v>
                </c:pt>
                <c:pt idx="22">
                  <c:v>0.33722148067537511</c:v>
                </c:pt>
                <c:pt idx="23">
                  <c:v>0.33706352880584256</c:v>
                </c:pt>
                <c:pt idx="24">
                  <c:v>0.33690580729467129</c:v>
                </c:pt>
                <c:pt idx="25">
                  <c:v>0.33674831542968753</c:v>
                </c:pt>
                <c:pt idx="26">
                  <c:v>0.33659105250125709</c:v>
                </c:pt>
                <c:pt idx="27">
                  <c:v>0.33643401780227389</c:v>
                </c:pt>
                <c:pt idx="28">
                  <c:v>0.3362772106281493</c:v>
                </c:pt>
                <c:pt idx="29">
                  <c:v>0.33612063027680061</c:v>
                </c:pt>
                <c:pt idx="30">
                  <c:v>0.33596427604864004</c:v>
                </c:pt>
                <c:pt idx="31">
                  <c:v>0.33580814724656416</c:v>
                </c:pt>
                <c:pt idx="32">
                  <c:v>0.33565224317594267</c:v>
                </c:pt>
                <c:pt idx="33">
                  <c:v>0.33549656314460763</c:v>
                </c:pt>
                <c:pt idx="34">
                  <c:v>0.33534110646284271</c:v>
                </c:pt>
                <c:pt idx="35">
                  <c:v>0.33518587244337239</c:v>
                </c:pt>
                <c:pt idx="36">
                  <c:v>0.33503086040135149</c:v>
                </c:pt>
                <c:pt idx="37">
                  <c:v>0.33487606965435435</c:v>
                </c:pt>
                <c:pt idx="38">
                  <c:v>0.3347214995223643</c:v>
                </c:pt>
                <c:pt idx="39">
                  <c:v>0.33456714932776344</c:v>
                </c:pt>
                <c:pt idx="40">
                  <c:v>0.33441301839532167</c:v>
                </c:pt>
                <c:pt idx="41">
                  <c:v>0.33425910605218689</c:v>
                </c:pt>
                <c:pt idx="42">
                  <c:v>0.33410541162787422</c:v>
                </c:pt>
                <c:pt idx="43">
                  <c:v>0.33395193445425597</c:v>
                </c:pt>
                <c:pt idx="44">
                  <c:v>0.33379867386555123</c:v>
                </c:pt>
                <c:pt idx="45">
                  <c:v>0.33364562919831597</c:v>
                </c:pt>
                <c:pt idx="46">
                  <c:v>0.33349279979143265</c:v>
                </c:pt>
                <c:pt idx="47">
                  <c:v>0.33334018498610024</c:v>
                </c:pt>
                <c:pt idx="48">
                  <c:v>0.33318778412582428</c:v>
                </c:pt>
                <c:pt idx="49">
                  <c:v>0.33303559655640697</c:v>
                </c:pt>
                <c:pt idx="50">
                  <c:v>0.33288362162593688</c:v>
                </c:pt>
                <c:pt idx="51">
                  <c:v>0.33273185868477978</c:v>
                </c:pt>
                <c:pt idx="52">
                  <c:v>0.33258030708556807</c:v>
                </c:pt>
                <c:pt idx="53">
                  <c:v>0.33242896618319162</c:v>
                </c:pt>
                <c:pt idx="54">
                  <c:v>0.33227783533478783</c:v>
                </c:pt>
                <c:pt idx="55">
                  <c:v>0.3321269138997317</c:v>
                </c:pt>
                <c:pt idx="56">
                  <c:v>0.33197620123962712</c:v>
                </c:pt>
                <c:pt idx="57">
                  <c:v>0.3318256967182962</c:v>
                </c:pt>
                <c:pt idx="58">
                  <c:v>0.33167539970177046</c:v>
                </c:pt>
                <c:pt idx="59">
                  <c:v>0.33152530955828119</c:v>
                </c:pt>
                <c:pt idx="60">
                  <c:v>0.33137542565825018</c:v>
                </c:pt>
                <c:pt idx="61">
                  <c:v>0.33122574737428012</c:v>
                </c:pt>
                <c:pt idx="62">
                  <c:v>0.33107627408114559</c:v>
                </c:pt>
                <c:pt idx="63">
                  <c:v>0.33092700515578322</c:v>
                </c:pt>
                <c:pt idx="64">
                  <c:v>0.3307779399772835</c:v>
                </c:pt>
                <c:pt idx="65">
                  <c:v>0.33062907792688057</c:v>
                </c:pt>
                <c:pt idx="66">
                  <c:v>0.33048041838794384</c:v>
                </c:pt>
                <c:pt idx="67">
                  <c:v>0.33033196074596838</c:v>
                </c:pt>
                <c:pt idx="68">
                  <c:v>0.33018370438856637</c:v>
                </c:pt>
                <c:pt idx="69">
                  <c:v>0.33003564870545776</c:v>
                </c:pt>
                <c:pt idx="70">
                  <c:v>0.32988779308846161</c:v>
                </c:pt>
                <c:pt idx="71">
                  <c:v>0.32974013693148696</c:v>
                </c:pt>
                <c:pt idx="72">
                  <c:v>0.3295926796305243</c:v>
                </c:pt>
                <c:pt idx="73">
                  <c:v>0.32944542058363641</c:v>
                </c:pt>
                <c:pt idx="74">
                  <c:v>0.32929835919094996</c:v>
                </c:pt>
                <c:pt idx="75">
                  <c:v>0.32915149485464656</c:v>
                </c:pt>
                <c:pt idx="76">
                  <c:v>0.32900482697895417</c:v>
                </c:pt>
                <c:pt idx="77">
                  <c:v>0.32885835497013871</c:v>
                </c:pt>
                <c:pt idx="78">
                  <c:v>0.32871207823649518</c:v>
                </c:pt>
                <c:pt idx="79">
                  <c:v>0.32856599618833893</c:v>
                </c:pt>
                <c:pt idx="80">
                  <c:v>0.32842010823799805</c:v>
                </c:pt>
                <c:pt idx="81">
                  <c:v>0.32827441379980415</c:v>
                </c:pt>
                <c:pt idx="82">
                  <c:v>0.32812891229008401</c:v>
                </c:pt>
                <c:pt idx="83">
                  <c:v>0.32798360312715169</c:v>
                </c:pt>
                <c:pt idx="84">
                  <c:v>0.32783848573129976</c:v>
                </c:pt>
                <c:pt idx="85">
                  <c:v>0.32769355952479129</c:v>
                </c:pt>
                <c:pt idx="86">
                  <c:v>0.32754882393185147</c:v>
                </c:pt>
                <c:pt idx="87">
                  <c:v>0.32740427837865982</c:v>
                </c:pt>
                <c:pt idx="88">
                  <c:v>0.32725992229334111</c:v>
                </c:pt>
                <c:pt idx="89">
                  <c:v>0.32711575510595847</c:v>
                </c:pt>
                <c:pt idx="90">
                  <c:v>0.3269717762485046</c:v>
                </c:pt>
                <c:pt idx="91">
                  <c:v>0.32682798515489359</c:v>
                </c:pt>
                <c:pt idx="92">
                  <c:v>0.32668438126095356</c:v>
                </c:pt>
                <c:pt idx="93">
                  <c:v>0.32654096400441823</c:v>
                </c:pt>
                <c:pt idx="94">
                  <c:v>0.32639773282491935</c:v>
                </c:pt>
                <c:pt idx="95">
                  <c:v>0.32625468716397854</c:v>
                </c:pt>
                <c:pt idx="96">
                  <c:v>0.32611182646499953</c:v>
                </c:pt>
                <c:pt idx="97">
                  <c:v>0.32596915017326078</c:v>
                </c:pt>
                <c:pt idx="98">
                  <c:v>0.32582665773590724</c:v>
                </c:pt>
                <c:pt idx="99">
                  <c:v>0.32568434860194256</c:v>
                </c:pt>
                <c:pt idx="100">
                  <c:v>0.32554222222222229</c:v>
                </c:pt>
                <c:pt idx="101">
                  <c:v>0.32540027804944505</c:v>
                </c:pt>
                <c:pt idx="102">
                  <c:v>0.325258515538146</c:v>
                </c:pt>
                <c:pt idx="103">
                  <c:v>0.32511693414468851</c:v>
                </c:pt>
                <c:pt idx="104">
                  <c:v>0.3249755333272572</c:v>
                </c:pt>
                <c:pt idx="105">
                  <c:v>0.32483431254585021</c:v>
                </c:pt>
                <c:pt idx="106">
                  <c:v>0.32469327126227177</c:v>
                </c:pt>
                <c:pt idx="107">
                  <c:v>0.32455240894012483</c:v>
                </c:pt>
                <c:pt idx="108">
                  <c:v>0.32441172504480376</c:v>
                </c:pt>
                <c:pt idx="109">
                  <c:v>0.32427121904348677</c:v>
                </c:pt>
                <c:pt idx="110">
                  <c:v>0.32413089040512899</c:v>
                </c:pt>
                <c:pt idx="111">
                  <c:v>0.32399073860045507</c:v>
                </c:pt>
                <c:pt idx="112">
                  <c:v>0.32385076310195177</c:v>
                </c:pt>
                <c:pt idx="113">
                  <c:v>0.32371096338386107</c:v>
                </c:pt>
                <c:pt idx="114">
                  <c:v>0.32357133892217294</c:v>
                </c:pt>
                <c:pt idx="115">
                  <c:v>0.32343188919461813</c:v>
                </c:pt>
                <c:pt idx="116">
                  <c:v>0.32329261368066092</c:v>
                </c:pt>
                <c:pt idx="117">
                  <c:v>0.32315351186149271</c:v>
                </c:pt>
                <c:pt idx="118">
                  <c:v>0.32301458322002441</c:v>
                </c:pt>
                <c:pt idx="119">
                  <c:v>0.3228758272408796</c:v>
                </c:pt>
                <c:pt idx="120">
                  <c:v>0.32273724341038779</c:v>
                </c:pt>
                <c:pt idx="121">
                  <c:v>0.3225988312165774</c:v>
                </c:pt>
                <c:pt idx="122">
                  <c:v>0.32246059014916895</c:v>
                </c:pt>
                <c:pt idx="123">
                  <c:v>0.32232251969956793</c:v>
                </c:pt>
                <c:pt idx="124">
                  <c:v>0.32218461936085835</c:v>
                </c:pt>
                <c:pt idx="125">
                  <c:v>0.32204688862779612</c:v>
                </c:pt>
                <c:pt idx="126">
                  <c:v>0.32190932699680153</c:v>
                </c:pt>
                <c:pt idx="127">
                  <c:v>0.3217719339659536</c:v>
                </c:pt>
                <c:pt idx="128">
                  <c:v>0.32163470903498259</c:v>
                </c:pt>
                <c:pt idx="129">
                  <c:v>0.32149765170526368</c:v>
                </c:pt>
                <c:pt idx="130">
                  <c:v>0.32136076147981035</c:v>
                </c:pt>
                <c:pt idx="131">
                  <c:v>0.32122403786326792</c:v>
                </c:pt>
                <c:pt idx="132">
                  <c:v>0.32108748036190693</c:v>
                </c:pt>
                <c:pt idx="133">
                  <c:v>0.3209510884836162</c:v>
                </c:pt>
                <c:pt idx="134">
                  <c:v>0.32081486173789742</c:v>
                </c:pt>
                <c:pt idx="135">
                  <c:v>0.32067879963585749</c:v>
                </c:pt>
                <c:pt idx="136">
                  <c:v>0.32054290169020294</c:v>
                </c:pt>
                <c:pt idx="137">
                  <c:v>0.32040716741523312</c:v>
                </c:pt>
                <c:pt idx="138">
                  <c:v>0.32027159632683411</c:v>
                </c:pt>
                <c:pt idx="139">
                  <c:v>0.32013618794247223</c:v>
                </c:pt>
                <c:pt idx="140">
                  <c:v>0.32000094178118799</c:v>
                </c:pt>
                <c:pt idx="141">
                  <c:v>0.31986585736358941</c:v>
                </c:pt>
                <c:pt idx="142">
                  <c:v>0.31973093421184628</c:v>
                </c:pt>
                <c:pt idx="143">
                  <c:v>0.31959617184968359</c:v>
                </c:pt>
                <c:pt idx="144">
                  <c:v>0.31946156980237539</c:v>
                </c:pt>
                <c:pt idx="145">
                  <c:v>0.31932712759673909</c:v>
                </c:pt>
                <c:pt idx="146">
                  <c:v>0.31919284476112875</c:v>
                </c:pt>
                <c:pt idx="147">
                  <c:v>0.31905872082542941</c:v>
                </c:pt>
                <c:pt idx="148">
                  <c:v>0.3189247553210508</c:v>
                </c:pt>
                <c:pt idx="149">
                  <c:v>0.31879094778092165</c:v>
                </c:pt>
                <c:pt idx="150">
                  <c:v>0.31865729773948337</c:v>
                </c:pt>
              </c:numCache>
            </c:numRef>
          </c:yVal>
          <c:smooth val="1"/>
          <c:extLst>
            <c:ext xmlns:c16="http://schemas.microsoft.com/office/drawing/2014/chart" uri="{C3380CC4-5D6E-409C-BE32-E72D297353CC}">
              <c16:uniqueId val="{00000002-0B1C-42A1-BAB5-10FCC4361A6B}"/>
            </c:ext>
          </c:extLst>
        </c:ser>
        <c:ser>
          <c:idx val="3"/>
          <c:order val="3"/>
          <c:tx>
            <c:v>RCS</c:v>
          </c:tx>
          <c:spPr>
            <a:ln>
              <a:solidFill>
                <a:schemeClr val="accent5">
                  <a:lumMod val="75000"/>
                </a:schemeClr>
              </a:solidFill>
              <a:prstDash val="lgDashDotDot"/>
            </a:ln>
          </c:spPr>
          <c:marker>
            <c:symbol val="none"/>
          </c:marker>
          <c:xVal>
            <c:numRef>
              <c:f>Eff_vs_VIN!$T$7:$T$157</c:f>
              <c:numCache>
                <c:formatCode>General</c:formatCode>
                <c:ptCount val="151"/>
                <c:pt idx="0">
                  <c:v>11</c:v>
                </c:pt>
                <c:pt idx="1">
                  <c:v>11.01</c:v>
                </c:pt>
                <c:pt idx="2">
                  <c:v>11.02</c:v>
                </c:pt>
                <c:pt idx="3">
                  <c:v>11.03</c:v>
                </c:pt>
                <c:pt idx="4">
                  <c:v>11.04</c:v>
                </c:pt>
                <c:pt idx="5">
                  <c:v>11.05</c:v>
                </c:pt>
                <c:pt idx="6">
                  <c:v>11.06</c:v>
                </c:pt>
                <c:pt idx="7">
                  <c:v>11.07</c:v>
                </c:pt>
                <c:pt idx="8">
                  <c:v>11.08</c:v>
                </c:pt>
                <c:pt idx="9">
                  <c:v>11.09</c:v>
                </c:pt>
                <c:pt idx="10">
                  <c:v>11.1</c:v>
                </c:pt>
                <c:pt idx="11">
                  <c:v>11.11</c:v>
                </c:pt>
                <c:pt idx="12">
                  <c:v>11.12</c:v>
                </c:pt>
                <c:pt idx="13">
                  <c:v>11.13</c:v>
                </c:pt>
                <c:pt idx="14">
                  <c:v>11.14</c:v>
                </c:pt>
                <c:pt idx="15">
                  <c:v>11.15</c:v>
                </c:pt>
                <c:pt idx="16">
                  <c:v>11.16</c:v>
                </c:pt>
                <c:pt idx="17">
                  <c:v>11.17</c:v>
                </c:pt>
                <c:pt idx="18">
                  <c:v>11.18</c:v>
                </c:pt>
                <c:pt idx="19">
                  <c:v>11.19</c:v>
                </c:pt>
                <c:pt idx="20">
                  <c:v>11.2</c:v>
                </c:pt>
                <c:pt idx="21">
                  <c:v>11.21</c:v>
                </c:pt>
                <c:pt idx="22">
                  <c:v>11.22</c:v>
                </c:pt>
                <c:pt idx="23">
                  <c:v>11.23</c:v>
                </c:pt>
                <c:pt idx="24">
                  <c:v>11.24</c:v>
                </c:pt>
                <c:pt idx="25">
                  <c:v>11.25</c:v>
                </c:pt>
                <c:pt idx="26">
                  <c:v>11.26</c:v>
                </c:pt>
                <c:pt idx="27">
                  <c:v>11.27</c:v>
                </c:pt>
                <c:pt idx="28">
                  <c:v>11.28</c:v>
                </c:pt>
                <c:pt idx="29">
                  <c:v>11.29</c:v>
                </c:pt>
                <c:pt idx="30">
                  <c:v>11.3</c:v>
                </c:pt>
                <c:pt idx="31">
                  <c:v>11.31</c:v>
                </c:pt>
                <c:pt idx="32">
                  <c:v>11.32</c:v>
                </c:pt>
                <c:pt idx="33">
                  <c:v>11.33</c:v>
                </c:pt>
                <c:pt idx="34">
                  <c:v>11.34</c:v>
                </c:pt>
                <c:pt idx="35">
                  <c:v>11.35</c:v>
                </c:pt>
                <c:pt idx="36">
                  <c:v>11.36</c:v>
                </c:pt>
                <c:pt idx="37">
                  <c:v>11.37</c:v>
                </c:pt>
                <c:pt idx="38">
                  <c:v>11.38</c:v>
                </c:pt>
                <c:pt idx="39">
                  <c:v>11.39</c:v>
                </c:pt>
                <c:pt idx="40">
                  <c:v>11.4</c:v>
                </c:pt>
                <c:pt idx="41">
                  <c:v>11.41</c:v>
                </c:pt>
                <c:pt idx="42">
                  <c:v>11.42</c:v>
                </c:pt>
                <c:pt idx="43">
                  <c:v>11.43</c:v>
                </c:pt>
                <c:pt idx="44">
                  <c:v>11.44</c:v>
                </c:pt>
                <c:pt idx="45">
                  <c:v>11.45</c:v>
                </c:pt>
                <c:pt idx="46">
                  <c:v>11.46</c:v>
                </c:pt>
                <c:pt idx="47">
                  <c:v>11.47</c:v>
                </c:pt>
                <c:pt idx="48">
                  <c:v>11.48</c:v>
                </c:pt>
                <c:pt idx="49">
                  <c:v>11.49</c:v>
                </c:pt>
                <c:pt idx="50">
                  <c:v>11.5</c:v>
                </c:pt>
                <c:pt idx="51">
                  <c:v>11.51</c:v>
                </c:pt>
                <c:pt idx="52">
                  <c:v>11.52</c:v>
                </c:pt>
                <c:pt idx="53">
                  <c:v>11.53</c:v>
                </c:pt>
                <c:pt idx="54">
                  <c:v>11.54</c:v>
                </c:pt>
                <c:pt idx="55">
                  <c:v>11.55</c:v>
                </c:pt>
                <c:pt idx="56">
                  <c:v>11.56</c:v>
                </c:pt>
                <c:pt idx="57">
                  <c:v>11.57</c:v>
                </c:pt>
                <c:pt idx="58">
                  <c:v>11.58</c:v>
                </c:pt>
                <c:pt idx="59">
                  <c:v>11.59</c:v>
                </c:pt>
                <c:pt idx="60">
                  <c:v>11.6</c:v>
                </c:pt>
                <c:pt idx="61">
                  <c:v>11.61</c:v>
                </c:pt>
                <c:pt idx="62">
                  <c:v>11.62</c:v>
                </c:pt>
                <c:pt idx="63">
                  <c:v>11.63</c:v>
                </c:pt>
                <c:pt idx="64">
                  <c:v>11.64</c:v>
                </c:pt>
                <c:pt idx="65">
                  <c:v>11.65</c:v>
                </c:pt>
                <c:pt idx="66">
                  <c:v>11.66</c:v>
                </c:pt>
                <c:pt idx="67">
                  <c:v>11.67</c:v>
                </c:pt>
                <c:pt idx="68">
                  <c:v>11.68</c:v>
                </c:pt>
                <c:pt idx="69">
                  <c:v>11.69</c:v>
                </c:pt>
                <c:pt idx="70">
                  <c:v>11.7</c:v>
                </c:pt>
                <c:pt idx="71">
                  <c:v>11.71</c:v>
                </c:pt>
                <c:pt idx="72">
                  <c:v>11.72</c:v>
                </c:pt>
                <c:pt idx="73">
                  <c:v>11.73</c:v>
                </c:pt>
                <c:pt idx="74">
                  <c:v>11.74</c:v>
                </c:pt>
                <c:pt idx="75">
                  <c:v>11.75</c:v>
                </c:pt>
                <c:pt idx="76">
                  <c:v>11.76</c:v>
                </c:pt>
                <c:pt idx="77">
                  <c:v>11.77</c:v>
                </c:pt>
                <c:pt idx="78">
                  <c:v>11.78</c:v>
                </c:pt>
                <c:pt idx="79">
                  <c:v>11.79</c:v>
                </c:pt>
                <c:pt idx="80">
                  <c:v>11.8</c:v>
                </c:pt>
                <c:pt idx="81">
                  <c:v>11.81</c:v>
                </c:pt>
                <c:pt idx="82">
                  <c:v>11.82</c:v>
                </c:pt>
                <c:pt idx="83">
                  <c:v>11.83</c:v>
                </c:pt>
                <c:pt idx="84">
                  <c:v>11.84</c:v>
                </c:pt>
                <c:pt idx="85">
                  <c:v>11.85</c:v>
                </c:pt>
                <c:pt idx="86">
                  <c:v>11.86</c:v>
                </c:pt>
                <c:pt idx="87">
                  <c:v>11.87</c:v>
                </c:pt>
                <c:pt idx="88">
                  <c:v>11.88</c:v>
                </c:pt>
                <c:pt idx="89">
                  <c:v>11.89</c:v>
                </c:pt>
                <c:pt idx="90">
                  <c:v>11.9</c:v>
                </c:pt>
                <c:pt idx="91">
                  <c:v>11.91</c:v>
                </c:pt>
                <c:pt idx="92">
                  <c:v>11.92</c:v>
                </c:pt>
                <c:pt idx="93">
                  <c:v>11.93</c:v>
                </c:pt>
                <c:pt idx="94">
                  <c:v>11.94</c:v>
                </c:pt>
                <c:pt idx="95">
                  <c:v>11.95</c:v>
                </c:pt>
                <c:pt idx="96">
                  <c:v>11.96</c:v>
                </c:pt>
                <c:pt idx="97">
                  <c:v>11.97</c:v>
                </c:pt>
                <c:pt idx="98">
                  <c:v>11.98</c:v>
                </c:pt>
                <c:pt idx="99">
                  <c:v>11.99</c:v>
                </c:pt>
                <c:pt idx="100">
                  <c:v>12</c:v>
                </c:pt>
                <c:pt idx="101">
                  <c:v>12.01</c:v>
                </c:pt>
                <c:pt idx="102">
                  <c:v>12.02</c:v>
                </c:pt>
                <c:pt idx="103">
                  <c:v>12.03</c:v>
                </c:pt>
                <c:pt idx="104">
                  <c:v>12.04</c:v>
                </c:pt>
                <c:pt idx="105">
                  <c:v>12.05</c:v>
                </c:pt>
                <c:pt idx="106">
                  <c:v>12.06</c:v>
                </c:pt>
                <c:pt idx="107">
                  <c:v>12.07</c:v>
                </c:pt>
                <c:pt idx="108">
                  <c:v>12.08</c:v>
                </c:pt>
                <c:pt idx="109">
                  <c:v>12.09</c:v>
                </c:pt>
                <c:pt idx="110">
                  <c:v>12.1</c:v>
                </c:pt>
                <c:pt idx="111">
                  <c:v>12.11</c:v>
                </c:pt>
                <c:pt idx="112">
                  <c:v>12.120000000000001</c:v>
                </c:pt>
                <c:pt idx="113">
                  <c:v>12.13</c:v>
                </c:pt>
                <c:pt idx="114">
                  <c:v>12.14</c:v>
                </c:pt>
                <c:pt idx="115">
                  <c:v>12.15</c:v>
                </c:pt>
                <c:pt idx="116">
                  <c:v>12.16</c:v>
                </c:pt>
                <c:pt idx="117">
                  <c:v>12.17</c:v>
                </c:pt>
                <c:pt idx="118">
                  <c:v>12.18</c:v>
                </c:pt>
                <c:pt idx="119">
                  <c:v>12.19</c:v>
                </c:pt>
                <c:pt idx="120">
                  <c:v>12.2</c:v>
                </c:pt>
                <c:pt idx="121">
                  <c:v>12.21</c:v>
                </c:pt>
                <c:pt idx="122">
                  <c:v>12.22</c:v>
                </c:pt>
                <c:pt idx="123">
                  <c:v>12.23</c:v>
                </c:pt>
                <c:pt idx="124">
                  <c:v>12.24</c:v>
                </c:pt>
                <c:pt idx="125">
                  <c:v>12.25</c:v>
                </c:pt>
                <c:pt idx="126">
                  <c:v>12.26</c:v>
                </c:pt>
                <c:pt idx="127">
                  <c:v>12.27</c:v>
                </c:pt>
                <c:pt idx="128">
                  <c:v>12.28</c:v>
                </c:pt>
                <c:pt idx="129">
                  <c:v>12.29</c:v>
                </c:pt>
                <c:pt idx="130">
                  <c:v>12.3</c:v>
                </c:pt>
                <c:pt idx="131">
                  <c:v>12.31</c:v>
                </c:pt>
                <c:pt idx="132">
                  <c:v>12.32</c:v>
                </c:pt>
                <c:pt idx="133">
                  <c:v>12.33</c:v>
                </c:pt>
                <c:pt idx="134">
                  <c:v>12.34</c:v>
                </c:pt>
                <c:pt idx="135">
                  <c:v>12.35</c:v>
                </c:pt>
                <c:pt idx="136">
                  <c:v>12.36</c:v>
                </c:pt>
                <c:pt idx="137">
                  <c:v>12.370000000000001</c:v>
                </c:pt>
                <c:pt idx="138">
                  <c:v>12.38</c:v>
                </c:pt>
                <c:pt idx="139">
                  <c:v>12.39</c:v>
                </c:pt>
                <c:pt idx="140">
                  <c:v>12.4</c:v>
                </c:pt>
                <c:pt idx="141">
                  <c:v>12.41</c:v>
                </c:pt>
                <c:pt idx="142">
                  <c:v>12.42</c:v>
                </c:pt>
                <c:pt idx="143">
                  <c:v>12.43</c:v>
                </c:pt>
                <c:pt idx="144">
                  <c:v>12.44</c:v>
                </c:pt>
                <c:pt idx="145">
                  <c:v>12.45</c:v>
                </c:pt>
                <c:pt idx="146">
                  <c:v>12.46</c:v>
                </c:pt>
                <c:pt idx="147">
                  <c:v>12.47</c:v>
                </c:pt>
                <c:pt idx="148">
                  <c:v>12.48</c:v>
                </c:pt>
                <c:pt idx="149">
                  <c:v>12.49</c:v>
                </c:pt>
                <c:pt idx="150">
                  <c:v>12.5</c:v>
                </c:pt>
              </c:numCache>
            </c:numRef>
          </c:xVal>
          <c:yVal>
            <c:numRef>
              <c:f>Eff_vs_VIN!$AP$7:$AP$157</c:f>
              <c:numCache>
                <c:formatCode>General</c:formatCode>
                <c:ptCount val="151"/>
                <c:pt idx="0">
                  <c:v>0.2687445621195117</c:v>
                </c:pt>
                <c:pt idx="1">
                  <c:v>0.26825735695174957</c:v>
                </c:pt>
                <c:pt idx="2">
                  <c:v>0.26777147021134712</c:v>
                </c:pt>
                <c:pt idx="3">
                  <c:v>0.26728689711075204</c:v>
                </c:pt>
                <c:pt idx="4">
                  <c:v>0.26680363288415987</c:v>
                </c:pt>
                <c:pt idx="5">
                  <c:v>0.26632167278739693</c:v>
                </c:pt>
                <c:pt idx="6">
                  <c:v>0.26584101209780386</c:v>
                </c:pt>
                <c:pt idx="7">
                  <c:v>0.26536164611411733</c:v>
                </c:pt>
                <c:pt idx="8">
                  <c:v>0.26488357015635661</c:v>
                </c:pt>
                <c:pt idx="9">
                  <c:v>0.26440677956570713</c:v>
                </c:pt>
                <c:pt idx="10">
                  <c:v>0.26393126970440711</c:v>
                </c:pt>
                <c:pt idx="11">
                  <c:v>0.26345703595563424</c:v>
                </c:pt>
                <c:pt idx="12">
                  <c:v>0.26298407372339228</c:v>
                </c:pt>
                <c:pt idx="13">
                  <c:v>0.26251237843239966</c:v>
                </c:pt>
                <c:pt idx="14">
                  <c:v>0.26204194552797799</c:v>
                </c:pt>
                <c:pt idx="15">
                  <c:v>0.26157277047594107</c:v>
                </c:pt>
                <c:pt idx="16">
                  <c:v>0.26110484876248574</c:v>
                </c:pt>
                <c:pt idx="17">
                  <c:v>0.260638175894082</c:v>
                </c:pt>
                <c:pt idx="18">
                  <c:v>0.26017274739736485</c:v>
                </c:pt>
                <c:pt idx="19">
                  <c:v>0.25970855881902616</c:v>
                </c:pt>
                <c:pt idx="20">
                  <c:v>0.25924560572570754</c:v>
                </c:pt>
                <c:pt idx="21">
                  <c:v>0.25878388370389421</c:v>
                </c:pt>
                <c:pt idx="22">
                  <c:v>0.25832338835980873</c:v>
                </c:pt>
                <c:pt idx="23">
                  <c:v>0.25786411531930559</c:v>
                </c:pt>
                <c:pt idx="24">
                  <c:v>0.2574060602277673</c:v>
                </c:pt>
                <c:pt idx="25">
                  <c:v>0.25694921875000004</c:v>
                </c:pt>
                <c:pt idx="26">
                  <c:v>0.25649358657013049</c:v>
                </c:pt>
                <c:pt idx="27">
                  <c:v>0.2560391593915034</c:v>
                </c:pt>
                <c:pt idx="28">
                  <c:v>0.25558593293657972</c:v>
                </c:pt>
                <c:pt idx="29">
                  <c:v>0.25513390294683452</c:v>
                </c:pt>
                <c:pt idx="30">
                  <c:v>0.25468306518265715</c:v>
                </c:pt>
                <c:pt idx="31">
                  <c:v>0.25423341542325095</c:v>
                </c:pt>
                <c:pt idx="32">
                  <c:v>0.25378494946653335</c:v>
                </c:pt>
                <c:pt idx="33">
                  <c:v>0.25333766312903755</c:v>
                </c:pt>
                <c:pt idx="34">
                  <c:v>0.25289155224581389</c:v>
                </c:pt>
                <c:pt idx="35">
                  <c:v>0.25244661267033242</c:v>
                </c:pt>
                <c:pt idx="36">
                  <c:v>0.2520028402743858</c:v>
                </c:pt>
                <c:pt idx="37">
                  <c:v>0.25156023094799301</c:v>
                </c:pt>
                <c:pt idx="38">
                  <c:v>0.25111878059930309</c:v>
                </c:pt>
                <c:pt idx="39">
                  <c:v>0.25067848515450059</c:v>
                </c:pt>
                <c:pt idx="40">
                  <c:v>0.25023934055771008</c:v>
                </c:pt>
                <c:pt idx="41">
                  <c:v>0.24980134277090257</c:v>
                </c:pt>
                <c:pt idx="42">
                  <c:v>0.24936448777380199</c:v>
                </c:pt>
                <c:pt idx="43">
                  <c:v>0.24892877156379201</c:v>
                </c:pt>
                <c:pt idx="44">
                  <c:v>0.2484941901558238</c:v>
                </c:pt>
                <c:pt idx="45">
                  <c:v>0.24806073958232436</c:v>
                </c:pt>
                <c:pt idx="46">
                  <c:v>0.24762841589310472</c:v>
                </c:pt>
                <c:pt idx="47">
                  <c:v>0.24719721515527027</c:v>
                </c:pt>
                <c:pt idx="48">
                  <c:v>0.24676713345312945</c:v>
                </c:pt>
                <c:pt idx="49">
                  <c:v>0.24633816688810492</c:v>
                </c:pt>
                <c:pt idx="50">
                  <c:v>0.24591031157864437</c:v>
                </c:pt>
                <c:pt idx="51">
                  <c:v>0.24548356366013191</c:v>
                </c:pt>
                <c:pt idx="52">
                  <c:v>0.24505791928479997</c:v>
                </c:pt>
                <c:pt idx="53">
                  <c:v>0.24463337462164242</c:v>
                </c:pt>
                <c:pt idx="54">
                  <c:v>0.24420992585632678</c:v>
                </c:pt>
                <c:pt idx="55">
                  <c:v>0.24378756919110864</c:v>
                </c:pt>
                <c:pt idx="56">
                  <c:v>0.2433663008447457</c:v>
                </c:pt>
                <c:pt idx="57">
                  <c:v>0.24294611705241193</c:v>
                </c:pt>
                <c:pt idx="58">
                  <c:v>0.24252701406561319</c:v>
                </c:pt>
                <c:pt idx="59">
                  <c:v>0.24210898815210274</c:v>
                </c:pt>
                <c:pt idx="60">
                  <c:v>0.24169203559579772</c:v>
                </c:pt>
                <c:pt idx="61">
                  <c:v>0.24127615269669533</c:v>
                </c:pt>
                <c:pt idx="62">
                  <c:v>0.24086133577079066</c:v>
                </c:pt>
                <c:pt idx="63">
                  <c:v>0.24044758114999384</c:v>
                </c:pt>
                <c:pt idx="64">
                  <c:v>0.24003488518204877</c:v>
                </c:pt>
                <c:pt idx="65">
                  <c:v>0.2396232442304512</c:v>
                </c:pt>
                <c:pt idx="66">
                  <c:v>0.23921265467436847</c:v>
                </c:pt>
                <c:pt idx="67">
                  <c:v>0.23880311290855899</c:v>
                </c:pt>
                <c:pt idx="68">
                  <c:v>0.23839461534329209</c:v>
                </c:pt>
                <c:pt idx="69">
                  <c:v>0.23798715840426918</c:v>
                </c:pt>
                <c:pt idx="70">
                  <c:v>0.23758073853254438</c:v>
                </c:pt>
                <c:pt idx="71">
                  <c:v>0.23717535218444638</c:v>
                </c:pt>
                <c:pt idx="72">
                  <c:v>0.23677099583150038</c:v>
                </c:pt>
                <c:pt idx="73">
                  <c:v>0.23636766596035053</c:v>
                </c:pt>
                <c:pt idx="74">
                  <c:v>0.23596535907268304</c:v>
                </c:pt>
                <c:pt idx="75">
                  <c:v>0.23556407168514937</c:v>
                </c:pt>
                <c:pt idx="76">
                  <c:v>0.23516380032929032</c:v>
                </c:pt>
                <c:pt idx="77">
                  <c:v>0.23476454155146059</c:v>
                </c:pt>
                <c:pt idx="78">
                  <c:v>0.23436629191275282</c:v>
                </c:pt>
                <c:pt idx="79">
                  <c:v>0.2339690479889234</c:v>
                </c:pt>
                <c:pt idx="80">
                  <c:v>0.2335728063703183</c:v>
                </c:pt>
                <c:pt idx="81">
                  <c:v>0.23317756366179873</c:v>
                </c:pt>
                <c:pt idx="82">
                  <c:v>0.2327833164826677</c:v>
                </c:pt>
                <c:pt idx="83">
                  <c:v>0.23239006146659721</c:v>
                </c:pt>
                <c:pt idx="84">
                  <c:v>0.23199779526155587</c:v>
                </c:pt>
                <c:pt idx="85">
                  <c:v>0.23160651452973621</c:v>
                </c:pt>
                <c:pt idx="86">
                  <c:v>0.23121621594748326</c:v>
                </c:pt>
                <c:pt idx="87">
                  <c:v>0.23082689620522345</c:v>
                </c:pt>
                <c:pt idx="88">
                  <c:v>0.23043855200739319</c:v>
                </c:pt>
                <c:pt idx="89">
                  <c:v>0.23005118007236885</c:v>
                </c:pt>
                <c:pt idx="90">
                  <c:v>0.22966477713239661</c:v>
                </c:pt>
                <c:pt idx="91">
                  <c:v>0.22927933993352256</c:v>
                </c:pt>
                <c:pt idx="92">
                  <c:v>0.22889486523552369</c:v>
                </c:pt>
                <c:pt idx="93">
                  <c:v>0.22851134981183924</c:v>
                </c:pt>
                <c:pt idx="94">
                  <c:v>0.22812879044950182</c:v>
                </c:pt>
                <c:pt idx="95">
                  <c:v>0.22774718394906984</c:v>
                </c:pt>
                <c:pt idx="96">
                  <c:v>0.22736652712455938</c:v>
                </c:pt>
                <c:pt idx="97">
                  <c:v>0.22698681680337754</c:v>
                </c:pt>
                <c:pt idx="98">
                  <c:v>0.22660804982625515</c:v>
                </c:pt>
                <c:pt idx="99">
                  <c:v>0.22623022304718055</c:v>
                </c:pt>
                <c:pt idx="100">
                  <c:v>0.22585333333333335</c:v>
                </c:pt>
                <c:pt idx="101">
                  <c:v>0.22547737756501898</c:v>
                </c:pt>
                <c:pt idx="102">
                  <c:v>0.22510235263560316</c:v>
                </c:pt>
                <c:pt idx="103">
                  <c:v>0.22472825545144726</c:v>
                </c:pt>
                <c:pt idx="104">
                  <c:v>0.22435508293184336</c:v>
                </c:pt>
                <c:pt idx="105">
                  <c:v>0.22398283200895042</c:v>
                </c:pt>
                <c:pt idx="106">
                  <c:v>0.22361149962773064</c:v>
                </c:pt>
                <c:pt idx="107">
                  <c:v>0.22324108274588553</c:v>
                </c:pt>
                <c:pt idx="108">
                  <c:v>0.22287157833379315</c:v>
                </c:pt>
                <c:pt idx="109">
                  <c:v>0.22250298337444549</c:v>
                </c:pt>
                <c:pt idx="110">
                  <c:v>0.22213529486338579</c:v>
                </c:pt>
                <c:pt idx="111">
                  <c:v>0.22176850980864726</c:v>
                </c:pt>
                <c:pt idx="112">
                  <c:v>0.22140262523069051</c:v>
                </c:pt>
                <c:pt idx="113">
                  <c:v>0.22103763816234342</c:v>
                </c:pt>
                <c:pt idx="114">
                  <c:v>0.22067354564873917</c:v>
                </c:pt>
                <c:pt idx="115">
                  <c:v>0.2203103447472565</c:v>
                </c:pt>
                <c:pt idx="116">
                  <c:v>0.2199480325274589</c:v>
                </c:pt>
                <c:pt idx="117">
                  <c:v>0.2195866060710352</c:v>
                </c:pt>
                <c:pt idx="118">
                  <c:v>0.2192260624717399</c:v>
                </c:pt>
                <c:pt idx="119">
                  <c:v>0.2188663988353339</c:v>
                </c:pt>
                <c:pt idx="120">
                  <c:v>0.21850761227952578</c:v>
                </c:pt>
                <c:pt idx="121">
                  <c:v>0.21814969993391328</c:v>
                </c:pt>
                <c:pt idx="122">
                  <c:v>0.21779265893992539</c:v>
                </c:pt>
                <c:pt idx="123">
                  <c:v>0.21743648645076397</c:v>
                </c:pt>
                <c:pt idx="124">
                  <c:v>0.21708117963134668</c:v>
                </c:pt>
                <c:pt idx="125">
                  <c:v>0.21672673565824979</c:v>
                </c:pt>
                <c:pt idx="126">
                  <c:v>0.21637315171965119</c:v>
                </c:pt>
                <c:pt idx="127">
                  <c:v>0.21602042501527394</c:v>
                </c:pt>
                <c:pt idx="128">
                  <c:v>0.21566855275633001</c:v>
                </c:pt>
                <c:pt idx="129">
                  <c:v>0.21531753216546462</c:v>
                </c:pt>
                <c:pt idx="130">
                  <c:v>0.21496736047670034</c:v>
                </c:pt>
                <c:pt idx="131">
                  <c:v>0.21461803493538242</c:v>
                </c:pt>
                <c:pt idx="132">
                  <c:v>0.2142695527981231</c:v>
                </c:pt>
                <c:pt idx="133">
                  <c:v>0.21392191133274752</c:v>
                </c:pt>
                <c:pt idx="134">
                  <c:v>0.21357510781823924</c:v>
                </c:pt>
                <c:pt idx="135">
                  <c:v>0.21322913954468653</c:v>
                </c:pt>
                <c:pt idx="136">
                  <c:v>0.21288400381322811</c:v>
                </c:pt>
                <c:pt idx="137">
                  <c:v>0.21253969793600011</c:v>
                </c:pt>
                <c:pt idx="138">
                  <c:v>0.21219621923608334</c:v>
                </c:pt>
                <c:pt idx="139">
                  <c:v>0.2118535650474497</c:v>
                </c:pt>
                <c:pt idx="140">
                  <c:v>0.21151173271491028</c:v>
                </c:pt>
                <c:pt idx="141">
                  <c:v>0.21117071959406297</c:v>
                </c:pt>
                <c:pt idx="142">
                  <c:v>0.21083052305124064</c:v>
                </c:pt>
                <c:pt idx="143">
                  <c:v>0.21049114046345949</c:v>
                </c:pt>
                <c:pt idx="144">
                  <c:v>0.21015256921836753</c:v>
                </c:pt>
                <c:pt idx="145">
                  <c:v>0.20981480671419414</c:v>
                </c:pt>
                <c:pt idx="146">
                  <c:v>0.20947785035969851</c:v>
                </c:pt>
                <c:pt idx="147">
                  <c:v>0.20914169757412004</c:v>
                </c:pt>
                <c:pt idx="148">
                  <c:v>0.20880634578712742</c:v>
                </c:pt>
                <c:pt idx="149">
                  <c:v>0.20847179243876912</c:v>
                </c:pt>
                <c:pt idx="150">
                  <c:v>0.20813803497942387</c:v>
                </c:pt>
              </c:numCache>
            </c:numRef>
          </c:yVal>
          <c:smooth val="1"/>
          <c:extLst>
            <c:ext xmlns:c16="http://schemas.microsoft.com/office/drawing/2014/chart" uri="{C3380CC4-5D6E-409C-BE32-E72D297353CC}">
              <c16:uniqueId val="{00000003-0B1C-42A1-BAB5-10FCC4361A6B}"/>
            </c:ext>
          </c:extLst>
        </c:ser>
        <c:dLbls>
          <c:showLegendKey val="0"/>
          <c:showVal val="0"/>
          <c:showCatName val="0"/>
          <c:showSerName val="0"/>
          <c:showPercent val="0"/>
          <c:showBubbleSize val="0"/>
        </c:dLbls>
        <c:axId val="361467264"/>
        <c:axId val="361465344"/>
      </c:scatterChart>
      <c:valAx>
        <c:axId val="361445248"/>
        <c:scaling>
          <c:orientation val="minMax"/>
        </c:scaling>
        <c:delete val="0"/>
        <c:axPos val="b"/>
        <c:majorGridlines/>
        <c:numFmt formatCode="General" sourceLinked="1"/>
        <c:majorTickMark val="out"/>
        <c:minorTickMark val="none"/>
        <c:tickLblPos val="nextTo"/>
        <c:crossAx val="361446784"/>
        <c:crosses val="autoZero"/>
        <c:crossBetween val="midCat"/>
      </c:valAx>
      <c:valAx>
        <c:axId val="361446784"/>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361445248"/>
        <c:crosses val="autoZero"/>
        <c:crossBetween val="midCat"/>
      </c:valAx>
      <c:valAx>
        <c:axId val="361465344"/>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361467264"/>
        <c:crosses val="max"/>
        <c:crossBetween val="midCat"/>
      </c:valAx>
      <c:valAx>
        <c:axId val="361467264"/>
        <c:scaling>
          <c:orientation val="minMax"/>
        </c:scaling>
        <c:delete val="1"/>
        <c:axPos val="b"/>
        <c:title>
          <c:tx>
            <c:rich>
              <a:bodyPr/>
              <a:lstStyle/>
              <a:p>
                <a:pPr>
                  <a:defRPr/>
                </a:pPr>
                <a:r>
                  <a:rPr lang="en-US" baseline="0"/>
                  <a:t>Input Voltage (V)</a:t>
                </a:r>
                <a:endParaRPr lang="en-US"/>
              </a:p>
            </c:rich>
          </c:tx>
          <c:overlay val="0"/>
        </c:title>
        <c:numFmt formatCode="General" sourceLinked="1"/>
        <c:majorTickMark val="out"/>
        <c:minorTickMark val="none"/>
        <c:tickLblPos val="nextTo"/>
        <c:crossAx val="361465344"/>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CCM Plant Transfer</a:t>
            </a:r>
            <a:r>
              <a:rPr lang="en-US" baseline="0"/>
              <a:t> Function</a:t>
            </a:r>
            <a:endParaRPr lang="en-US"/>
          </a:p>
        </c:rich>
      </c:tx>
      <c:overlay val="0"/>
    </c:title>
    <c:autoTitleDeleted val="0"/>
    <c:plotArea>
      <c:layout/>
      <c:scatterChart>
        <c:scatterStyle val="smoothMarker"/>
        <c:varyColors val="0"/>
        <c:ser>
          <c:idx val="0"/>
          <c:order val="0"/>
          <c:tx>
            <c:v>Gain(dB)</c:v>
          </c:tx>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Control_Loop_Tables!$AC$19:$AC$560</c:f>
              <c:numCache>
                <c:formatCode>0.000</c:formatCode>
                <c:ptCount val="542"/>
                <c:pt idx="0">
                  <c:v>27.022771492204456</c:v>
                </c:pt>
                <c:pt idx="1">
                  <c:v>27.021789976523483</c:v>
                </c:pt>
                <c:pt idx="2">
                  <c:v>27.020762441393714</c:v>
                </c:pt>
                <c:pt idx="3">
                  <c:v>27.019686740819754</c:v>
                </c:pt>
                <c:pt idx="4">
                  <c:v>27.018560629853301</c:v>
                </c:pt>
                <c:pt idx="5">
                  <c:v>27.017381760137958</c:v>
                </c:pt>
                <c:pt idx="6">
                  <c:v>27.016147675263213</c:v>
                </c:pt>
                <c:pt idx="7">
                  <c:v>27.014855805921627</c:v>
                </c:pt>
                <c:pt idx="8">
                  <c:v>27.013503464861071</c:v>
                </c:pt>
                <c:pt idx="9">
                  <c:v>27.012087841624361</c:v>
                </c:pt>
                <c:pt idx="10">
                  <c:v>27.01060599707009</c:v>
                </c:pt>
                <c:pt idx="11">
                  <c:v>27.009054857664765</c:v>
                </c:pt>
                <c:pt idx="12">
                  <c:v>27.007431209540684</c:v>
                </c:pt>
                <c:pt idx="13">
                  <c:v>27.005731692309823</c:v>
                </c:pt>
                <c:pt idx="14">
                  <c:v>27.003952792626386</c:v>
                </c:pt>
                <c:pt idx="15">
                  <c:v>27.002090837489746</c:v>
                </c:pt>
                <c:pt idx="16">
                  <c:v>27.000141987280003</c:v>
                </c:pt>
                <c:pt idx="17">
                  <c:v>26.998102228516956</c:v>
                </c:pt>
                <c:pt idx="18">
                  <c:v>26.995967366335183</c:v>
                </c:pt>
                <c:pt idx="19">
                  <c:v>26.993733016666877</c:v>
                </c:pt>
                <c:pt idx="20">
                  <c:v>26.991394598123595</c:v>
                </c:pt>
                <c:pt idx="21">
                  <c:v>26.988947323570205</c:v>
                </c:pt>
                <c:pt idx="22">
                  <c:v>26.986386191381992</c:v>
                </c:pt>
                <c:pt idx="23">
                  <c:v>26.98370597637809</c:v>
                </c:pt>
                <c:pt idx="24">
                  <c:v>26.980901220423522</c:v>
                </c:pt>
                <c:pt idx="25">
                  <c:v>26.977966222693148</c:v>
                </c:pt>
                <c:pt idx="26">
                  <c:v>26.974895029590598</c:v>
                </c:pt>
                <c:pt idx="27">
                  <c:v>26.971681424316483</c:v>
                </c:pt>
                <c:pt idx="28">
                  <c:v>26.968318916080097</c:v>
                </c:pt>
                <c:pt idx="29">
                  <c:v>26.964800728949786</c:v>
                </c:pt>
                <c:pt idx="30">
                  <c:v>26.961119790338003</c:v>
                </c:pt>
                <c:pt idx="31">
                  <c:v>26.957268719118193</c:v>
                </c:pt>
                <c:pt idx="32">
                  <c:v>26.953239813370335</c:v>
                </c:pt>
                <c:pt idx="33">
                  <c:v>26.949025037755231</c:v>
                </c:pt>
                <c:pt idx="34">
                  <c:v>26.944616010517365</c:v>
                </c:pt>
                <c:pt idx="35">
                  <c:v>26.940003990117383</c:v>
                </c:pt>
                <c:pt idx="36">
                  <c:v>26.93517986149881</c:v>
                </c:pt>
                <c:pt idx="37">
                  <c:v>26.930134121992644</c:v>
                </c:pt>
                <c:pt idx="38">
                  <c:v>26.924856866867867</c:v>
                </c:pt>
                <c:pt idx="39">
                  <c:v>26.919337774536679</c:v>
                </c:pt>
                <c:pt idx="40">
                  <c:v>26.913566091425967</c:v>
                </c:pt>
                <c:pt idx="41">
                  <c:v>26.907530616529659</c:v>
                </c:pt>
                <c:pt idx="42">
                  <c:v>26.901219685658333</c:v>
                </c:pt>
                <c:pt idx="43">
                  <c:v>26.894621155407563</c:v>
                </c:pt>
                <c:pt idx="44">
                  <c:v>26.88772238686683</c:v>
                </c:pt>
                <c:pt idx="45">
                  <c:v>26.880510229098363</c:v>
                </c:pt>
                <c:pt idx="46">
                  <c:v>26.872971002415454</c:v>
                </c:pt>
                <c:pt idx="47">
                  <c:v>26.865090481496985</c:v>
                </c:pt>
                <c:pt idx="48">
                  <c:v>26.856853878378047</c:v>
                </c:pt>
                <c:pt idx="49">
                  <c:v>26.848245825361637</c:v>
                </c:pt>
                <c:pt idx="50">
                  <c:v>26.839250357901868</c:v>
                </c:pt>
                <c:pt idx="51">
                  <c:v>26.829850897515392</c:v>
                </c:pt>
                <c:pt idx="52">
                  <c:v>26.820030234782081</c:v>
                </c:pt>
                <c:pt idx="53">
                  <c:v>26.809770512503924</c:v>
                </c:pt>
                <c:pt idx="54">
                  <c:v>26.799053209096975</c:v>
                </c:pt>
                <c:pt idx="55">
                  <c:v>26.787859122297888</c:v>
                </c:pt>
                <c:pt idx="56">
                  <c:v>26.776168353274915</c:v>
                </c:pt>
                <c:pt idx="57">
                  <c:v>26.763960291239243</c:v>
                </c:pt>
                <c:pt idx="58">
                  <c:v>26.751213598661813</c:v>
                </c:pt>
                <c:pt idx="59">
                  <c:v>26.737906197207678</c:v>
                </c:pt>
                <c:pt idx="60">
                  <c:v>26.7240152545094</c:v>
                </c:pt>
                <c:pt idx="61">
                  <c:v>26.709517171907944</c:v>
                </c:pt>
                <c:pt idx="62">
                  <c:v>26.694387573298943</c:v>
                </c:pt>
                <c:pt idx="63">
                  <c:v>26.678601295230603</c:v>
                </c:pt>
                <c:pt idx="64">
                  <c:v>26.662132378406994</c:v>
                </c:pt>
                <c:pt idx="65">
                  <c:v>26.644954060760391</c:v>
                </c:pt>
                <c:pt idx="66">
                  <c:v>26.627038772262061</c:v>
                </c:pt>
                <c:pt idx="67">
                  <c:v>26.608358131649908</c:v>
                </c:pt>
                <c:pt idx="68">
                  <c:v>26.588882945258916</c:v>
                </c:pt>
                <c:pt idx="69">
                  <c:v>26.568583208143998</c:v>
                </c:pt>
                <c:pt idx="70">
                  <c:v>26.547428107693388</c:v>
                </c:pt>
                <c:pt idx="71">
                  <c:v>26.525386029933923</c:v>
                </c:pt>
                <c:pt idx="72">
                  <c:v>26.502424568731854</c:v>
                </c:pt>
                <c:pt idx="73">
                  <c:v>26.47851053809697</c:v>
                </c:pt>
                <c:pt idx="74">
                  <c:v>26.453609987796195</c:v>
                </c:pt>
                <c:pt idx="75">
                  <c:v>26.427688222482466</c:v>
                </c:pt>
                <c:pt idx="76">
                  <c:v>26.400709824541273</c:v>
                </c:pt>
                <c:pt idx="77">
                  <c:v>26.372638680851111</c:v>
                </c:pt>
                <c:pt idx="78">
                  <c:v>26.343438013646477</c:v>
                </c:pt>
                <c:pt idx="79">
                  <c:v>26.313070415661155</c:v>
                </c:pt>
                <c:pt idx="80">
                  <c:v>26.281497889716562</c:v>
                </c:pt>
                <c:pt idx="81">
                  <c:v>26.24868189290261</c:v>
                </c:pt>
                <c:pt idx="82">
                  <c:v>26.21458338547944</c:v>
                </c:pt>
                <c:pt idx="83">
                  <c:v>26.179162884605987</c:v>
                </c:pt>
                <c:pt idx="84">
                  <c:v>26.142380522973482</c:v>
                </c:pt>
                <c:pt idx="85">
                  <c:v>26.104196112394312</c:v>
                </c:pt>
                <c:pt idx="86">
                  <c:v>26.064569212361633</c:v>
                </c:pt>
                <c:pt idx="87">
                  <c:v>26.023459203560563</c:v>
                </c:pt>
                <c:pt idx="88">
                  <c:v>25.980825366269311</c:v>
                </c:pt>
                <c:pt idx="89">
                  <c:v>25.936626963549546</c:v>
                </c:pt>
                <c:pt idx="90">
                  <c:v>25.890823329075854</c:v>
                </c:pt>
                <c:pt idx="91">
                  <c:v>25.843373959408311</c:v>
                </c:pt>
                <c:pt idx="92">
                  <c:v>25.79423861046207</c:v>
                </c:pt>
                <c:pt idx="93">
                  <c:v>25.743377397874262</c:v>
                </c:pt>
                <c:pt idx="94">
                  <c:v>25.690750900918378</c:v>
                </c:pt>
                <c:pt idx="95">
                  <c:v>25.63632026956093</c:v>
                </c:pt>
                <c:pt idx="96">
                  <c:v>25.580047334203822</c:v>
                </c:pt>
                <c:pt idx="97">
                  <c:v>25.521894717604241</c:v>
                </c:pt>
                <c:pt idx="98">
                  <c:v>25.461825948414251</c:v>
                </c:pt>
                <c:pt idx="99">
                  <c:v>25.39980557573513</c:v>
                </c:pt>
                <c:pt idx="100">
                  <c:v>25.335799284039709</c:v>
                </c:pt>
                <c:pt idx="101">
                  <c:v>25.269774007777933</c:v>
                </c:pt>
                <c:pt idx="102">
                  <c:v>25.201698044946529</c:v>
                </c:pt>
                <c:pt idx="103">
                  <c:v>25.131541168880553</c:v>
                </c:pt>
                <c:pt idx="104">
                  <c:v>25.059274737503323</c:v>
                </c:pt>
                <c:pt idx="105">
                  <c:v>24.98487179926213</c:v>
                </c:pt>
                <c:pt idx="106">
                  <c:v>24.908307194973403</c:v>
                </c:pt>
                <c:pt idx="107">
                  <c:v>24.829557654809363</c:v>
                </c:pt>
                <c:pt idx="108">
                  <c:v>24.748601889673701</c:v>
                </c:pt>
                <c:pt idx="109">
                  <c:v>24.665420676239187</c:v>
                </c:pt>
                <c:pt idx="110">
                  <c:v>24.579996934956402</c:v>
                </c:pt>
                <c:pt idx="111">
                  <c:v>24.492315800386947</c:v>
                </c:pt>
                <c:pt idx="112">
                  <c:v>24.402364683269493</c:v>
                </c:pt>
                <c:pt idx="113">
                  <c:v>24.310133323786431</c:v>
                </c:pt>
                <c:pt idx="114">
                  <c:v>24.215613835573308</c:v>
                </c:pt>
                <c:pt idx="115">
                  <c:v>24.118800740085934</c:v>
                </c:pt>
                <c:pt idx="116">
                  <c:v>24.01969099102546</c:v>
                </c:pt>
                <c:pt idx="117">
                  <c:v>23.918283988607236</c:v>
                </c:pt>
                <c:pt idx="118">
                  <c:v>23.814581583551284</c:v>
                </c:pt>
                <c:pt idx="119">
                  <c:v>23.708588070763227</c:v>
                </c:pt>
                <c:pt idx="120">
                  <c:v>23.600310172767792</c:v>
                </c:pt>
                <c:pt idx="121">
                  <c:v>23.489757013050102</c:v>
                </c:pt>
                <c:pt idx="122">
                  <c:v>23.376940079547222</c:v>
                </c:pt>
                <c:pt idx="123">
                  <c:v>23.261873178621318</c:v>
                </c:pt>
                <c:pt idx="124">
                  <c:v>23.144572379923698</c:v>
                </c:pt>
                <c:pt idx="125">
                  <c:v>23.025055952635501</c:v>
                </c:pt>
                <c:pt idx="126">
                  <c:v>22.903344293639222</c:v>
                </c:pt>
                <c:pt idx="127">
                  <c:v>22.779459848232829</c:v>
                </c:pt>
                <c:pt idx="128">
                  <c:v>22.653427024050284</c:v>
                </c:pt>
                <c:pt idx="129">
                  <c:v>22.525272098894952</c:v>
                </c:pt>
                <c:pt idx="130">
                  <c:v>22.395023123223638</c:v>
                </c:pt>
                <c:pt idx="131">
                  <c:v>22.262709818041774</c:v>
                </c:pt>
                <c:pt idx="132">
                  <c:v>22.128363468984652</c:v>
                </c:pt>
                <c:pt idx="133">
                  <c:v>21.992016817361581</c:v>
                </c:pt>
                <c:pt idx="134">
                  <c:v>21.853703948937564</c:v>
                </c:pt>
                <c:pt idx="135">
                  <c:v>21.713460181210674</c:v>
                </c:pt>
                <c:pt idx="136">
                  <c:v>21.571321949924936</c:v>
                </c:pt>
                <c:pt idx="137">
                  <c:v>21.427326695528262</c:v>
                </c:pt>
                <c:pt idx="138">
                  <c:v>21.281512750252531</c:v>
                </c:pt>
                <c:pt idx="139">
                  <c:v>21.133919226451241</c:v>
                </c:pt>
                <c:pt idx="140">
                  <c:v>20.984585906788482</c:v>
                </c:pt>
                <c:pt idx="141">
                  <c:v>20.833553136823198</c:v>
                </c:pt>
                <c:pt idx="142">
                  <c:v>20.680861720484181</c:v>
                </c:pt>
                <c:pt idx="143">
                  <c:v>20.526552818879139</c:v>
                </c:pt>
                <c:pt idx="144">
                  <c:v>20.370667852826564</c:v>
                </c:pt>
                <c:pt idx="145">
                  <c:v>20.213248409449687</c:v>
                </c:pt>
                <c:pt idx="146">
                  <c:v>20.054336153115887</c:v>
                </c:pt>
                <c:pt idx="147">
                  <c:v>19.893972740955405</c:v>
                </c:pt>
                <c:pt idx="148">
                  <c:v>19.732199743144591</c:v>
                </c:pt>
                <c:pt idx="149">
                  <c:v>19.569058568089304</c:v>
                </c:pt>
                <c:pt idx="150">
                  <c:v>19.404590392601381</c:v>
                </c:pt>
                <c:pt idx="151">
                  <c:v>19.238836097118629</c:v>
                </c:pt>
                <c:pt idx="152">
                  <c:v>19.071836205980613</c:v>
                </c:pt>
                <c:pt idx="153">
                  <c:v>18.903630832735075</c:v>
                </c:pt>
                <c:pt idx="154">
                  <c:v>18.734259630422113</c:v>
                </c:pt>
                <c:pt idx="155">
                  <c:v>18.563761746750117</c:v>
                </c:pt>
                <c:pt idx="156">
                  <c:v>18.392175784055308</c:v>
                </c:pt>
                <c:pt idx="157">
                  <c:v>18.219539763914085</c:v>
                </c:pt>
                <c:pt idx="158">
                  <c:v>18.045891096258394</c:v>
                </c:pt>
                <c:pt idx="159">
                  <c:v>17.871266552830338</c:v>
                </c:pt>
                <c:pt idx="160">
                  <c:v>17.695702244797836</c:v>
                </c:pt>
                <c:pt idx="161">
                  <c:v>17.519233604345047</c:v>
                </c:pt>
                <c:pt idx="162">
                  <c:v>17.341895370043613</c:v>
                </c:pt>
                <c:pt idx="163">
                  <c:v>17.163721575804999</c:v>
                </c:pt>
                <c:pt idx="164">
                  <c:v>16.984745543213513</c:v>
                </c:pt>
                <c:pt idx="165">
                  <c:v>16.804999877036813</c:v>
                </c:pt>
                <c:pt idx="166">
                  <c:v>16.624516463713054</c:v>
                </c:pt>
                <c:pt idx="167">
                  <c:v>16.443326472614874</c:v>
                </c:pt>
                <c:pt idx="168">
                  <c:v>16.261460359895999</c:v>
                </c:pt>
                <c:pt idx="169">
                  <c:v>16.078947874729341</c:v>
                </c:pt>
                <c:pt idx="170">
                  <c:v>15.89581806775163</c:v>
                </c:pt>
                <c:pt idx="171">
                  <c:v>15.712099301537076</c:v>
                </c:pt>
                <c:pt idx="172">
                  <c:v>15.527819262928249</c:v>
                </c:pt>
                <c:pt idx="173">
                  <c:v>15.343004977060861</c:v>
                </c:pt>
                <c:pt idx="174">
                  <c:v>15.157682822926521</c:v>
                </c:pt>
                <c:pt idx="175">
                  <c:v>14.971878550325947</c:v>
                </c:pt>
                <c:pt idx="176">
                  <c:v>14.785617298072857</c:v>
                </c:pt>
                <c:pt idx="177">
                  <c:v>14.598923613317394</c:v>
                </c:pt>
                <c:pt idx="178">
                  <c:v>14.411821471865577</c:v>
                </c:pt>
                <c:pt idx="179">
                  <c:v>14.224334299380033</c:v>
                </c:pt>
                <c:pt idx="180">
                  <c:v>14.03648499335312</c:v>
                </c:pt>
                <c:pt idx="181">
                  <c:v>13.848295945754153</c:v>
                </c:pt>
                <c:pt idx="182">
                  <c:v>13.659789066256165</c:v>
                </c:pt>
                <c:pt idx="183">
                  <c:v>13.47098580595681</c:v>
                </c:pt>
                <c:pt idx="184">
                  <c:v>13.281907181513459</c:v>
                </c:pt>
                <c:pt idx="185">
                  <c:v>13.092573799619158</c:v>
                </c:pt>
                <c:pt idx="186">
                  <c:v>12.90300588175047</c:v>
                </c:pt>
                <c:pt idx="187">
                  <c:v>12.713223289125072</c:v>
                </c:pt>
                <c:pt idx="188">
                  <c:v>12.523245547810536</c:v>
                </c:pt>
                <c:pt idx="189">
                  <c:v>12.333091873929911</c:v>
                </c:pt>
                <c:pt idx="190">
                  <c:v>12.14278119891407</c:v>
                </c:pt>
                <c:pt idx="191">
                  <c:v>11.952332194754021</c:v>
                </c:pt>
                <c:pt idx="192">
                  <c:v>11.761763299208265</c:v>
                </c:pt>
                <c:pt idx="193">
                  <c:v>11.571092740923854</c:v>
                </c:pt>
                <c:pt idx="194">
                  <c:v>11.38033856443052</c:v>
                </c:pt>
                <c:pt idx="195">
                  <c:v>11.189518654969968</c:v>
                </c:pt>
                <c:pt idx="196">
                  <c:v>10.998650763120963</c:v>
                </c:pt>
                <c:pt idx="197">
                  <c:v>10.807752529184606</c:v>
                </c:pt>
                <c:pt idx="198">
                  <c:v>10.616841507290316</c:v>
                </c:pt>
                <c:pt idx="199">
                  <c:v>10.425935189186262</c:v>
                </c:pt>
                <c:pt idx="200">
                  <c:v>10.235051027673343</c:v>
                </c:pt>
                <c:pt idx="201">
                  <c:v>10.044206459643959</c:v>
                </c:pt>
                <c:pt idx="202">
                  <c:v>9.8534189286815774</c:v>
                </c:pt>
                <c:pt idx="203">
                  <c:v>9.6627059071773562</c:v>
                </c:pt>
                <c:pt idx="204">
                  <c:v>9.4720849179156694</c:v>
                </c:pt>
                <c:pt idx="205">
                  <c:v>9.2815735550781717</c:v>
                </c:pt>
                <c:pt idx="206">
                  <c:v>9.0911895046117621</c:v>
                </c:pt>
                <c:pt idx="207">
                  <c:v>8.9009505639019864</c:v>
                </c:pt>
                <c:pt idx="208">
                  <c:v>8.7108746606895338</c:v>
                </c:pt>
                <c:pt idx="209">
                  <c:v>8.5209798711617104</c:v>
                </c:pt>
                <c:pt idx="210">
                  <c:v>8.3312844371470423</c:v>
                </c:pt>
                <c:pt idx="211">
                  <c:v>8.1418067823343865</c:v>
                </c:pt>
                <c:pt idx="212">
                  <c:v>7.9525655274335341</c:v>
                </c:pt>
                <c:pt idx="213">
                  <c:v>7.7635795041872733</c:v>
                </c:pt>
                <c:pt idx="214">
                  <c:v>7.5748677681402494</c:v>
                </c:pt>
                <c:pt idx="215">
                  <c:v>7.3864496100622388</c:v>
                </c:pt>
                <c:pt idx="216">
                  <c:v>7.1983445659184557</c:v>
                </c:pt>
                <c:pt idx="217">
                  <c:v>7.0105724252727892</c:v>
                </c:pt>
                <c:pt idx="218">
                  <c:v>6.8231532380036954</c:v>
                </c:pt>
                <c:pt idx="219">
                  <c:v>6.6361073192072686</c:v>
                </c:pt>
                <c:pt idx="220">
                  <c:v>6.4494552521549862</c:v>
                </c:pt>
                <c:pt idx="221">
                  <c:v>6.2632178891700105</c:v>
                </c:pt>
                <c:pt idx="222">
                  <c:v>6.0774163502806724</c:v>
                </c:pt>
                <c:pt idx="223">
                  <c:v>5.8920720195050453</c:v>
                </c:pt>
                <c:pt idx="224">
                  <c:v>5.70720653861851</c:v>
                </c:pt>
                <c:pt idx="225">
                  <c:v>5.5228417982534186</c:v>
                </c:pt>
                <c:pt idx="226">
                  <c:v>5.3389999261793184</c:v>
                </c:pt>
                <c:pt idx="227">
                  <c:v>5.1557032726121355</c:v>
                </c:pt>
                <c:pt idx="228">
                  <c:v>4.9729743924033061</c:v>
                </c:pt>
                <c:pt idx="229">
                  <c:v>4.790836023962167</c:v>
                </c:pt>
                <c:pt idx="230">
                  <c:v>4.609311064772819</c:v>
                </c:pt>
                <c:pt idx="231">
                  <c:v>4.4284225433733191</c:v>
                </c:pt>
                <c:pt idx="232">
                  <c:v>4.2481935876737431</c:v>
                </c:pt>
                <c:pt idx="233">
                  <c:v>4.0686473895053794</c:v>
                </c:pt>
                <c:pt idx="234">
                  <c:v>3.8898071653074635</c:v>
                </c:pt>
                <c:pt idx="235">
                  <c:v>3.7116961128769899</c:v>
                </c:pt>
                <c:pt idx="236">
                  <c:v>3.5343373641275266</c:v>
                </c:pt>
                <c:pt idx="237">
                  <c:v>3.3577539338314919</c:v>
                </c:pt>
                <c:pt idx="238">
                  <c:v>3.1819686643448817</c:v>
                </c:pt>
                <c:pt idx="239">
                  <c:v>3.0070041663487057</c:v>
                </c:pt>
                <c:pt idx="240">
                  <c:v>2.8328827556761564</c:v>
                </c:pt>
                <c:pt idx="241">
                  <c:v>2.6596263863322065</c:v>
                </c:pt>
                <c:pt idx="242">
                  <c:v>2.4872565798579389</c:v>
                </c:pt>
                <c:pt idx="243">
                  <c:v>2.3157943512353589</c:v>
                </c:pt>
                <c:pt idx="244">
                  <c:v>2.1452601315783841</c:v>
                </c:pt>
                <c:pt idx="245">
                  <c:v>1.9756736879070582</c:v>
                </c:pt>
                <c:pt idx="246">
                  <c:v>1.8070540403574709</c:v>
                </c:pt>
                <c:pt idx="247">
                  <c:v>1.6394193772330425</c:v>
                </c:pt>
                <c:pt idx="248">
                  <c:v>1.4727869683630987</c:v>
                </c:pt>
                <c:pt idx="249">
                  <c:v>1.307173077290241</c:v>
                </c:pt>
                <c:pt idx="250">
                  <c:v>1.1425928728662567</c:v>
                </c:pt>
                <c:pt idx="251">
                  <c:v>0.97906034089250227</c:v>
                </c:pt>
                <c:pt idx="252">
                  <c:v>0.81658819649753234</c:v>
                </c:pt>
                <c:pt idx="253">
                  <c:v>0.65518779799052762</c:v>
                </c:pt>
                <c:pt idx="254">
                  <c:v>0.49486906298418942</c:v>
                </c:pt>
                <c:pt idx="255">
                  <c:v>0.33564038761604192</c:v>
                </c:pt>
                <c:pt idx="256">
                  <c:v>0.17750856973816065</c:v>
                </c:pt>
                <c:pt idx="257">
                  <c:v>2.0478736969802416E-2</c:v>
                </c:pt>
                <c:pt idx="258">
                  <c:v>-0.1354457194696215</c:v>
                </c:pt>
                <c:pt idx="259">
                  <c:v>-0.29026320422076057</c:v>
                </c:pt>
                <c:pt idx="260">
                  <c:v>-0.44397396961182717</c:v>
                </c:pt>
                <c:pt idx="261">
                  <c:v>-0.59658015893811722</c:v>
                </c:pt>
                <c:pt idx="262">
                  <c:v>-0.7480858403029601</c:v>
                </c:pt>
                <c:pt idx="263">
                  <c:v>-0.89849703016600846</c:v>
                </c:pt>
                <c:pt idx="264">
                  <c:v>-1.0478217057936166</c:v>
                </c:pt>
                <c:pt idx="265">
                  <c:v>-1.1960698058695713</c:v>
                </c:pt>
                <c:pt idx="266">
                  <c:v>-1.3432532186010175</c:v>
                </c:pt>
                <c:pt idx="267">
                  <c:v>-1.4893857567425048</c:v>
                </c:pt>
                <c:pt idx="268">
                  <c:v>-1.634483119062248</c:v>
                </c:pt>
                <c:pt idx="269">
                  <c:v>-1.7785628378889644</c:v>
                </c:pt>
                <c:pt idx="270">
                  <c:v>-1.9216442124991031</c:v>
                </c:pt>
                <c:pt idx="271">
                  <c:v>-2.0637482282379911</c:v>
                </c:pt>
                <c:pt idx="272">
                  <c:v>-2.2048974614070338</c:v>
                </c:pt>
                <c:pt idx="273">
                  <c:v>-2.3451159700967654</c:v>
                </c:pt>
                <c:pt idx="274">
                  <c:v>-2.4844291712929691</c:v>
                </c:pt>
                <c:pt idx="275">
                  <c:v>-2.6228637047361114</c:v>
                </c:pt>
                <c:pt idx="276">
                  <c:v>-2.7604472841654246</c:v>
                </c:pt>
                <c:pt idx="277">
                  <c:v>-2.8972085367262479</c:v>
                </c:pt>
                <c:pt idx="278">
                  <c:v>-3.0331768314651453</c:v>
                </c:pt>
                <c:pt idx="279">
                  <c:v>-3.1683820979716315</c:v>
                </c:pt>
                <c:pt idx="280">
                  <c:v>-3.3028546363556925</c:v>
                </c:pt>
                <c:pt idx="281">
                  <c:v>-3.436624919863239</c:v>
                </c:pt>
                <c:pt idx="282">
                  <c:v>-3.5697233915385409</c:v>
                </c:pt>
                <c:pt idx="283">
                  <c:v>-3.7021802564280346</c:v>
                </c:pt>
                <c:pt idx="284">
                  <c:v>-3.834025270894589</c:v>
                </c:pt>
                <c:pt idx="285">
                  <c:v>-3.9652875306642974</c:v>
                </c:pt>
                <c:pt idx="286">
                  <c:v>-4.0959952592666253</c:v>
                </c:pt>
                <c:pt idx="287">
                  <c:v>-4.2261755985448541</c:v>
                </c:pt>
                <c:pt idx="288">
                  <c:v>-4.3558544029133763</c:v>
                </c:pt>
                <c:pt idx="289">
                  <c:v>-4.4850560390190974</c:v>
                </c:pt>
                <c:pt idx="290">
                  <c:v>-4.6138031924242053</c:v>
                </c:pt>
                <c:pt idx="291">
                  <c:v>-4.7421166828714441</c:v>
                </c:pt>
                <c:pt idx="292">
                  <c:v>-4.8700152896202784</c:v>
                </c:pt>
                <c:pt idx="293">
                  <c:v>-4.9975155882517939</c:v>
                </c:pt>
                <c:pt idx="294">
                  <c:v>-5.1246318002383244</c:v>
                </c:pt>
                <c:pt idx="295">
                  <c:v>-5.2513756564563465</c:v>
                </c:pt>
                <c:pt idx="296">
                  <c:v>-5.3777562756955568</c:v>
                </c:pt>
                <c:pt idx="297">
                  <c:v>-5.5037800590816124</c:v>
                </c:pt>
                <c:pt idx="298">
                  <c:v>-5.6294506011872425</c:v>
                </c:pt>
                <c:pt idx="299">
                  <c:v>-5.7547686184595506</c:v>
                </c:pt>
                <c:pt idx="300">
                  <c:v>-5.8797318954428812</c:v>
                </c:pt>
                <c:pt idx="301">
                  <c:v>-6.004335249124038</c:v>
                </c:pt>
                <c:pt idx="302">
                  <c:v>-6.128570511579845</c:v>
                </c:pt>
                <c:pt idx="303">
                  <c:v>-6.2524265309584699</c:v>
                </c:pt>
                <c:pt idx="304">
                  <c:v>-6.3758891906847257</c:v>
                </c:pt>
                <c:pt idx="305">
                  <c:v>-6.4989414466441922</c:v>
                </c:pt>
                <c:pt idx="306">
                  <c:v>-6.6215633819689028</c:v>
                </c:pt>
                <c:pt idx="307">
                  <c:v>-6.7437322789293406</c:v>
                </c:pt>
                <c:pt idx="308">
                  <c:v>-6.8654227073220913</c:v>
                </c:pt>
                <c:pt idx="309">
                  <c:v>-6.9866066286394322</c:v>
                </c:pt>
                <c:pt idx="310">
                  <c:v>-7.1072535152143521</c:v>
                </c:pt>
                <c:pt idx="311">
                  <c:v>-7.2273304834483456</c:v>
                </c:pt>
                <c:pt idx="312">
                  <c:v>-7.3468024401554963</c:v>
                </c:pt>
                <c:pt idx="313">
                  <c:v>-7.46563224099115</c:v>
                </c:pt>
                <c:pt idx="314">
                  <c:v>-7.5837808598776029</c:v>
                </c:pt>
                <c:pt idx="315">
                  <c:v>-7.7012075682908421</c:v>
                </c:pt>
                <c:pt idx="316">
                  <c:v>-7.8178701232360108</c:v>
                </c:pt>
                <c:pt idx="317">
                  <c:v>-7.93372496270631</c:v>
                </c:pt>
                <c:pt idx="318">
                  <c:v>-8.0487274073983368</c:v>
                </c:pt>
                <c:pt idx="319">
                  <c:v>-8.1628318674402394</c:v>
                </c:pt>
                <c:pt idx="320">
                  <c:v>-8.2759920528809854</c:v>
                </c:pt>
                <c:pt idx="321">
                  <c:v>-8.388161186684254</c:v>
                </c:pt>
                <c:pt idx="322">
                  <c:v>-8.4992922189767324</c:v>
                </c:pt>
                <c:pt idx="323">
                  <c:v>-8.6093380413066782</c:v>
                </c:pt>
                <c:pt idx="324">
                  <c:v>-8.7182516996884125</c:v>
                </c:pt>
                <c:pt idx="325">
                  <c:v>-8.8259866052253386</c:v>
                </c:pt>
                <c:pt idx="326">
                  <c:v>-8.9324967411340062</c:v>
                </c:pt>
                <c:pt idx="327">
                  <c:v>-9.0377368650249839</c:v>
                </c:pt>
                <c:pt idx="328">
                  <c:v>-9.1416627053344239</c:v>
                </c:pt>
                <c:pt idx="329">
                  <c:v>-9.2442311508473125</c:v>
                </c:pt>
                <c:pt idx="330">
                  <c:v>-9.3454004323037427</c:v>
                </c:pt>
                <c:pt idx="331">
                  <c:v>-9.4451302951399896</c:v>
                </c:pt>
                <c:pt idx="332">
                  <c:v>-9.5433821624788209</c:v>
                </c:pt>
                <c:pt idx="333">
                  <c:v>-9.6401192875559367</c:v>
                </c:pt>
                <c:pt idx="334">
                  <c:v>-9.7353068948458716</c:v>
                </c:pt>
                <c:pt idx="335">
                  <c:v>-9.8289123092339388</c:v>
                </c:pt>
                <c:pt idx="336">
                  <c:v>-9.9209050726679333</c:v>
                </c:pt>
                <c:pt idx="337">
                  <c:v>-10.011257047818937</c:v>
                </c:pt>
                <c:pt idx="338">
                  <c:v>-10.099942508373516</c:v>
                </c:pt>
                <c:pt idx="339">
                  <c:v>-10.186938215684396</c:v>
                </c:pt>
                <c:pt idx="340">
                  <c:v>-10.272223481605762</c:v>
                </c:pt>
                <c:pt idx="341">
                  <c:v>-10.355780217445353</c:v>
                </c:pt>
                <c:pt idx="342">
                  <c:v>-10.437592969067834</c:v>
                </c:pt>
                <c:pt idx="343">
                  <c:v>-10.517648938288644</c:v>
                </c:pt>
                <c:pt idx="344">
                  <c:v>-10.595937990796745</c:v>
                </c:pt>
                <c:pt idx="345">
                  <c:v>-10.672452650941313</c:v>
                </c:pt>
                <c:pt idx="346">
                  <c:v>-10.747188083813008</c:v>
                </c:pt>
                <c:pt idx="347">
                  <c:v>-10.820142065131954</c:v>
                </c:pt>
                <c:pt idx="348">
                  <c:v>-10.89131493954029</c:v>
                </c:pt>
                <c:pt idx="349">
                  <c:v>-10.960709567963365</c:v>
                </c:pt>
                <c:pt idx="350">
                  <c:v>-11.028331264772667</c:v>
                </c:pt>
                <c:pt idx="351">
                  <c:v>-11.094187725533198</c:v>
                </c:pt>
                <c:pt idx="352">
                  <c:v>-11.15828894616569</c:v>
                </c:pt>
                <c:pt idx="353">
                  <c:v>-11.220647134387498</c:v>
                </c:pt>
                <c:pt idx="354">
                  <c:v>-11.281276614321085</c:v>
                </c:pt>
                <c:pt idx="355">
                  <c:v>-11.340193725173135</c:v>
                </c:pt>
                <c:pt idx="356">
                  <c:v>-11.397416714891627</c:v>
                </c:pt>
                <c:pt idx="357">
                  <c:v>-11.45296562970586</c:v>
                </c:pt>
                <c:pt idx="358">
                  <c:v>-11.506862200436867</c:v>
                </c:pt>
                <c:pt idx="359">
                  <c:v>-11.559129726447178</c:v>
                </c:pt>
                <c:pt idx="360">
                  <c:v>-11.609792958067125</c:v>
                </c:pt>
                <c:pt idx="361">
                  <c:v>-11.658877978299991</c:v>
                </c:pt>
                <c:pt idx="362">
                  <c:v>-11.706412084564427</c:v>
                </c:pt>
                <c:pt idx="363">
                  <c:v>-11.752423671187866</c:v>
                </c:pt>
                <c:pt idx="364">
                  <c:v>-11.796942113310953</c:v>
                </c:pt>
                <c:pt idx="365">
                  <c:v>-11.839997652809512</c:v>
                </c:pt>
                <c:pt idx="366">
                  <c:v>-11.881621286786647</c:v>
                </c:pt>
                <c:pt idx="367">
                  <c:v>-11.921844659125306</c:v>
                </c:pt>
                <c:pt idx="368">
                  <c:v>-11.960699955537779</c:v>
                </c:pt>
                <c:pt idx="369">
                  <c:v>-11.998219802487498</c:v>
                </c:pt>
                <c:pt idx="370">
                  <c:v>-12.034437170304839</c:v>
                </c:pt>
                <c:pt idx="371">
                  <c:v>-12.069385280759164</c:v>
                </c:pt>
                <c:pt idx="372">
                  <c:v>-12.103097519301109</c:v>
                </c:pt>
                <c:pt idx="373">
                  <c:v>-12.135607352133412</c:v>
                </c:pt>
                <c:pt idx="374">
                  <c:v>-12.166948248225948</c:v>
                </c:pt>
                <c:pt idx="375">
                  <c:v>-12.197153606340752</c:v>
                </c:pt>
                <c:pt idx="376">
                  <c:v>-12.226256687097623</c:v>
                </c:pt>
                <c:pt idx="377">
                  <c:v>-12.25429055006847</c:v>
                </c:pt>
                <c:pt idx="378">
                  <c:v>-12.281287995856855</c:v>
                </c:pt>
                <c:pt idx="379">
                  <c:v>-12.307281513090079</c:v>
                </c:pt>
                <c:pt idx="380">
                  <c:v>-12.33230323022185</c:v>
                </c:pt>
                <c:pt idx="381">
                  <c:v>-12.356384872022787</c:v>
                </c:pt>
                <c:pt idx="382">
                  <c:v>-12.379557720615082</c:v>
                </c:pt>
                <c:pt idx="383">
                  <c:v>-12.401852580891701</c:v>
                </c:pt>
                <c:pt idx="384">
                  <c:v>-12.423299750147645</c:v>
                </c:pt>
                <c:pt idx="385">
                  <c:v>-12.443928991737751</c:v>
                </c:pt>
                <c:pt idx="386">
                  <c:v>-12.463769512572384</c:v>
                </c:pt>
                <c:pt idx="387">
                  <c:v>-12.482849944250896</c:v>
                </c:pt>
                <c:pt idx="388">
                  <c:v>-12.501198327635446</c:v>
                </c:pt>
                <c:pt idx="389">
                  <c:v>-12.518842100661566</c:v>
                </c:pt>
                <c:pt idx="390">
                  <c:v>-12.535808089186304</c:v>
                </c:pt>
                <c:pt idx="391">
                  <c:v>-12.552122500673679</c:v>
                </c:pt>
                <c:pt idx="392">
                  <c:v>-12.567810920523172</c:v>
                </c:pt>
                <c:pt idx="393">
                  <c:v>-12.582898310849629</c:v>
                </c:pt>
                <c:pt idx="394">
                  <c:v>-12.597409011529884</c:v>
                </c:pt>
                <c:pt idx="395">
                  <c:v>-12.611366743337054</c:v>
                </c:pt>
                <c:pt idx="396">
                  <c:v>-12.62479461299071</c:v>
                </c:pt>
                <c:pt idx="397">
                  <c:v>-12.637715119958434</c:v>
                </c:pt>
                <c:pt idx="398">
                  <c:v>-12.650150164853414</c:v>
                </c:pt>
                <c:pt idx="399">
                  <c:v>-12.662121059278402</c:v>
                </c:pt>
                <c:pt idx="400">
                  <c:v>-12.673648536977524</c:v>
                </c:pt>
                <c:pt idx="401">
                  <c:v>-12.684752766163875</c:v>
                </c:pt>
                <c:pt idx="402">
                  <c:v>-12.695453362900846</c:v>
                </c:pt>
                <c:pt idx="403">
                  <c:v>-12.705769405421686</c:v>
                </c:pt>
                <c:pt idx="404">
                  <c:v>-12.715719449280966</c:v>
                </c:pt>
                <c:pt idx="405">
                  <c:v>-12.725321543240719</c:v>
                </c:pt>
                <c:pt idx="406">
                  <c:v>-12.734593245799745</c:v>
                </c:pt>
                <c:pt idx="407">
                  <c:v>-12.743551642282998</c:v>
                </c:pt>
                <c:pt idx="408">
                  <c:v>-12.752213362416679</c:v>
                </c:pt>
                <c:pt idx="409">
                  <c:v>-12.760594598318242</c:v>
                </c:pt>
                <c:pt idx="410">
                  <c:v>-12.768711122841259</c:v>
                </c:pt>
                <c:pt idx="411">
                  <c:v>-12.776578308218564</c:v>
                </c:pt>
                <c:pt idx="412">
                  <c:v>-12.784211144952554</c:v>
                </c:pt>
                <c:pt idx="413">
                  <c:v>-12.791624260911556</c:v>
                </c:pt>
                <c:pt idx="414">
                  <c:v>-12.798831940590581</c:v>
                </c:pt>
                <c:pt idx="415">
                  <c:v>-12.805848144503589</c:v>
                </c:pt>
                <c:pt idx="416">
                  <c:v>-12.812686528678912</c:v>
                </c:pt>
                <c:pt idx="417">
                  <c:v>-12.819360464231522</c:v>
                </c:pt>
                <c:pt idx="418">
                  <c:v>-12.825883056992902</c:v>
                </c:pt>
                <c:pt idx="419">
                  <c:v>-12.832267167179289</c:v>
                </c:pt>
                <c:pt idx="420">
                  <c:v>-12.838525429087248</c:v>
                </c:pt>
                <c:pt idx="421">
                  <c:v>-12.844670270803654</c:v>
                </c:pt>
                <c:pt idx="422">
                  <c:v>-12.850713933924462</c:v>
                </c:pt>
                <c:pt idx="423">
                  <c:v>-12.856668493274752</c:v>
                </c:pt>
                <c:pt idx="424">
                  <c:v>-12.862545876630026</c:v>
                </c:pt>
                <c:pt idx="425">
                  <c:v>-12.868357884436762</c:v>
                </c:pt>
                <c:pt idx="426">
                  <c:v>-12.874116209533064</c:v>
                </c:pt>
                <c:pt idx="427">
                  <c:v>-12.879832456873494</c:v>
                </c:pt>
                <c:pt idx="428">
                  <c:v>-12.885518163262065</c:v>
                </c:pt>
                <c:pt idx="429">
                  <c:v>-12.89118481709856</c:v>
                </c:pt>
                <c:pt idx="430">
                  <c:v>-12.896843878145097</c:v>
                </c:pt>
                <c:pt idx="431">
                  <c:v>-12.902506797320632</c:v>
                </c:pt>
                <c:pt idx="432">
                  <c:v>-12.908185036531153</c:v>
                </c:pt>
                <c:pt idx="433">
                  <c:v>-12.913890088543331</c:v>
                </c:pt>
                <c:pt idx="434">
                  <c:v>-12.919633496912095</c:v>
                </c:pt>
                <c:pt idx="435">
                  <c:v>-12.925426875968547</c:v>
                </c:pt>
                <c:pt idx="436">
                  <c:v>-12.931281930878583</c:v>
                </c:pt>
                <c:pt idx="437">
                  <c:v>-12.937210477779328</c:v>
                </c:pt>
                <c:pt idx="438">
                  <c:v>-12.943224464001018</c:v>
                </c:pt>
                <c:pt idx="439">
                  <c:v>-12.949335988381989</c:v>
                </c:pt>
                <c:pt idx="440">
                  <c:v>-12.955557321681418</c:v>
                </c:pt>
                <c:pt idx="441">
                  <c:v>-12.961900927095719</c:v>
                </c:pt>
                <c:pt idx="442">
                  <c:v>-12.968379480880337</c:v>
                </c:pt>
                <c:pt idx="443">
                  <c:v>-12.975005893080567</c:v>
                </c:pt>
                <c:pt idx="444">
                  <c:v>-12.981793328369079</c:v>
                </c:pt>
                <c:pt idx="445">
                  <c:v>-12.988755226989783</c:v>
                </c:pt>
                <c:pt idx="446">
                  <c:v>-12.995905325801559</c:v>
                </c:pt>
                <c:pt idx="447">
                  <c:v>-13.003257679416693</c:v>
                </c:pt>
                <c:pt idx="448">
                  <c:v>-13.010826681421555</c:v>
                </c:pt>
                <c:pt idx="449">
                  <c:v>-13.018627085667489</c:v>
                </c:pt>
                <c:pt idx="450">
                  <c:v>-13.02667402761595</c:v>
                </c:pt>
                <c:pt idx="451">
                  <c:v>-13.034983045715334</c:v>
                </c:pt>
                <c:pt idx="452">
                  <c:v>-13.04357010278682</c:v>
                </c:pt>
                <c:pt idx="453">
                  <c:v>-13.052451607388509</c:v>
                </c:pt>
                <c:pt idx="454">
                  <c:v>-13.061644435126386</c:v>
                </c:pt>
                <c:pt idx="455">
                  <c:v>-13.07116594987068</c:v>
                </c:pt>
                <c:pt idx="456">
                  <c:v>-13.081034024835581</c:v>
                </c:pt>
                <c:pt idx="457">
                  <c:v>-13.091267063471772</c:v>
                </c:pt>
                <c:pt idx="458">
                  <c:v>-13.101884020114877</c:v>
                </c:pt>
                <c:pt idx="459">
                  <c:v>-13.112904420329004</c:v>
                </c:pt>
                <c:pt idx="460">
                  <c:v>-13.124348380874519</c:v>
                </c:pt>
                <c:pt idx="461">
                  <c:v>-13.136236629225293</c:v>
                </c:pt>
                <c:pt idx="462">
                  <c:v>-13.148590522549942</c:v>
                </c:pt>
                <c:pt idx="463">
                  <c:v>-13.161432066067547</c:v>
                </c:pt>
                <c:pt idx="464">
                  <c:v>-13.174783930677062</c:v>
                </c:pt>
                <c:pt idx="465">
                  <c:v>-13.188669469752853</c:v>
                </c:pt>
                <c:pt idx="466">
                  <c:v>-13.203112734991569</c:v>
                </c:pt>
                <c:pt idx="467">
                  <c:v>-13.218138491184938</c:v>
                </c:pt>
                <c:pt idx="468">
                  <c:v>-13.233772229784673</c:v>
                </c:pt>
                <c:pt idx="469">
                  <c:v>-13.250040181119944</c:v>
                </c:pt>
                <c:pt idx="470">
                  <c:v>-13.266969325115562</c:v>
                </c:pt>
                <c:pt idx="471">
                  <c:v>-13.284587400352867</c:v>
                </c:pt>
                <c:pt idx="472">
                  <c:v>-13.302922911306553</c:v>
                </c:pt>
                <c:pt idx="473">
                  <c:v>-13.322005133583939</c:v>
                </c:pt>
                <c:pt idx="474">
                  <c:v>-13.341864116984912</c:v>
                </c:pt>
                <c:pt idx="475">
                  <c:v>-13.362530686193798</c:v>
                </c:pt>
                <c:pt idx="476">
                  <c:v>-13.384036438911966</c:v>
                </c:pt>
                <c:pt idx="477">
                  <c:v>-13.406413741230988</c:v>
                </c:pt>
                <c:pt idx="478">
                  <c:v>-13.429695720045965</c:v>
                </c:pt>
                <c:pt idx="479">
                  <c:v>-13.453916252304854</c:v>
                </c:pt>
                <c:pt idx="480">
                  <c:v>-13.479109950890699</c:v>
                </c:pt>
                <c:pt idx="481">
                  <c:v>-13.505312146933125</c:v>
                </c:pt>
                <c:pt idx="482">
                  <c:v>-13.532558868349478</c:v>
                </c:pt>
                <c:pt idx="483">
                  <c:v>-13.560886814422364</c:v>
                </c:pt>
                <c:pt idx="484">
                  <c:v>-13.590333326226871</c:v>
                </c:pt>
                <c:pt idx="485">
                  <c:v>-13.620936352732391</c:v>
                </c:pt>
                <c:pt idx="486">
                  <c:v>-13.652734412416045</c:v>
                </c:pt>
                <c:pt idx="487">
                  <c:v>-13.685766550243077</c:v>
                </c:pt>
                <c:pt idx="488">
                  <c:v>-13.720072289886113</c:v>
                </c:pt>
                <c:pt idx="489">
                  <c:v>-13.755691581081768</c:v>
                </c:pt>
                <c:pt idx="490">
                  <c:v>-13.792664742045481</c:v>
                </c:pt>
                <c:pt idx="491">
                  <c:v>-13.831032396897687</c:v>
                </c:pt>
                <c:pt idx="492">
                  <c:v>-13.870835408086377</c:v>
                </c:pt>
                <c:pt idx="493">
                  <c:v>-13.912114803827617</c:v>
                </c:pt>
                <c:pt idx="494">
                  <c:v>-13.954911700625122</c:v>
                </c:pt>
                <c:pt idx="495">
                  <c:v>-13.999267220973309</c:v>
                </c:pt>
                <c:pt idx="496">
                  <c:v>-14.045222406392881</c:v>
                </c:pt>
                <c:pt idx="497">
                  <c:v>-14.092818125997011</c:v>
                </c:pt>
                <c:pt idx="498">
                  <c:v>-14.142094980835811</c:v>
                </c:pt>
                <c:pt idx="499">
                  <c:v>-14.193093204317472</c:v>
                </c:pt>
                <c:pt idx="500">
                  <c:v>-14.24585255905976</c:v>
                </c:pt>
                <c:pt idx="501">
                  <c:v>-14.300412230575565</c:v>
                </c:pt>
                <c:pt idx="502">
                  <c:v>-14.356810718250671</c:v>
                </c:pt>
                <c:pt idx="503">
                  <c:v>-14.415085724123323</c:v>
                </c:pt>
                <c:pt idx="504">
                  <c:v>-14.475274040023001</c:v>
                </c:pt>
                <c:pt idx="505">
                  <c:v>-14.537411433675814</c:v>
                </c:pt>
                <c:pt idx="506">
                  <c:v>-14.601532534421738</c:v>
                </c:pt>
                <c:pt idx="507">
                  <c:v>-14.667670719232033</c:v>
                </c:pt>
                <c:pt idx="508">
                  <c:v>-14.735857999744983</c:v>
                </c:pt>
                <c:pt idx="509">
                  <c:v>-14.806124911063932</c:v>
                </c:pt>
                <c:pt idx="510">
                  <c:v>-14.878500403082134</c:v>
                </c:pt>
                <c:pt idx="511">
                  <c:v>-14.953011735108305</c:v>
                </c:pt>
                <c:pt idx="512">
                  <c:v>-15.029684374570177</c:v>
                </c:pt>
                <c:pt idx="513">
                  <c:v>-15.108541900565413</c:v>
                </c:pt>
                <c:pt idx="514">
                  <c:v>-15.189605913014777</c:v>
                </c:pt>
                <c:pt idx="515">
                  <c:v>-15.272895948144589</c:v>
                </c:pt>
                <c:pt idx="516">
                  <c:v>-15.358429400992591</c:v>
                </c:pt>
                <c:pt idx="517">
                  <c:v>-15.446221455584885</c:v>
                </c:pt>
                <c:pt idx="518">
                  <c:v>-15.536285023377793</c:v>
                </c:pt>
                <c:pt idx="519">
                  <c:v>-15.628630690498778</c:v>
                </c:pt>
                <c:pt idx="520">
                  <c:v>-15.723266674246814</c:v>
                </c:pt>
                <c:pt idx="521">
                  <c:v>-15.820198789239136</c:v>
                </c:pt>
                <c:pt idx="522">
                  <c:v>-15.919430423507041</c:v>
                </c:pt>
                <c:pt idx="523">
                  <c:v>-16.020962524755848</c:v>
                </c:pt>
                <c:pt idx="524">
                  <c:v>-16.124793596916358</c:v>
                </c:pt>
                <c:pt idx="525">
                  <c:v>-16.230919707018678</c:v>
                </c:pt>
                <c:pt idx="526">
                  <c:v>-16.339334502330225</c:v>
                </c:pt>
                <c:pt idx="527">
                  <c:v>-16.450029237605413</c:v>
                </c:pt>
                <c:pt idx="528">
                  <c:v>-16.562992812205945</c:v>
                </c:pt>
                <c:pt idx="529">
                  <c:v>-16.678211816764897</c:v>
                </c:pt>
                <c:pt idx="530">
                  <c:v>-16.795670588985093</c:v>
                </c:pt>
                <c:pt idx="531">
                  <c:v>-16.91535127809054</c:v>
                </c:pt>
                <c:pt idx="532">
                  <c:v>-17.03723391737849</c:v>
                </c:pt>
                <c:pt idx="533">
                  <c:v>-17.161296504262729</c:v>
                </c:pt>
                <c:pt idx="534">
                  <c:v>-17.287515087145991</c:v>
                </c:pt>
                <c:pt idx="535">
                  <c:v>-17.415863858417985</c:v>
                </c:pt>
                <c:pt idx="536">
                  <c:v>-17.54631525284292</c:v>
                </c:pt>
                <c:pt idx="537">
                  <c:v>-17.6788400505787</c:v>
                </c:pt>
                <c:pt idx="538">
                  <c:v>-17.813407484053883</c:v>
                </c:pt>
                <c:pt idx="539">
                  <c:v>-17.949985347928255</c:v>
                </c:pt>
                <c:pt idx="540">
                  <c:v>-18.088540111363915</c:v>
                </c:pt>
                <c:pt idx="541">
                  <c:v>-18.229037031851441</c:v>
                </c:pt>
              </c:numCache>
            </c:numRef>
          </c:yVal>
          <c:smooth val="1"/>
          <c:extLst>
            <c:ext xmlns:c16="http://schemas.microsoft.com/office/drawing/2014/chart" uri="{C3380CC4-5D6E-409C-BE32-E72D297353CC}">
              <c16:uniqueId val="{00000000-0FB9-4663-91DF-5C8FC461A7AF}"/>
            </c:ext>
          </c:extLst>
        </c:ser>
        <c:dLbls>
          <c:showLegendKey val="0"/>
          <c:showVal val="0"/>
          <c:showCatName val="0"/>
          <c:showSerName val="0"/>
          <c:showPercent val="0"/>
          <c:showBubbleSize val="0"/>
        </c:dLbls>
        <c:axId val="555231872"/>
        <c:axId val="555234048"/>
      </c:scatterChart>
      <c:scatterChart>
        <c:scatterStyle val="smoothMarker"/>
        <c:varyColors val="0"/>
        <c:ser>
          <c:idx val="1"/>
          <c:order val="1"/>
          <c:tx>
            <c:v>Phase (deg)</c:v>
          </c:tx>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Control_Loop_Tables!$AD$19:$AD$560</c:f>
              <c:numCache>
                <c:formatCode>General</c:formatCode>
                <c:ptCount val="542"/>
                <c:pt idx="0">
                  <c:v>-3.948549048855631</c:v>
                </c:pt>
                <c:pt idx="1">
                  <c:v>-4.0402160062975048</c:v>
                </c:pt>
                <c:pt idx="2">
                  <c:v>-4.1339963273921381</c:v>
                </c:pt>
                <c:pt idx="3">
                  <c:v>-4.229937688225788</c:v>
                </c:pt>
                <c:pt idx="4">
                  <c:v>-4.3280887658574407</c:v>
                </c:pt>
                <c:pt idx="5">
                  <c:v>-4.4284992539621832</c:v>
                </c:pt>
                <c:pt idx="6">
                  <c:v>-4.5312198783095923</c:v>
                </c:pt>
                <c:pt idx="7">
                  <c:v>-4.636302412038229</c:v>
                </c:pt>
                <c:pt idx="8">
                  <c:v>-4.7437996906831161</c:v>
                </c:pt>
                <c:pt idx="9">
                  <c:v>-4.8537656269108425</c:v>
                </c:pt>
                <c:pt idx="10">
                  <c:v>-4.9662552249125653</c:v>
                </c:pt>
                <c:pt idx="11">
                  <c:v>-5.0813245944015302</c:v>
                </c:pt>
                <c:pt idx="12">
                  <c:v>-5.1990309641576316</c:v>
                </c:pt>
                <c:pt idx="13">
                  <c:v>-5.3194326950576842</c:v>
                </c:pt>
                <c:pt idx="14">
                  <c:v>-5.4425892925247679</c:v>
                </c:pt>
                <c:pt idx="15">
                  <c:v>-5.5685614183259462</c:v>
                </c:pt>
                <c:pt idx="16">
                  <c:v>-5.6974109016416428</c:v>
                </c:pt>
                <c:pt idx="17">
                  <c:v>-5.8292007493258824</c:v>
                </c:pt>
                <c:pt idx="18">
                  <c:v>-5.9639951552693953</c:v>
                </c:pt>
                <c:pt idx="19">
                  <c:v>-6.101859508772586</c:v>
                </c:pt>
                <c:pt idx="20">
                  <c:v>-6.2428604018290699</c:v>
                </c:pt>
                <c:pt idx="21">
                  <c:v>-6.3870656352133599</c:v>
                </c:pt>
                <c:pt idx="22">
                  <c:v>-6.5345442232588056</c:v>
                </c:pt>
                <c:pt idx="23">
                  <c:v>-6.6853663972067174</c:v>
                </c:pt>
                <c:pt idx="24">
                  <c:v>-6.8396036069970041</c:v>
                </c:pt>
                <c:pt idx="25">
                  <c:v>-6.997328521364949</c:v>
                </c:pt>
                <c:pt idx="26">
                  <c:v>-7.1586150260990724</c:v>
                </c:pt>
                <c:pt idx="27">
                  <c:v>-7.3235382203070607</c:v>
                </c:pt>
                <c:pt idx="28">
                  <c:v>-7.4921744105271362</c:v>
                </c:pt>
                <c:pt idx="29">
                  <c:v>-7.6646011025127665</c:v>
                </c:pt>
                <c:pt idx="30">
                  <c:v>-7.8408969905101724</c:v>
                </c:pt>
                <c:pt idx="31">
                  <c:v>-8.0211419438349889</c:v>
                </c:pt>
                <c:pt idx="32">
                  <c:v>-8.2054169905478194</c:v>
                </c:pt>
                <c:pt idx="33">
                  <c:v>-8.3938042980155014</c:v>
                </c:pt>
                <c:pt idx="34">
                  <c:v>-8.5863871501334366</c:v>
                </c:pt>
                <c:pt idx="35">
                  <c:v>-8.7832499209757895</c:v>
                </c:pt>
                <c:pt idx="36">
                  <c:v>-8.9844780446255648</c:v>
                </c:pt>
                <c:pt idx="37">
                  <c:v>-9.190157980929019</c:v>
                </c:pt>
                <c:pt idx="38">
                  <c:v>-9.4003771769039108</c:v>
                </c:pt>
                <c:pt idx="39">
                  <c:v>-9.6152240235214652</c:v>
                </c:pt>
                <c:pt idx="40">
                  <c:v>-9.8347878075702848</c:v>
                </c:pt>
                <c:pt idx="41">
                  <c:v>-10.059158658299006</c:v>
                </c:pt>
                <c:pt idx="42">
                  <c:v>-10.28842748852378</c:v>
                </c:pt>
                <c:pt idx="43">
                  <c:v>-10.522685929874095</c:v>
                </c:pt>
                <c:pt idx="44">
                  <c:v>-10.762026261845458</c:v>
                </c:pt>
                <c:pt idx="45">
                  <c:v>-11.006541334311761</c:v>
                </c:pt>
                <c:pt idx="46">
                  <c:v>-11.256324483145884</c:v>
                </c:pt>
                <c:pt idx="47">
                  <c:v>-11.51146943858906</c:v>
                </c:pt>
                <c:pt idx="48">
                  <c:v>-11.772070226000249</c:v>
                </c:pt>
                <c:pt idx="49">
                  <c:v>-12.03822105861703</c:v>
                </c:pt>
                <c:pt idx="50">
                  <c:v>-12.310016221951377</c:v>
                </c:pt>
                <c:pt idx="51">
                  <c:v>-12.58754994944568</c:v>
                </c:pt>
                <c:pt idx="52">
                  <c:v>-12.870916289012939</c:v>
                </c:pt>
                <c:pt idx="53">
                  <c:v>-13.160208960092332</c:v>
                </c:pt>
                <c:pt idx="54">
                  <c:v>-13.455521200852866</c:v>
                </c:pt>
                <c:pt idx="55">
                  <c:v>-13.756945605191309</c:v>
                </c:pt>
                <c:pt idx="56">
                  <c:v>-14.064573949181959</c:v>
                </c:pt>
                <c:pt idx="57">
                  <c:v>-14.378497006654404</c:v>
                </c:pt>
                <c:pt idx="58">
                  <c:v>-14.698804353594129</c:v>
                </c:pt>
                <c:pt idx="59">
                  <c:v>-15.025584161090947</c:v>
                </c:pt>
                <c:pt idx="60">
                  <c:v>-15.358922976589243</c:v>
                </c:pt>
                <c:pt idx="61">
                  <c:v>-15.698905493230983</c:v>
                </c:pt>
                <c:pt idx="62">
                  <c:v>-16.045614307127636</c:v>
                </c:pt>
                <c:pt idx="63">
                  <c:v>-16.399129662445848</c:v>
                </c:pt>
                <c:pt idx="64">
                  <c:v>-16.759529184248468</c:v>
                </c:pt>
                <c:pt idx="65">
                  <c:v>-17.126887599095003</c:v>
                </c:pt>
                <c:pt idx="66">
                  <c:v>-17.501276443481672</c:v>
                </c:pt>
                <c:pt idx="67">
                  <c:v>-17.882763760276575</c:v>
                </c:pt>
                <c:pt idx="68">
                  <c:v>-18.271413783394291</c:v>
                </c:pt>
                <c:pt idx="69">
                  <c:v>-18.667286611054216</c:v>
                </c:pt>
                <c:pt idx="70">
                  <c:v>-19.070437868067462</c:v>
                </c:pt>
                <c:pt idx="71">
                  <c:v>-19.480918357713009</c:v>
                </c:pt>
                <c:pt idx="72">
                  <c:v>-19.898773703887191</c:v>
                </c:pt>
                <c:pt idx="73">
                  <c:v>-20.324043984339617</c:v>
                </c:pt>
                <c:pt idx="74">
                  <c:v>-20.756763355945854</c:v>
                </c:pt>
                <c:pt idx="75">
                  <c:v>-21.196959673118617</c:v>
                </c:pt>
                <c:pt idx="76">
                  <c:v>-21.644654100603873</c:v>
                </c:pt>
                <c:pt idx="77">
                  <c:v>-22.099860722074194</c:v>
                </c:pt>
                <c:pt idx="78">
                  <c:v>-22.562586146089544</c:v>
                </c:pt>
                <c:pt idx="79">
                  <c:v>-23.032829111165206</c:v>
                </c:pt>
                <c:pt idx="80">
                  <c:v>-23.510580091852063</c:v>
                </c:pt>
                <c:pt idx="81">
                  <c:v>-23.995820907904001</c:v>
                </c:pt>
                <c:pt idx="82">
                  <c:v>-24.488524338771953</c:v>
                </c:pt>
                <c:pt idx="83">
                  <c:v>-24.988653745825424</c:v>
                </c:pt>
                <c:pt idx="84">
                  <c:v>-25.496162704854839</c:v>
                </c:pt>
                <c:pt idx="85">
                  <c:v>-26.010994651554057</c:v>
                </c:pt>
                <c:pt idx="86">
                  <c:v>-26.533082542810448</c:v>
                </c:pt>
                <c:pt idx="87">
                  <c:v>-27.062348536746814</c:v>
                </c:pt>
                <c:pt idx="88">
                  <c:v>-27.598703694554811</c:v>
                </c:pt>
                <c:pt idx="89">
                  <c:v>-28.142047707229942</c:v>
                </c:pt>
                <c:pt idx="90">
                  <c:v>-28.692268650368138</c:v>
                </c:pt>
                <c:pt idx="91">
                  <c:v>-29.249242770199871</c:v>
                </c:pt>
                <c:pt idx="92">
                  <c:v>-29.81283430402236</c:v>
                </c:pt>
                <c:pt idx="93">
                  <c:v>-30.382895338141385</c:v>
                </c:pt>
                <c:pt idx="94">
                  <c:v>-30.959265706347338</c:v>
                </c:pt>
                <c:pt idx="95">
                  <c:v>-31.541772931817334</c:v>
                </c:pt>
                <c:pt idx="96">
                  <c:v>-32.130232215172306</c:v>
                </c:pt>
                <c:pt idx="97">
                  <c:v>-32.724446471200743</c:v>
                </c:pt>
                <c:pt idx="98">
                  <c:v>-33.324206416500552</c:v>
                </c:pt>
                <c:pt idx="99">
                  <c:v>-33.929290710003208</c:v>
                </c:pt>
                <c:pt idx="100">
                  <c:v>-34.539466147990197</c:v>
                </c:pt>
                <c:pt idx="101">
                  <c:v>-35.154487914835599</c:v>
                </c:pt>
                <c:pt idx="102">
                  <c:v>-35.774099890294167</c:v>
                </c:pt>
                <c:pt idx="103">
                  <c:v>-36.398035013690645</c:v>
                </c:pt>
                <c:pt idx="104">
                  <c:v>-37.026015704898029</c:v>
                </c:pt>
                <c:pt idx="105">
                  <c:v>-37.657754341480128</c:v>
                </c:pt>
                <c:pt idx="106">
                  <c:v>-38.292953790853936</c:v>
                </c:pt>
                <c:pt idx="107">
                  <c:v>-38.931307995796054</c:v>
                </c:pt>
                <c:pt idx="108">
                  <c:v>-39.57250261108959</c:v>
                </c:pt>
                <c:pt idx="109">
                  <c:v>-40.216215688568269</c:v>
                </c:pt>
                <c:pt idx="110">
                  <c:v>-40.862118407313979</c:v>
                </c:pt>
                <c:pt idx="111">
                  <c:v>-41.509875845264148</c:v>
                </c:pt>
                <c:pt idx="112">
                  <c:v>-42.159147788027298</c:v>
                </c:pt>
                <c:pt idx="113">
                  <c:v>-42.809589570286796</c:v>
                </c:pt>
                <c:pt idx="114">
                  <c:v>-43.460852944791696</c:v>
                </c:pt>
                <c:pt idx="115">
                  <c:v>-44.112586973618448</c:v>
                </c:pt>
                <c:pt idx="116">
                  <c:v>-44.764438936119134</c:v>
                </c:pt>
                <c:pt idx="117">
                  <c:v>-45.416055247777649</c:v>
                </c:pt>
                <c:pt idx="118">
                  <c:v>-46.067082384062289</c:v>
                </c:pt>
                <c:pt idx="119">
                  <c:v>-46.717167803303738</c:v>
                </c:pt>
                <c:pt idx="120">
                  <c:v>-47.365960862641046</c:v>
                </c:pt>
                <c:pt idx="121">
                  <c:v>-48.013113721158184</c:v>
                </c:pt>
                <c:pt idx="122">
                  <c:v>-48.658282224488147</c:v>
                </c:pt>
                <c:pt idx="123">
                  <c:v>-49.301126765381582</c:v>
                </c:pt>
                <c:pt idx="124">
                  <c:v>-49.941313115019369</c:v>
                </c:pt>
                <c:pt idx="125">
                  <c:v>-50.578513220185847</c:v>
                </c:pt>
                <c:pt idx="126">
                  <c:v>-51.21240596181616</c:v>
                </c:pt>
                <c:pt idx="127">
                  <c:v>-51.842677870856924</c:v>
                </c:pt>
                <c:pt idx="128">
                  <c:v>-52.469023797862491</c:v>
                </c:pt>
                <c:pt idx="129">
                  <c:v>-53.091147533239351</c:v>
                </c:pt>
                <c:pt idx="130">
                  <c:v>-53.708762375574636</c:v>
                </c:pt>
                <c:pt idx="131">
                  <c:v>-54.321591646012216</c:v>
                </c:pt>
                <c:pt idx="132">
                  <c:v>-54.929369147182776</c:v>
                </c:pt>
                <c:pt idx="133">
                  <c:v>-55.531839565709163</c:v>
                </c:pt>
                <c:pt idx="134">
                  <c:v>-56.128758817841522</c:v>
                </c:pt>
                <c:pt idx="135">
                  <c:v>-56.719894338257397</c:v>
                </c:pt>
                <c:pt idx="136">
                  <c:v>-57.305025312550903</c:v>
                </c:pt>
                <c:pt idx="137">
                  <c:v>-57.883942854369174</c:v>
                </c:pt>
                <c:pt idx="138">
                  <c:v>-58.456450128555957</c:v>
                </c:pt>
                <c:pt idx="139">
                  <c:v>-59.022362422052169</c:v>
                </c:pt>
                <c:pt idx="140">
                  <c:v>-59.581507164604929</c:v>
                </c:pt>
                <c:pt idx="141">
                  <c:v>-60.133723901647265</c:v>
                </c:pt>
                <c:pt idx="142">
                  <c:v>-60.678864221937708</c:v>
                </c:pt>
                <c:pt idx="143">
                  <c:v>-61.216791642754181</c:v>
                </c:pt>
                <c:pt idx="144">
                  <c:v>-61.74738145559806</c:v>
                </c:pt>
                <c:pt idx="145">
                  <c:v>-62.270520535470936</c:v>
                </c:pt>
                <c:pt idx="146">
                  <c:v>-62.786107116870262</c:v>
                </c:pt>
                <c:pt idx="147">
                  <c:v>-63.294050539688698</c:v>
                </c:pt>
                <c:pt idx="148">
                  <c:v>-63.794270968201225</c:v>
                </c:pt>
                <c:pt idx="149">
                  <c:v>-64.286699086307323</c:v>
                </c:pt>
                <c:pt idx="150">
                  <c:v>-64.771275772133407</c:v>
                </c:pt>
                <c:pt idx="151">
                  <c:v>-65.247951755023522</c:v>
                </c:pt>
                <c:pt idx="152">
                  <c:v>-65.716687257848321</c:v>
                </c:pt>
                <c:pt idx="153">
                  <c:v>-66.177451627441513</c:v>
                </c:pt>
                <c:pt idx="154">
                  <c:v>-66.630222955836743</c:v>
                </c:pt>
                <c:pt idx="155">
                  <c:v>-67.074987694837134</c:v>
                </c:pt>
                <c:pt idx="156">
                  <c:v>-67.511740266291383</c:v>
                </c:pt>
                <c:pt idx="157">
                  <c:v>-67.940482670290677</c:v>
                </c:pt>
                <c:pt idx="158">
                  <c:v>-68.361224093336745</c:v>
                </c:pt>
                <c:pt idx="159">
                  <c:v>-68.773980518362677</c:v>
                </c:pt>
                <c:pt idx="160">
                  <c:v>-69.178774338327258</c:v>
                </c:pt>
                <c:pt idx="161">
                  <c:v>-69.575633974935599</c:v>
                </c:pt>
                <c:pt idx="162">
                  <c:v>-69.964593503882284</c:v>
                </c:pt>
                <c:pt idx="163">
                  <c:v>-70.345692287859549</c:v>
                </c:pt>
                <c:pt idx="164">
                  <c:v>-70.718974618421925</c:v>
                </c:pt>
                <c:pt idx="165">
                  <c:v>-71.084489367662755</c:v>
                </c:pt>
                <c:pt idx="166">
                  <c:v>-71.442289650519839</c:v>
                </c:pt>
                <c:pt idx="167">
                  <c:v>-71.792432498407209</c:v>
                </c:pt>
                <c:pt idx="168">
                  <c:v>-72.134978544750027</c:v>
                </c:pt>
                <c:pt idx="169">
                  <c:v>-72.469991722895628</c:v>
                </c:pt>
                <c:pt idx="170">
                  <c:v>-72.797538976771591</c:v>
                </c:pt>
                <c:pt idx="171">
                  <c:v>-73.117689984574952</c:v>
                </c:pt>
                <c:pt idx="172">
                  <c:v>-73.430516895693628</c:v>
                </c:pt>
                <c:pt idx="173">
                  <c:v>-73.736094080988778</c:v>
                </c:pt>
                <c:pt idx="174">
                  <c:v>-74.034497896501506</c:v>
                </c:pt>
                <c:pt idx="175">
                  <c:v>-74.325806460593071</c:v>
                </c:pt>
                <c:pt idx="176">
                  <c:v>-74.610099444473462</c:v>
                </c:pt>
                <c:pt idx="177">
                  <c:v>-74.887457876036095</c:v>
                </c:pt>
                <c:pt idx="178">
                  <c:v>-75.157963956875932</c:v>
                </c:pt>
                <c:pt idx="179">
                  <c:v>-75.421700892342017</c:v>
                </c:pt>
                <c:pt idx="180">
                  <c:v>-75.678752734450498</c:v>
                </c:pt>
                <c:pt idx="181">
                  <c:v>-75.929204237462585</c:v>
                </c:pt>
                <c:pt idx="182">
                  <c:v>-76.173140725923801</c:v>
                </c:pt>
                <c:pt idx="183">
                  <c:v>-76.410647974946556</c:v>
                </c:pt>
                <c:pt idx="184">
                  <c:v>-76.641812102514336</c:v>
                </c:pt>
                <c:pt idx="185">
                  <c:v>-76.866719473585533</c:v>
                </c:pt>
                <c:pt idx="186">
                  <c:v>-77.085456615773467</c:v>
                </c:pt>
                <c:pt idx="187">
                  <c:v>-77.298110146386634</c:v>
                </c:pt>
                <c:pt idx="188">
                  <c:v>-77.504766710617645</c:v>
                </c:pt>
                <c:pt idx="189">
                  <c:v>-77.705512930680328</c:v>
                </c:pt>
                <c:pt idx="190">
                  <c:v>-77.900435365703345</c:v>
                </c:pt>
                <c:pt idx="191">
                  <c:v>-78.089620482203969</c:v>
                </c:pt>
                <c:pt idx="192">
                  <c:v>-78.273154634976706</c:v>
                </c:pt>
                <c:pt idx="193">
                  <c:v>-78.45112405824716</c:v>
                </c:pt>
                <c:pt idx="194">
                  <c:v>-78.623614866959656</c:v>
                </c:pt>
                <c:pt idx="195">
                  <c:v>-78.790713068077451</c:v>
                </c:pt>
                <c:pt idx="196">
                  <c:v>-78.952504581796276</c:v>
                </c:pt>
                <c:pt idx="197">
                  <c:v>-79.109075272585969</c:v>
                </c:pt>
                <c:pt idx="198">
                  <c:v>-79.260510989987722</c:v>
                </c:pt>
                <c:pt idx="199">
                  <c:v>-79.406897619116876</c:v>
                </c:pt>
                <c:pt idx="200">
                  <c:v>-79.548321140827795</c:v>
                </c:pt>
                <c:pt idx="201">
                  <c:v>-79.684867701516495</c:v>
                </c:pt>
                <c:pt idx="202">
                  <c:v>-79.816623692546983</c:v>
                </c:pt>
                <c:pt idx="203">
                  <c:v>-79.943675839297313</c:v>
                </c:pt>
                <c:pt idx="204">
                  <c:v>-80.066111299830737</c:v>
                </c:pt>
                <c:pt idx="205">
                  <c:v>-80.184017773205568</c:v>
                </c:pt>
                <c:pt idx="206">
                  <c:v>-80.297483617438402</c:v>
                </c:pt>
                <c:pt idx="207">
                  <c:v>-80.40659797713981</c:v>
                </c:pt>
                <c:pt idx="208">
                  <c:v>-80.511450920840204</c:v>
                </c:pt>
                <c:pt idx="209">
                  <c:v>-80.61213358801561</c:v>
                </c:pt>
                <c:pt idx="210">
                  <c:v>-80.708738345818929</c:v>
                </c:pt>
                <c:pt idx="211">
                  <c:v>-80.801358955507368</c:v>
                </c:pt>
                <c:pt idx="212">
                  <c:v>-80.890090748539009</c:v>
                </c:pt>
                <c:pt idx="213">
                  <c:v>-80.975030812291976</c:v>
                </c:pt>
                <c:pt idx="214">
                  <c:v>-81.056278185331976</c:v>
                </c:pt>
                <c:pt idx="215">
                  <c:v>-81.133934062119891</c:v>
                </c:pt>
                <c:pt idx="216">
                  <c:v>-81.208102007014688</c:v>
                </c:pt>
                <c:pt idx="217">
                  <c:v>-81.278888177381489</c:v>
                </c:pt>
                <c:pt idx="218">
                  <c:v>-81.346401555562679</c:v>
                </c:pt>
                <c:pt idx="219">
                  <c:v>-81.410754189411108</c:v>
                </c:pt>
                <c:pt idx="220">
                  <c:v>-81.472061441020188</c:v>
                </c:pt>
                <c:pt idx="221">
                  <c:v>-81.530442243209578</c:v>
                </c:pt>
                <c:pt idx="222">
                  <c:v>-81.586019363245327</c:v>
                </c:pt>
                <c:pt idx="223">
                  <c:v>-81.638919673182428</c:v>
                </c:pt>
                <c:pt idx="224">
                  <c:v>-81.689274426121301</c:v>
                </c:pt>
                <c:pt idx="225">
                  <c:v>-81.737219537562694</c:v>
                </c:pt>
                <c:pt idx="226">
                  <c:v>-81.782895870929863</c:v>
                </c:pt>
                <c:pt idx="227">
                  <c:v>-81.826449526207909</c:v>
                </c:pt>
                <c:pt idx="228">
                  <c:v>-81.868032130517292</c:v>
                </c:pt>
                <c:pt idx="229">
                  <c:v>-81.90780112930338</c:v>
                </c:pt>
                <c:pt idx="230">
                  <c:v>-81.945920076679101</c:v>
                </c:pt>
                <c:pt idx="231">
                  <c:v>-81.98255892331315</c:v>
                </c:pt>
                <c:pt idx="232">
                  <c:v>-82.017894300095122</c:v>
                </c:pt>
                <c:pt idx="233">
                  <c:v>-82.052109795660883</c:v>
                </c:pt>
                <c:pt idx="234">
                  <c:v>-82.08539622569883</c:v>
                </c:pt>
                <c:pt idx="235">
                  <c:v>-82.117951891800857</c:v>
                </c:pt>
                <c:pt idx="236">
                  <c:v>-82.149982827466559</c:v>
                </c:pt>
                <c:pt idx="237">
                  <c:v>-82.181703028719554</c:v>
                </c:pt>
                <c:pt idx="238">
                  <c:v>-82.213334666647796</c:v>
                </c:pt>
                <c:pt idx="239">
                  <c:v>-82.245108279052246</c:v>
                </c:pt>
                <c:pt idx="240">
                  <c:v>-82.277262938259639</c:v>
                </c:pt>
                <c:pt idx="241">
                  <c:v>-82.31004639205949</c:v>
                </c:pt>
                <c:pt idx="242">
                  <c:v>-82.343715174635165</c:v>
                </c:pt>
                <c:pt idx="243">
                  <c:v>-82.378534684299993</c:v>
                </c:pt>
                <c:pt idx="244">
                  <c:v>-82.414779224819981</c:v>
                </c:pt>
                <c:pt idx="245">
                  <c:v>-82.45273200709245</c:v>
                </c:pt>
                <c:pt idx="246">
                  <c:v>-82.49268510799395</c:v>
                </c:pt>
                <c:pt idx="247">
                  <c:v>-82.534939383271066</c:v>
                </c:pt>
                <c:pt idx="248">
                  <c:v>-82.5798043314647</c:v>
                </c:pt>
                <c:pt idx="249">
                  <c:v>-82.62759790601099</c:v>
                </c:pt>
                <c:pt idx="250">
                  <c:v>-82.678646272870537</c:v>
                </c:pt>
                <c:pt idx="251">
                  <c:v>-82.733283511278742</c:v>
                </c:pt>
                <c:pt idx="252">
                  <c:v>-82.791851255526666</c:v>
                </c:pt>
                <c:pt idx="253">
                  <c:v>-82.854698276020542</c:v>
                </c:pt>
                <c:pt idx="254">
                  <c:v>-82.922179998284179</c:v>
                </c:pt>
                <c:pt idx="255">
                  <c:v>-82.994657959014418</c:v>
                </c:pt>
                <c:pt idx="256">
                  <c:v>-83.072499198803953</c:v>
                </c:pt>
                <c:pt idx="257">
                  <c:v>-83.156075591690481</c:v>
                </c:pt>
                <c:pt idx="258">
                  <c:v>-83.245763112280756</c:v>
                </c:pt>
                <c:pt idx="259">
                  <c:v>-83.34194104180763</c:v>
                </c:pt>
                <c:pt idx="260">
                  <c:v>-83.444991115138237</c:v>
                </c:pt>
                <c:pt idx="261">
                  <c:v>-83.555296611410924</c:v>
                </c:pt>
                <c:pt idx="262">
                  <c:v>-83.673241391657129</c:v>
                </c:pt>
                <c:pt idx="263">
                  <c:v>-83.799208887453403</c:v>
                </c:pt>
                <c:pt idx="264">
                  <c:v>-83.93358104530914</c:v>
                </c:pt>
                <c:pt idx="265">
                  <c:v>-84.076737232157669</c:v>
                </c:pt>
                <c:pt idx="266">
                  <c:v>-84.229053107938199</c:v>
                </c:pt>
                <c:pt idx="267">
                  <c:v>-84.390899471831176</c:v>
                </c:pt>
                <c:pt idx="268">
                  <c:v>-84.562641089241083</c:v>
                </c:pt>
                <c:pt idx="269">
                  <c:v>-84.744635507079295</c:v>
                </c:pt>
                <c:pt idx="270">
                  <c:v>-84.937231865287686</c:v>
                </c:pt>
                <c:pt idx="271">
                  <c:v>-85.140769712841973</c:v>
                </c:pt>
                <c:pt idx="272">
                  <c:v>-85.355577836683722</c:v>
                </c:pt>
                <c:pt idx="273">
                  <c:v>-85.581973112139835</c:v>
                </c:pt>
                <c:pt idx="274">
                  <c:v>-85.820259383385633</c:v>
                </c:pt>
                <c:pt idx="275">
                  <c:v>-86.070726382403066</c:v>
                </c:pt>
                <c:pt idx="276">
                  <c:v>-86.333648694666763</c:v>
                </c:pt>
                <c:pt idx="277">
                  <c:v>-86.609284779457084</c:v>
                </c:pt>
                <c:pt idx="278">
                  <c:v>-86.897876052259249</c:v>
                </c:pt>
                <c:pt idx="279">
                  <c:v>-87.199646036165049</c:v>
                </c:pt>
                <c:pt idx="280">
                  <c:v>-87.51479958854928</c:v>
                </c:pt>
                <c:pt idx="281">
                  <c:v>-87.843522208553281</c:v>
                </c:pt>
                <c:pt idx="282">
                  <c:v>-88.185979430100076</c:v>
                </c:pt>
                <c:pt idx="283">
                  <c:v>-88.542316304277151</c:v>
                </c:pt>
                <c:pt idx="284">
                  <c:v>-88.91265697399092</c:v>
                </c:pt>
                <c:pt idx="285">
                  <c:v>-89.297104342806364</c:v>
                </c:pt>
                <c:pt idx="286">
                  <c:v>-89.695739838895321</c:v>
                </c:pt>
                <c:pt idx="287">
                  <c:v>-90.108623273989224</c:v>
                </c:pt>
                <c:pt idx="288">
                  <c:v>-90.535792796234375</c:v>
                </c:pt>
                <c:pt idx="289">
                  <c:v>-90.977264934863001</c:v>
                </c:pt>
                <c:pt idx="290">
                  <c:v>-91.433034733643453</c:v>
                </c:pt>
                <c:pt idx="291">
                  <c:v>-91.903075969190311</c:v>
                </c:pt>
                <c:pt idx="292">
                  <c:v>-92.387341449390945</c:v>
                </c:pt>
                <c:pt idx="293">
                  <c:v>-92.88576338646557</c:v>
                </c:pt>
                <c:pt idx="294">
                  <c:v>-93.398253838534899</c:v>
                </c:pt>
                <c:pt idx="295">
                  <c:v>-93.92470521302522</c:v>
                </c:pt>
                <c:pt idx="296">
                  <c:v>-94.464990824808055</c:v>
                </c:pt>
                <c:pt idx="297">
                  <c:v>-95.018965501660887</c:v>
                </c:pt>
                <c:pt idx="298">
                  <c:v>-95.586466229436709</c:v>
                </c:pt>
                <c:pt idx="299">
                  <c:v>-96.167312829257284</c:v>
                </c:pt>
                <c:pt idx="300">
                  <c:v>-96.761308659095278</c:v>
                </c:pt>
                <c:pt idx="301">
                  <c:v>-97.368241332266663</c:v>
                </c:pt>
                <c:pt idx="302">
                  <c:v>-97.987883445643959</c:v>
                </c:pt>
                <c:pt idx="303">
                  <c:v>-98.619993310767114</c:v>
                </c:pt>
                <c:pt idx="304">
                  <c:v>-99.264315681514134</c:v>
                </c:pt>
                <c:pt idx="305">
                  <c:v>-99.920582472556958</c:v>
                </c:pt>
                <c:pt idx="306">
                  <c:v>-100.58851346345287</c:v>
                </c:pt>
                <c:pt idx="307">
                  <c:v>-101.26781698392793</c:v>
                </c:pt>
                <c:pt idx="308">
                  <c:v>-101.95819057664642</c:v>
                </c:pt>
                <c:pt idx="309">
                  <c:v>-102.65932163452561</c:v>
                </c:pt>
                <c:pt idx="310">
                  <c:v>-103.37088801046372</c:v>
                </c:pt>
                <c:pt idx="311">
                  <c:v>-104.09255859812329</c:v>
                </c:pt>
                <c:pt idx="312">
                  <c:v>-104.82399388320698</c:v>
                </c:pt>
                <c:pt idx="313">
                  <c:v>-105.56484646541379</c:v>
                </c:pt>
                <c:pt idx="314">
                  <c:v>-106.31476155198852</c:v>
                </c:pt>
                <c:pt idx="315">
                  <c:v>-107.07337742443231</c:v>
                </c:pt>
                <c:pt idx="316">
                  <c:v>-107.84032588056812</c:v>
                </c:pt>
                <c:pt idx="317">
                  <c:v>-108.61523265467507</c:v>
                </c:pt>
                <c:pt idx="318">
                  <c:v>-109.3977178188734</c:v>
                </c:pt>
                <c:pt idx="319">
                  <c:v>-110.18739616930813</c:v>
                </c:pt>
                <c:pt idx="320">
                  <c:v>-110.98387760097253</c:v>
                </c:pt>
                <c:pt idx="321">
                  <c:v>-111.78676747518487</c:v>
                </c:pt>
                <c:pt idx="322">
                  <c:v>-112.59566698384921</c:v>
                </c:pt>
                <c:pt idx="323">
                  <c:v>-113.41017351461078</c:v>
                </c:pt>
                <c:pt idx="324">
                  <c:v>-114.22988102094008</c:v>
                </c:pt>
                <c:pt idx="325">
                  <c:v>-115.05438040098859</c:v>
                </c:pt>
                <c:pt idx="326">
                  <c:v>-115.88325988880288</c:v>
                </c:pt>
                <c:pt idx="327">
                  <c:v>-116.71610546113693</c:v>
                </c:pt>
                <c:pt idx="328">
                  <c:v>-117.55250126269219</c:v>
                </c:pt>
                <c:pt idx="329">
                  <c:v>-118.39203005214914</c:v>
                </c:pt>
                <c:pt idx="330">
                  <c:v>-119.23427367082012</c:v>
                </c:pt>
                <c:pt idx="331">
                  <c:v>-120.07881353521041</c:v>
                </c:pt>
                <c:pt idx="332">
                  <c:v>-120.92523115416574</c:v>
                </c:pt>
                <c:pt idx="333">
                  <c:v>-121.77310867069571</c:v>
                </c:pt>
                <c:pt idx="334">
                  <c:v>-122.62202942794571</c:v>
                </c:pt>
                <c:pt idx="335">
                  <c:v>-123.47157855818433</c:v>
                </c:pt>
                <c:pt idx="336">
                  <c:v>-124.32134359310362</c:v>
                </c:pt>
                <c:pt idx="337">
                  <c:v>-125.17091509316545</c:v>
                </c:pt>
                <c:pt idx="338">
                  <c:v>-126.0198872932197</c:v>
                </c:pt>
                <c:pt idx="339">
                  <c:v>-126.86785876116686</c:v>
                </c:pt>
                <c:pt idx="340">
                  <c:v>-127.71443306601488</c:v>
                </c:pt>
                <c:pt idx="341">
                  <c:v>-128.55921945136231</c:v>
                </c:pt>
                <c:pt idx="342">
                  <c:v>-129.40183351005905</c:v>
                </c:pt>
                <c:pt idx="343">
                  <c:v>-130.24189785559471</c:v>
                </c:pt>
                <c:pt idx="344">
                  <c:v>-131.07904278566477</c:v>
                </c:pt>
                <c:pt idx="345">
                  <c:v>-131.91290693329577</c:v>
                </c:pt>
                <c:pt idx="346">
                  <c:v>-132.74313790096363</c:v>
                </c:pt>
                <c:pt idx="347">
                  <c:v>-133.56939287322916</c:v>
                </c:pt>
                <c:pt idx="348">
                  <c:v>-134.3913392035941</c:v>
                </c:pt>
                <c:pt idx="349">
                  <c:v>-135.20865497151817</c:v>
                </c:pt>
                <c:pt idx="350">
                  <c:v>-136.02102950582631</c:v>
                </c:pt>
                <c:pt idx="351">
                  <c:v>-136.82816387108056</c:v>
                </c:pt>
                <c:pt idx="352">
                  <c:v>-137.6297713138801</c:v>
                </c:pt>
                <c:pt idx="353">
                  <c:v>-138.42557766646863</c:v>
                </c:pt>
                <c:pt idx="354">
                  <c:v>-139.21532170547417</c:v>
                </c:pt>
                <c:pt idx="355">
                  <c:v>-139.99875546406378</c:v>
                </c:pt>
                <c:pt idx="356">
                  <c:v>-140.77564449627889</c:v>
                </c:pt>
                <c:pt idx="357">
                  <c:v>-141.54576809276142</c:v>
                </c:pt>
                <c:pt idx="358">
                  <c:v>-142.30891944757198</c:v>
                </c:pt>
                <c:pt idx="359">
                  <c:v>-143.06490577622213</c:v>
                </c:pt>
                <c:pt idx="360">
                  <c:v>-143.81354838548779</c:v>
                </c:pt>
                <c:pt idx="361">
                  <c:v>-144.55468269595835</c:v>
                </c:pt>
                <c:pt idx="362">
                  <c:v>-145.28815821864953</c:v>
                </c:pt>
                <c:pt idx="363">
                  <c:v>-146.01383848734437</c:v>
                </c:pt>
                <c:pt idx="364">
                  <c:v>-146.73160094861674</c:v>
                </c:pt>
                <c:pt idx="365">
                  <c:v>-147.44133681175541</c:v>
                </c:pt>
                <c:pt idx="366">
                  <c:v>-148.14295086102243</c:v>
                </c:pt>
                <c:pt idx="367">
                  <c:v>-148.83636123285441</c:v>
                </c:pt>
                <c:pt idx="368">
                  <c:v>-149.5214991607593</c:v>
                </c:pt>
                <c:pt idx="369">
                  <c:v>-150.19830869074821</c:v>
                </c:pt>
                <c:pt idx="370">
                  <c:v>-150.86674637022179</c:v>
                </c:pt>
                <c:pt idx="371">
                  <c:v>-151.52678091324057</c:v>
                </c:pt>
                <c:pt idx="372">
                  <c:v>-152.17839284511655</c:v>
                </c:pt>
                <c:pt idx="373">
                  <c:v>-152.82157412922146</c:v>
                </c:pt>
                <c:pt idx="374">
                  <c:v>-153.45632777885984</c:v>
                </c:pt>
                <c:pt idx="375">
                  <c:v>-154.08266745695016</c:v>
                </c:pt>
                <c:pt idx="376">
                  <c:v>-154.70061706618236</c:v>
                </c:pt>
                <c:pt idx="377">
                  <c:v>-155.31021033217806</c:v>
                </c:pt>
                <c:pt idx="378">
                  <c:v>-155.9114903820572</c:v>
                </c:pt>
                <c:pt idx="379">
                  <c:v>-156.50450932067054</c:v>
                </c:pt>
                <c:pt idx="380">
                  <c:v>-157.08932780660328</c:v>
                </c:pt>
                <c:pt idx="381">
                  <c:v>-157.66601462989837</c:v>
                </c:pt>
                <c:pt idx="382">
                  <c:v>-158.23464629328842</c:v>
                </c:pt>
                <c:pt idx="383">
                  <c:v>-158.79530659856573</c:v>
                </c:pt>
                <c:pt idx="384">
                  <c:v>-159.34808623955331</c:v>
                </c:pt>
                <c:pt idx="385">
                  <c:v>-159.89308240299167</c:v>
                </c:pt>
                <c:pt idx="386">
                  <c:v>-160.43039837849233</c:v>
                </c:pt>
                <c:pt idx="387">
                  <c:v>-160.96014317856978</c:v>
                </c:pt>
                <c:pt idx="388">
                  <c:v>-161.48243116961368</c:v>
                </c:pt>
                <c:pt idx="389">
                  <c:v>-161.99738171453274</c:v>
                </c:pt>
                <c:pt idx="390">
                  <c:v>-162.5051188276714</c:v>
                </c:pt>
                <c:pt idx="391">
                  <c:v>-163.00577084248218</c:v>
                </c:pt>
                <c:pt idx="392">
                  <c:v>-163.49947009232284</c:v>
                </c:pt>
                <c:pt idx="393">
                  <c:v>-163.98635260464638</c:v>
                </c:pt>
                <c:pt idx="394">
                  <c:v>-164.46655780875554</c:v>
                </c:pt>
                <c:pt idx="395">
                  <c:v>-164.94022825720774</c:v>
                </c:pt>
                <c:pt idx="396">
                  <c:v>-165.40750936087574</c:v>
                </c:pt>
                <c:pt idx="397">
                  <c:v>-165.8685491376022</c:v>
                </c:pt>
                <c:pt idx="398">
                  <c:v>-166.32349797431854</c:v>
                </c:pt>
                <c:pt idx="399">
                  <c:v>-166.77250840244778</c:v>
                </c:pt>
                <c:pt idx="400">
                  <c:v>-167.21573488635607</c:v>
                </c:pt>
                <c:pt idx="401">
                  <c:v>-167.65333362457889</c:v>
                </c:pt>
                <c:pt idx="402">
                  <c:v>-168.08546236351006</c:v>
                </c:pt>
                <c:pt idx="403">
                  <c:v>-168.51228022320876</c:v>
                </c:pt>
                <c:pt idx="404">
                  <c:v>-168.93394753495653</c:v>
                </c:pt>
                <c:pt idx="405">
                  <c:v>-169.35062569017001</c:v>
                </c:pt>
                <c:pt idx="406">
                  <c:v>-169.7624770002638</c:v>
                </c:pt>
                <c:pt idx="407">
                  <c:v>-170.16966456703776</c:v>
                </c:pt>
                <c:pt idx="408">
                  <c:v>-170.57235216315863</c:v>
                </c:pt>
                <c:pt idx="409">
                  <c:v>-170.97070412229516</c:v>
                </c:pt>
                <c:pt idx="410">
                  <c:v>-171.36488523846231</c:v>
                </c:pt>
                <c:pt idx="411">
                  <c:v>-171.75506067412934</c:v>
                </c:pt>
                <c:pt idx="412">
                  <c:v>-172.14139587664548</c:v>
                </c:pt>
                <c:pt idx="413">
                  <c:v>-172.52405650253704</c:v>
                </c:pt>
                <c:pt idx="414">
                  <c:v>-172.90320834923804</c:v>
                </c:pt>
                <c:pt idx="415">
                  <c:v>-173.27901729381409</c:v>
                </c:pt>
                <c:pt idx="416">
                  <c:v>-173.6516492382506</c:v>
                </c:pt>
                <c:pt idx="417">
                  <c:v>-174.02127006087869</c:v>
                </c:pt>
                <c:pt idx="418">
                  <c:v>-174.38804557352023</c:v>
                </c:pt>
                <c:pt idx="419">
                  <c:v>-174.75214148394176</c:v>
                </c:pt>
                <c:pt idx="420">
                  <c:v>-175.11372336321134</c:v>
                </c:pt>
                <c:pt idx="421">
                  <c:v>-175.47295661756345</c:v>
                </c:pt>
                <c:pt idx="422">
                  <c:v>-175.83000646438032</c:v>
                </c:pt>
                <c:pt idx="423">
                  <c:v>-176.18503791191065</c:v>
                </c:pt>
                <c:pt idx="424">
                  <c:v>-176.53821574234698</c:v>
                </c:pt>
                <c:pt idx="425">
                  <c:v>-176.88970449789608</c:v>
                </c:pt>
                <c:pt idx="426">
                  <c:v>-177.23966846947877</c:v>
                </c:pt>
                <c:pt idx="427">
                  <c:v>-177.58827168770182</c:v>
                </c:pt>
                <c:pt idx="428">
                  <c:v>-177.93567791575083</c:v>
                </c:pt>
                <c:pt idx="429">
                  <c:v>-178.28205064385924</c:v>
                </c:pt>
                <c:pt idx="430">
                  <c:v>-178.62755308500545</c:v>
                </c:pt>
                <c:pt idx="431">
                  <c:v>-178.97234817150331</c:v>
                </c:pt>
                <c:pt idx="432">
                  <c:v>-179.31659855214451</c:v>
                </c:pt>
                <c:pt idx="433">
                  <c:v>-179.66046658956085</c:v>
                </c:pt>
                <c:pt idx="434">
                  <c:v>179.99588564253179</c:v>
                </c:pt>
                <c:pt idx="435">
                  <c:v>179.65229636253935</c:v>
                </c:pt>
                <c:pt idx="436">
                  <c:v>179.30860408498006</c:v>
                </c:pt>
                <c:pt idx="437">
                  <c:v>178.96464762559688</c:v>
                </c:pt>
                <c:pt idx="438">
                  <c:v>178.62026610792702</c:v>
                </c:pt>
                <c:pt idx="439">
                  <c:v>178.27529897166988</c:v>
                </c:pt>
                <c:pt idx="440">
                  <c:v>177.92958598319561</c:v>
                </c:pt>
                <c:pt idx="441">
                  <c:v>177.5829672485408</c:v>
                </c:pt>
                <c:pt idx="442">
                  <c:v>177.23528322924165</c:v>
                </c:pt>
                <c:pt idx="443">
                  <c:v>176.88637476136117</c:v>
                </c:pt>
                <c:pt idx="444">
                  <c:v>176.53608307806911</c:v>
                </c:pt>
                <c:pt idx="445">
                  <c:v>176.18424983614148</c:v>
                </c:pt>
                <c:pt idx="446">
                  <c:v>175.83071714675131</c:v>
                </c:pt>
                <c:pt idx="447">
                  <c:v>175.475327610927</c:v>
                </c:pt>
                <c:pt idx="448">
                  <c:v>175.1179243600622</c:v>
                </c:pt>
                <c:pt idx="449">
                  <c:v>174.75835110186543</c:v>
                </c:pt>
                <c:pt idx="450">
                  <c:v>174.396452172144</c:v>
                </c:pt>
                <c:pt idx="451">
                  <c:v>174.03207259282152</c:v>
                </c:pt>
                <c:pt idx="452">
                  <c:v>173.66505813659302</c:v>
                </c:pt>
                <c:pt idx="453">
                  <c:v>173.29525539862396</c:v>
                </c:pt>
                <c:pt idx="454">
                  <c:v>172.92251187570577</c:v>
                </c:pt>
                <c:pt idx="455">
                  <c:v>172.54667605327623</c:v>
                </c:pt>
                <c:pt idx="456">
                  <c:v>172.1675975007206</c:v>
                </c:pt>
                <c:pt idx="457">
                  <c:v>171.78512697535922</c:v>
                </c:pt>
                <c:pt idx="458">
                  <c:v>171.39911653553077</c:v>
                </c:pt>
                <c:pt idx="459">
                  <c:v>171.00941966317009</c:v>
                </c:pt>
                <c:pt idx="460">
                  <c:v>170.61589139627188</c:v>
                </c:pt>
                <c:pt idx="461">
                  <c:v>170.21838847162059</c:v>
                </c:pt>
                <c:pt idx="462">
                  <c:v>169.8167694781491</c:v>
                </c:pt>
                <c:pt idx="463">
                  <c:v>169.41089502127181</c:v>
                </c:pt>
                <c:pt idx="464">
                  <c:v>169.00062789851489</c:v>
                </c:pt>
                <c:pt idx="465">
                  <c:v>168.58583328673635</c:v>
                </c:pt>
                <c:pt idx="466">
                  <c:v>168.16637894119557</c:v>
                </c:pt>
                <c:pt idx="467">
                  <c:v>167.74213540669604</c:v>
                </c:pt>
                <c:pt idx="468">
                  <c:v>167.31297624097823</c:v>
                </c:pt>
                <c:pt idx="469">
                  <c:v>166.87877825048676</c:v>
                </c:pt>
                <c:pt idx="470">
                  <c:v>166.43942173858431</c:v>
                </c:pt>
                <c:pt idx="471">
                  <c:v>165.99479076621134</c:v>
                </c:pt>
                <c:pt idx="472">
                  <c:v>165.54477342492549</c:v>
                </c:pt>
                <c:pt idx="473">
                  <c:v>165.08926212216883</c:v>
                </c:pt>
                <c:pt idx="474">
                  <c:v>164.62815387852578</c:v>
                </c:pt>
                <c:pt idx="475">
                  <c:v>164.16135063663253</c:v>
                </c:pt>
                <c:pt idx="476">
                  <c:v>163.68875958130189</c:v>
                </c:pt>
                <c:pt idx="477">
                  <c:v>163.21029347029958</c:v>
                </c:pt>
                <c:pt idx="478">
                  <c:v>162.72587097510026</c:v>
                </c:pt>
                <c:pt idx="479">
                  <c:v>162.23541703080929</c:v>
                </c:pt>
                <c:pt idx="480">
                  <c:v>161.73886319430002</c:v>
                </c:pt>
                <c:pt idx="481">
                  <c:v>161.2361480094761</c:v>
                </c:pt>
                <c:pt idx="482">
                  <c:v>160.72721737840348</c:v>
                </c:pt>
                <c:pt idx="483">
                  <c:v>160.21202493691013</c:v>
                </c:pt>
                <c:pt idx="484">
                  <c:v>159.69053243308136</c:v>
                </c:pt>
                <c:pt idx="485">
                  <c:v>159.1627101069115</c:v>
                </c:pt>
                <c:pt idx="486">
                  <c:v>158.62853706920842</c:v>
                </c:pt>
                <c:pt idx="487">
                  <c:v>158.08800167767572</c:v>
                </c:pt>
                <c:pt idx="488">
                  <c:v>157.54110190793639</c:v>
                </c:pt>
                <c:pt idx="489">
                  <c:v>156.98784571709081</c:v>
                </c:pt>
                <c:pt idx="490">
                  <c:v>156.42825139726142</c:v>
                </c:pt>
                <c:pt idx="491">
                  <c:v>155.86234791642059</c:v>
                </c:pt>
                <c:pt idx="492">
                  <c:v>155.29017524367291</c:v>
                </c:pt>
                <c:pt idx="493">
                  <c:v>154.71178465604768</c:v>
                </c:pt>
                <c:pt idx="494">
                  <c:v>154.12723902375939</c:v>
                </c:pt>
                <c:pt idx="495">
                  <c:v>153.53661307082277</c:v>
                </c:pt>
                <c:pt idx="496">
                  <c:v>152.93999360786069</c:v>
                </c:pt>
                <c:pt idx="497">
                  <c:v>152.33747973392511</c:v>
                </c:pt>
                <c:pt idx="498">
                  <c:v>151.72918300416742</c:v>
                </c:pt>
                <c:pt idx="499">
                  <c:v>151.11522756024178</c:v>
                </c:pt>
                <c:pt idx="500">
                  <c:v>150.49575022041108</c:v>
                </c:pt>
                <c:pt idx="501">
                  <c:v>149.87090052646059</c:v>
                </c:pt>
                <c:pt idx="502">
                  <c:v>149.24084074468237</c:v>
                </c:pt>
                <c:pt idx="503">
                  <c:v>148.6057458184147</c:v>
                </c:pt>
                <c:pt idx="504">
                  <c:v>147.96580326987421</c:v>
                </c:pt>
                <c:pt idx="505">
                  <c:v>147.32121304931303</c:v>
                </c:pt>
                <c:pt idx="506">
                  <c:v>146.6721873298811</c:v>
                </c:pt>
                <c:pt idx="507">
                  <c:v>146.01895024694997</c:v>
                </c:pt>
                <c:pt idx="508">
                  <c:v>145.36173758107608</c:v>
                </c:pt>
                <c:pt idx="509">
                  <c:v>144.70079638422624</c:v>
                </c:pt>
                <c:pt idx="510">
                  <c:v>144.036384549383</c:v>
                </c:pt>
                <c:pt idx="511">
                  <c:v>143.3687703241342</c:v>
                </c:pt>
                <c:pt idx="512">
                  <c:v>142.69823176938633</c:v>
                </c:pt>
                <c:pt idx="513">
                  <c:v>142.0250561648613</c:v>
                </c:pt>
                <c:pt idx="514">
                  <c:v>141.34953936358662</c:v>
                </c:pt>
                <c:pt idx="515">
                  <c:v>140.67198509808838</c:v>
                </c:pt>
                <c:pt idx="516">
                  <c:v>139.99270424154361</c:v>
                </c:pt>
                <c:pt idx="517">
                  <c:v>139.31201402761542</c:v>
                </c:pt>
                <c:pt idx="518">
                  <c:v>138.63023723316675</c:v>
                </c:pt>
                <c:pt idx="519">
                  <c:v>137.94770132846685</c:v>
                </c:pt>
                <c:pt idx="520">
                  <c:v>137.26473759988104</c:v>
                </c:pt>
                <c:pt idx="521">
                  <c:v>136.5816802503588</c:v>
                </c:pt>
                <c:pt idx="522">
                  <c:v>135.8988654832975</c:v>
                </c:pt>
                <c:pt idx="523">
                  <c:v>135.21663057555259</c:v>
                </c:pt>
                <c:pt idx="524">
                  <c:v>134.53531294550748</c:v>
                </c:pt>
                <c:pt idx="525">
                  <c:v>133.85524922217218</c:v>
                </c:pt>
                <c:pt idx="526">
                  <c:v>133.17677432126399</c:v>
                </c:pt>
                <c:pt idx="527">
                  <c:v>132.50022053414756</c:v>
                </c:pt>
                <c:pt idx="528">
                  <c:v>131.82591663536468</c:v>
                </c:pt>
                <c:pt idx="529">
                  <c:v>131.15418701424775</c:v>
                </c:pt>
                <c:pt idx="530">
                  <c:v>130.48535083585386</c:v>
                </c:pt>
                <c:pt idx="531">
                  <c:v>129.8197212360968</c:v>
                </c:pt>
                <c:pt idx="532">
                  <c:v>129.15760455557327</c:v>
                </c:pt>
                <c:pt idx="533">
                  <c:v>128.49929961614561</c:v>
                </c:pt>
                <c:pt idx="534">
                  <c:v>127.84509704387129</c:v>
                </c:pt>
                <c:pt idx="535">
                  <c:v>127.19527864136995</c:v>
                </c:pt>
                <c:pt idx="536">
                  <c:v>126.55011681219916</c:v>
                </c:pt>
                <c:pt idx="537">
                  <c:v>125.90987403928165</c:v>
                </c:pt>
                <c:pt idx="538">
                  <c:v>125.27480241889327</c:v>
                </c:pt>
                <c:pt idx="539">
                  <c:v>124.64514325118986</c:v>
                </c:pt>
                <c:pt idx="540">
                  <c:v>124.02112668773538</c:v>
                </c:pt>
                <c:pt idx="541">
                  <c:v>123.40297143599832</c:v>
                </c:pt>
              </c:numCache>
            </c:numRef>
          </c:yVal>
          <c:smooth val="1"/>
          <c:extLst>
            <c:ext xmlns:c16="http://schemas.microsoft.com/office/drawing/2014/chart" uri="{C3380CC4-5D6E-409C-BE32-E72D297353CC}">
              <c16:uniqueId val="{00000001-0FB9-4663-91DF-5C8FC461A7AF}"/>
            </c:ext>
          </c:extLst>
        </c:ser>
        <c:dLbls>
          <c:showLegendKey val="0"/>
          <c:showVal val="0"/>
          <c:showCatName val="0"/>
          <c:showSerName val="0"/>
          <c:showPercent val="0"/>
          <c:showBubbleSize val="0"/>
        </c:dLbls>
        <c:axId val="555250048"/>
        <c:axId val="555235968"/>
      </c:scatterChart>
      <c:valAx>
        <c:axId val="555231872"/>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234048"/>
        <c:crosses val="autoZero"/>
        <c:crossBetween val="midCat"/>
      </c:valAx>
      <c:valAx>
        <c:axId val="555234048"/>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555231872"/>
        <c:crosses val="autoZero"/>
        <c:crossBetween val="midCat"/>
        <c:majorUnit val="20"/>
        <c:minorUnit val="10"/>
      </c:valAx>
      <c:valAx>
        <c:axId val="555235968"/>
        <c:scaling>
          <c:orientation val="minMax"/>
          <c:max val="180"/>
          <c:min val="-180"/>
        </c:scaling>
        <c:delete val="0"/>
        <c:axPos val="r"/>
        <c:numFmt formatCode="General" sourceLinked="1"/>
        <c:majorTickMark val="out"/>
        <c:minorTickMark val="none"/>
        <c:tickLblPos val="nextTo"/>
        <c:crossAx val="555250048"/>
        <c:crosses val="max"/>
        <c:crossBetween val="midCat"/>
        <c:majorUnit val="90"/>
        <c:minorUnit val="45"/>
      </c:valAx>
      <c:valAx>
        <c:axId val="555250048"/>
        <c:scaling>
          <c:logBase val="10"/>
          <c:orientation val="minMax"/>
        </c:scaling>
        <c:delete val="1"/>
        <c:axPos val="b"/>
        <c:numFmt formatCode="0.00" sourceLinked="1"/>
        <c:majorTickMark val="out"/>
        <c:minorTickMark val="none"/>
        <c:tickLblPos val="nextTo"/>
        <c:crossAx val="555235968"/>
        <c:crosses val="autoZero"/>
        <c:crossBetween val="midCat"/>
      </c:valAx>
    </c:plotArea>
    <c:legend>
      <c:legendPos val="r"/>
      <c:layout>
        <c:manualLayout>
          <c:xMode val="edge"/>
          <c:yMode val="edge"/>
          <c:x val="0.79880558209512509"/>
          <c:y val="0.14321997959862004"/>
          <c:w val="0.13459449276057311"/>
          <c:h val="0.10691609861199437"/>
        </c:manualLayout>
      </c:layout>
      <c:overlay val="1"/>
      <c:spPr>
        <a:solidFill>
          <a:schemeClr val="bg1"/>
        </a:solidFill>
      </c:sp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Error</a:t>
            </a:r>
            <a:r>
              <a:rPr lang="en-US" baseline="0"/>
              <a:t> Amplifier Transfer</a:t>
            </a:r>
          </a:p>
        </c:rich>
      </c:tx>
      <c:overlay val="0"/>
    </c:title>
    <c:autoTitleDeleted val="0"/>
    <c:plotArea>
      <c:layout/>
      <c:scatterChart>
        <c:scatterStyle val="smoothMarker"/>
        <c:varyColors val="0"/>
        <c:ser>
          <c:idx val="0"/>
          <c:order val="0"/>
          <c:tx>
            <c:v>Gain(dB)</c:v>
          </c:tx>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Control_Loop_Tables!$BC$19:$BC$560</c:f>
              <c:numCache>
                <c:formatCode>General</c:formatCode>
                <c:ptCount val="542"/>
                <c:pt idx="0">
                  <c:v>23.066041236679048</c:v>
                </c:pt>
                <c:pt idx="1">
                  <c:v>22.867922128201279</c:v>
                </c:pt>
                <c:pt idx="2">
                  <c:v>22.669890790314845</c:v>
                </c:pt>
                <c:pt idx="3">
                  <c:v>22.471951276153881</c:v>
                </c:pt>
                <c:pt idx="4">
                  <c:v>22.274107821955006</c:v>
                </c:pt>
                <c:pt idx="5">
                  <c:v>22.076364854942074</c:v>
                </c:pt>
                <c:pt idx="6">
                  <c:v>21.878727001511781</c:v>
                </c:pt>
                <c:pt idx="7">
                  <c:v>21.681199095731486</c:v>
                </c:pt>
                <c:pt idx="8">
                  <c:v>21.483786188153971</c:v>
                </c:pt>
                <c:pt idx="9">
                  <c:v>21.286493554958156</c:v>
                </c:pt>
                <c:pt idx="10">
                  <c:v>21.089326707423083</c:v>
                </c:pt>
                <c:pt idx="11">
                  <c:v>20.892291401741396</c:v>
                </c:pt>
                <c:pt idx="12">
                  <c:v>20.695393649179014</c:v>
                </c:pt>
                <c:pt idx="13">
                  <c:v>20.498639726588195</c:v>
                </c:pt>
                <c:pt idx="14">
                  <c:v>20.302036187276975</c:v>
                </c:pt>
                <c:pt idx="15">
                  <c:v>20.105589872241737</c:v>
                </c:pt>
                <c:pt idx="16">
                  <c:v>19.909307921766182</c:v>
                </c:pt>
                <c:pt idx="17">
                  <c:v>19.713197787389429</c:v>
                </c:pt>
                <c:pt idx="18">
                  <c:v>19.517267244245247</c:v>
                </c:pt>
                <c:pt idx="19">
                  <c:v>19.321524403773545</c:v>
                </c:pt>
                <c:pt idx="20">
                  <c:v>19.125977726803413</c:v>
                </c:pt>
                <c:pt idx="21">
                  <c:v>18.930636037005449</c:v>
                </c:pt>
                <c:pt idx="22">
                  <c:v>18.735508534710434</c:v>
                </c:pt>
                <c:pt idx="23">
                  <c:v>18.540604811087803</c:v>
                </c:pt>
                <c:pt idx="24">
                  <c:v>18.345934862677986</c:v>
                </c:pt>
                <c:pt idx="25">
                  <c:v>18.151509106266875</c:v>
                </c:pt>
                <c:pt idx="26">
                  <c:v>17.957338394092723</c:v>
                </c:pt>
                <c:pt idx="27">
                  <c:v>17.76343402936833</c:v>
                </c:pt>
                <c:pt idx="28">
                  <c:v>17.569807782102458</c:v>
                </c:pt>
                <c:pt idx="29">
                  <c:v>17.376471905198709</c:v>
                </c:pt>
                <c:pt idx="30">
                  <c:v>17.183439150807693</c:v>
                </c:pt>
                <c:pt idx="31">
                  <c:v>16.990722786904268</c:v>
                </c:pt>
                <c:pt idx="32">
                  <c:v>16.798336614058226</c:v>
                </c:pt>
                <c:pt idx="33">
                  <c:v>16.606294982360541</c:v>
                </c:pt>
                <c:pt idx="34">
                  <c:v>16.414612808465773</c:v>
                </c:pt>
                <c:pt idx="35">
                  <c:v>16.223305592702747</c:v>
                </c:pt>
                <c:pt idx="36">
                  <c:v>16.032389436202774</c:v>
                </c:pt>
                <c:pt idx="37">
                  <c:v>15.841881057988163</c:v>
                </c:pt>
                <c:pt idx="38">
                  <c:v>15.65179781195717</c:v>
                </c:pt>
                <c:pt idx="39">
                  <c:v>15.462157703696345</c:v>
                </c:pt>
                <c:pt idx="40">
                  <c:v>15.272979407043506</c:v>
                </c:pt>
                <c:pt idx="41">
                  <c:v>15.084282280317964</c:v>
                </c:pt>
                <c:pt idx="42">
                  <c:v>14.89608638212745</c:v>
                </c:pt>
                <c:pt idx="43">
                  <c:v>14.708412486653499</c:v>
                </c:pt>
                <c:pt idx="44">
                  <c:v>14.521282098308619</c:v>
                </c:pt>
                <c:pt idx="45">
                  <c:v>14.334717465651414</c:v>
                </c:pt>
                <c:pt idx="46">
                  <c:v>14.148741594437087</c:v>
                </c:pt>
                <c:pt idx="47">
                  <c:v>13.963378259672098</c:v>
                </c:pt>
                <c:pt idx="48">
                  <c:v>13.778652016534124</c:v>
                </c:pt>
                <c:pt idx="49">
                  <c:v>13.594588210008624</c:v>
                </c:pt>
                <c:pt idx="50">
                  <c:v>13.411212983087129</c:v>
                </c:pt>
                <c:pt idx="51">
                  <c:v>13.228553283361826</c:v>
                </c:pt>
                <c:pt idx="52">
                  <c:v>13.046636867845177</c:v>
                </c:pt>
                <c:pt idx="53">
                  <c:v>12.865492305834092</c:v>
                </c:pt>
                <c:pt idx="54">
                  <c:v>12.685148979633585</c:v>
                </c:pt>
                <c:pt idx="55">
                  <c:v>12.505637082946194</c:v>
                </c:pt>
                <c:pt idx="56">
                  <c:v>12.326987616729788</c:v>
                </c:pt>
                <c:pt idx="57">
                  <c:v>12.149232382321786</c:v>
                </c:pt>
                <c:pt idx="58">
                  <c:v>11.972403971624574</c:v>
                </c:pt>
                <c:pt idx="59">
                  <c:v>11.796535754145154</c:v>
                </c:pt>
                <c:pt idx="60">
                  <c:v>11.621661860682504</c:v>
                </c:pt>
                <c:pt idx="61">
                  <c:v>11.447817163458136</c:v>
                </c:pt>
                <c:pt idx="62">
                  <c:v>11.275037252487428</c:v>
                </c:pt>
                <c:pt idx="63">
                  <c:v>11.103358407998591</c:v>
                </c:pt>
                <c:pt idx="64">
                  <c:v>10.932817568711503</c:v>
                </c:pt>
                <c:pt idx="65">
                  <c:v>10.763452295801741</c:v>
                </c:pt>
                <c:pt idx="66">
                  <c:v>10.595300732389282</c:v>
                </c:pt>
                <c:pt idx="67">
                  <c:v>10.428401558407094</c:v>
                </c:pt>
                <c:pt idx="68">
                  <c:v>10.262793940726741</c:v>
                </c:pt>
                <c:pt idx="69">
                  <c:v>10.098517478440968</c:v>
                </c:pt>
                <c:pt idx="70">
                  <c:v>9.9356121432300313</c:v>
                </c:pt>
                <c:pt idx="71">
                  <c:v>9.77411821476983</c:v>
                </c:pt>
                <c:pt idx="72">
                  <c:v>9.6140762111728915</c:v>
                </c:pt>
                <c:pt idx="73">
                  <c:v>9.455526814490895</c:v>
                </c:pt>
                <c:pt idx="74">
                  <c:v>9.2985107913480096</c:v>
                </c:pt>
                <c:pt idx="75">
                  <c:v>9.1430689088169732</c:v>
                </c:pt>
                <c:pt idx="76">
                  <c:v>8.9892418456977925</c:v>
                </c:pt>
                <c:pt idx="77">
                  <c:v>8.8370700994048619</c:v>
                </c:pt>
                <c:pt idx="78">
                  <c:v>8.6865938887218181</c:v>
                </c:pt>
                <c:pt idx="79">
                  <c:v>8.5378530527328174</c:v>
                </c:pt>
                <c:pt idx="80">
                  <c:v>8.3908869462939588</c:v>
                </c:pt>
                <c:pt idx="81">
                  <c:v>8.2457343324598806</c:v>
                </c:pt>
                <c:pt idx="82">
                  <c:v>8.1024332723342987</c:v>
                </c:pt>
                <c:pt idx="83">
                  <c:v>7.9610210128634264</c:v>
                </c:pt>
                <c:pt idx="84">
                  <c:v>7.8215338731412611</c:v>
                </c:pt>
                <c:pt idx="85">
                  <c:v>7.6840071298403503</c:v>
                </c:pt>
                <c:pt idx="86">
                  <c:v>7.548474902423898</c:v>
                </c:pt>
                <c:pt idx="87">
                  <c:v>7.4149700388331929</c:v>
                </c:pt>
                <c:pt idx="88">
                  <c:v>7.2835240023734578</c:v>
                </c:pt>
                <c:pt idx="89">
                  <c:v>7.1541667605474437</c:v>
                </c:pt>
                <c:pt idx="90">
                  <c:v>7.0269266766017342</c:v>
                </c:pt>
                <c:pt idx="91">
                  <c:v>6.9018304045620971</c:v>
                </c:pt>
                <c:pt idx="92">
                  <c:v>6.7789027885315303</c:v>
                </c:pt>
                <c:pt idx="93">
                  <c:v>6.6581667670177547</c:v>
                </c:pt>
                <c:pt idx="94">
                  <c:v>6.539643283038922</c:v>
                </c:pt>
                <c:pt idx="95">
                  <c:v>6.423351200726489</c:v>
                </c:pt>
                <c:pt idx="96">
                  <c:v>6.3093072291093222</c:v>
                </c:pt>
                <c:pt idx="97">
                  <c:v>6.1975258537136426</c:v>
                </c:pt>
                <c:pt idx="98">
                  <c:v>6.0880192765601793</c:v>
                </c:pt>
                <c:pt idx="99">
                  <c:v>5.980797365074368</c:v>
                </c:pt>
                <c:pt idx="100">
                  <c:v>5.875867610354395</c:v>
                </c:pt>
                <c:pt idx="101">
                  <c:v>5.7732350951633133</c:v>
                </c:pt>
                <c:pt idx="102">
                  <c:v>5.6729024719284817</c:v>
                </c:pt>
                <c:pt idx="103">
                  <c:v>5.5748699509428787</c:v>
                </c:pt>
                <c:pt idx="104">
                  <c:v>5.479135298871979</c:v>
                </c:pt>
                <c:pt idx="105">
                  <c:v>5.3856938475777758</c:v>
                </c:pt>
                <c:pt idx="106">
                  <c:v>5.2945385131779901</c:v>
                </c:pt>
                <c:pt idx="107">
                  <c:v>5.2056598251673787</c:v>
                </c:pt>
                <c:pt idx="108">
                  <c:v>5.1190459653393798</c:v>
                </c:pt>
                <c:pt idx="109">
                  <c:v>5.0346828161611423</c:v>
                </c:pt>
                <c:pt idx="110">
                  <c:v>4.9525540181748067</c:v>
                </c:pt>
                <c:pt idx="111">
                  <c:v>4.8726410359262289</c:v>
                </c:pt>
                <c:pt idx="112">
                  <c:v>4.794923231853895</c:v>
                </c:pt>
                <c:pt idx="113">
                  <c:v>4.7193779475151825</c:v>
                </c:pt>
                <c:pt idx="114">
                  <c:v>4.6459805914769783</c:v>
                </c:pt>
                <c:pt idx="115">
                  <c:v>4.5747047331576418</c:v>
                </c:pt>
                <c:pt idx="116">
                  <c:v>4.5055222018780903</c:v>
                </c:pt>
                <c:pt idx="117">
                  <c:v>4.4384031903571914</c:v>
                </c:pt>
                <c:pt idx="118">
                  <c:v>4.3733163618782838</c:v>
                </c:pt>
                <c:pt idx="119">
                  <c:v>4.3102289603486152</c:v>
                </c:pt>
                <c:pt idx="120">
                  <c:v>4.2491069224828282</c:v>
                </c:pt>
                <c:pt idx="121">
                  <c:v>4.189914991354752</c:v>
                </c:pt>
                <c:pt idx="122">
                  <c:v>4.132616830586838</c:v>
                </c:pt>
                <c:pt idx="123">
                  <c:v>4.0771751384730486</c:v>
                </c:pt>
                <c:pt idx="124">
                  <c:v>4.0235517613699887</c:v>
                </c:pt>
                <c:pt idx="125">
                  <c:v>3.9717078057286499</c:v>
                </c:pt>
                <c:pt idx="126">
                  <c:v>3.9216037481860062</c:v>
                </c:pt>
                <c:pt idx="127">
                  <c:v>3.8731995431834836</c:v>
                </c:pt>
                <c:pt idx="128">
                  <c:v>3.8264547276292982</c:v>
                </c:pt>
                <c:pt idx="129">
                  <c:v>3.7813285221745496</c:v>
                </c:pt>
                <c:pt idx="130">
                  <c:v>3.737779928725689</c:v>
                </c:pt>
                <c:pt idx="131">
                  <c:v>3.6957678238683171</c:v>
                </c:pt>
                <c:pt idx="132">
                  <c:v>3.6552510479313871</c:v>
                </c:pt>
                <c:pt idx="133">
                  <c:v>3.6161884894681817</c:v>
                </c:pt>
                <c:pt idx="134">
                  <c:v>3.5785391649843259</c:v>
                </c:pt>
                <c:pt idx="135">
                  <c:v>3.5422622937850172</c:v>
                </c:pt>
                <c:pt idx="136">
                  <c:v>3.507317367861758</c:v>
                </c:pt>
                <c:pt idx="137">
                  <c:v>3.4736642167771037</c:v>
                </c:pt>
                <c:pt idx="138">
                  <c:v>3.4412630675458229</c:v>
                </c:pt>
                <c:pt idx="139">
                  <c:v>3.4100745995445307</c:v>
                </c:pt>
                <c:pt idx="140">
                  <c:v>3.3800599945130831</c:v>
                </c:pt>
                <c:pt idx="141">
                  <c:v>3.3511809817397968</c:v>
                </c:pt>
                <c:pt idx="142">
                  <c:v>3.3233998785450614</c:v>
                </c:pt>
                <c:pt idx="143">
                  <c:v>3.2966796262012359</c:v>
                </c:pt>
                <c:pt idx="144">
                  <c:v>3.2709838214428686</c:v>
                </c:pt>
                <c:pt idx="145">
                  <c:v>3.2462767437363897</c:v>
                </c:pt>
                <c:pt idx="146">
                  <c:v>3.222523378491112</c:v>
                </c:pt>
                <c:pt idx="147">
                  <c:v>3.199689436401036</c:v>
                </c:pt>
                <c:pt idx="148">
                  <c:v>3.1777413691152439</c:v>
                </c:pt>
                <c:pt idx="149">
                  <c:v>3.1566463814372785</c:v>
                </c:pt>
                <c:pt idx="150">
                  <c:v>3.1363724402575817</c:v>
                </c:pt>
                <c:pt idx="151">
                  <c:v>3.1168882804223235</c:v>
                </c:pt>
                <c:pt idx="152">
                  <c:v>3.0981634077409947</c:v>
                </c:pt>
                <c:pt idx="153">
                  <c:v>3.0801680993323357</c:v>
                </c:pt>
                <c:pt idx="154">
                  <c:v>3.0628734015043753</c:v>
                </c:pt>
                <c:pt idx="155">
                  <c:v>3.0462511253580944</c:v>
                </c:pt>
                <c:pt idx="156">
                  <c:v>3.0302738402994662</c:v>
                </c:pt>
                <c:pt idx="157">
                  <c:v>3.0149148656369826</c:v>
                </c:pt>
                <c:pt idx="158">
                  <c:v>3.0001482604343654</c:v>
                </c:pt>
                <c:pt idx="159">
                  <c:v>2.9859488117805748</c:v>
                </c:pt>
                <c:pt idx="160">
                  <c:v>2.972292021630901</c:v>
                </c:pt>
                <c:pt idx="161">
                  <c:v>2.9591540923643973</c:v>
                </c:pt>
                <c:pt idx="162">
                  <c:v>2.9465119111938658</c:v>
                </c:pt>
                <c:pt idx="163">
                  <c:v>2.9343430335572069</c:v>
                </c:pt>
                <c:pt idx="164">
                  <c:v>2.9226256656090306</c:v>
                </c:pt>
                <c:pt idx="165">
                  <c:v>2.9113386459240282</c:v>
                </c:pt>
                <c:pt idx="166">
                  <c:v>2.9004614265143198</c:v>
                </c:pt>
                <c:pt idx="167">
                  <c:v>2.8899740532556035</c:v>
                </c:pt>
                <c:pt idx="168">
                  <c:v>2.8798571458088902</c:v>
                </c:pt>
                <c:pt idx="169">
                  <c:v>2.8700918771171935</c:v>
                </c:pt>
                <c:pt idx="170">
                  <c:v>2.8606599525481755</c:v>
                </c:pt>
                <c:pt idx="171">
                  <c:v>2.8515435887488998</c:v>
                </c:pt>
                <c:pt idx="172">
                  <c:v>2.8427254922700862</c:v>
                </c:pt>
                <c:pt idx="173">
                  <c:v>2.8341888380117961</c:v>
                </c:pt>
                <c:pt idx="174">
                  <c:v>2.8259172475376633</c:v>
                </c:pt>
                <c:pt idx="175">
                  <c:v>2.8178947672964143</c:v>
                </c:pt>
                <c:pt idx="176">
                  <c:v>2.8101058467873887</c:v>
                </c:pt>
                <c:pt idx="177">
                  <c:v>2.8025353166993932</c:v>
                </c:pt>
                <c:pt idx="178">
                  <c:v>2.7951683670490941</c:v>
                </c:pt>
                <c:pt idx="179">
                  <c:v>2.7879905253393904</c:v>
                </c:pt>
                <c:pt idx="180">
                  <c:v>2.7809876347567686</c:v>
                </c:pt>
                <c:pt idx="181">
                  <c:v>2.7741458324198081</c:v>
                </c:pt>
                <c:pt idx="182">
                  <c:v>2.7674515276900715</c:v>
                </c:pt>
                <c:pt idx="183">
                  <c:v>2.7608913805530602</c:v>
                </c:pt>
                <c:pt idx="184">
                  <c:v>2.7544522800728615</c:v>
                </c:pt>
                <c:pt idx="185">
                  <c:v>2.7481213229232528</c:v>
                </c:pt>
                <c:pt idx="186">
                  <c:v>2.7418857919948407</c:v>
                </c:pt>
                <c:pt idx="187">
                  <c:v>2.7357331350759653</c:v>
                </c:pt>
                <c:pt idx="188">
                  <c:v>2.7296509436030254</c:v>
                </c:pt>
                <c:pt idx="189">
                  <c:v>2.7236269314751373</c:v>
                </c:pt>
                <c:pt idx="190">
                  <c:v>2.7176489139255016</c:v>
                </c:pt>
                <c:pt idx="191">
                  <c:v>2.7117047864420467</c:v>
                </c:pt>
                <c:pt idx="192">
                  <c:v>2.7057825037274288</c:v>
                </c:pt>
                <c:pt idx="193">
                  <c:v>2.6998700586890525</c:v>
                </c:pt>
                <c:pt idx="194">
                  <c:v>2.6939554614493439</c:v>
                </c:pt>
                <c:pt idx="195">
                  <c:v>2.6880267183639344</c:v>
                </c:pt>
                <c:pt idx="196">
                  <c:v>2.6820718110386621</c:v>
                </c:pt>
                <c:pt idx="197">
                  <c:v>2.6760786753336072</c:v>
                </c:pt>
                <c:pt idx="198">
                  <c:v>2.6700351803432953</c:v>
                </c:pt>
                <c:pt idx="199">
                  <c:v>2.663929107344138</c:v>
                </c:pt>
                <c:pt idx="200">
                  <c:v>2.6577481286981133</c:v>
                </c:pt>
                <c:pt idx="201">
                  <c:v>2.6514797867044599</c:v>
                </c:pt>
                <c:pt idx="202">
                  <c:v>2.6451114723923053</c:v>
                </c:pt>
                <c:pt idx="203">
                  <c:v>2.6386304042465603</c:v>
                </c:pt>
                <c:pt idx="204">
                  <c:v>2.6320236068626617</c:v>
                </c:pt>
                <c:pt idx="205">
                  <c:v>2.6252778895264495</c:v>
                </c:pt>
                <c:pt idx="206">
                  <c:v>2.6183798247179624</c:v>
                </c:pt>
                <c:pt idx="207">
                  <c:v>2.6113157265392344</c:v>
                </c:pt>
                <c:pt idx="208">
                  <c:v>2.6040716290691441</c:v>
                </c:pt>
                <c:pt idx="209">
                  <c:v>2.5966332646513548</c:v>
                </c:pt>
                <c:pt idx="210">
                  <c:v>2.5889860421228024</c:v>
                </c:pt>
                <c:pt idx="211">
                  <c:v>2.5811150249950798</c:v>
                </c:pt>
                <c:pt idx="212">
                  <c:v>2.573004909603942</c:v>
                </c:pt>
                <c:pt idx="213">
                  <c:v>2.5646400032448939</c:v>
                </c:pt>
                <c:pt idx="214">
                  <c:v>2.5560042023184204</c:v>
                </c:pt>
                <c:pt idx="215">
                  <c:v>2.5470809705118875</c:v>
                </c:pt>
                <c:pt idx="216">
                  <c:v>2.5378533170501747</c:v>
                </c:pt>
                <c:pt idx="217">
                  <c:v>2.5283037750520694</c:v>
                </c:pt>
                <c:pt idx="218">
                  <c:v>2.518414380034371</c:v>
                </c:pt>
                <c:pt idx="219">
                  <c:v>2.5081666486128453</c:v>
                </c:pt>
                <c:pt idx="220">
                  <c:v>2.4975415574530659</c:v>
                </c:pt>
                <c:pt idx="221">
                  <c:v>2.486519522532519</c:v>
                </c:pt>
                <c:pt idx="222">
                  <c:v>2.475080378781179</c:v>
                </c:pt>
                <c:pt idx="223">
                  <c:v>2.4632033601748655</c:v>
                </c:pt>
                <c:pt idx="224">
                  <c:v>2.4508670803633299</c:v>
                </c:pt>
                <c:pt idx="225">
                  <c:v>2.4380495139227443</c:v>
                </c:pt>
                <c:pt idx="226">
                  <c:v>2.424727978329448</c:v>
                </c:pt>
                <c:pt idx="227">
                  <c:v>2.4108791167618082</c:v>
                </c:pt>
                <c:pt idx="228">
                  <c:v>2.3964788818429126</c:v>
                </c:pt>
                <c:pt idx="229">
                  <c:v>2.3815025204474551</c:v>
                </c:pt>
                <c:pt idx="230">
                  <c:v>2.3659245597039993</c:v>
                </c:pt>
                <c:pt idx="231">
                  <c:v>2.3497187943317019</c:v>
                </c:pt>
                <c:pt idx="232">
                  <c:v>2.3328582754606382</c:v>
                </c:pt>
                <c:pt idx="233">
                  <c:v>2.3153153010919798</c:v>
                </c:pt>
                <c:pt idx="234">
                  <c:v>2.297061408363037</c:v>
                </c:pt>
                <c:pt idx="235">
                  <c:v>2.2780673677892769</c:v>
                </c:pt>
                <c:pt idx="236">
                  <c:v>2.2583031796641948</c:v>
                </c:pt>
                <c:pt idx="237">
                  <c:v>2.237738072802363</c:v>
                </c:pt>
                <c:pt idx="238">
                  <c:v>2.2163405058181009</c:v>
                </c:pt>
                <c:pt idx="239">
                  <c:v>2.1940781711378827</c:v>
                </c:pt>
                <c:pt idx="240">
                  <c:v>2.1709180019452106</c:v>
                </c:pt>
                <c:pt idx="241">
                  <c:v>2.1468261822627941</c:v>
                </c:pt>
                <c:pt idx="242">
                  <c:v>2.121768160375026</c:v>
                </c:pt>
                <c:pt idx="243">
                  <c:v>2.0957086657935617</c:v>
                </c:pt>
                <c:pt idx="244">
                  <c:v>2.0686117299660265</c:v>
                </c:pt>
                <c:pt idx="245">
                  <c:v>2.0404407109226712</c:v>
                </c:pt>
                <c:pt idx="246">
                  <c:v>2.0111583220488045</c:v>
                </c:pt>
                <c:pt idx="247">
                  <c:v>1.9807266651590578</c:v>
                </c:pt>
                <c:pt idx="248">
                  <c:v>1.949107268039282</c:v>
                </c:pt>
                <c:pt idx="249">
                  <c:v>1.9162611266035958</c:v>
                </c:pt>
                <c:pt idx="250">
                  <c:v>1.8821487517967292</c:v>
                </c:pt>
                <c:pt idx="251">
                  <c:v>1.8467302213485417</c:v>
                </c:pt>
                <c:pt idx="252">
                  <c:v>1.8099652364631247</c:v>
                </c:pt>
                <c:pt idx="253">
                  <c:v>1.7718131834943942</c:v>
                </c:pt>
                <c:pt idx="254">
                  <c:v>1.7322332006292886</c:v>
                </c:pt>
                <c:pt idx="255">
                  <c:v>1.6911842495619009</c:v>
                </c:pt>
                <c:pt idx="256">
                  <c:v>1.6486251921051953</c:v>
                </c:pt>
                <c:pt idx="257">
                  <c:v>1.6045148716421933</c:v>
                </c:pt>
                <c:pt idx="258">
                  <c:v>1.5588121992751827</c:v>
                </c:pt>
                <c:pt idx="259">
                  <c:v>1.5114762444829799</c:v>
                </c:pt>
                <c:pt idx="260">
                  <c:v>1.4624663300472922</c:v>
                </c:pt>
                <c:pt idx="261">
                  <c:v>1.4117421309561438</c:v>
                </c:pt>
                <c:pt idx="262">
                  <c:v>1.35926377694256</c:v>
                </c:pt>
                <c:pt idx="263">
                  <c:v>1.3049919582601912</c:v>
                </c:pt>
                <c:pt idx="264">
                  <c:v>1.2488880342480484</c:v>
                </c:pt>
                <c:pt idx="265">
                  <c:v>1.1909141441827917</c:v>
                </c:pt>
                <c:pt idx="266">
                  <c:v>1.1310333198678375</c:v>
                </c:pt>
                <c:pt idx="267">
                  <c:v>1.069209599361399</c:v>
                </c:pt>
                <c:pt idx="268">
                  <c:v>1.0054081412021763</c:v>
                </c:pt>
                <c:pt idx="269">
                  <c:v>0.93959533845213095</c:v>
                </c:pt>
                <c:pt idx="270">
                  <c:v>0.87173893184275919</c:v>
                </c:pt>
                <c:pt idx="271">
                  <c:v>0.80180812128360046</c:v>
                </c:pt>
                <c:pt idx="272">
                  <c:v>0.72977367497214674</c:v>
                </c:pt>
                <c:pt idx="273">
                  <c:v>0.65560803533154854</c:v>
                </c:pt>
                <c:pt idx="274">
                  <c:v>0.57928542099925506</c:v>
                </c:pt>
                <c:pt idx="275">
                  <c:v>0.50078192409450728</c:v>
                </c:pt>
                <c:pt idx="276">
                  <c:v>0.42007560200764893</c:v>
                </c:pt>
                <c:pt idx="277">
                  <c:v>0.33714656297787798</c:v>
                </c:pt>
                <c:pt idx="278">
                  <c:v>0.25197704476008437</c:v>
                </c:pt>
                <c:pt idx="279">
                  <c:v>0.16455148572466305</c:v>
                </c:pt>
                <c:pt idx="280">
                  <c:v>7.4856587785981935E-2</c:v>
                </c:pt>
                <c:pt idx="281">
                  <c:v>-1.7118629383193338E-2</c:v>
                </c:pt>
                <c:pt idx="282">
                  <c:v>-0.11138278332611265</c:v>
                </c:pt>
                <c:pt idx="283">
                  <c:v>-0.20794209336359398</c:v>
                </c:pt>
                <c:pt idx="284">
                  <c:v>-0.30680035505999925</c:v>
                </c:pt>
                <c:pt idx="285">
                  <c:v>-0.40795892482391127</c:v>
                </c:pt>
                <c:pt idx="286">
                  <c:v>-0.51141671478390416</c:v>
                </c:pt>
                <c:pt idx="287">
                  <c:v>-0.61717019798833794</c:v>
                </c:pt>
                <c:pt idx="288">
                  <c:v>-0.72521342388354193</c:v>
                </c:pt>
                <c:pt idx="289">
                  <c:v>-0.83553804393481945</c:v>
                </c:pt>
                <c:pt idx="290">
                  <c:v>-0.94813334716295261</c:v>
                </c:pt>
                <c:pt idx="291">
                  <c:v>-1.0629863052821846</c:v>
                </c:pt>
                <c:pt idx="292">
                  <c:v>-1.18008162704595</c:v>
                </c:pt>
                <c:pt idx="293">
                  <c:v>-1.2994018213271363</c:v>
                </c:pt>
                <c:pt idx="294">
                  <c:v>-1.4209272683946361</c:v>
                </c:pt>
                <c:pt idx="295">
                  <c:v>-1.5446362987836295</c:v>
                </c:pt>
                <c:pt idx="296">
                  <c:v>-1.6705052791060024</c:v>
                </c:pt>
                <c:pt idx="297">
                  <c:v>-1.798508704104119</c:v>
                </c:pt>
                <c:pt idx="298">
                  <c:v>-1.9286192942163336</c:v>
                </c:pt>
                <c:pt idx="299">
                  <c:v>-2.0608080978981889</c:v>
                </c:pt>
                <c:pt idx="300">
                  <c:v>-2.1950445979296354</c:v>
                </c:pt>
                <c:pt idx="301">
                  <c:v>-2.3312968209311773</c:v>
                </c:pt>
                <c:pt idx="302">
                  <c:v>-2.4695314493171101</c:v>
                </c:pt>
                <c:pt idx="303">
                  <c:v>-2.6097139349251557</c:v>
                </c:pt>
                <c:pt idx="304">
                  <c:v>-2.751808613581467</c:v>
                </c:pt>
                <c:pt idx="305">
                  <c:v>-2.8957788198879619</c:v>
                </c:pt>
                <c:pt idx="306">
                  <c:v>-3.0415870015507322</c:v>
                </c:pt>
                <c:pt idx="307">
                  <c:v>-3.1891948326091968</c:v>
                </c:pt>
                <c:pt idx="308">
                  <c:v>-3.3385633249665796</c:v>
                </c:pt>
                <c:pt idx="309">
                  <c:v>-3.4896529376718313</c:v>
                </c:pt>
                <c:pt idx="310">
                  <c:v>-3.6424236834507049</c:v>
                </c:pt>
                <c:pt idx="311">
                  <c:v>-3.7968352320372558</c:v>
                </c:pt>
                <c:pt idx="312">
                  <c:v>-3.952847009908691</c:v>
                </c:pt>
                <c:pt idx="313">
                  <c:v>-4.1104182960796036</c:v>
                </c:pt>
                <c:pt idx="314">
                  <c:v>-4.2695083136650283</c:v>
                </c:pt>
                <c:pt idx="315">
                  <c:v>-4.4300763169724116</c:v>
                </c:pt>
                <c:pt idx="316">
                  <c:v>-4.5920816739330625</c:v>
                </c:pt>
                <c:pt idx="317">
                  <c:v>-4.7554839437311998</c:v>
                </c:pt>
                <c:pt idx="318">
                  <c:v>-4.9202429495339821</c:v>
                </c:pt>
                <c:pt idx="319">
                  <c:v>-5.0863188462682274</c:v>
                </c:pt>
                <c:pt idx="320">
                  <c:v>-5.2536721834293196</c:v>
                </c:pt>
                <c:pt idx="321">
                  <c:v>-5.4222639629431768</c:v>
                </c:pt>
                <c:pt idx="322">
                  <c:v>-5.5920556921345197</c:v>
                </c:pt>
                <c:pt idx="323">
                  <c:v>-5.763009431885683</c:v>
                </c:pt>
                <c:pt idx="324">
                  <c:v>-5.9350878400939173</c:v>
                </c:pt>
                <c:pt idx="325">
                  <c:v>-6.1082542105581394</c:v>
                </c:pt>
                <c:pt idx="326">
                  <c:v>-6.2824725074462471</c:v>
                </c:pt>
                <c:pt idx="327">
                  <c:v>-6.4577073955090292</c:v>
                </c:pt>
                <c:pt idx="328">
                  <c:v>-6.6339242662199629</c:v>
                </c:pt>
                <c:pt idx="329">
                  <c:v>-6.8110892600316699</c:v>
                </c:pt>
                <c:pt idx="330">
                  <c:v>-6.9891692849444107</c:v>
                </c:pt>
                <c:pt idx="331">
                  <c:v>-7.168132031591786</c:v>
                </c:pt>
                <c:pt idx="332">
                  <c:v>-7.3479459850472857</c:v>
                </c:pt>
                <c:pt idx="333">
                  <c:v>-7.5285804335603963</c:v>
                </c:pt>
                <c:pt idx="334">
                  <c:v>-7.7100054744270041</c:v>
                </c:pt>
                <c:pt idx="335">
                  <c:v>-7.8921920171999238</c:v>
                </c:pt>
                <c:pt idx="336">
                  <c:v>-8.0751117844383149</c:v>
                </c:pt>
                <c:pt idx="337">
                  <c:v>-8.2587373101941601</c:v>
                </c:pt>
                <c:pt idx="338">
                  <c:v>-8.443041936424569</c:v>
                </c:pt>
                <c:pt idx="339">
                  <c:v>-8.6279998075145929</c:v>
                </c:pt>
                <c:pt idx="340">
                  <c:v>-8.8135858630873223</c:v>
                </c:pt>
                <c:pt idx="341">
                  <c:v>-8.9997758292710266</c:v>
                </c:pt>
                <c:pt idx="342">
                  <c:v>-9.1865462085838949</c:v>
                </c:pt>
                <c:pt idx="343">
                  <c:v>-9.3738742685902423</c:v>
                </c:pt>
                <c:pt idx="344">
                  <c:v>-9.5617380294725489</c:v>
                </c:pt>
                <c:pt idx="345">
                  <c:v>-9.7501162506561396</c:v>
                </c:pt>
                <c:pt idx="346">
                  <c:v>-9.9389884166138156</c:v>
                </c:pt>
                <c:pt idx="347">
                  <c:v>-10.128334721970205</c:v>
                </c:pt>
                <c:pt idx="348">
                  <c:v>-10.31813605601765</c:v>
                </c:pt>
                <c:pt idx="349">
                  <c:v>-10.508373986746143</c:v>
                </c:pt>
                <c:pt idx="350">
                  <c:v>-10.699030744483707</c:v>
                </c:pt>
                <c:pt idx="351">
                  <c:v>-10.890089205234521</c:v>
                </c:pt>
                <c:pt idx="352">
                  <c:v>-11.081532873796387</c:v>
                </c:pt>
                <c:pt idx="353">
                  <c:v>-11.273345866730601</c:v>
                </c:pt>
                <c:pt idx="354">
                  <c:v>-11.46551289525258</c:v>
                </c:pt>
                <c:pt idx="355">
                  <c:v>-11.658019248103331</c:v>
                </c:pt>
                <c:pt idx="356">
                  <c:v>-11.850850774457829</c:v>
                </c:pt>
                <c:pt idx="357">
                  <c:v>-12.043993866919291</c:v>
                </c:pt>
                <c:pt idx="358">
                  <c:v>-12.237435444644095</c:v>
                </c:pt>
                <c:pt idx="359">
                  <c:v>-12.43116293663671</c:v>
                </c:pt>
                <c:pt idx="360">
                  <c:v>-12.625164265249891</c:v>
                </c:pt>
                <c:pt idx="361">
                  <c:v>-12.819427829920244</c:v>
                </c:pt>
                <c:pt idx="362">
                  <c:v>-13.013942491166333</c:v>
                </c:pt>
                <c:pt idx="363">
                  <c:v>-13.208697554872682</c:v>
                </c:pt>
                <c:pt idx="364">
                  <c:v>-13.403682756878672</c:v>
                </c:pt>
                <c:pt idx="365">
                  <c:v>-13.598888247889612</c:v>
                </c:pt>
                <c:pt idx="366">
                  <c:v>-13.79430457872388</c:v>
                </c:pt>
                <c:pt idx="367">
                  <c:v>-13.98992268590634</c:v>
                </c:pt>
                <c:pt idx="368">
                  <c:v>-14.185733877618743</c:v>
                </c:pt>
                <c:pt idx="369">
                  <c:v>-14.381729820011719</c:v>
                </c:pt>
                <c:pt idx="370">
                  <c:v>-14.577902523884932</c:v>
                </c:pt>
                <c:pt idx="371">
                  <c:v>-14.774244331737149</c:v>
                </c:pt>
                <c:pt idx="372">
                  <c:v>-14.970747905188626</c:v>
                </c:pt>
                <c:pt idx="373">
                  <c:v>-15.167406212774914</c:v>
                </c:pt>
                <c:pt idx="374">
                  <c:v>-15.364212518111904</c:v>
                </c:pt>
                <c:pt idx="375">
                  <c:v>-15.561160368428943</c:v>
                </c:pt>
                <c:pt idx="376">
                  <c:v>-15.758243583466633</c:v>
                </c:pt>
                <c:pt idx="377">
                  <c:v>-15.955456244736361</c:v>
                </c:pt>
                <c:pt idx="378">
                  <c:v>-16.152792685134493</c:v>
                </c:pt>
                <c:pt idx="379">
                  <c:v>-16.350247478908102</c:v>
                </c:pt>
                <c:pt idx="380">
                  <c:v>-16.547815431963787</c:v>
                </c:pt>
                <c:pt idx="381">
                  <c:v>-16.74549157251418</c:v>
                </c:pt>
                <c:pt idx="382">
                  <c:v>-16.943271142055394</c:v>
                </c:pt>
                <c:pt idx="383">
                  <c:v>-17.1411495866667</c:v>
                </c:pt>
                <c:pt idx="384">
                  <c:v>-17.339122548625944</c:v>
                </c:pt>
                <c:pt idx="385">
                  <c:v>-17.53718585833267</c:v>
                </c:pt>
                <c:pt idx="386">
                  <c:v>-17.735335526530044</c:v>
                </c:pt>
                <c:pt idx="387">
                  <c:v>-17.933567736818926</c:v>
                </c:pt>
                <c:pt idx="388">
                  <c:v>-18.131878838454899</c:v>
                </c:pt>
                <c:pt idx="389">
                  <c:v>-18.330265339419732</c:v>
                </c:pt>
                <c:pt idx="390">
                  <c:v>-18.528723899759893</c:v>
                </c:pt>
                <c:pt idx="391">
                  <c:v>-18.727251325184138</c:v>
                </c:pt>
                <c:pt idx="392">
                  <c:v>-18.925844560910345</c:v>
                </c:pt>
                <c:pt idx="393">
                  <c:v>-19.124500685755528</c:v>
                </c:pt>
                <c:pt idx="394">
                  <c:v>-19.323216906459667</c:v>
                </c:pt>
                <c:pt idx="395">
                  <c:v>-19.521990552236588</c:v>
                </c:pt>
                <c:pt idx="396">
                  <c:v>-19.720819069542717</c:v>
                </c:pt>
                <c:pt idx="397">
                  <c:v>-19.919700017057828</c:v>
                </c:pt>
                <c:pt idx="398">
                  <c:v>-20.118631060869024</c:v>
                </c:pt>
                <c:pt idx="399">
                  <c:v>-20.317609969851496</c:v>
                </c:pt>
                <c:pt idx="400">
                  <c:v>-20.516634611238356</c:v>
                </c:pt>
                <c:pt idx="401">
                  <c:v>-20.715702946372989</c:v>
                </c:pt>
                <c:pt idx="402">
                  <c:v>-20.914813026637017</c:v>
                </c:pt>
                <c:pt idx="403">
                  <c:v>-21.113962989547655</c:v>
                </c:pt>
                <c:pt idx="404">
                  <c:v>-21.313151055017126</c:v>
                </c:pt>
                <c:pt idx="405">
                  <c:v>-21.512375521769425</c:v>
                </c:pt>
                <c:pt idx="406">
                  <c:v>-21.711634763906783</c:v>
                </c:pt>
                <c:pt idx="407">
                  <c:v>-21.910927227621038</c:v>
                </c:pt>
                <c:pt idx="408">
                  <c:v>-22.110251428044204</c:v>
                </c:pt>
                <c:pt idx="409">
                  <c:v>-22.30960594623231</c:v>
                </c:pt>
                <c:pt idx="410">
                  <c:v>-22.508989426277335</c:v>
                </c:pt>
                <c:pt idx="411">
                  <c:v>-22.708400572542445</c:v>
                </c:pt>
                <c:pt idx="412">
                  <c:v>-22.90783814701544</c:v>
                </c:pt>
                <c:pt idx="413">
                  <c:v>-23.107300966775234</c:v>
                </c:pt>
                <c:pt idx="414">
                  <c:v>-23.306787901567478</c:v>
                </c:pt>
                <c:pt idx="415">
                  <c:v>-23.506297871484215</c:v>
                </c:pt>
                <c:pt idx="416">
                  <c:v>-23.705829844743768</c:v>
                </c:pt>
                <c:pt idx="417">
                  <c:v>-23.905382835566527</c:v>
                </c:pt>
                <c:pt idx="418">
                  <c:v>-24.104955902142713</c:v>
                </c:pt>
                <c:pt idx="419">
                  <c:v>-24.304548144687985</c:v>
                </c:pt>
                <c:pt idx="420">
                  <c:v>-24.50415870358405</c:v>
                </c:pt>
                <c:pt idx="421">
                  <c:v>-24.703786757599907</c:v>
                </c:pt>
                <c:pt idx="422">
                  <c:v>-24.903431522190157</c:v>
                </c:pt>
                <c:pt idx="423">
                  <c:v>-25.103092247868609</c:v>
                </c:pt>
                <c:pt idx="424">
                  <c:v>-25.302768218651988</c:v>
                </c:pt>
                <c:pt idx="425">
                  <c:v>-25.502458750572217</c:v>
                </c:pt>
                <c:pt idx="426">
                  <c:v>-25.702163190254275</c:v>
                </c:pt>
                <c:pt idx="427">
                  <c:v>-25.901880913555399</c:v>
                </c:pt>
                <c:pt idx="428">
                  <c:v>-26.101611324264869</c:v>
                </c:pt>
                <c:pt idx="429">
                  <c:v>-26.301353852861244</c:v>
                </c:pt>
                <c:pt idx="430">
                  <c:v>-26.501107955323235</c:v>
                </c:pt>
                <c:pt idx="431">
                  <c:v>-26.700873111994163</c:v>
                </c:pt>
                <c:pt idx="432">
                  <c:v>-26.900648826495349</c:v>
                </c:pt>
                <c:pt idx="433">
                  <c:v>-27.100434624688784</c:v>
                </c:pt>
                <c:pt idx="434">
                  <c:v>-27.300230053684423</c:v>
                </c:pt>
                <c:pt idx="435">
                  <c:v>-27.500034680892085</c:v>
                </c:pt>
                <c:pt idx="436">
                  <c:v>-27.6998480931152</c:v>
                </c:pt>
                <c:pt idx="437">
                  <c:v>-27.899669895684571</c:v>
                </c:pt>
                <c:pt idx="438">
                  <c:v>-28.099499711630642</c:v>
                </c:pt>
                <c:pt idx="439">
                  <c:v>-28.299337180892469</c:v>
                </c:pt>
                <c:pt idx="440">
                  <c:v>-28.499181959561618</c:v>
                </c:pt>
                <c:pt idx="441">
                  <c:v>-28.699033719160077</c:v>
                </c:pt>
                <c:pt idx="442">
                  <c:v>-28.89889214594994</c:v>
                </c:pt>
                <c:pt idx="443">
                  <c:v>-29.09875694027361</c:v>
                </c:pt>
                <c:pt idx="444">
                  <c:v>-29.298627815923872</c:v>
                </c:pt>
                <c:pt idx="445">
                  <c:v>-29.498504499541674</c:v>
                </c:pt>
                <c:pt idx="446">
                  <c:v>-29.698386730040653</c:v>
                </c:pt>
                <c:pt idx="447">
                  <c:v>-29.89827425805769</c:v>
                </c:pt>
                <c:pt idx="448">
                  <c:v>-30.098166845427468</c:v>
                </c:pt>
                <c:pt idx="449">
                  <c:v>-30.298064264680828</c:v>
                </c:pt>
                <c:pt idx="450">
                  <c:v>-30.497966298565405</c:v>
                </c:pt>
                <c:pt idx="451">
                  <c:v>-30.697872739587623</c:v>
                </c:pt>
                <c:pt idx="452">
                  <c:v>-30.897783389575121</c:v>
                </c:pt>
                <c:pt idx="453">
                  <c:v>-31.097698059258786</c:v>
                </c:pt>
                <c:pt idx="454">
                  <c:v>-31.297616567873462</c:v>
                </c:pt>
                <c:pt idx="455">
                  <c:v>-31.497538742776598</c:v>
                </c:pt>
                <c:pt idx="456">
                  <c:v>-31.697464419083605</c:v>
                </c:pt>
                <c:pt idx="457">
                  <c:v>-31.897393439319902</c:v>
                </c:pt>
                <c:pt idx="458">
                  <c:v>-32.097325653088362</c:v>
                </c:pt>
                <c:pt idx="459">
                  <c:v>-32.297260916751682</c:v>
                </c:pt>
                <c:pt idx="460">
                  <c:v>-32.49719909312887</c:v>
                </c:pt>
                <c:pt idx="461">
                  <c:v>-32.697140051205537</c:v>
                </c:pt>
                <c:pt idx="462">
                  <c:v>-32.897083665856847</c:v>
                </c:pt>
                <c:pt idx="463">
                  <c:v>-33.097029817583149</c:v>
                </c:pt>
                <c:pt idx="464">
                  <c:v>-33.296978392257508</c:v>
                </c:pt>
                <c:pt idx="465">
                  <c:v>-33.496929280884039</c:v>
                </c:pt>
                <c:pt idx="466">
                  <c:v>-33.696882379367793</c:v>
                </c:pt>
                <c:pt idx="467">
                  <c:v>-33.896837588294503</c:v>
                </c:pt>
                <c:pt idx="468">
                  <c:v>-34.096794812720148</c:v>
                </c:pt>
                <c:pt idx="469">
                  <c:v>-34.296753961970303</c:v>
                </c:pt>
                <c:pt idx="470">
                  <c:v>-34.496714949448155</c:v>
                </c:pt>
                <c:pt idx="471">
                  <c:v>-34.696677692451495</c:v>
                </c:pt>
                <c:pt idx="472">
                  <c:v>-34.896642111997387</c:v>
                </c:pt>
                <c:pt idx="473">
                  <c:v>-35.096608132655284</c:v>
                </c:pt>
                <c:pt idx="474">
                  <c:v>-35.296575682387186</c:v>
                </c:pt>
                <c:pt idx="475">
                  <c:v>-35.496544692395318</c:v>
                </c:pt>
                <c:pt idx="476">
                  <c:v>-35.696515096976285</c:v>
                </c:pt>
                <c:pt idx="477">
                  <c:v>-35.89648683338217</c:v>
                </c:pt>
                <c:pt idx="478">
                  <c:v>-36.096459841687569</c:v>
                </c:pt>
                <c:pt idx="479">
                  <c:v>-36.296434064662655</c:v>
                </c:pt>
                <c:pt idx="480">
                  <c:v>-36.496409447652155</c:v>
                </c:pt>
                <c:pt idx="481">
                  <c:v>-36.696385938459223</c:v>
                </c:pt>
                <c:pt idx="482">
                  <c:v>-36.896363487235476</c:v>
                </c:pt>
                <c:pt idx="483">
                  <c:v>-37.096342046374808</c:v>
                </c:pt>
                <c:pt idx="484">
                  <c:v>-37.296321570413006</c:v>
                </c:pt>
                <c:pt idx="485">
                  <c:v>-37.496302015931164</c:v>
                </c:pt>
                <c:pt idx="486">
                  <c:v>-37.696283341463676</c:v>
                </c:pt>
                <c:pt idx="487">
                  <c:v>-37.896265507410732</c:v>
                </c:pt>
                <c:pt idx="488">
                  <c:v>-38.096248475954056</c:v>
                </c:pt>
                <c:pt idx="489">
                  <c:v>-38.296232210976775</c:v>
                </c:pt>
                <c:pt idx="490">
                  <c:v>-38.49621667798715</c:v>
                </c:pt>
                <c:pt idx="491">
                  <c:v>-38.696201844045277</c:v>
                </c:pt>
                <c:pt idx="492">
                  <c:v>-38.896187677693483</c:v>
                </c:pt>
                <c:pt idx="493">
                  <c:v>-39.096174148889425</c:v>
                </c:pt>
                <c:pt idx="494">
                  <c:v>-39.296161228942509</c:v>
                </c:pt>
                <c:pt idx="495">
                  <c:v>-39.496148890453121</c:v>
                </c:pt>
                <c:pt idx="496">
                  <c:v>-39.696137107254444</c:v>
                </c:pt>
                <c:pt idx="497">
                  <c:v>-39.896125854357209</c:v>
                </c:pt>
                <c:pt idx="498">
                  <c:v>-40.096115107896573</c:v>
                </c:pt>
                <c:pt idx="499">
                  <c:v>-40.296104845081459</c:v>
                </c:pt>
                <c:pt idx="500">
                  <c:v>-40.496095044146486</c:v>
                </c:pt>
                <c:pt idx="501">
                  <c:v>-40.696085684305615</c:v>
                </c:pt>
                <c:pt idx="502">
                  <c:v>-40.896076745708108</c:v>
                </c:pt>
                <c:pt idx="503">
                  <c:v>-41.09606820939662</c:v>
                </c:pt>
                <c:pt idx="504">
                  <c:v>-41.296060057266715</c:v>
                </c:pt>
                <c:pt idx="505">
                  <c:v>-41.496052272028862</c:v>
                </c:pt>
                <c:pt idx="506">
                  <c:v>-41.696044837171357</c:v>
                </c:pt>
                <c:pt idx="507">
                  <c:v>-41.896037736925678</c:v>
                </c:pt>
                <c:pt idx="508">
                  <c:v>-42.096030956232831</c:v>
                </c:pt>
                <c:pt idx="509">
                  <c:v>-42.29602448071158</c:v>
                </c:pt>
                <c:pt idx="510">
                  <c:v>-42.496018296627796</c:v>
                </c:pt>
                <c:pt idx="511">
                  <c:v>-42.696012390865405</c:v>
                </c:pt>
                <c:pt idx="512">
                  <c:v>-42.896006750898536</c:v>
                </c:pt>
                <c:pt idx="513">
                  <c:v>-43.096001364765186</c:v>
                </c:pt>
                <c:pt idx="514">
                  <c:v>-43.295996221041563</c:v>
                </c:pt>
                <c:pt idx="515">
                  <c:v>-43.495991308817949</c:v>
                </c:pt>
                <c:pt idx="516">
                  <c:v>-43.695986617675587</c:v>
                </c:pt>
                <c:pt idx="517">
                  <c:v>-43.895982137664696</c:v>
                </c:pt>
                <c:pt idx="518">
                  <c:v>-44.095977859283231</c:v>
                </c:pt>
                <c:pt idx="519">
                  <c:v>-44.295973773456666</c:v>
                </c:pt>
                <c:pt idx="520">
                  <c:v>-44.495969871518959</c:v>
                </c:pt>
                <c:pt idx="521">
                  <c:v>-44.695966145194205</c:v>
                </c:pt>
                <c:pt idx="522">
                  <c:v>-44.895962586578726</c:v>
                </c:pt>
                <c:pt idx="523">
                  <c:v>-45.095959188124496</c:v>
                </c:pt>
                <c:pt idx="524">
                  <c:v>-45.295955942623408</c:v>
                </c:pt>
                <c:pt idx="525">
                  <c:v>-45.495952843191709</c:v>
                </c:pt>
                <c:pt idx="526">
                  <c:v>-45.695949883255352</c:v>
                </c:pt>
                <c:pt idx="527">
                  <c:v>-45.895947056536279</c:v>
                </c:pt>
                <c:pt idx="528">
                  <c:v>-46.095944357038661</c:v>
                </c:pt>
                <c:pt idx="529">
                  <c:v>-46.29594177903698</c:v>
                </c:pt>
                <c:pt idx="530">
                  <c:v>-46.495939317062984</c:v>
                </c:pt>
                <c:pt idx="531">
                  <c:v>-46.695936965894866</c:v>
                </c:pt>
                <c:pt idx="532">
                  <c:v>-46.895934720545469</c:v>
                </c:pt>
                <c:pt idx="533">
                  <c:v>-47.095932576252395</c:v>
                </c:pt>
                <c:pt idx="534">
                  <c:v>-47.295930528467373</c:v>
                </c:pt>
                <c:pt idx="535">
                  <c:v>-47.495928572847042</c:v>
                </c:pt>
                <c:pt idx="536">
                  <c:v>-47.695926705243259</c:v>
                </c:pt>
                <c:pt idx="537">
                  <c:v>-47.895924921694728</c:v>
                </c:pt>
                <c:pt idx="538">
                  <c:v>-48.095923218418406</c:v>
                </c:pt>
                <c:pt idx="539">
                  <c:v>-48.29592159180158</c:v>
                </c:pt>
                <c:pt idx="540">
                  <c:v>-48.495920038393947</c:v>
                </c:pt>
                <c:pt idx="541">
                  <c:v>-48.695918554900651</c:v>
                </c:pt>
              </c:numCache>
            </c:numRef>
          </c:yVal>
          <c:smooth val="1"/>
          <c:extLst>
            <c:ext xmlns:c16="http://schemas.microsoft.com/office/drawing/2014/chart" uri="{C3380CC4-5D6E-409C-BE32-E72D297353CC}">
              <c16:uniqueId val="{00000000-10B5-49C9-9BB6-6633B6CD1AA0}"/>
            </c:ext>
          </c:extLst>
        </c:ser>
        <c:dLbls>
          <c:showLegendKey val="0"/>
          <c:showVal val="0"/>
          <c:showCatName val="0"/>
          <c:showSerName val="0"/>
          <c:showPercent val="0"/>
          <c:showBubbleSize val="0"/>
        </c:dLbls>
        <c:axId val="555280640"/>
        <c:axId val="365437312"/>
      </c:scatterChart>
      <c:scatterChart>
        <c:scatterStyle val="smoothMarker"/>
        <c:varyColors val="0"/>
        <c:ser>
          <c:idx val="1"/>
          <c:order val="1"/>
          <c:tx>
            <c:v>Phase (Deg)</c:v>
          </c:tx>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Control_Loop_Tables!$BD$19:$BD$560</c:f>
              <c:numCache>
                <c:formatCode>General</c:formatCode>
                <c:ptCount val="542"/>
                <c:pt idx="0">
                  <c:v>95.419387760546726</c:v>
                </c:pt>
                <c:pt idx="1">
                  <c:v>95.544807553699826</c:v>
                </c:pt>
                <c:pt idx="2">
                  <c:v>95.673090999074375</c:v>
                </c:pt>
                <c:pt idx="3">
                  <c:v>95.804300725578031</c:v>
                </c:pt>
                <c:pt idx="4">
                  <c:v>95.938500536315004</c:v>
                </c:pt>
                <c:pt idx="5">
                  <c:v>96.075755416390379</c:v>
                </c:pt>
                <c:pt idx="6">
                  <c:v>96.216131539595636</c:v>
                </c:pt>
                <c:pt idx="7">
                  <c:v>96.359696273864543</c:v>
                </c:pt>
                <c:pt idx="8">
                  <c:v>96.506518185387932</c:v>
                </c:pt>
                <c:pt idx="9">
                  <c:v>96.656667041262494</c:v>
                </c:pt>
                <c:pt idx="10">
                  <c:v>96.810213810544312</c:v>
                </c:pt>
                <c:pt idx="11">
                  <c:v>96.967230663569481</c:v>
                </c:pt>
                <c:pt idx="12">
                  <c:v>97.127790969394326</c:v>
                </c:pt>
                <c:pt idx="13">
                  <c:v>97.291969291199621</c:v>
                </c:pt>
                <c:pt idx="14">
                  <c:v>97.459841379495103</c:v>
                </c:pt>
                <c:pt idx="15">
                  <c:v>97.631484162949647</c:v>
                </c:pt>
                <c:pt idx="16">
                  <c:v>97.806975736662309</c:v>
                </c:pt>
                <c:pt idx="17">
                  <c:v>97.986395347681452</c:v>
                </c:pt>
                <c:pt idx="18">
                  <c:v>98.169823377566814</c:v>
                </c:pt>
                <c:pt idx="19">
                  <c:v>98.357341321778634</c:v>
                </c:pt>
                <c:pt idx="20">
                  <c:v>98.549031765668417</c:v>
                </c:pt>
                <c:pt idx="21">
                  <c:v>98.744978356833343</c:v>
                </c:pt>
                <c:pt idx="22">
                  <c:v>98.945265773585533</c:v>
                </c:pt>
                <c:pt idx="23">
                  <c:v>99.149979689276478</c:v>
                </c:pt>
                <c:pt idx="24">
                  <c:v>99.359206732203219</c:v>
                </c:pt>
                <c:pt idx="25">
                  <c:v>99.573034440815931</c:v>
                </c:pt>
                <c:pt idx="26">
                  <c:v>99.791551213928571</c:v>
                </c:pt>
                <c:pt idx="27">
                  <c:v>100.01484625562965</c:v>
                </c:pt>
                <c:pt idx="28">
                  <c:v>100.24300951457533</c:v>
                </c:pt>
                <c:pt idx="29">
                  <c:v>100.4761316173368</c:v>
                </c:pt>
                <c:pt idx="30">
                  <c:v>100.71430379546611</c:v>
                </c:pt>
                <c:pt idx="31">
                  <c:v>100.95761780593368</c:v>
                </c:pt>
                <c:pt idx="32">
                  <c:v>101.20616584458153</c:v>
                </c:pt>
                <c:pt idx="33">
                  <c:v>101.46004045223249</c:v>
                </c:pt>
                <c:pt idx="34">
                  <c:v>101.71933441308516</c:v>
                </c:pt>
                <c:pt idx="35">
                  <c:v>101.98414064502332</c:v>
                </c:pt>
                <c:pt idx="36">
                  <c:v>102.25455208146417</c:v>
                </c:pt>
                <c:pt idx="37">
                  <c:v>102.53066154436956</c:v>
                </c:pt>
                <c:pt idx="38">
                  <c:v>102.81256160804445</c:v>
                </c:pt>
                <c:pt idx="39">
                  <c:v>103.10034445335401</c:v>
                </c:pt>
                <c:pt idx="40">
                  <c:v>103.39410171199434</c:v>
                </c:pt>
                <c:pt idx="41">
                  <c:v>103.69392430046416</c:v>
                </c:pt>
                <c:pt idx="42">
                  <c:v>103.99990224339948</c:v>
                </c:pt>
                <c:pt idx="43">
                  <c:v>104.31212448594782</c:v>
                </c:pt>
                <c:pt idx="44">
                  <c:v>104.63067869488634</c:v>
                </c:pt>
                <c:pt idx="45">
                  <c:v>104.95565104821128</c:v>
                </c:pt>
                <c:pt idx="46">
                  <c:v>105.28712601295955</c:v>
                </c:pt>
                <c:pt idx="47">
                  <c:v>105.62518611106464</c:v>
                </c:pt>
                <c:pt idx="48">
                  <c:v>105.9699116730895</c:v>
                </c:pt>
                <c:pt idx="49">
                  <c:v>106.32138057973411</c:v>
                </c:pt>
                <c:pt idx="50">
                  <c:v>106.67966799107054</c:v>
                </c:pt>
                <c:pt idx="51">
                  <c:v>107.04484606352595</c:v>
                </c:pt>
                <c:pt idx="52">
                  <c:v>107.4169836547059</c:v>
                </c:pt>
                <c:pt idx="53">
                  <c:v>107.79614601623607</c:v>
                </c:pt>
                <c:pt idx="54">
                  <c:v>108.18239447488097</c:v>
                </c:pt>
                <c:pt idx="55">
                  <c:v>108.57578610230925</c:v>
                </c:pt>
                <c:pt idx="56">
                  <c:v>108.97637337396961</c:v>
                </c:pt>
                <c:pt idx="57">
                  <c:v>109.38420381766822</c:v>
                </c:pt>
                <c:pt idx="58">
                  <c:v>109.79931965255196</c:v>
                </c:pt>
                <c:pt idx="59">
                  <c:v>110.22175741934389</c:v>
                </c:pt>
                <c:pt idx="60">
                  <c:v>110.65154760281051</c:v>
                </c:pt>
                <c:pt idx="61">
                  <c:v>111.08871424758914</c:v>
                </c:pt>
                <c:pt idx="62">
                  <c:v>111.53327456866454</c:v>
                </c:pt>
                <c:pt idx="63">
                  <c:v>111.98523855792916</c:v>
                </c:pt>
                <c:pt idx="64">
                  <c:v>112.44460858844232</c:v>
                </c:pt>
                <c:pt idx="65">
                  <c:v>112.91137901815502</c:v>
                </c:pt>
                <c:pt idx="66">
                  <c:v>113.38553579504656</c:v>
                </c:pt>
                <c:pt idx="67">
                  <c:v>113.86705606578026</c:v>
                </c:pt>
                <c:pt idx="68">
                  <c:v>114.35590779015064</c:v>
                </c:pt>
                <c:pt idx="69">
                  <c:v>114.85204936375827</c:v>
                </c:pt>
                <c:pt idx="70">
                  <c:v>115.35542925149544</c:v>
                </c:pt>
                <c:pt idx="71">
                  <c:v>115.86598563456923</c:v>
                </c:pt>
                <c:pt idx="72">
                  <c:v>116.38364607391543</c:v>
                </c:pt>
                <c:pt idx="73">
                  <c:v>116.90832719296942</c:v>
                </c:pt>
                <c:pt idx="74">
                  <c:v>117.43993438284807</c:v>
                </c:pt>
                <c:pt idx="75">
                  <c:v>117.97836153306692</c:v>
                </c:pt>
                <c:pt idx="76">
                  <c:v>118.52349079095445</c:v>
                </c:pt>
                <c:pt idx="77">
                  <c:v>119.07519235294062</c:v>
                </c:pt>
                <c:pt idx="78">
                  <c:v>119.63332429086957</c:v>
                </c:pt>
                <c:pt idx="79">
                  <c:v>120.19773241643297</c:v>
                </c:pt>
                <c:pt idx="80">
                  <c:v>120.76825018671975</c:v>
                </c:pt>
                <c:pt idx="81">
                  <c:v>121.34469865374447</c:v>
                </c:pt>
                <c:pt idx="82">
                  <c:v>121.92688646063607</c:v>
                </c:pt>
                <c:pt idx="83">
                  <c:v>122.51460988694642</c:v>
                </c:pt>
                <c:pt idx="84">
                  <c:v>123.10765294527108</c:v>
                </c:pt>
                <c:pt idx="85">
                  <c:v>123.70578753106909</c:v>
                </c:pt>
                <c:pt idx="86">
                  <c:v>124.30877362721837</c:v>
                </c:pt>
                <c:pt idx="87">
                  <c:v>124.91635956444705</c:v>
                </c:pt>
                <c:pt idx="88">
                  <c:v>125.52828233836377</c:v>
                </c:pt>
                <c:pt idx="89">
                  <c:v>126.14426798334547</c:v>
                </c:pt>
                <c:pt idx="90">
                  <c:v>126.76403200305585</c:v>
                </c:pt>
                <c:pt idx="91">
                  <c:v>127.38727985685941</c:v>
                </c:pt>
                <c:pt idx="92">
                  <c:v>128.01370750086971</c:v>
                </c:pt>
                <c:pt idx="93">
                  <c:v>128.64300198184569</c:v>
                </c:pt>
                <c:pt idx="94">
                  <c:v>129.27484208160365</c:v>
                </c:pt>
                <c:pt idx="95">
                  <c:v>129.90889900910341</c:v>
                </c:pt>
                <c:pt idx="96">
                  <c:v>130.54483713683891</c:v>
                </c:pt>
                <c:pt idx="97">
                  <c:v>131.18231477769748</c:v>
                </c:pt>
                <c:pt idx="98">
                  <c:v>131.82098499798482</c:v>
                </c:pt>
                <c:pt idx="99">
                  <c:v>132.46049646190653</c:v>
                </c:pt>
                <c:pt idx="100">
                  <c:v>133.1004943024306</c:v>
                </c:pt>
                <c:pt idx="101">
                  <c:v>133.7406210131501</c:v>
                </c:pt>
                <c:pt idx="102">
                  <c:v>134.38051735551019</c:v>
                </c:pt>
                <c:pt idx="103">
                  <c:v>135.0198232755838</c:v>
                </c:pt>
                <c:pt idx="104">
                  <c:v>135.65817882445967</c:v>
                </c:pt>
                <c:pt idx="105">
                  <c:v>136.29522507626919</c:v>
                </c:pt>
                <c:pt idx="106">
                  <c:v>136.93060503789667</c:v>
                </c:pt>
                <c:pt idx="107">
                  <c:v>137.56396454452567</c:v>
                </c:pt>
                <c:pt idx="108">
                  <c:v>138.19495313532809</c:v>
                </c:pt>
                <c:pt idx="109">
                  <c:v>138.8232249038517</c:v>
                </c:pt>
                <c:pt idx="110">
                  <c:v>139.44843931793974</c:v>
                </c:pt>
                <c:pt idx="111">
                  <c:v>140.07026200438682</c:v>
                </c:pt>
                <c:pt idx="112">
                  <c:v>140.68836549391463</c:v>
                </c:pt>
                <c:pt idx="113">
                  <c:v>141.30242992251377</c:v>
                </c:pt>
                <c:pt idx="114">
                  <c:v>141.91214368566327</c:v>
                </c:pt>
                <c:pt idx="115">
                  <c:v>142.51720404244756</c:v>
                </c:pt>
                <c:pt idx="116">
                  <c:v>143.11731766711466</c:v>
                </c:pt>
                <c:pt idx="117">
                  <c:v>143.71220114614863</c:v>
                </c:pt>
                <c:pt idx="118">
                  <c:v>144.30158141946441</c:v>
                </c:pt>
                <c:pt idx="119">
                  <c:v>144.885196164858</c:v>
                </c:pt>
                <c:pt idx="120">
                  <c:v>145.46279412535935</c:v>
                </c:pt>
                <c:pt idx="121">
                  <c:v>146.03413537962754</c:v>
                </c:pt>
                <c:pt idx="122">
                  <c:v>146.59899155599535</c:v>
                </c:pt>
                <c:pt idx="123">
                  <c:v>147.15714599120213</c:v>
                </c:pt>
                <c:pt idx="124">
                  <c:v>147.70839383525612</c:v>
                </c:pt>
                <c:pt idx="125">
                  <c:v>148.25254210422659</c:v>
                </c:pt>
                <c:pt idx="126">
                  <c:v>148.78940968308632</c:v>
                </c:pt>
                <c:pt idx="127">
                  <c:v>149.31882728099743</c:v>
                </c:pt>
                <c:pt idx="128">
                  <c:v>149.84063734167324</c:v>
                </c:pt>
                <c:pt idx="129">
                  <c:v>150.35469391163568</c:v>
                </c:pt>
                <c:pt idx="130">
                  <c:v>150.86086246932939</c:v>
                </c:pt>
                <c:pt idx="131">
                  <c:v>151.35901971817145</c:v>
                </c:pt>
                <c:pt idx="132">
                  <c:v>151.84905334667428</c:v>
                </c:pt>
                <c:pt idx="133">
                  <c:v>152.33086175881286</c:v>
                </c:pt>
                <c:pt idx="134">
                  <c:v>152.80435377780671</c:v>
                </c:pt>
                <c:pt idx="135">
                  <c:v>153.26944832644821</c:v>
                </c:pt>
                <c:pt idx="136">
                  <c:v>153.72607408705707</c:v>
                </c:pt>
                <c:pt idx="137">
                  <c:v>154.17416914404365</c:v>
                </c:pt>
                <c:pt idx="138">
                  <c:v>154.61368061196734</c:v>
                </c:pt>
                <c:pt idx="139">
                  <c:v>155.04456425185069</c:v>
                </c:pt>
                <c:pt idx="140">
                  <c:v>155.46678407836646</c:v>
                </c:pt>
                <c:pt idx="141">
                  <c:v>155.880311960375</c:v>
                </c:pt>
                <c:pt idx="142">
                  <c:v>156.28512721712113</c:v>
                </c:pt>
                <c:pt idx="143">
                  <c:v>156.68121621224574</c:v>
                </c:pt>
                <c:pt idx="144">
                  <c:v>157.0685719475959</c:v>
                </c:pt>
                <c:pt idx="145">
                  <c:v>157.44719365864776</c:v>
                </c:pt>
                <c:pt idx="146">
                  <c:v>157.81708641319494</c:v>
                </c:pt>
                <c:pt idx="147">
                  <c:v>158.17826071478561</c:v>
                </c:pt>
                <c:pt idx="148">
                  <c:v>158.53073211223449</c:v>
                </c:pt>
                <c:pt idx="149">
                  <c:v>158.87452081637963</c:v>
                </c:pt>
                <c:pt idx="150">
                  <c:v>159.20965132510469</c:v>
                </c:pt>
                <c:pt idx="151">
                  <c:v>159.53615205750759</c:v>
                </c:pt>
                <c:pt idx="152">
                  <c:v>159.85405499796053</c:v>
                </c:pt>
                <c:pt idx="153">
                  <c:v>160.16339535068232</c:v>
                </c:pt>
                <c:pt idx="154">
                  <c:v>160.46421120532727</c:v>
                </c:pt>
                <c:pt idx="155">
                  <c:v>160.75654321398335</c:v>
                </c:pt>
                <c:pt idx="156">
                  <c:v>161.04043427987719</c:v>
                </c:pt>
                <c:pt idx="157">
                  <c:v>161.31592925798958</c:v>
                </c:pt>
                <c:pt idx="158">
                  <c:v>161.58307466770052</c:v>
                </c:pt>
                <c:pt idx="159">
                  <c:v>161.84191841751485</c:v>
                </c:pt>
                <c:pt idx="160">
                  <c:v>162.09250954184577</c:v>
                </c:pt>
                <c:pt idx="161">
                  <c:v>162.33489794977856</c:v>
                </c:pt>
                <c:pt idx="162">
                  <c:v>162.56913418568547</c:v>
                </c:pt>
                <c:pt idx="163">
                  <c:v>162.79526920151449</c:v>
                </c:pt>
                <c:pt idx="164">
                  <c:v>163.01335414054017</c:v>
                </c:pt>
                <c:pt idx="165">
                  <c:v>163.22344013232961</c:v>
                </c:pt>
                <c:pt idx="166">
                  <c:v>163.42557809864928</c:v>
                </c:pt>
                <c:pt idx="167">
                  <c:v>163.61981857001831</c:v>
                </c:pt>
                <c:pt idx="168">
                  <c:v>163.80621151259541</c:v>
                </c:pt>
                <c:pt idx="169">
                  <c:v>163.98480616507348</c:v>
                </c:pt>
                <c:pt idx="170">
                  <c:v>164.15565088524713</c:v>
                </c:pt>
                <c:pt idx="171">
                  <c:v>164.31879300591245</c:v>
                </c:pt>
                <c:pt idx="172">
                  <c:v>164.47427869975786</c:v>
                </c:pt>
                <c:pt idx="173">
                  <c:v>164.62215285290006</c:v>
                </c:pt>
                <c:pt idx="174">
                  <c:v>164.76245894673107</c:v>
                </c:pt>
                <c:pt idx="175">
                  <c:v>164.8952389477366</c:v>
                </c:pt>
                <c:pt idx="176">
                  <c:v>165.02053320496316</c:v>
                </c:pt>
                <c:pt idx="177">
                  <c:v>165.13838035481362</c:v>
                </c:pt>
                <c:pt idx="178">
                  <c:v>165.24881723286541</c:v>
                </c:pt>
                <c:pt idx="179">
                  <c:v>165.35187879241417</c:v>
                </c:pt>
                <c:pt idx="180">
                  <c:v>165.44759802946226</c:v>
                </c:pt>
                <c:pt idx="181">
                  <c:v>165.53600591388221</c:v>
                </c:pt>
                <c:pt idx="182">
                  <c:v>165.61713132650186</c:v>
                </c:pt>
                <c:pt idx="183">
                  <c:v>165.69100100187444</c:v>
                </c:pt>
                <c:pt idx="184">
                  <c:v>165.75763947650896</c:v>
                </c:pt>
                <c:pt idx="185">
                  <c:v>165.81706904235853</c:v>
                </c:pt>
                <c:pt idx="186">
                  <c:v>165.86930970537705</c:v>
                </c:pt>
                <c:pt idx="187">
                  <c:v>165.91437914897361</c:v>
                </c:pt>
                <c:pt idx="188">
                  <c:v>165.95229270221259</c:v>
                </c:pt>
                <c:pt idx="189">
                  <c:v>165.9830633126231</c:v>
                </c:pt>
                <c:pt idx="190">
                  <c:v>166.00670152350273</c:v>
                </c:pt>
                <c:pt idx="191">
                  <c:v>166.0232154556152</c:v>
                </c:pt>
                <c:pt idx="192">
                  <c:v>166.03261079320328</c:v>
                </c:pt>
                <c:pt idx="193">
                  <c:v>166.03489077425439</c:v>
                </c:pt>
                <c:pt idx="194">
                  <c:v>166.03005618497622</c:v>
                </c:pt>
                <c:pt idx="195">
                  <c:v>166.01810535845772</c:v>
                </c:pt>
                <c:pt idx="196">
                  <c:v>165.99903417750912</c:v>
                </c:pt>
                <c:pt idx="197">
                  <c:v>165.97283608169454</c:v>
                </c:pt>
                <c:pt idx="198">
                  <c:v>165.93950207858651</c:v>
                </c:pt>
                <c:pt idx="199">
                  <c:v>165.89902075929575</c:v>
                </c:pt>
                <c:pt idx="200">
                  <c:v>165.85137831834001</c:v>
                </c:pt>
                <c:pt idx="201">
                  <c:v>165.79655857794174</c:v>
                </c:pt>
                <c:pt idx="202">
                  <c:v>165.73454301685985</c:v>
                </c:pt>
                <c:pt idx="203">
                  <c:v>165.66531080387688</c:v>
                </c:pt>
                <c:pt idx="204">
                  <c:v>165.58883883608451</c:v>
                </c:pt>
                <c:pt idx="205">
                  <c:v>165.50510178212622</c:v>
                </c:pt>
                <c:pt idx="206">
                  <c:v>165.41407213057431</c:v>
                </c:pt>
                <c:pt idx="207">
                  <c:v>165.31572024363575</c:v>
                </c:pt>
                <c:pt idx="208">
                  <c:v>165.21001441639655</c:v>
                </c:pt>
                <c:pt idx="209">
                  <c:v>165.09692094183535</c:v>
                </c:pt>
                <c:pt idx="210">
                  <c:v>164.97640418184653</c:v>
                </c:pt>
                <c:pt idx="211">
                  <c:v>164.84842664453419</c:v>
                </c:pt>
                <c:pt idx="212">
                  <c:v>164.71294906805008</c:v>
                </c:pt>
                <c:pt idx="213">
                  <c:v>164.56993051126292</c:v>
                </c:pt>
                <c:pt idx="214">
                  <c:v>164.4193284515577</c:v>
                </c:pt>
                <c:pt idx="215">
                  <c:v>164.26109889007759</c:v>
                </c:pt>
                <c:pt idx="216">
                  <c:v>164.09519646473018</c:v>
                </c:pt>
                <c:pt idx="217">
                  <c:v>163.92157457128604</c:v>
                </c:pt>
                <c:pt idx="218">
                  <c:v>163.74018549290653</c:v>
                </c:pt>
                <c:pt idx="219">
                  <c:v>163.5509805384431</c:v>
                </c:pt>
                <c:pt idx="220">
                  <c:v>163.35391018984845</c:v>
                </c:pt>
                <c:pt idx="221">
                  <c:v>163.14892425904259</c:v>
                </c:pt>
                <c:pt idx="222">
                  <c:v>162.93597205457445</c:v>
                </c:pt>
                <c:pt idx="223">
                  <c:v>162.71500255840775</c:v>
                </c:pt>
                <c:pt idx="224">
                  <c:v>162.48596461315572</c:v>
                </c:pt>
                <c:pt idx="225">
                  <c:v>162.24880712006939</c:v>
                </c:pt>
                <c:pt idx="226">
                  <c:v>162.003479248068</c:v>
                </c:pt>
                <c:pt idx="227">
                  <c:v>161.74993065407787</c:v>
                </c:pt>
                <c:pt idx="228">
                  <c:v>161.48811171491212</c:v>
                </c:pt>
                <c:pt idx="229">
                  <c:v>161.21797377089237</c:v>
                </c:pt>
                <c:pt idx="230">
                  <c:v>160.93946938137546</c:v>
                </c:pt>
                <c:pt idx="231">
                  <c:v>160.65255259229195</c:v>
                </c:pt>
                <c:pt idx="232">
                  <c:v>160.35717921576071</c:v>
                </c:pt>
                <c:pt idx="233">
                  <c:v>160.05330712177044</c:v>
                </c:pt>
                <c:pt idx="234">
                  <c:v>159.74089654186076</c:v>
                </c:pt>
                <c:pt idx="235">
                  <c:v>159.41991038464698</c:v>
                </c:pt>
                <c:pt idx="236">
                  <c:v>159.09031456295867</c:v>
                </c:pt>
                <c:pt idx="237">
                  <c:v>158.75207833225721</c:v>
                </c:pt>
                <c:pt idx="238">
                  <c:v>158.40517463990076</c:v>
                </c:pt>
                <c:pt idx="239">
                  <c:v>158.04958048471516</c:v>
                </c:pt>
                <c:pt idx="240">
                  <c:v>157.68527728620089</c:v>
                </c:pt>
                <c:pt idx="241">
                  <c:v>157.31225126258687</c:v>
                </c:pt>
                <c:pt idx="242">
                  <c:v>156.93049381680112</c:v>
                </c:pt>
                <c:pt idx="243">
                  <c:v>156.54000192928206</c:v>
                </c:pt>
                <c:pt idx="244">
                  <c:v>156.1407785564073</c:v>
                </c:pt>
                <c:pt idx="245">
                  <c:v>155.73283303315648</c:v>
                </c:pt>
                <c:pt idx="246">
                  <c:v>155.31618147846703</c:v>
                </c:pt>
                <c:pt idx="247">
                  <c:v>154.89084720156873</c:v>
                </c:pt>
                <c:pt idx="248">
                  <c:v>154.45686110742537</c:v>
                </c:pt>
                <c:pt idx="249">
                  <c:v>154.01426209923423</c:v>
                </c:pt>
                <c:pt idx="250">
                  <c:v>153.56309747577725</c:v>
                </c:pt>
                <c:pt idx="251">
                  <c:v>153.10342332124782</c:v>
                </c:pt>
                <c:pt idx="252">
                  <c:v>152.63530488503028</c:v>
                </c:pt>
                <c:pt idx="253">
                  <c:v>152.15881694875677</c:v>
                </c:pt>
                <c:pt idx="254">
                  <c:v>151.67404417783763</c:v>
                </c:pt>
                <c:pt idx="255">
                  <c:v>151.18108145453965</c:v>
                </c:pt>
                <c:pt idx="256">
                  <c:v>150.68003418959512</c:v>
                </c:pt>
                <c:pt idx="257">
                  <c:v>150.17101860923654</c:v>
                </c:pt>
                <c:pt idx="258">
                  <c:v>149.65416201451089</c:v>
                </c:pt>
                <c:pt idx="259">
                  <c:v>149.12960300969837</c:v>
                </c:pt>
                <c:pt idx="260">
                  <c:v>148.59749169667242</c:v>
                </c:pt>
                <c:pt idx="261">
                  <c:v>148.05798983207785</c:v>
                </c:pt>
                <c:pt idx="262">
                  <c:v>147.51127094429336</c:v>
                </c:pt>
                <c:pt idx="263">
                  <c:v>146.95752040725236</c:v>
                </c:pt>
                <c:pt idx="264">
                  <c:v>146.39693546837304</c:v>
                </c:pt>
                <c:pt idx="265">
                  <c:v>145.82972522804403</c:v>
                </c:pt>
                <c:pt idx="266">
                  <c:v>145.25611056836399</c:v>
                </c:pt>
                <c:pt idx="267">
                  <c:v>144.67632402912557</c:v>
                </c:pt>
                <c:pt idx="268">
                  <c:v>144.0906096293684</c:v>
                </c:pt>
                <c:pt idx="269">
                  <c:v>143.49922263319925</c:v>
                </c:pt>
                <c:pt idx="270">
                  <c:v>142.9024292589919</c:v>
                </c:pt>
                <c:pt idx="271">
                  <c:v>142.3005063315228</c:v>
                </c:pt>
                <c:pt idx="272">
                  <c:v>141.69374087708067</c:v>
                </c:pt>
                <c:pt idx="273">
                  <c:v>141.08242966208064</c:v>
                </c:pt>
                <c:pt idx="274">
                  <c:v>140.46687867624112</c:v>
                </c:pt>
                <c:pt idx="275">
                  <c:v>139.84740256190352</c:v>
                </c:pt>
                <c:pt idx="276">
                  <c:v>139.22432399161522</c:v>
                </c:pt>
                <c:pt idx="277">
                  <c:v>138.59797299662185</c:v>
                </c:pt>
                <c:pt idx="278">
                  <c:v>137.96868624943056</c:v>
                </c:pt>
                <c:pt idx="279">
                  <c:v>137.33680630410771</c:v>
                </c:pt>
                <c:pt idx="280">
                  <c:v>136.70268079843237</c:v>
                </c:pt>
                <c:pt idx="281">
                  <c:v>136.06666162246447</c:v>
                </c:pt>
                <c:pt idx="282">
                  <c:v>135.429104058462</c:v>
                </c:pt>
                <c:pt idx="283">
                  <c:v>134.79036589742137</c:v>
                </c:pt>
                <c:pt idx="284">
                  <c:v>134.15080653778145</c:v>
                </c:pt>
                <c:pt idx="285">
                  <c:v>133.51078607204641</c:v>
                </c:pt>
                <c:pt idx="286">
                  <c:v>132.87066436722435</c:v>
                </c:pt>
                <c:pt idx="287">
                  <c:v>132.23080014504689</c:v>
                </c:pt>
                <c:pt idx="288">
                  <c:v>131.59155006794643</c:v>
                </c:pt>
                <c:pt idx="289">
                  <c:v>130.95326783668395</c:v>
                </c:pt>
                <c:pt idx="290">
                  <c:v>130.31630330538906</c:v>
                </c:pt>
                <c:pt idx="291">
                  <c:v>129.68100161956679</c:v>
                </c:pt>
                <c:pt idx="292">
                  <c:v>129.0477023823421</c:v>
                </c:pt>
                <c:pt idx="293">
                  <c:v>128.41673885390253</c:v>
                </c:pt>
                <c:pt idx="294">
                  <c:v>127.78843718869564</c:v>
                </c:pt>
                <c:pt idx="295">
                  <c:v>127.16311571452803</c:v>
                </c:pt>
                <c:pt idx="296">
                  <c:v>126.54108425723831</c:v>
                </c:pt>
                <c:pt idx="297">
                  <c:v>125.92264351412113</c:v>
                </c:pt>
                <c:pt idx="298">
                  <c:v>125.30808447876711</c:v>
                </c:pt>
                <c:pt idx="299">
                  <c:v>124.69768791945299</c:v>
                </c:pt>
                <c:pt idx="300">
                  <c:v>124.09172391267931</c:v>
                </c:pt>
                <c:pt idx="301">
                  <c:v>123.49045143292894</c:v>
                </c:pt>
                <c:pt idx="302">
                  <c:v>122.89411799919442</c:v>
                </c:pt>
                <c:pt idx="303">
                  <c:v>122.30295937832341</c:v>
                </c:pt>
                <c:pt idx="304">
                  <c:v>121.71719934475625</c:v>
                </c:pt>
                <c:pt idx="305">
                  <c:v>121.13704949577694</c:v>
                </c:pt>
                <c:pt idx="306">
                  <c:v>120.56270912099055</c:v>
                </c:pt>
                <c:pt idx="307">
                  <c:v>119.99436512435992</c:v>
                </c:pt>
                <c:pt idx="308">
                  <c:v>119.43219199680171</c:v>
                </c:pt>
                <c:pt idx="309">
                  <c:v>118.8763518370471</c:v>
                </c:pt>
                <c:pt idx="310">
                  <c:v>118.32699441822288</c:v>
                </c:pt>
                <c:pt idx="311">
                  <c:v>117.78425729740229</c:v>
                </c:pt>
                <c:pt idx="312">
                  <c:v>117.24826596520948</c:v>
                </c:pt>
                <c:pt idx="313">
                  <c:v>116.71913403244308</c:v>
                </c:pt>
                <c:pt idx="314">
                  <c:v>116.19696345059677</c:v>
                </c:pt>
                <c:pt idx="315">
                  <c:v>115.6818447631143</c:v>
                </c:pt>
                <c:pt idx="316">
                  <c:v>115.17385738420319</c:v>
                </c:pt>
                <c:pt idx="317">
                  <c:v>114.67306990205667</c:v>
                </c:pt>
                <c:pt idx="318">
                  <c:v>114.17954040337995</c:v>
                </c:pt>
                <c:pt idx="319">
                  <c:v>113.69331681619784</c:v>
                </c:pt>
                <c:pt idx="320">
                  <c:v>113.21443726801334</c:v>
                </c:pt>
                <c:pt idx="321">
                  <c:v>112.74293045651143</c:v>
                </c:pt>
                <c:pt idx="322">
                  <c:v>112.27881603012806</c:v>
                </c:pt>
                <c:pt idx="323">
                  <c:v>111.82210497595385</c:v>
                </c:pt>
                <c:pt idx="324">
                  <c:v>111.37280001259469</c:v>
                </c:pt>
                <c:pt idx="325">
                  <c:v>110.93089598577713</c:v>
                </c:pt>
                <c:pt idx="326">
                  <c:v>110.49638026464523</c:v>
                </c:pt>
                <c:pt idx="327">
                  <c:v>110.06923313687129</c:v>
                </c:pt>
                <c:pt idx="328">
                  <c:v>109.64942820086556</c:v>
                </c:pt>
                <c:pt idx="329">
                  <c:v>109.23693275353534</c:v>
                </c:pt>
                <c:pt idx="330">
                  <c:v>108.83170817221435</c:v>
                </c:pt>
                <c:pt idx="331">
                  <c:v>108.43371028952622</c:v>
                </c:pt>
                <c:pt idx="332">
                  <c:v>108.04288976011638</c:v>
                </c:pt>
                <c:pt idx="333">
                  <c:v>107.65919241831108</c:v>
                </c:pt>
                <c:pt idx="334">
                  <c:v>107.28255962591916</c:v>
                </c:pt>
                <c:pt idx="335">
                  <c:v>106.91292860950615</c:v>
                </c:pt>
                <c:pt idx="336">
                  <c:v>106.55023278660171</c:v>
                </c:pt>
                <c:pt idx="337">
                  <c:v>106.19440208040723</c:v>
                </c:pt>
                <c:pt idx="338">
                  <c:v>105.8453632226781</c:v>
                </c:pt>
                <c:pt idx="339">
                  <c:v>105.5030400445502</c:v>
                </c:pt>
                <c:pt idx="340">
                  <c:v>105.1673537551641</c:v>
                </c:pt>
                <c:pt idx="341">
                  <c:v>104.83822320802204</c:v>
                </c:pt>
                <c:pt idx="342">
                  <c:v>104.51556515508263</c:v>
                </c:pt>
                <c:pt idx="343">
                  <c:v>104.19929448866031</c:v>
                </c:pt>
                <c:pt idx="344">
                  <c:v>103.88932447125276</c:v>
                </c:pt>
                <c:pt idx="345">
                  <c:v>103.58556695346827</c:v>
                </c:pt>
                <c:pt idx="346">
                  <c:v>103.28793258026805</c:v>
                </c:pt>
                <c:pt idx="347">
                  <c:v>102.99633098577409</c:v>
                </c:pt>
                <c:pt idx="348">
                  <c:v>102.71067097692328</c:v>
                </c:pt>
                <c:pt idx="349">
                  <c:v>102.43086070627567</c:v>
                </c:pt>
                <c:pt idx="350">
                  <c:v>102.15680783430508</c:v>
                </c:pt>
                <c:pt idx="351">
                  <c:v>101.88841968151571</c:v>
                </c:pt>
                <c:pt idx="352">
                  <c:v>101.62560337074255</c:v>
                </c:pt>
                <c:pt idx="353">
                  <c:v>101.36826596000236</c:v>
                </c:pt>
                <c:pt idx="354">
                  <c:v>101.11631456626553</c:v>
                </c:pt>
                <c:pt idx="355">
                  <c:v>100.8696564805273</c:v>
                </c:pt>
                <c:pt idx="356">
                  <c:v>100.62819927455155</c:v>
                </c:pt>
                <c:pt idx="357">
                  <c:v>100.39185089966364</c:v>
                </c:pt>
                <c:pt idx="358">
                  <c:v>100.16051977796174</c:v>
                </c:pt>
                <c:pt idx="359">
                  <c:v>99.934114886315101</c:v>
                </c:pt>
                <c:pt idx="360">
                  <c:v>99.712545833505771</c:v>
                </c:pt>
                <c:pt idx="361">
                  <c:v>99.495722930868283</c:v>
                </c:pt>
                <c:pt idx="362">
                  <c:v>99.28355725676866</c:v>
                </c:pt>
                <c:pt idx="363">
                  <c:v>99.075960715257651</c:v>
                </c:pt>
                <c:pt idx="364">
                  <c:v>98.872846089220616</c:v>
                </c:pt>
                <c:pt idx="365">
                  <c:v>98.674127088338466</c:v>
                </c:pt>
                <c:pt idx="366">
                  <c:v>98.479718392159413</c:v>
                </c:pt>
                <c:pt idx="367">
                  <c:v>98.289535688574617</c:v>
                </c:pt>
                <c:pt idx="368">
                  <c:v>98.103495707974616</c:v>
                </c:pt>
                <c:pt idx="369">
                  <c:v>97.921516253355762</c:v>
                </c:pt>
                <c:pt idx="370">
                  <c:v>97.743516226632394</c:v>
                </c:pt>
                <c:pt idx="371">
                  <c:v>97.569415651398813</c:v>
                </c:pt>
                <c:pt idx="372">
                  <c:v>97.399135692375367</c:v>
                </c:pt>
                <c:pt idx="373">
                  <c:v>97.232598671760755</c:v>
                </c:pt>
                <c:pt idx="374">
                  <c:v>97.069728082701559</c:v>
                </c:pt>
                <c:pt idx="375">
                  <c:v>96.910448600080557</c:v>
                </c:pt>
                <c:pt idx="376">
                  <c:v>96.75468608881333</c:v>
                </c:pt>
                <c:pt idx="377">
                  <c:v>96.602367609834758</c:v>
                </c:pt>
                <c:pt idx="378">
                  <c:v>96.453421423944661</c:v>
                </c:pt>
                <c:pt idx="379">
                  <c:v>96.307776993675404</c:v>
                </c:pt>
                <c:pt idx="380">
                  <c:v>96.165364983332651</c:v>
                </c:pt>
                <c:pt idx="381">
                  <c:v>96.026117257353292</c:v>
                </c:pt>
                <c:pt idx="382">
                  <c:v>95.889966877116095</c:v>
                </c:pt>
                <c:pt idx="383">
                  <c:v>95.756848096331424</c:v>
                </c:pt>
                <c:pt idx="384">
                  <c:v>95.626696355130861</c:v>
                </c:pt>
                <c:pt idx="385">
                  <c:v>95.499448272968337</c:v>
                </c:pt>
                <c:pt idx="386">
                  <c:v>95.37504164043844</c:v>
                </c:pt>
                <c:pt idx="387">
                  <c:v>95.253415410110662</c:v>
                </c:pt>
                <c:pt idx="388">
                  <c:v>95.134509686472242</c:v>
                </c:pt>
                <c:pt idx="389">
                  <c:v>95.018265715066278</c:v>
                </c:pt>
                <c:pt idx="390">
                  <c:v>94.904625870905647</c:v>
                </c:pt>
                <c:pt idx="391">
                  <c:v>94.793533646238814</c:v>
                </c:pt>
                <c:pt idx="392">
                  <c:v>94.684933637737714</c:v>
                </c:pt>
                <c:pt idx="393">
                  <c:v>94.578771533173636</c:v>
                </c:pt>
                <c:pt idx="394">
                  <c:v>94.474994097642423</c:v>
                </c:pt>
                <c:pt idx="395">
                  <c:v>94.373549159394926</c:v>
                </c:pt>
                <c:pt idx="396">
                  <c:v>94.274385595327544</c:v>
                </c:pt>
                <c:pt idx="397">
                  <c:v>94.177453316179978</c:v>
                </c:pt>
                <c:pt idx="398">
                  <c:v>94.082703251487246</c:v>
                </c:pt>
                <c:pt idx="399">
                  <c:v>93.99008733432683</c:v>
                </c:pt>
                <c:pt idx="400">
                  <c:v>93.89955848590148</c:v>
                </c:pt>
                <c:pt idx="401">
                  <c:v>93.81107059999232</c:v>
                </c:pt>
                <c:pt idx="402">
                  <c:v>93.724578527316709</c:v>
                </c:pt>
                <c:pt idx="403">
                  <c:v>93.640038059820682</c:v>
                </c:pt>
                <c:pt idx="404">
                  <c:v>93.557405914934776</c:v>
                </c:pt>
                <c:pt idx="405">
                  <c:v>93.476639719818962</c:v>
                </c:pt>
                <c:pt idx="406">
                  <c:v>93.397697995620547</c:v>
                </c:pt>
                <c:pt idx="407">
                  <c:v>93.320540141767069</c:v>
                </c:pt>
                <c:pt idx="408">
                  <c:v>93.245126420313568</c:v>
                </c:pt>
                <c:pt idx="409">
                  <c:v>93.171417940363185</c:v>
                </c:pt>
                <c:pt idx="410">
                  <c:v>93.099376642577141</c:v>
                </c:pt>
                <c:pt idx="411">
                  <c:v>93.028965283789276</c:v>
                </c:pt>
                <c:pt idx="412">
                  <c:v>92.960147421738796</c:v>
                </c:pt>
                <c:pt idx="413">
                  <c:v>92.892887399933699</c:v>
                </c:pt>
                <c:pt idx="414">
                  <c:v>92.827150332655549</c:v>
                </c:pt>
                <c:pt idx="415">
                  <c:v>92.762902090116015</c:v>
                </c:pt>
                <c:pt idx="416">
                  <c:v>92.700109283773742</c:v>
                </c:pt>
                <c:pt idx="417">
                  <c:v>92.638739251819501</c:v>
                </c:pt>
                <c:pt idx="418">
                  <c:v>92.578760044836628</c:v>
                </c:pt>
                <c:pt idx="419">
                  <c:v>92.520140411642899</c:v>
                </c:pt>
                <c:pt idx="420">
                  <c:v>92.462849785319108</c:v>
                </c:pt>
                <c:pt idx="421">
                  <c:v>92.406858269428866</c:v>
                </c:pt>
                <c:pt idx="422">
                  <c:v>92.352136624433967</c:v>
                </c:pt>
                <c:pt idx="423">
                  <c:v>92.298656254307829</c:v>
                </c:pt>
                <c:pt idx="424">
                  <c:v>92.24638919335068</c:v>
                </c:pt>
                <c:pt idx="425">
                  <c:v>92.195308093208098</c:v>
                </c:pt>
                <c:pt idx="426">
                  <c:v>92.145386210094429</c:v>
                </c:pt>
                <c:pt idx="427">
                  <c:v>92.096597392223174</c:v>
                </c:pt>
                <c:pt idx="428">
                  <c:v>92.048916067444424</c:v>
                </c:pt>
                <c:pt idx="429">
                  <c:v>92.002317231089847</c:v>
                </c:pt>
                <c:pt idx="430">
                  <c:v>91.956776434026011</c:v>
                </c:pt>
                <c:pt idx="431">
                  <c:v>91.912269770914932</c:v>
                </c:pt>
                <c:pt idx="432">
                  <c:v>91.868773868682197</c:v>
                </c:pt>
                <c:pt idx="433">
                  <c:v>91.826265875191183</c:v>
                </c:pt>
                <c:pt idx="434">
                  <c:v>91.784723448122961</c:v>
                </c:pt>
                <c:pt idx="435">
                  <c:v>91.744124744060187</c:v>
                </c:pt>
                <c:pt idx="436">
                  <c:v>91.704448407773953</c:v>
                </c:pt>
                <c:pt idx="437">
                  <c:v>91.66567356171177</c:v>
                </c:pt>
                <c:pt idx="438">
                  <c:v>91.62777979568493</c:v>
                </c:pt>
                <c:pt idx="439">
                  <c:v>91.590747156753437</c:v>
                </c:pt>
                <c:pt idx="440">
                  <c:v>91.554556139306513</c:v>
                </c:pt>
                <c:pt idx="441">
                  <c:v>91.519187675336255</c:v>
                </c:pt>
                <c:pt idx="442">
                  <c:v>91.484623124902583</c:v>
                </c:pt>
                <c:pt idx="443">
                  <c:v>91.45084426678676</c:v>
                </c:pt>
                <c:pt idx="444">
                  <c:v>91.417833289331426</c:v>
                </c:pt>
                <c:pt idx="445">
                  <c:v>91.385572781464276</c:v>
                </c:pt>
                <c:pt idx="446">
                  <c:v>91.354045723903113</c:v>
                </c:pt>
                <c:pt idx="447">
                  <c:v>91.323235480539708</c:v>
                </c:pt>
                <c:pt idx="448">
                  <c:v>91.293125789999408</c:v>
                </c:pt>
                <c:pt idx="449">
                  <c:v>91.263700757374409</c:v>
                </c:pt>
                <c:pt idx="450">
                  <c:v>91.234944846127618</c:v>
                </c:pt>
                <c:pt idx="451">
                  <c:v>91.206842870164309</c:v>
                </c:pt>
                <c:pt idx="452">
                  <c:v>91.179379986069236</c:v>
                </c:pt>
                <c:pt idx="453">
                  <c:v>91.152541685506009</c:v>
                </c:pt>
                <c:pt idx="454">
                  <c:v>91.126313787776269</c:v>
                </c:pt>
                <c:pt idx="455">
                  <c:v>91.10068243253582</c:v>
                </c:pt>
                <c:pt idx="456">
                  <c:v>91.075634072664968</c:v>
                </c:pt>
                <c:pt idx="457">
                  <c:v>91.051155467290343</c:v>
                </c:pt>
                <c:pt idx="458">
                  <c:v>91.027233674955383</c:v>
                </c:pt>
                <c:pt idx="459">
                  <c:v>91.003856046936974</c:v>
                </c:pt>
                <c:pt idx="460">
                  <c:v>90.981010220705315</c:v>
                </c:pt>
                <c:pt idx="461">
                  <c:v>90.958684113524555</c:v>
                </c:pt>
                <c:pt idx="462">
                  <c:v>90.936865916191252</c:v>
                </c:pt>
                <c:pt idx="463">
                  <c:v>90.915544086908383</c:v>
                </c:pt>
                <c:pt idx="464">
                  <c:v>90.894707345292019</c:v>
                </c:pt>
                <c:pt idx="465">
                  <c:v>90.874344666508208</c:v>
                </c:pt>
                <c:pt idx="466">
                  <c:v>90.854445275537472</c:v>
                </c:pt>
                <c:pt idx="467">
                  <c:v>90.834998641564511</c:v>
                </c:pt>
                <c:pt idx="468">
                  <c:v>90.815994472490388</c:v>
                </c:pt>
                <c:pt idx="469">
                  <c:v>90.797422709565097</c:v>
                </c:pt>
                <c:pt idx="470">
                  <c:v>90.779273522137672</c:v>
                </c:pt>
                <c:pt idx="471">
                  <c:v>90.76153730252183</c:v>
                </c:pt>
                <c:pt idx="472">
                  <c:v>90.744204660974617</c:v>
                </c:pt>
                <c:pt idx="473">
                  <c:v>90.727266420785682</c:v>
                </c:pt>
                <c:pt idx="474">
                  <c:v>90.710713613474994</c:v>
                </c:pt>
                <c:pt idx="475">
                  <c:v>90.694537474096876</c:v>
                </c:pt>
                <c:pt idx="476">
                  <c:v>90.678729436647785</c:v>
                </c:pt>
                <c:pt idx="477">
                  <c:v>90.66328112957612</c:v>
                </c:pt>
                <c:pt idx="478">
                  <c:v>90.648184371391494</c:v>
                </c:pt>
                <c:pt idx="479">
                  <c:v>90.633431166371736</c:v>
                </c:pt>
                <c:pt idx="480">
                  <c:v>90.619013700365329</c:v>
                </c:pt>
                <c:pt idx="481">
                  <c:v>90.604924336687276</c:v>
                </c:pt>
                <c:pt idx="482">
                  <c:v>90.591155612106562</c:v>
                </c:pt>
                <c:pt idx="483">
                  <c:v>90.57770023292305</c:v>
                </c:pt>
                <c:pt idx="484">
                  <c:v>90.564551071132058</c:v>
                </c:pt>
                <c:pt idx="485">
                  <c:v>90.551701160674668</c:v>
                </c:pt>
                <c:pt idx="486">
                  <c:v>90.539143693771848</c:v>
                </c:pt>
                <c:pt idx="487">
                  <c:v>90.52687201734075</c:v>
                </c:pt>
                <c:pt idx="488">
                  <c:v>90.51487962949129</c:v>
                </c:pt>
                <c:pt idx="489">
                  <c:v>90.503160176101204</c:v>
                </c:pt>
                <c:pt idx="490">
                  <c:v>90.491707447467988</c:v>
                </c:pt>
                <c:pt idx="491">
                  <c:v>90.480515375036106</c:v>
                </c:pt>
                <c:pt idx="492">
                  <c:v>90.469578028197603</c:v>
                </c:pt>
                <c:pt idx="493">
                  <c:v>90.458889611164665</c:v>
                </c:pt>
                <c:pt idx="494">
                  <c:v>90.448444459912594</c:v>
                </c:pt>
                <c:pt idx="495">
                  <c:v>90.438237039191506</c:v>
                </c:pt>
                <c:pt idx="496">
                  <c:v>90.428261939605349</c:v>
                </c:pt>
                <c:pt idx="497">
                  <c:v>90.418513874756698</c:v>
                </c:pt>
                <c:pt idx="498">
                  <c:v>90.408987678455958</c:v>
                </c:pt>
                <c:pt idx="499">
                  <c:v>90.399678301993433</c:v>
                </c:pt>
                <c:pt idx="500">
                  <c:v>90.390580811473015</c:v>
                </c:pt>
                <c:pt idx="501">
                  <c:v>90.381690385205872</c:v>
                </c:pt>
                <c:pt idx="502">
                  <c:v>90.373002311163233</c:v>
                </c:pt>
                <c:pt idx="503">
                  <c:v>90.364511984486441</c:v>
                </c:pt>
                <c:pt idx="504">
                  <c:v>90.356214905053491</c:v>
                </c:pt>
                <c:pt idx="505">
                  <c:v>90.348106675100368</c:v>
                </c:pt>
                <c:pt idx="506">
                  <c:v>90.340182996896317</c:v>
                </c:pt>
                <c:pt idx="507">
                  <c:v>90.332439670471558</c:v>
                </c:pt>
                <c:pt idx="508">
                  <c:v>90.324872591396499</c:v>
                </c:pt>
                <c:pt idx="509">
                  <c:v>90.317477748611211</c:v>
                </c:pt>
                <c:pt idx="510">
                  <c:v>90.310251222303904</c:v>
                </c:pt>
                <c:pt idx="511">
                  <c:v>90.303189181837553</c:v>
                </c:pt>
                <c:pt idx="512">
                  <c:v>90.296287883723423</c:v>
                </c:pt>
                <c:pt idx="513">
                  <c:v>90.28954366964058</c:v>
                </c:pt>
                <c:pt idx="514">
                  <c:v>90.282952964500097</c:v>
                </c:pt>
                <c:pt idx="515">
                  <c:v>90.276512274553298</c:v>
                </c:pt>
                <c:pt idx="516">
                  <c:v>90.270218185542831</c:v>
                </c:pt>
                <c:pt idx="517">
                  <c:v>90.264067360895552</c:v>
                </c:pt>
                <c:pt idx="518">
                  <c:v>90.258056539956542</c:v>
                </c:pt>
                <c:pt idx="519">
                  <c:v>90.252182536263064</c:v>
                </c:pt>
                <c:pt idx="520">
                  <c:v>90.246442235857756</c:v>
                </c:pt>
                <c:pt idx="521">
                  <c:v>90.24083259563993</c:v>
                </c:pt>
                <c:pt idx="522">
                  <c:v>90.235350641754508</c:v>
                </c:pt>
                <c:pt idx="523">
                  <c:v>90.229993468017284</c:v>
                </c:pt>
                <c:pt idx="524">
                  <c:v>90.224758234376111</c:v>
                </c:pt>
                <c:pt idx="525">
                  <c:v>90.219642165406924</c:v>
                </c:pt>
                <c:pt idx="526">
                  <c:v>90.214642548843884</c:v>
                </c:pt>
                <c:pt idx="527">
                  <c:v>90.209756734142971</c:v>
                </c:pt>
                <c:pt idx="528">
                  <c:v>90.204982131078125</c:v>
                </c:pt>
                <c:pt idx="529">
                  <c:v>90.20031620836933</c:v>
                </c:pt>
                <c:pt idx="530">
                  <c:v>90.195756492341786</c:v>
                </c:pt>
                <c:pt idx="531">
                  <c:v>90.191300565615563</c:v>
                </c:pt>
                <c:pt idx="532">
                  <c:v>90.186946065825069</c:v>
                </c:pt>
                <c:pt idx="533">
                  <c:v>90.182690684367529</c:v>
                </c:pt>
                <c:pt idx="534">
                  <c:v>90.178532165179988</c:v>
                </c:pt>
                <c:pt idx="535">
                  <c:v>90.174468303544032</c:v>
                </c:pt>
                <c:pt idx="536">
                  <c:v>90.170496944917645</c:v>
                </c:pt>
                <c:pt idx="537">
                  <c:v>90.166615983793747</c:v>
                </c:pt>
                <c:pt idx="538">
                  <c:v>90.16282336258449</c:v>
                </c:pt>
                <c:pt idx="539">
                  <c:v>90.159117070531124</c:v>
                </c:pt>
                <c:pt idx="540">
                  <c:v>90.155495142638429</c:v>
                </c:pt>
                <c:pt idx="541">
                  <c:v>90.151955658633526</c:v>
                </c:pt>
              </c:numCache>
            </c:numRef>
          </c:yVal>
          <c:smooth val="1"/>
          <c:extLst>
            <c:ext xmlns:c16="http://schemas.microsoft.com/office/drawing/2014/chart" uri="{C3380CC4-5D6E-409C-BE32-E72D297353CC}">
              <c16:uniqueId val="{00000001-10B5-49C9-9BB6-6633B6CD1AA0}"/>
            </c:ext>
          </c:extLst>
        </c:ser>
        <c:dLbls>
          <c:showLegendKey val="0"/>
          <c:showVal val="0"/>
          <c:showCatName val="0"/>
          <c:showSerName val="0"/>
          <c:showPercent val="0"/>
          <c:showBubbleSize val="0"/>
        </c:dLbls>
        <c:axId val="365441024"/>
        <c:axId val="365439232"/>
      </c:scatterChart>
      <c:valAx>
        <c:axId val="555280640"/>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365437312"/>
        <c:crosses val="autoZero"/>
        <c:crossBetween val="midCat"/>
      </c:valAx>
      <c:valAx>
        <c:axId val="365437312"/>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555280640"/>
        <c:crosses val="autoZero"/>
        <c:crossBetween val="midCat"/>
        <c:majorUnit val="20"/>
        <c:minorUnit val="10"/>
      </c:valAx>
      <c:valAx>
        <c:axId val="365439232"/>
        <c:scaling>
          <c:orientation val="minMax"/>
          <c:max val="180"/>
          <c:min val="-180"/>
        </c:scaling>
        <c:delete val="0"/>
        <c:axPos val="r"/>
        <c:numFmt formatCode="General" sourceLinked="1"/>
        <c:majorTickMark val="out"/>
        <c:minorTickMark val="none"/>
        <c:tickLblPos val="nextTo"/>
        <c:crossAx val="365441024"/>
        <c:crosses val="max"/>
        <c:crossBetween val="midCat"/>
        <c:majorUnit val="90"/>
        <c:minorUnit val="45"/>
      </c:valAx>
      <c:valAx>
        <c:axId val="365441024"/>
        <c:scaling>
          <c:logBase val="10"/>
          <c:orientation val="minMax"/>
        </c:scaling>
        <c:delete val="1"/>
        <c:axPos val="b"/>
        <c:numFmt formatCode="0.00" sourceLinked="1"/>
        <c:majorTickMark val="out"/>
        <c:minorTickMark val="none"/>
        <c:tickLblPos val="nextTo"/>
        <c:crossAx val="365439232"/>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CCM Control Loop Transfer Function</a:t>
            </a:r>
          </a:p>
        </c:rich>
      </c:tx>
      <c:overlay val="0"/>
    </c:title>
    <c:autoTitleDeleted val="0"/>
    <c:plotArea>
      <c:layout/>
      <c:scatterChart>
        <c:scatterStyle val="smoothMarker"/>
        <c:varyColors val="0"/>
        <c:ser>
          <c:idx val="0"/>
          <c:order val="0"/>
          <c:tx>
            <c:v>Gain (dB)</c:v>
          </c:tx>
          <c:spPr>
            <a:ln w="38100">
              <a:solidFill>
                <a:srgbClr val="FF0000"/>
              </a:solidFill>
            </a:ln>
          </c:spPr>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Control_Loop_Tables!$BF$19:$BF$560</c:f>
              <c:numCache>
                <c:formatCode>0.000</c:formatCode>
                <c:ptCount val="542"/>
                <c:pt idx="0">
                  <c:v>50.088812728883518</c:v>
                </c:pt>
                <c:pt idx="1">
                  <c:v>49.889712104724765</c:v>
                </c:pt>
                <c:pt idx="2">
                  <c:v>49.690653231708566</c:v>
                </c:pt>
                <c:pt idx="3">
                  <c:v>49.491638016973653</c:v>
                </c:pt>
                <c:pt idx="4">
                  <c:v>49.292668451808325</c:v>
                </c:pt>
                <c:pt idx="5">
                  <c:v>49.093746615080036</c:v>
                </c:pt>
                <c:pt idx="6">
                  <c:v>48.894874676775004</c:v>
                </c:pt>
                <c:pt idx="7">
                  <c:v>48.696054901653099</c:v>
                </c:pt>
                <c:pt idx="8">
                  <c:v>48.497289653015052</c:v>
                </c:pt>
                <c:pt idx="9">
                  <c:v>48.29858139658252</c:v>
                </c:pt>
                <c:pt idx="10">
                  <c:v>48.099932704493156</c:v>
                </c:pt>
                <c:pt idx="11">
                  <c:v>47.901346259406139</c:v>
                </c:pt>
                <c:pt idx="12">
                  <c:v>47.702824858719694</c:v>
                </c:pt>
                <c:pt idx="13">
                  <c:v>47.504371418898032</c:v>
                </c:pt>
                <c:pt idx="14">
                  <c:v>47.305988979903361</c:v>
                </c:pt>
                <c:pt idx="15">
                  <c:v>47.10768070973149</c:v>
                </c:pt>
                <c:pt idx="16">
                  <c:v>46.909449909046181</c:v>
                </c:pt>
                <c:pt idx="17">
                  <c:v>46.711300015906367</c:v>
                </c:pt>
                <c:pt idx="18">
                  <c:v>46.513234610580426</c:v>
                </c:pt>
                <c:pt idx="19">
                  <c:v>46.315257420440417</c:v>
                </c:pt>
                <c:pt idx="20">
                  <c:v>46.117372324927011</c:v>
                </c:pt>
                <c:pt idx="21">
                  <c:v>45.919583360575665</c:v>
                </c:pt>
                <c:pt idx="22">
                  <c:v>45.721894726092422</c:v>
                </c:pt>
                <c:pt idx="23">
                  <c:v>45.524310787465893</c:v>
                </c:pt>
                <c:pt idx="24">
                  <c:v>45.326836083101512</c:v>
                </c:pt>
                <c:pt idx="25">
                  <c:v>45.129475328960012</c:v>
                </c:pt>
                <c:pt idx="26">
                  <c:v>44.932233423683314</c:v>
                </c:pt>
                <c:pt idx="27">
                  <c:v>44.735115453684806</c:v>
                </c:pt>
                <c:pt idx="28">
                  <c:v>44.538126698182552</c:v>
                </c:pt>
                <c:pt idx="29">
                  <c:v>44.34127263414851</c:v>
                </c:pt>
                <c:pt idx="30">
                  <c:v>44.144558941145689</c:v>
                </c:pt>
                <c:pt idx="31">
                  <c:v>43.947991506022476</c:v>
                </c:pt>
                <c:pt idx="32">
                  <c:v>43.751576427428574</c:v>
                </c:pt>
                <c:pt idx="33">
                  <c:v>43.555320020115772</c:v>
                </c:pt>
                <c:pt idx="34">
                  <c:v>43.359228818983141</c:v>
                </c:pt>
                <c:pt idx="35">
                  <c:v>43.163309582820119</c:v>
                </c:pt>
                <c:pt idx="36">
                  <c:v>42.967569297701601</c:v>
                </c:pt>
                <c:pt idx="37">
                  <c:v>42.772015179980812</c:v>
                </c:pt>
                <c:pt idx="38">
                  <c:v>42.576654678825008</c:v>
                </c:pt>
                <c:pt idx="39">
                  <c:v>42.381495478233042</c:v>
                </c:pt>
                <c:pt idx="40">
                  <c:v>42.186545498469464</c:v>
                </c:pt>
                <c:pt idx="41">
                  <c:v>41.99181289684762</c:v>
                </c:pt>
                <c:pt idx="42">
                  <c:v>41.797306067785755</c:v>
                </c:pt>
                <c:pt idx="43">
                  <c:v>41.603033642061035</c:v>
                </c:pt>
                <c:pt idx="44">
                  <c:v>41.409004485175458</c:v>
                </c:pt>
                <c:pt idx="45">
                  <c:v>41.215227694749792</c:v>
                </c:pt>
                <c:pt idx="46">
                  <c:v>41.021712596852524</c:v>
                </c:pt>
                <c:pt idx="47">
                  <c:v>40.828468741169118</c:v>
                </c:pt>
                <c:pt idx="48">
                  <c:v>40.6355058949122</c:v>
                </c:pt>
                <c:pt idx="49">
                  <c:v>40.442834035370289</c:v>
                </c:pt>
                <c:pt idx="50">
                  <c:v>40.250463340989</c:v>
                </c:pt>
                <c:pt idx="51">
                  <c:v>40.058404180877233</c:v>
                </c:pt>
                <c:pt idx="52">
                  <c:v>39.866667102627261</c:v>
                </c:pt>
                <c:pt idx="53">
                  <c:v>39.675262818338012</c:v>
                </c:pt>
                <c:pt idx="54">
                  <c:v>39.484202188730556</c:v>
                </c:pt>
                <c:pt idx="55">
                  <c:v>39.293496205244082</c:v>
                </c:pt>
                <c:pt idx="56">
                  <c:v>39.1031559700047</c:v>
                </c:pt>
                <c:pt idx="57">
                  <c:v>38.913192673561035</c:v>
                </c:pt>
                <c:pt idx="58">
                  <c:v>38.723617570286386</c:v>
                </c:pt>
                <c:pt idx="59">
                  <c:v>38.534441951352832</c:v>
                </c:pt>
                <c:pt idx="60">
                  <c:v>38.345677115191897</c:v>
                </c:pt>
                <c:pt idx="61">
                  <c:v>38.15733433536608</c:v>
                </c:pt>
                <c:pt idx="62">
                  <c:v>37.969424825786369</c:v>
                </c:pt>
                <c:pt idx="63">
                  <c:v>37.781959703229198</c:v>
                </c:pt>
                <c:pt idx="64">
                  <c:v>37.594949947118501</c:v>
                </c:pt>
                <c:pt idx="65">
                  <c:v>37.408406356562132</c:v>
                </c:pt>
                <c:pt idx="66">
                  <c:v>37.22233950465133</c:v>
                </c:pt>
                <c:pt idx="67">
                  <c:v>37.036759690057004</c:v>
                </c:pt>
                <c:pt idx="68">
                  <c:v>36.851676885985668</c:v>
                </c:pt>
                <c:pt idx="69">
                  <c:v>36.667100686584966</c:v>
                </c:pt>
                <c:pt idx="70">
                  <c:v>36.483040250923423</c:v>
                </c:pt>
                <c:pt idx="71">
                  <c:v>36.299504244703755</c:v>
                </c:pt>
                <c:pt idx="72">
                  <c:v>36.116500779904747</c:v>
                </c:pt>
                <c:pt idx="73">
                  <c:v>35.934037352587858</c:v>
                </c:pt>
                <c:pt idx="74">
                  <c:v>35.752120779144207</c:v>
                </c:pt>
                <c:pt idx="75">
                  <c:v>35.570757131299438</c:v>
                </c:pt>
                <c:pt idx="76">
                  <c:v>35.389951670239064</c:v>
                </c:pt>
                <c:pt idx="77">
                  <c:v>35.209708780255973</c:v>
                </c:pt>
                <c:pt idx="78">
                  <c:v>35.030031902368293</c:v>
                </c:pt>
                <c:pt idx="79">
                  <c:v>34.850923468393965</c:v>
                </c:pt>
                <c:pt idx="80">
                  <c:v>34.672384836010522</c:v>
                </c:pt>
                <c:pt idx="81">
                  <c:v>34.494416225362492</c:v>
                </c:pt>
                <c:pt idx="82">
                  <c:v>34.317016657813738</c:v>
                </c:pt>
                <c:pt idx="83">
                  <c:v>34.14018389746942</c:v>
                </c:pt>
                <c:pt idx="84">
                  <c:v>33.963914396114738</c:v>
                </c:pt>
                <c:pt idx="85">
                  <c:v>33.788203242234658</c:v>
                </c:pt>
                <c:pt idx="86">
                  <c:v>33.613044114785531</c:v>
                </c:pt>
                <c:pt idx="87">
                  <c:v>33.438429242393759</c:v>
                </c:pt>
                <c:pt idx="88">
                  <c:v>33.264349368642769</c:v>
                </c:pt>
                <c:pt idx="89">
                  <c:v>33.09079372409699</c:v>
                </c:pt>
                <c:pt idx="90">
                  <c:v>32.917750005677597</c:v>
                </c:pt>
                <c:pt idx="91">
                  <c:v>32.745204363970409</c:v>
                </c:pt>
                <c:pt idx="92">
                  <c:v>32.573141398993599</c:v>
                </c:pt>
                <c:pt idx="93">
                  <c:v>32.401544164892009</c:v>
                </c:pt>
                <c:pt idx="94">
                  <c:v>32.230394183957301</c:v>
                </c:pt>
                <c:pt idx="95">
                  <c:v>32.059671470287412</c:v>
                </c:pt>
                <c:pt idx="96">
                  <c:v>31.889354563313152</c:v>
                </c:pt>
                <c:pt idx="97">
                  <c:v>31.719420571317883</c:v>
                </c:pt>
                <c:pt idx="98">
                  <c:v>31.54984522497444</c:v>
                </c:pt>
                <c:pt idx="99">
                  <c:v>31.380602940809514</c:v>
                </c:pt>
                <c:pt idx="100">
                  <c:v>31.211666894394096</c:v>
                </c:pt>
                <c:pt idx="101">
                  <c:v>31.043009102941241</c:v>
                </c:pt>
                <c:pt idx="102">
                  <c:v>30.874600516875006</c:v>
                </c:pt>
                <c:pt idx="103">
                  <c:v>30.706411119823429</c:v>
                </c:pt>
                <c:pt idx="104">
                  <c:v>30.5384100363753</c:v>
                </c:pt>
                <c:pt idx="105">
                  <c:v>30.370565646839907</c:v>
                </c:pt>
                <c:pt idx="106">
                  <c:v>30.202845708151386</c:v>
                </c:pt>
                <c:pt idx="107">
                  <c:v>30.035217479976751</c:v>
                </c:pt>
                <c:pt idx="108">
                  <c:v>29.867647855013072</c:v>
                </c:pt>
                <c:pt idx="109">
                  <c:v>29.700103492400316</c:v>
                </c:pt>
                <c:pt idx="110">
                  <c:v>29.532550953131214</c:v>
                </c:pt>
                <c:pt idx="111">
                  <c:v>29.36495683631318</c:v>
                </c:pt>
                <c:pt idx="112">
                  <c:v>29.19728791512339</c:v>
                </c:pt>
                <c:pt idx="113">
                  <c:v>29.029511271301608</c:v>
                </c:pt>
                <c:pt idx="114">
                  <c:v>28.861594427050292</c:v>
                </c:pt>
                <c:pt idx="115">
                  <c:v>28.693505473243583</c:v>
                </c:pt>
                <c:pt idx="116">
                  <c:v>28.525213192903564</c:v>
                </c:pt>
                <c:pt idx="117">
                  <c:v>28.356687178964432</c:v>
                </c:pt>
                <c:pt idx="118">
                  <c:v>28.187897945429562</c:v>
                </c:pt>
                <c:pt idx="119">
                  <c:v>28.018817031111848</c:v>
                </c:pt>
                <c:pt idx="120">
                  <c:v>27.84941709525064</c:v>
                </c:pt>
                <c:pt idx="121">
                  <c:v>27.679672004404857</c:v>
                </c:pt>
                <c:pt idx="122">
                  <c:v>27.509556910134062</c:v>
                </c:pt>
                <c:pt idx="123">
                  <c:v>27.339048317094377</c:v>
                </c:pt>
                <c:pt idx="124">
                  <c:v>27.168124141293667</c:v>
                </c:pt>
                <c:pt idx="125">
                  <c:v>26.996763758364168</c:v>
                </c:pt>
                <c:pt idx="126">
                  <c:v>26.824948041825234</c:v>
                </c:pt>
                <c:pt idx="127">
                  <c:v>26.652659391416297</c:v>
                </c:pt>
                <c:pt idx="128">
                  <c:v>26.479881751679564</c:v>
                </c:pt>
                <c:pt idx="129">
                  <c:v>26.306600621069517</c:v>
                </c:pt>
                <c:pt idx="130">
                  <c:v>26.132803051949331</c:v>
                </c:pt>
                <c:pt idx="131">
                  <c:v>25.958477641910083</c:v>
                </c:pt>
                <c:pt idx="132">
                  <c:v>25.783614516916046</c:v>
                </c:pt>
                <c:pt idx="133">
                  <c:v>25.608205306829767</c:v>
                </c:pt>
                <c:pt idx="134">
                  <c:v>25.43224311392191</c:v>
                </c:pt>
                <c:pt idx="135">
                  <c:v>25.255722474995711</c:v>
                </c:pt>
                <c:pt idx="136">
                  <c:v>25.078639317786671</c:v>
                </c:pt>
                <c:pt idx="137">
                  <c:v>24.900990912305385</c:v>
                </c:pt>
                <c:pt idx="138">
                  <c:v>24.722775817798365</c:v>
                </c:pt>
                <c:pt idx="139">
                  <c:v>24.543993825995784</c:v>
                </c:pt>
                <c:pt idx="140">
                  <c:v>24.364645901301564</c:v>
                </c:pt>
                <c:pt idx="141">
                  <c:v>24.184734118562979</c:v>
                </c:pt>
                <c:pt idx="142">
                  <c:v>24.004261599029235</c:v>
                </c:pt>
                <c:pt idx="143">
                  <c:v>23.823232445080347</c:v>
                </c:pt>
                <c:pt idx="144">
                  <c:v>23.641651674269461</c:v>
                </c:pt>
                <c:pt idx="145">
                  <c:v>23.459525153186107</c:v>
                </c:pt>
                <c:pt idx="146">
                  <c:v>23.276859531607023</c:v>
                </c:pt>
                <c:pt idx="147">
                  <c:v>23.093662177356418</c:v>
                </c:pt>
                <c:pt idx="148">
                  <c:v>22.90994111225984</c:v>
                </c:pt>
                <c:pt idx="149">
                  <c:v>22.725704949526566</c:v>
                </c:pt>
                <c:pt idx="150">
                  <c:v>22.54096283285897</c:v>
                </c:pt>
                <c:pt idx="151">
                  <c:v>22.355724377540959</c:v>
                </c:pt>
                <c:pt idx="152">
                  <c:v>22.169999613721586</c:v>
                </c:pt>
                <c:pt idx="153">
                  <c:v>21.983798932067433</c:v>
                </c:pt>
                <c:pt idx="154">
                  <c:v>21.797133031926506</c:v>
                </c:pt>
                <c:pt idx="155">
                  <c:v>21.610012872108207</c:v>
                </c:pt>
                <c:pt idx="156">
                  <c:v>21.422449624354751</c:v>
                </c:pt>
                <c:pt idx="157">
                  <c:v>21.234454629551035</c:v>
                </c:pt>
                <c:pt idx="158">
                  <c:v>21.046039356692742</c:v>
                </c:pt>
                <c:pt idx="159">
                  <c:v>20.857215364610923</c:v>
                </c:pt>
                <c:pt idx="160">
                  <c:v>20.667994266428764</c:v>
                </c:pt>
                <c:pt idx="161">
                  <c:v>20.478387696709419</c:v>
                </c:pt>
                <c:pt idx="162">
                  <c:v>20.288407281237447</c:v>
                </c:pt>
                <c:pt idx="163">
                  <c:v>20.098064609362204</c:v>
                </c:pt>
                <c:pt idx="164">
                  <c:v>19.907371208822546</c:v>
                </c:pt>
                <c:pt idx="165">
                  <c:v>19.716338522960843</c:v>
                </c:pt>
                <c:pt idx="166">
                  <c:v>19.524977890227369</c:v>
                </c:pt>
                <c:pt idx="167">
                  <c:v>19.333300525870481</c:v>
                </c:pt>
                <c:pt idx="168">
                  <c:v>19.14131750570489</c:v>
                </c:pt>
                <c:pt idx="169">
                  <c:v>18.949039751846534</c:v>
                </c:pt>
                <c:pt idx="170">
                  <c:v>18.756478020299806</c:v>
                </c:pt>
                <c:pt idx="171">
                  <c:v>18.563642890285973</c:v>
                </c:pt>
                <c:pt idx="172">
                  <c:v>18.370544755198331</c:v>
                </c:pt>
                <c:pt idx="173">
                  <c:v>18.177193815072656</c:v>
                </c:pt>
                <c:pt idx="174">
                  <c:v>17.983600070464185</c:v>
                </c:pt>
                <c:pt idx="175">
                  <c:v>17.789773317622362</c:v>
                </c:pt>
                <c:pt idx="176">
                  <c:v>17.595723144860244</c:v>
                </c:pt>
                <c:pt idx="177">
                  <c:v>17.401458930016787</c:v>
                </c:pt>
                <c:pt idx="178">
                  <c:v>17.206989838914673</c:v>
                </c:pt>
                <c:pt idx="179">
                  <c:v>17.012324824719428</c:v>
                </c:pt>
                <c:pt idx="180">
                  <c:v>16.817472628109883</c:v>
                </c:pt>
                <c:pt idx="181">
                  <c:v>16.622441778173965</c:v>
                </c:pt>
                <c:pt idx="182">
                  <c:v>16.427240593946237</c:v>
                </c:pt>
                <c:pt idx="183">
                  <c:v>16.231877186509863</c:v>
                </c:pt>
                <c:pt idx="184">
                  <c:v>16.036359461586322</c:v>
                </c:pt>
                <c:pt idx="185">
                  <c:v>15.840695122542405</c:v>
                </c:pt>
                <c:pt idx="186">
                  <c:v>15.644891673745319</c:v>
                </c:pt>
                <c:pt idx="187">
                  <c:v>15.448956424201034</c:v>
                </c:pt>
                <c:pt idx="188">
                  <c:v>15.252896491413557</c:v>
                </c:pt>
                <c:pt idx="189">
                  <c:v>15.05671880540504</c:v>
                </c:pt>
                <c:pt idx="190">
                  <c:v>14.860430112839575</c:v>
                </c:pt>
                <c:pt idx="191">
                  <c:v>14.66403698119607</c:v>
                </c:pt>
                <c:pt idx="192">
                  <c:v>14.4675458029357</c:v>
                </c:pt>
                <c:pt idx="193">
                  <c:v>14.270962799612906</c:v>
                </c:pt>
                <c:pt idx="194">
                  <c:v>14.074294025879864</c:v>
                </c:pt>
                <c:pt idx="195">
                  <c:v>13.877545373333909</c:v>
                </c:pt>
                <c:pt idx="196">
                  <c:v>13.680722574159621</c:v>
                </c:pt>
                <c:pt idx="197">
                  <c:v>13.483831204518207</c:v>
                </c:pt>
                <c:pt idx="198">
                  <c:v>13.286876687633608</c:v>
                </c:pt>
                <c:pt idx="199">
                  <c:v>13.08986429653039</c:v>
                </c:pt>
                <c:pt idx="200">
                  <c:v>12.892799156371451</c:v>
                </c:pt>
                <c:pt idx="201">
                  <c:v>12.695686246348414</c:v>
                </c:pt>
                <c:pt idx="202">
                  <c:v>12.498530401073877</c:v>
                </c:pt>
                <c:pt idx="203">
                  <c:v>12.30133631142391</c:v>
                </c:pt>
                <c:pt idx="204">
                  <c:v>12.104108524778328</c:v>
                </c:pt>
                <c:pt idx="205">
                  <c:v>11.906851444604625</c:v>
                </c:pt>
                <c:pt idx="206">
                  <c:v>11.709569329329721</c:v>
                </c:pt>
                <c:pt idx="207">
                  <c:v>11.512266290441211</c:v>
                </c:pt>
                <c:pt idx="208">
                  <c:v>11.314946289758673</c:v>
                </c:pt>
                <c:pt idx="209">
                  <c:v>11.117613135813059</c:v>
                </c:pt>
                <c:pt idx="210">
                  <c:v>10.920270479269849</c:v>
                </c:pt>
                <c:pt idx="211">
                  <c:v>10.722921807329458</c:v>
                </c:pt>
                <c:pt idx="212">
                  <c:v>10.525570437037487</c:v>
                </c:pt>
                <c:pt idx="213">
                  <c:v>10.328219507432159</c:v>
                </c:pt>
                <c:pt idx="214">
                  <c:v>10.130871970458662</c:v>
                </c:pt>
                <c:pt idx="215">
                  <c:v>9.9335305805741374</c:v>
                </c:pt>
                <c:pt idx="216">
                  <c:v>9.7361978829686375</c:v>
                </c:pt>
                <c:pt idx="217">
                  <c:v>9.5388762003248431</c:v>
                </c:pt>
                <c:pt idx="218">
                  <c:v>9.3415676180380594</c:v>
                </c:pt>
                <c:pt idx="219">
                  <c:v>9.1442739678201015</c:v>
                </c:pt>
                <c:pt idx="220">
                  <c:v>8.946996809608061</c:v>
                </c:pt>
                <c:pt idx="221">
                  <c:v>8.7497374117025348</c:v>
                </c:pt>
                <c:pt idx="222">
                  <c:v>8.5524967290618665</c:v>
                </c:pt>
                <c:pt idx="223">
                  <c:v>8.3552753796799077</c:v>
                </c:pt>
                <c:pt idx="224">
                  <c:v>8.158073618981831</c:v>
                </c:pt>
                <c:pt idx="225">
                  <c:v>7.9608913121761669</c:v>
                </c:pt>
                <c:pt idx="226">
                  <c:v>7.7637279045087668</c:v>
                </c:pt>
                <c:pt idx="227">
                  <c:v>7.5665823893739255</c:v>
                </c:pt>
                <c:pt idx="228">
                  <c:v>7.369453274246224</c:v>
                </c:pt>
                <c:pt idx="229">
                  <c:v>7.1723385444096337</c:v>
                </c:pt>
                <c:pt idx="230">
                  <c:v>6.9752356244768343</c:v>
                </c:pt>
                <c:pt idx="231">
                  <c:v>6.7781413377050148</c:v>
                </c:pt>
                <c:pt idx="232">
                  <c:v>6.5810518631343928</c:v>
                </c:pt>
                <c:pt idx="233">
                  <c:v>6.3839626905973388</c:v>
                </c:pt>
                <c:pt idx="234">
                  <c:v>6.186868573670492</c:v>
                </c:pt>
                <c:pt idx="235">
                  <c:v>5.9897634806662747</c:v>
                </c:pt>
                <c:pt idx="236">
                  <c:v>5.7926405437917321</c:v>
                </c:pt>
                <c:pt idx="237">
                  <c:v>5.5954920066338705</c:v>
                </c:pt>
                <c:pt idx="238">
                  <c:v>5.3983091701629871</c:v>
                </c:pt>
                <c:pt idx="239">
                  <c:v>5.2010823374866009</c:v>
                </c:pt>
                <c:pt idx="240">
                  <c:v>5.0038007576213577</c:v>
                </c:pt>
                <c:pt idx="241">
                  <c:v>4.8064525685949819</c:v>
                </c:pt>
                <c:pt idx="242">
                  <c:v>4.6090247402329743</c:v>
                </c:pt>
                <c:pt idx="243">
                  <c:v>4.4115030170289264</c:v>
                </c:pt>
                <c:pt idx="244">
                  <c:v>4.2138718615444297</c:v>
                </c:pt>
                <c:pt idx="245">
                  <c:v>4.0161143988297168</c:v>
                </c:pt>
                <c:pt idx="246">
                  <c:v>3.8182123624062783</c:v>
                </c:pt>
                <c:pt idx="247">
                  <c:v>3.6201460423920988</c:v>
                </c:pt>
                <c:pt idx="248">
                  <c:v>3.4218942364024008</c:v>
                </c:pt>
                <c:pt idx="249">
                  <c:v>3.2234342038938331</c:v>
                </c:pt>
                <c:pt idx="250">
                  <c:v>3.024741624662981</c:v>
                </c:pt>
                <c:pt idx="251">
                  <c:v>2.8257905622410635</c:v>
                </c:pt>
                <c:pt idx="252">
                  <c:v>2.6265534329606348</c:v>
                </c:pt>
                <c:pt idx="253">
                  <c:v>2.4270009814849138</c:v>
                </c:pt>
                <c:pt idx="254">
                  <c:v>2.2271022636134727</c:v>
                </c:pt>
                <c:pt idx="255">
                  <c:v>2.0268246371779557</c:v>
                </c:pt>
                <c:pt idx="256">
                  <c:v>1.8261337618433857</c:v>
                </c:pt>
                <c:pt idx="257">
                  <c:v>1.6249936086119749</c:v>
                </c:pt>
                <c:pt idx="258">
                  <c:v>1.4233664798055936</c:v>
                </c:pt>
                <c:pt idx="259">
                  <c:v>1.2212130402622303</c:v>
                </c:pt>
                <c:pt idx="260">
                  <c:v>1.0184923604354408</c:v>
                </c:pt>
                <c:pt idx="261">
                  <c:v>0.81516197201802354</c:v>
                </c:pt>
                <c:pt idx="262">
                  <c:v>0.61117793663960074</c:v>
                </c:pt>
                <c:pt idx="263">
                  <c:v>0.40649492809418186</c:v>
                </c:pt>
                <c:pt idx="264">
                  <c:v>0.20106632845443562</c:v>
                </c:pt>
                <c:pt idx="265">
                  <c:v>-5.1556616867762875E-3</c:v>
                </c:pt>
                <c:pt idx="266">
                  <c:v>-0.21221989873317704</c:v>
                </c:pt>
                <c:pt idx="267">
                  <c:v>-0.42017615738110858</c:v>
                </c:pt>
                <c:pt idx="268">
                  <c:v>-0.62907497786007061</c:v>
                </c:pt>
                <c:pt idx="269">
                  <c:v>-0.83896749943683357</c:v>
                </c:pt>
                <c:pt idx="270">
                  <c:v>-1.0499052806563471</c:v>
                </c:pt>
                <c:pt idx="271">
                  <c:v>-1.2619401069543925</c:v>
                </c:pt>
                <c:pt idx="272">
                  <c:v>-1.4751237864348863</c:v>
                </c:pt>
                <c:pt idx="273">
                  <c:v>-1.6895079347652184</c:v>
                </c:pt>
                <c:pt idx="274">
                  <c:v>-1.9051437502937141</c:v>
                </c:pt>
                <c:pt idx="275">
                  <c:v>-2.1220817806416035</c:v>
                </c:pt>
                <c:pt idx="276">
                  <c:v>-2.3403716821577785</c:v>
                </c:pt>
                <c:pt idx="277">
                  <c:v>-2.5600619737483719</c:v>
                </c:pt>
                <c:pt idx="278">
                  <c:v>-2.7811997867050686</c:v>
                </c:pt>
                <c:pt idx="279">
                  <c:v>-3.0038306122469698</c:v>
                </c:pt>
                <c:pt idx="280">
                  <c:v>-3.2279980485697095</c:v>
                </c:pt>
                <c:pt idx="281">
                  <c:v>-3.4537435492464308</c:v>
                </c:pt>
                <c:pt idx="282">
                  <c:v>-3.6811061748646532</c:v>
                </c:pt>
                <c:pt idx="283">
                  <c:v>-3.9101223497916306</c:v>
                </c:pt>
                <c:pt idx="284">
                  <c:v>-4.140825625954589</c:v>
                </c:pt>
                <c:pt idx="285">
                  <c:v>-4.373246455488208</c:v>
                </c:pt>
                <c:pt idx="286">
                  <c:v>-4.6074119740505335</c:v>
                </c:pt>
                <c:pt idx="287">
                  <c:v>-4.8433457965331934</c:v>
                </c:pt>
                <c:pt idx="288">
                  <c:v>-5.0810678267969163</c:v>
                </c:pt>
                <c:pt idx="289">
                  <c:v>-5.3205940829539191</c:v>
                </c:pt>
                <c:pt idx="290">
                  <c:v>-5.5619365395871441</c:v>
                </c:pt>
                <c:pt idx="291">
                  <c:v>-5.8051029881536191</c:v>
                </c:pt>
                <c:pt idx="292">
                  <c:v>-6.0500969166662273</c:v>
                </c:pt>
                <c:pt idx="293">
                  <c:v>-6.2969174095789304</c:v>
                </c:pt>
                <c:pt idx="294">
                  <c:v>-6.5455590686329588</c:v>
                </c:pt>
                <c:pt idx="295">
                  <c:v>-6.7960119552399725</c:v>
                </c:pt>
                <c:pt idx="296">
                  <c:v>-7.0482615548015701</c:v>
                </c:pt>
                <c:pt idx="297">
                  <c:v>-7.3022887631857278</c:v>
                </c:pt>
                <c:pt idx="298">
                  <c:v>-7.5580698954035705</c:v>
                </c:pt>
                <c:pt idx="299">
                  <c:v>-7.8155767163577501</c:v>
                </c:pt>
                <c:pt idx="300">
                  <c:v>-8.0747764933725144</c:v>
                </c:pt>
                <c:pt idx="301">
                  <c:v>-8.3356320700552207</c:v>
                </c:pt>
                <c:pt idx="302">
                  <c:v>-8.5981019608969689</c:v>
                </c:pt>
                <c:pt idx="303">
                  <c:v>-8.8621404658836092</c:v>
                </c:pt>
                <c:pt idx="304">
                  <c:v>-9.1276978042661838</c:v>
                </c:pt>
                <c:pt idx="305">
                  <c:v>-9.3947202665321434</c:v>
                </c:pt>
                <c:pt idx="306">
                  <c:v>-9.6631503835196426</c:v>
                </c:pt>
                <c:pt idx="307">
                  <c:v>-9.932927111538536</c:v>
                </c:pt>
                <c:pt idx="308">
                  <c:v>-10.203986032288663</c:v>
                </c:pt>
                <c:pt idx="309">
                  <c:v>-10.476259566311271</c:v>
                </c:pt>
                <c:pt idx="310">
                  <c:v>-10.749677198665053</c:v>
                </c:pt>
                <c:pt idx="311">
                  <c:v>-11.024165715485614</c:v>
                </c:pt>
                <c:pt idx="312">
                  <c:v>-11.2996494500642</c:v>
                </c:pt>
                <c:pt idx="313">
                  <c:v>-11.576050537070754</c:v>
                </c:pt>
                <c:pt idx="314">
                  <c:v>-11.853289173542635</c:v>
                </c:pt>
                <c:pt idx="315">
                  <c:v>-12.131283885263265</c:v>
                </c:pt>
                <c:pt idx="316">
                  <c:v>-12.409951797169086</c:v>
                </c:pt>
                <c:pt idx="317">
                  <c:v>-12.689208906437518</c:v>
                </c:pt>
                <c:pt idx="318">
                  <c:v>-12.968970356932317</c:v>
                </c:pt>
                <c:pt idx="319">
                  <c:v>-13.249150713708481</c:v>
                </c:pt>
                <c:pt idx="320">
                  <c:v>-13.529664236310303</c:v>
                </c:pt>
                <c:pt idx="321">
                  <c:v>-13.810425149627418</c:v>
                </c:pt>
                <c:pt idx="322">
                  <c:v>-14.091347911111257</c:v>
                </c:pt>
                <c:pt idx="323">
                  <c:v>-14.37234747319237</c:v>
                </c:pt>
                <c:pt idx="324">
                  <c:v>-14.653339539782323</c:v>
                </c:pt>
                <c:pt idx="325">
                  <c:v>-14.93424081578349</c:v>
                </c:pt>
                <c:pt idx="326">
                  <c:v>-15.21496924858025</c:v>
                </c:pt>
                <c:pt idx="327">
                  <c:v>-15.495444260534001</c:v>
                </c:pt>
                <c:pt idx="328">
                  <c:v>-15.775586971554398</c:v>
                </c:pt>
                <c:pt idx="329">
                  <c:v>-16.055320410879006</c:v>
                </c:pt>
                <c:pt idx="330">
                  <c:v>-16.334569717248154</c:v>
                </c:pt>
                <c:pt idx="331">
                  <c:v>-16.613262326731768</c:v>
                </c:pt>
                <c:pt idx="332">
                  <c:v>-16.891328147526131</c:v>
                </c:pt>
                <c:pt idx="333">
                  <c:v>-17.168699721116351</c:v>
                </c:pt>
                <c:pt idx="334">
                  <c:v>-17.445312369272884</c:v>
                </c:pt>
                <c:pt idx="335">
                  <c:v>-17.721104326433835</c:v>
                </c:pt>
                <c:pt idx="336">
                  <c:v>-17.996016857106238</c:v>
                </c:pt>
                <c:pt idx="337">
                  <c:v>-18.269994358013122</c:v>
                </c:pt>
                <c:pt idx="338">
                  <c:v>-18.54298444479808</c:v>
                </c:pt>
                <c:pt idx="339">
                  <c:v>-18.814938023198966</c:v>
                </c:pt>
                <c:pt idx="340">
                  <c:v>-19.085809344693068</c:v>
                </c:pt>
                <c:pt idx="341">
                  <c:v>-19.355556046716384</c:v>
                </c:pt>
                <c:pt idx="342">
                  <c:v>-19.624139177651728</c:v>
                </c:pt>
                <c:pt idx="343">
                  <c:v>-19.891523206878883</c:v>
                </c:pt>
                <c:pt idx="344">
                  <c:v>-20.157676020269292</c:v>
                </c:pt>
                <c:pt idx="345">
                  <c:v>-20.422568901597455</c:v>
                </c:pt>
                <c:pt idx="346">
                  <c:v>-20.686176500426821</c:v>
                </c:pt>
                <c:pt idx="347">
                  <c:v>-20.948476787102159</c:v>
                </c:pt>
                <c:pt idx="348">
                  <c:v>-21.20945099555794</c:v>
                </c:pt>
                <c:pt idx="349">
                  <c:v>-21.469083554709506</c:v>
                </c:pt>
                <c:pt idx="350">
                  <c:v>-21.727362009256375</c:v>
                </c:pt>
                <c:pt idx="351">
                  <c:v>-21.984276930767717</c:v>
                </c:pt>
                <c:pt idx="352">
                  <c:v>-22.239821819962078</c:v>
                </c:pt>
                <c:pt idx="353">
                  <c:v>-22.493993001118099</c:v>
                </c:pt>
                <c:pt idx="354">
                  <c:v>-22.746789509573663</c:v>
                </c:pt>
                <c:pt idx="355">
                  <c:v>-22.99821297327647</c:v>
                </c:pt>
                <c:pt idx="356">
                  <c:v>-23.248267489349452</c:v>
                </c:pt>
                <c:pt idx="357">
                  <c:v>-23.496959496625148</c:v>
                </c:pt>
                <c:pt idx="358">
                  <c:v>-23.744297645080962</c:v>
                </c:pt>
                <c:pt idx="359">
                  <c:v>-23.990292663083888</c:v>
                </c:pt>
                <c:pt idx="360">
                  <c:v>-24.234957223317011</c:v>
                </c:pt>
                <c:pt idx="361">
                  <c:v>-24.478305808220234</c:v>
                </c:pt>
                <c:pt idx="362">
                  <c:v>-24.720354575730759</c:v>
                </c:pt>
                <c:pt idx="363">
                  <c:v>-24.961121226060538</c:v>
                </c:pt>
                <c:pt idx="364">
                  <c:v>-25.200624870189632</c:v>
                </c:pt>
                <c:pt idx="365">
                  <c:v>-25.43888590069912</c:v>
                </c:pt>
                <c:pt idx="366">
                  <c:v>-25.675925865510525</c:v>
                </c:pt>
                <c:pt idx="367">
                  <c:v>-25.911767345031635</c:v>
                </c:pt>
                <c:pt idx="368">
                  <c:v>-26.146433833156525</c:v>
                </c:pt>
                <c:pt idx="369">
                  <c:v>-26.379949622499225</c:v>
                </c:pt>
                <c:pt idx="370">
                  <c:v>-26.612339694189767</c:v>
                </c:pt>
                <c:pt idx="371">
                  <c:v>-26.843629612496315</c:v>
                </c:pt>
                <c:pt idx="372">
                  <c:v>-27.073845424489733</c:v>
                </c:pt>
                <c:pt idx="373">
                  <c:v>-27.303013564908333</c:v>
                </c:pt>
                <c:pt idx="374">
                  <c:v>-27.531160766337848</c:v>
                </c:pt>
                <c:pt idx="375">
                  <c:v>-27.758313974769703</c:v>
                </c:pt>
                <c:pt idx="376">
                  <c:v>-27.984500270564247</c:v>
                </c:pt>
                <c:pt idx="377">
                  <c:v>-28.209746794804836</c:v>
                </c:pt>
                <c:pt idx="378">
                  <c:v>-28.434080680991364</c:v>
                </c:pt>
                <c:pt idx="379">
                  <c:v>-28.657528991998184</c:v>
                </c:pt>
                <c:pt idx="380">
                  <c:v>-28.88011866218563</c:v>
                </c:pt>
                <c:pt idx="381">
                  <c:v>-29.101876444536966</c:v>
                </c:pt>
                <c:pt idx="382">
                  <c:v>-29.32282886267047</c:v>
                </c:pt>
                <c:pt idx="383">
                  <c:v>-29.543002167558406</c:v>
                </c:pt>
                <c:pt idx="384">
                  <c:v>-29.762422298773593</c:v>
                </c:pt>
                <c:pt idx="385">
                  <c:v>-29.981114850070419</c:v>
                </c:pt>
                <c:pt idx="386">
                  <c:v>-30.19910503910242</c:v>
                </c:pt>
                <c:pt idx="387">
                  <c:v>-30.416417681069817</c:v>
                </c:pt>
                <c:pt idx="388">
                  <c:v>-30.633077166090338</c:v>
                </c:pt>
                <c:pt idx="389">
                  <c:v>-30.849107440081305</c:v>
                </c:pt>
                <c:pt idx="390">
                  <c:v>-31.064531988946207</c:v>
                </c:pt>
                <c:pt idx="391">
                  <c:v>-31.27937382585781</c:v>
                </c:pt>
                <c:pt idx="392">
                  <c:v>-31.493655481433525</c:v>
                </c:pt>
                <c:pt idx="393">
                  <c:v>-31.707398996605161</c:v>
                </c:pt>
                <c:pt idx="394">
                  <c:v>-31.920625917989561</c:v>
                </c:pt>
                <c:pt idx="395">
                  <c:v>-32.133357295573653</c:v>
                </c:pt>
                <c:pt idx="396">
                  <c:v>-32.345613682533426</c:v>
                </c:pt>
                <c:pt idx="397">
                  <c:v>-32.557415137016264</c:v>
                </c:pt>
                <c:pt idx="398">
                  <c:v>-32.768781225722421</c:v>
                </c:pt>
                <c:pt idx="399">
                  <c:v>-32.979731029129901</c:v>
                </c:pt>
                <c:pt idx="400">
                  <c:v>-33.190283148215897</c:v>
                </c:pt>
                <c:pt idx="401">
                  <c:v>-33.400455712536839</c:v>
                </c:pt>
                <c:pt idx="402">
                  <c:v>-33.610266389537856</c:v>
                </c:pt>
                <c:pt idx="403">
                  <c:v>-33.819732394969357</c:v>
                </c:pt>
                <c:pt idx="404">
                  <c:v>-34.028870504298077</c:v>
                </c:pt>
                <c:pt idx="405">
                  <c:v>-34.237697065010153</c:v>
                </c:pt>
                <c:pt idx="406">
                  <c:v>-34.446228009706509</c:v>
                </c:pt>
                <c:pt idx="407">
                  <c:v>-34.654478869904054</c:v>
                </c:pt>
                <c:pt idx="408">
                  <c:v>-34.862464790460891</c:v>
                </c:pt>
                <c:pt idx="409">
                  <c:v>-35.070200544550552</c:v>
                </c:pt>
                <c:pt idx="410">
                  <c:v>-35.277700549118599</c:v>
                </c:pt>
                <c:pt idx="411">
                  <c:v>-35.484978880760998</c:v>
                </c:pt>
                <c:pt idx="412">
                  <c:v>-35.692049291968004</c:v>
                </c:pt>
                <c:pt idx="413">
                  <c:v>-35.898925227686775</c:v>
                </c:pt>
                <c:pt idx="414">
                  <c:v>-36.10561984215807</c:v>
                </c:pt>
                <c:pt idx="415">
                  <c:v>-36.312146015987793</c:v>
                </c:pt>
                <c:pt idx="416">
                  <c:v>-36.518516373422678</c:v>
                </c:pt>
                <c:pt idx="417">
                  <c:v>-36.724743299798071</c:v>
                </c:pt>
                <c:pt idx="418">
                  <c:v>-36.930838959135606</c:v>
                </c:pt>
                <c:pt idx="419">
                  <c:v>-37.136815311867302</c:v>
                </c:pt>
                <c:pt idx="420">
                  <c:v>-37.34268413267128</c:v>
                </c:pt>
                <c:pt idx="421">
                  <c:v>-37.548457028403533</c:v>
                </c:pt>
                <c:pt idx="422">
                  <c:v>-37.754145456114642</c:v>
                </c:pt>
                <c:pt idx="423">
                  <c:v>-37.959760741143363</c:v>
                </c:pt>
                <c:pt idx="424">
                  <c:v>-38.165314095282035</c:v>
                </c:pt>
                <c:pt idx="425">
                  <c:v>-38.370816635008993</c:v>
                </c:pt>
                <c:pt idx="426">
                  <c:v>-38.576279399787367</c:v>
                </c:pt>
                <c:pt idx="427">
                  <c:v>-38.781713370428925</c:v>
                </c:pt>
                <c:pt idx="428">
                  <c:v>-38.987129487526929</c:v>
                </c:pt>
                <c:pt idx="429">
                  <c:v>-39.192538669959795</c:v>
                </c:pt>
                <c:pt idx="430">
                  <c:v>-39.397951833468319</c:v>
                </c:pt>
                <c:pt idx="431">
                  <c:v>-39.603379909314789</c:v>
                </c:pt>
                <c:pt idx="432">
                  <c:v>-39.808833863026472</c:v>
                </c:pt>
                <c:pt idx="433">
                  <c:v>-40.014324713232114</c:v>
                </c:pt>
                <c:pt idx="434">
                  <c:v>-40.219863550596521</c:v>
                </c:pt>
                <c:pt idx="435">
                  <c:v>-40.425461556860625</c:v>
                </c:pt>
                <c:pt idx="436">
                  <c:v>-40.631130023993791</c:v>
                </c:pt>
                <c:pt idx="437">
                  <c:v>-40.836880373463899</c:v>
                </c:pt>
                <c:pt idx="438">
                  <c:v>-41.042724175631662</c:v>
                </c:pt>
                <c:pt idx="439">
                  <c:v>-41.248673169274461</c:v>
                </c:pt>
                <c:pt idx="440">
                  <c:v>-41.454739281243036</c:v>
                </c:pt>
                <c:pt idx="441">
                  <c:v>-41.660934646255797</c:v>
                </c:pt>
                <c:pt idx="442">
                  <c:v>-41.867271626830274</c:v>
                </c:pt>
                <c:pt idx="443">
                  <c:v>-42.073762833354174</c:v>
                </c:pt>
                <c:pt idx="444">
                  <c:v>-42.280421144292959</c:v>
                </c:pt>
                <c:pt idx="445">
                  <c:v>-42.487259726531448</c:v>
                </c:pt>
                <c:pt idx="446">
                  <c:v>-42.694292055842212</c:v>
                </c:pt>
                <c:pt idx="447">
                  <c:v>-42.901531937474388</c:v>
                </c:pt>
                <c:pt idx="448">
                  <c:v>-43.108993526849027</c:v>
                </c:pt>
                <c:pt idx="449">
                  <c:v>-43.316691350348322</c:v>
                </c:pt>
                <c:pt idx="450">
                  <c:v>-43.524640326181355</c:v>
                </c:pt>
                <c:pt idx="451">
                  <c:v>-43.732855785302959</c:v>
                </c:pt>
                <c:pt idx="452">
                  <c:v>-43.941353492361941</c:v>
                </c:pt>
                <c:pt idx="453">
                  <c:v>-44.150149666647295</c:v>
                </c:pt>
                <c:pt idx="454">
                  <c:v>-44.359261002999844</c:v>
                </c:pt>
                <c:pt idx="455">
                  <c:v>-44.56870469264728</c:v>
                </c:pt>
                <c:pt idx="456">
                  <c:v>-44.77849844391919</c:v>
                </c:pt>
                <c:pt idx="457">
                  <c:v>-44.988660502791681</c:v>
                </c:pt>
                <c:pt idx="458">
                  <c:v>-45.199209673203242</c:v>
                </c:pt>
                <c:pt idx="459">
                  <c:v>-45.410165337080699</c:v>
                </c:pt>
                <c:pt idx="460">
                  <c:v>-45.621547474003386</c:v>
                </c:pt>
                <c:pt idx="461">
                  <c:v>-45.833376680430831</c:v>
                </c:pt>
                <c:pt idx="462">
                  <c:v>-46.045674188406778</c:v>
                </c:pt>
                <c:pt idx="463">
                  <c:v>-46.258461883650696</c:v>
                </c:pt>
                <c:pt idx="464">
                  <c:v>-46.471762322934566</c:v>
                </c:pt>
                <c:pt idx="465">
                  <c:v>-46.685598750636885</c:v>
                </c:pt>
                <c:pt idx="466">
                  <c:v>-46.899995114359363</c:v>
                </c:pt>
                <c:pt idx="467">
                  <c:v>-47.114976079479433</c:v>
                </c:pt>
                <c:pt idx="468">
                  <c:v>-47.330567042504825</c:v>
                </c:pt>
                <c:pt idx="469">
                  <c:v>-47.546794143090253</c:v>
                </c:pt>
                <c:pt idx="470">
                  <c:v>-47.763684274563722</c:v>
                </c:pt>
                <c:pt idx="471">
                  <c:v>-47.98126509280435</c:v>
                </c:pt>
                <c:pt idx="472">
                  <c:v>-48.199565023303933</c:v>
                </c:pt>
                <c:pt idx="473">
                  <c:v>-48.41861326623922</c:v>
                </c:pt>
                <c:pt idx="474">
                  <c:v>-48.638439799372108</c:v>
                </c:pt>
                <c:pt idx="475">
                  <c:v>-48.859075378589125</c:v>
                </c:pt>
                <c:pt idx="476">
                  <c:v>-49.080551535888247</c:v>
                </c:pt>
                <c:pt idx="477">
                  <c:v>-49.302900574613147</c:v>
                </c:pt>
                <c:pt idx="478">
                  <c:v>-49.526155561733546</c:v>
                </c:pt>
                <c:pt idx="479">
                  <c:v>-49.750350316967513</c:v>
                </c:pt>
                <c:pt idx="480">
                  <c:v>-49.975519398542836</c:v>
                </c:pt>
                <c:pt idx="481">
                  <c:v>-50.201698085392351</c:v>
                </c:pt>
                <c:pt idx="482">
                  <c:v>-50.428922355584966</c:v>
                </c:pt>
                <c:pt idx="483">
                  <c:v>-50.657228860797183</c:v>
                </c:pt>
                <c:pt idx="484">
                  <c:v>-50.886654896639875</c:v>
                </c:pt>
                <c:pt idx="485">
                  <c:v>-51.11723836866355</c:v>
                </c:pt>
                <c:pt idx="486">
                  <c:v>-51.349017753879728</c:v>
                </c:pt>
                <c:pt idx="487">
                  <c:v>-51.582032057653812</c:v>
                </c:pt>
                <c:pt idx="488">
                  <c:v>-51.816320765840153</c:v>
                </c:pt>
                <c:pt idx="489">
                  <c:v>-52.051923792058538</c:v>
                </c:pt>
                <c:pt idx="490">
                  <c:v>-52.288881420032645</c:v>
                </c:pt>
                <c:pt idx="491">
                  <c:v>-52.52723424094296</c:v>
                </c:pt>
                <c:pt idx="492">
                  <c:v>-52.767023085779869</c:v>
                </c:pt>
                <c:pt idx="493">
                  <c:v>-53.008288952717059</c:v>
                </c:pt>
                <c:pt idx="494">
                  <c:v>-53.251072929567613</c:v>
                </c:pt>
                <c:pt idx="495">
                  <c:v>-53.495416111426422</c:v>
                </c:pt>
                <c:pt idx="496">
                  <c:v>-53.741359513647311</c:v>
                </c:pt>
                <c:pt idx="497">
                  <c:v>-53.988943980354236</c:v>
                </c:pt>
                <c:pt idx="498">
                  <c:v>-54.238210088732401</c:v>
                </c:pt>
                <c:pt idx="499">
                  <c:v>-54.489198049398915</c:v>
                </c:pt>
                <c:pt idx="500">
                  <c:v>-54.74194760320627</c:v>
                </c:pt>
                <c:pt idx="501">
                  <c:v>-54.996497914881203</c:v>
                </c:pt>
                <c:pt idx="502">
                  <c:v>-55.252887463958793</c:v>
                </c:pt>
                <c:pt idx="503">
                  <c:v>-55.511153933519928</c:v>
                </c:pt>
                <c:pt idx="504">
                  <c:v>-55.771334097289724</c:v>
                </c:pt>
                <c:pt idx="505">
                  <c:v>-56.03346370570469</c:v>
                </c:pt>
                <c:pt idx="506">
                  <c:v>-56.297577371593093</c:v>
                </c:pt>
                <c:pt idx="507">
                  <c:v>-56.563708456157698</c:v>
                </c:pt>
                <c:pt idx="508">
                  <c:v>-56.831888955977803</c:v>
                </c:pt>
                <c:pt idx="509">
                  <c:v>-57.102149391775484</c:v>
                </c:pt>
                <c:pt idx="510">
                  <c:v>-57.37451869970991</c:v>
                </c:pt>
                <c:pt idx="511">
                  <c:v>-57.649024125973689</c:v>
                </c:pt>
                <c:pt idx="512">
                  <c:v>-57.92569112546871</c:v>
                </c:pt>
                <c:pt idx="513">
                  <c:v>-58.204543265330599</c:v>
                </c:pt>
                <c:pt idx="514">
                  <c:v>-58.485602134056343</c:v>
                </c:pt>
                <c:pt idx="515">
                  <c:v>-58.768887256962536</c:v>
                </c:pt>
                <c:pt idx="516">
                  <c:v>-59.054416018668185</c:v>
                </c:pt>
                <c:pt idx="517">
                  <c:v>-59.342203593249579</c:v>
                </c:pt>
                <c:pt idx="518">
                  <c:v>-59.632262882661024</c:v>
                </c:pt>
                <c:pt idx="519">
                  <c:v>-59.924604463955447</c:v>
                </c:pt>
                <c:pt idx="520">
                  <c:v>-60.219236545765767</c:v>
                </c:pt>
                <c:pt idx="521">
                  <c:v>-60.516164934433334</c:v>
                </c:pt>
                <c:pt idx="522">
                  <c:v>-60.815393010085764</c:v>
                </c:pt>
                <c:pt idx="523">
                  <c:v>-61.116921712880341</c:v>
                </c:pt>
                <c:pt idx="524">
                  <c:v>-61.42074953953977</c:v>
                </c:pt>
                <c:pt idx="525">
                  <c:v>-61.726872550210388</c:v>
                </c:pt>
                <c:pt idx="526">
                  <c:v>-62.035284385585577</c:v>
                </c:pt>
                <c:pt idx="527">
                  <c:v>-62.345976294141686</c:v>
                </c:pt>
                <c:pt idx="528">
                  <c:v>-62.658937169244609</c:v>
                </c:pt>
                <c:pt idx="529">
                  <c:v>-62.97415359580188</c:v>
                </c:pt>
                <c:pt idx="530">
                  <c:v>-63.29160990604808</c:v>
                </c:pt>
                <c:pt idx="531">
                  <c:v>-63.611288243985399</c:v>
                </c:pt>
                <c:pt idx="532">
                  <c:v>-63.933168637923963</c:v>
                </c:pt>
                <c:pt idx="533">
                  <c:v>-64.257229080515131</c:v>
                </c:pt>
                <c:pt idx="534">
                  <c:v>-64.583445615613357</c:v>
                </c:pt>
                <c:pt idx="535">
                  <c:v>-64.911792431265042</c:v>
                </c:pt>
                <c:pt idx="536">
                  <c:v>-65.242241958086169</c:v>
                </c:pt>
                <c:pt idx="537">
                  <c:v>-65.574764972273428</c:v>
                </c:pt>
                <c:pt idx="538">
                  <c:v>-65.909330702472289</c:v>
                </c:pt>
                <c:pt idx="539">
                  <c:v>-66.245906939729821</c:v>
                </c:pt>
                <c:pt idx="540">
                  <c:v>-66.584460149757859</c:v>
                </c:pt>
                <c:pt idx="541">
                  <c:v>-66.924955586752091</c:v>
                </c:pt>
              </c:numCache>
            </c:numRef>
          </c:yVal>
          <c:smooth val="1"/>
          <c:extLst>
            <c:ext xmlns:c16="http://schemas.microsoft.com/office/drawing/2014/chart" uri="{C3380CC4-5D6E-409C-BE32-E72D297353CC}">
              <c16:uniqueId val="{00000000-A13D-4DDF-8712-0E4D219187A5}"/>
            </c:ext>
          </c:extLst>
        </c:ser>
        <c:dLbls>
          <c:showLegendKey val="0"/>
          <c:showVal val="0"/>
          <c:showCatName val="0"/>
          <c:showSerName val="0"/>
          <c:showPercent val="0"/>
          <c:showBubbleSize val="0"/>
        </c:dLbls>
        <c:axId val="365455232"/>
        <c:axId val="365465600"/>
      </c:scatterChart>
      <c:scatterChart>
        <c:scatterStyle val="smoothMarker"/>
        <c:varyColors val="0"/>
        <c:ser>
          <c:idx val="1"/>
          <c:order val="1"/>
          <c:tx>
            <c:v>Phase (deg)</c:v>
          </c:tx>
          <c:spPr>
            <a:ln w="38100">
              <a:solidFill>
                <a:schemeClr val="tx1">
                  <a:lumMod val="95000"/>
                  <a:lumOff val="5000"/>
                </a:schemeClr>
              </a:solidFill>
              <a:prstDash val="sysDash"/>
            </a:ln>
          </c:spPr>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Control_Loop_Tables!$BG$19:$BG$560</c:f>
              <c:numCache>
                <c:formatCode>General</c:formatCode>
                <c:ptCount val="542"/>
                <c:pt idx="0">
                  <c:v>91.470838711691101</c:v>
                </c:pt>
                <c:pt idx="1">
                  <c:v>91.504591547402327</c:v>
                </c:pt>
                <c:pt idx="2">
                  <c:v>91.539094671682236</c:v>
                </c:pt>
                <c:pt idx="3">
                  <c:v>91.574363037352242</c:v>
                </c:pt>
                <c:pt idx="4">
                  <c:v>91.610411770457546</c:v>
                </c:pt>
                <c:pt idx="5">
                  <c:v>91.647256162428206</c:v>
                </c:pt>
                <c:pt idx="6">
                  <c:v>91.684911661286051</c:v>
                </c:pt>
                <c:pt idx="7">
                  <c:v>91.72339386182631</c:v>
                </c:pt>
                <c:pt idx="8">
                  <c:v>91.762718494704814</c:v>
                </c:pt>
                <c:pt idx="9">
                  <c:v>91.802901414351652</c:v>
                </c:pt>
                <c:pt idx="10">
                  <c:v>91.843958585631739</c:v>
                </c:pt>
                <c:pt idx="11">
                  <c:v>91.885906069167959</c:v>
                </c:pt>
                <c:pt idx="12">
                  <c:v>91.928760005236711</c:v>
                </c:pt>
                <c:pt idx="13">
                  <c:v>91.972536596141936</c:v>
                </c:pt>
                <c:pt idx="14">
                  <c:v>92.017252086970345</c:v>
                </c:pt>
                <c:pt idx="15">
                  <c:v>92.062922744623691</c:v>
                </c:pt>
                <c:pt idx="16">
                  <c:v>92.109564835020663</c:v>
                </c:pt>
                <c:pt idx="17">
                  <c:v>92.157194598355588</c:v>
                </c:pt>
                <c:pt idx="18">
                  <c:v>92.205828222297427</c:v>
                </c:pt>
                <c:pt idx="19">
                  <c:v>92.255481813006057</c:v>
                </c:pt>
                <c:pt idx="20">
                  <c:v>92.30617136383934</c:v>
                </c:pt>
                <c:pt idx="21">
                  <c:v>92.357912721619982</c:v>
                </c:pt>
                <c:pt idx="22">
                  <c:v>92.410721550326727</c:v>
                </c:pt>
                <c:pt idx="23">
                  <c:v>92.464613292069757</c:v>
                </c:pt>
                <c:pt idx="24">
                  <c:v>92.519603125206217</c:v>
                </c:pt>
                <c:pt idx="25">
                  <c:v>92.575705919450982</c:v>
                </c:pt>
                <c:pt idx="26">
                  <c:v>92.6329361878295</c:v>
                </c:pt>
                <c:pt idx="27">
                  <c:v>92.691308035322592</c:v>
                </c:pt>
                <c:pt idx="28">
                  <c:v>92.750835104048193</c:v>
                </c:pt>
                <c:pt idx="29">
                  <c:v>92.811530514824028</c:v>
                </c:pt>
                <c:pt idx="30">
                  <c:v>92.873406804955948</c:v>
                </c:pt>
                <c:pt idx="31">
                  <c:v>92.936475862098703</c:v>
                </c:pt>
                <c:pt idx="32">
                  <c:v>93.000748854033716</c:v>
                </c:pt>
                <c:pt idx="33">
                  <c:v>93.066236154216995</c:v>
                </c:pt>
                <c:pt idx="34">
                  <c:v>93.132947262951717</c:v>
                </c:pt>
                <c:pt idx="35">
                  <c:v>93.200890724047525</c:v>
                </c:pt>
                <c:pt idx="36">
                  <c:v>93.270074036838594</c:v>
                </c:pt>
                <c:pt idx="37">
                  <c:v>93.340503563440535</c:v>
                </c:pt>
                <c:pt idx="38">
                  <c:v>93.412184431140531</c:v>
                </c:pt>
                <c:pt idx="39">
                  <c:v>93.485120429832534</c:v>
                </c:pt>
                <c:pt idx="40">
                  <c:v>93.559313904424059</c:v>
                </c:pt>
                <c:pt idx="41">
                  <c:v>93.634765642165149</c:v>
                </c:pt>
                <c:pt idx="42">
                  <c:v>93.711474754875709</c:v>
                </c:pt>
                <c:pt idx="43">
                  <c:v>93.789438556073719</c:v>
                </c:pt>
                <c:pt idx="44">
                  <c:v>93.868652433040879</c:v>
                </c:pt>
                <c:pt idx="45">
                  <c:v>93.949109713899517</c:v>
                </c:pt>
                <c:pt idx="46">
                  <c:v>94.030801529813687</c:v>
                </c:pt>
                <c:pt idx="47">
                  <c:v>94.113716672475533</c:v>
                </c:pt>
                <c:pt idx="48">
                  <c:v>94.197841447089246</c:v>
                </c:pt>
                <c:pt idx="49">
                  <c:v>94.283159521117057</c:v>
                </c:pt>
                <c:pt idx="50">
                  <c:v>94.369651769119173</c:v>
                </c:pt>
                <c:pt idx="51">
                  <c:v>94.457296114080265</c:v>
                </c:pt>
                <c:pt idx="52">
                  <c:v>94.546067365692949</c:v>
                </c:pt>
                <c:pt idx="53">
                  <c:v>94.635937056143746</c:v>
                </c:pt>
                <c:pt idx="54">
                  <c:v>94.726873274028108</c:v>
                </c:pt>
                <c:pt idx="55">
                  <c:v>94.818840497117932</c:v>
                </c:pt>
                <c:pt idx="56">
                  <c:v>94.91179942478766</c:v>
                </c:pt>
                <c:pt idx="57">
                  <c:v>95.005706811013823</c:v>
                </c:pt>
                <c:pt idx="58">
                  <c:v>95.100515298957831</c:v>
                </c:pt>
                <c:pt idx="59">
                  <c:v>95.196173258252941</c:v>
                </c:pt>
                <c:pt idx="60">
                  <c:v>95.292624626221269</c:v>
                </c:pt>
                <c:pt idx="61">
                  <c:v>95.389808754358157</c:v>
                </c:pt>
                <c:pt idx="62">
                  <c:v>95.487660261536902</c:v>
                </c:pt>
                <c:pt idx="63">
                  <c:v>95.586108895483306</c:v>
                </c:pt>
                <c:pt idx="64">
                  <c:v>95.685079404193829</c:v>
                </c:pt>
                <c:pt idx="65">
                  <c:v>95.784491419060018</c:v>
                </c:pt>
                <c:pt idx="66">
                  <c:v>95.884259351564893</c:v>
                </c:pt>
                <c:pt idx="67">
                  <c:v>95.984292305503686</c:v>
                </c:pt>
                <c:pt idx="68">
                  <c:v>96.084494006756344</c:v>
                </c:pt>
                <c:pt idx="69">
                  <c:v>96.184762752704032</c:v>
                </c:pt>
                <c:pt idx="70">
                  <c:v>96.284991383427965</c:v>
                </c:pt>
                <c:pt idx="71">
                  <c:v>96.385067276856205</c:v>
                </c:pt>
                <c:pt idx="72">
                  <c:v>96.484872370028214</c:v>
                </c:pt>
                <c:pt idx="73">
                  <c:v>96.584283208629813</c:v>
                </c:pt>
                <c:pt idx="74">
                  <c:v>96.68317102690223</c:v>
                </c:pt>
                <c:pt idx="75">
                  <c:v>96.781401859948318</c:v>
                </c:pt>
                <c:pt idx="76">
                  <c:v>96.878836690350568</c:v>
                </c:pt>
                <c:pt idx="77">
                  <c:v>96.975331630866435</c:v>
                </c:pt>
                <c:pt idx="78">
                  <c:v>97.070738144780023</c:v>
                </c:pt>
                <c:pt idx="79">
                  <c:v>97.164903305267785</c:v>
                </c:pt>
                <c:pt idx="80">
                  <c:v>97.257670094867706</c:v>
                </c:pt>
                <c:pt idx="81">
                  <c:v>97.348877745840454</c:v>
                </c:pt>
                <c:pt idx="82">
                  <c:v>97.438362121864103</c:v>
                </c:pt>
                <c:pt idx="83">
                  <c:v>97.525956141120986</c:v>
                </c:pt>
                <c:pt idx="84">
                  <c:v>97.611490240416259</c:v>
                </c:pt>
                <c:pt idx="85">
                  <c:v>97.694792879515049</c:v>
                </c:pt>
                <c:pt idx="86">
                  <c:v>97.775691084407939</c:v>
                </c:pt>
                <c:pt idx="87">
                  <c:v>97.854011027700224</c:v>
                </c:pt>
                <c:pt idx="88">
                  <c:v>97.929578643808966</c:v>
                </c:pt>
                <c:pt idx="89">
                  <c:v>98.002220276115537</c:v>
                </c:pt>
                <c:pt idx="90">
                  <c:v>98.071763352687725</c:v>
                </c:pt>
                <c:pt idx="91">
                  <c:v>98.138037086659523</c:v>
                </c:pt>
                <c:pt idx="92">
                  <c:v>98.200873196847354</c:v>
                </c:pt>
                <c:pt idx="93">
                  <c:v>98.260106643704304</c:v>
                </c:pt>
                <c:pt idx="94">
                  <c:v>98.315576375256327</c:v>
                </c:pt>
                <c:pt idx="95">
                  <c:v>98.367126077286088</c:v>
                </c:pt>
                <c:pt idx="96">
                  <c:v>98.414604921666594</c:v>
                </c:pt>
                <c:pt idx="97">
                  <c:v>98.457868306496749</c:v>
                </c:pt>
                <c:pt idx="98">
                  <c:v>98.496778581484278</c:v>
                </c:pt>
                <c:pt idx="99">
                  <c:v>98.531205751903329</c:v>
                </c:pt>
                <c:pt idx="100">
                  <c:v>98.561028154440422</c:v>
                </c:pt>
                <c:pt idx="101">
                  <c:v>98.586133098314519</c:v>
                </c:pt>
                <c:pt idx="102">
                  <c:v>98.606417465216026</c:v>
                </c:pt>
                <c:pt idx="103">
                  <c:v>98.621788261893172</c:v>
                </c:pt>
                <c:pt idx="104">
                  <c:v>98.632163119561653</c:v>
                </c:pt>
                <c:pt idx="105">
                  <c:v>98.637470734789048</c:v>
                </c:pt>
                <c:pt idx="106">
                  <c:v>98.637651247042754</c:v>
                </c:pt>
                <c:pt idx="107">
                  <c:v>98.632656548729599</c:v>
                </c:pt>
                <c:pt idx="108">
                  <c:v>98.622450524238531</c:v>
                </c:pt>
                <c:pt idx="109">
                  <c:v>98.607009215283455</c:v>
                </c:pt>
                <c:pt idx="110">
                  <c:v>98.586320910625744</c:v>
                </c:pt>
                <c:pt idx="111">
                  <c:v>98.560386159122686</c:v>
                </c:pt>
                <c:pt idx="112">
                  <c:v>98.529217705887334</c:v>
                </c:pt>
                <c:pt idx="113">
                  <c:v>98.492840352226978</c:v>
                </c:pt>
                <c:pt idx="114">
                  <c:v>98.451290740871542</c:v>
                </c:pt>
                <c:pt idx="115">
                  <c:v>98.404617068829111</c:v>
                </c:pt>
                <c:pt idx="116">
                  <c:v>98.352878730995513</c:v>
                </c:pt>
                <c:pt idx="117">
                  <c:v>98.296145898370924</c:v>
                </c:pt>
                <c:pt idx="118">
                  <c:v>98.234499035402138</c:v>
                </c:pt>
                <c:pt idx="119">
                  <c:v>98.168028361554235</c:v>
                </c:pt>
                <c:pt idx="120">
                  <c:v>98.096833262718278</c:v>
                </c:pt>
                <c:pt idx="121">
                  <c:v>98.021021658469365</c:v>
                </c:pt>
                <c:pt idx="122">
                  <c:v>97.940709331507179</c:v>
                </c:pt>
                <c:pt idx="123">
                  <c:v>97.856019225820532</c:v>
                </c:pt>
                <c:pt idx="124">
                  <c:v>97.767080720236734</c:v>
                </c:pt>
                <c:pt idx="125">
                  <c:v>97.674028884040723</c:v>
                </c:pt>
                <c:pt idx="126">
                  <c:v>97.57700372127016</c:v>
                </c:pt>
                <c:pt idx="127">
                  <c:v>97.476149410140522</c:v>
                </c:pt>
                <c:pt idx="128">
                  <c:v>97.371613543810767</c:v>
                </c:pt>
                <c:pt idx="129">
                  <c:v>97.263546378396327</c:v>
                </c:pt>
                <c:pt idx="130">
                  <c:v>97.152100093754754</c:v>
                </c:pt>
                <c:pt idx="131">
                  <c:v>97.037428072159244</c:v>
                </c:pt>
                <c:pt idx="132">
                  <c:v>96.919684199491513</c:v>
                </c:pt>
                <c:pt idx="133">
                  <c:v>96.799022193103696</c:v>
                </c:pt>
                <c:pt idx="134">
                  <c:v>96.675594959965167</c:v>
                </c:pt>
                <c:pt idx="135">
                  <c:v>96.549553988190809</c:v>
                </c:pt>
                <c:pt idx="136">
                  <c:v>96.421048774506204</c:v>
                </c:pt>
                <c:pt idx="137">
                  <c:v>96.29022628967445</c:v>
                </c:pt>
                <c:pt idx="138">
                  <c:v>96.157230483411368</c:v>
                </c:pt>
                <c:pt idx="139">
                  <c:v>96.022201829798519</c:v>
                </c:pt>
                <c:pt idx="140">
                  <c:v>95.885276913761544</c:v>
                </c:pt>
                <c:pt idx="141">
                  <c:v>95.746588058727752</c:v>
                </c:pt>
                <c:pt idx="142">
                  <c:v>95.606262995183414</c:v>
                </c:pt>
                <c:pt idx="143">
                  <c:v>95.464424569491598</c:v>
                </c:pt>
                <c:pt idx="144">
                  <c:v>95.321190491997839</c:v>
                </c:pt>
                <c:pt idx="145">
                  <c:v>95.176673123176798</c:v>
                </c:pt>
                <c:pt idx="146">
                  <c:v>95.030979296324674</c:v>
                </c:pt>
                <c:pt idx="147">
                  <c:v>94.884210175096911</c:v>
                </c:pt>
                <c:pt idx="148">
                  <c:v>94.736461144033257</c:v>
                </c:pt>
                <c:pt idx="149">
                  <c:v>94.587821730072292</c:v>
                </c:pt>
                <c:pt idx="150">
                  <c:v>94.438375552971266</c:v>
                </c:pt>
                <c:pt idx="151">
                  <c:v>94.288200302484071</c:v>
                </c:pt>
                <c:pt idx="152">
                  <c:v>94.137367740112211</c:v>
                </c:pt>
                <c:pt idx="153">
                  <c:v>93.985943723240808</c:v>
                </c:pt>
                <c:pt idx="154">
                  <c:v>93.833988249490517</c:v>
                </c:pt>
                <c:pt idx="155">
                  <c:v>93.681555519146201</c:v>
                </c:pt>
                <c:pt idx="156">
                  <c:v>93.528694013585834</c:v>
                </c:pt>
                <c:pt idx="157">
                  <c:v>93.375446587698903</c:v>
                </c:pt>
                <c:pt idx="158">
                  <c:v>93.221850574363771</c:v>
                </c:pt>
                <c:pt idx="159">
                  <c:v>93.067937899152184</c:v>
                </c:pt>
                <c:pt idx="160">
                  <c:v>92.913735203518499</c:v>
                </c:pt>
                <c:pt idx="161">
                  <c:v>92.759263974842966</c:v>
                </c:pt>
                <c:pt idx="162">
                  <c:v>92.604540681803201</c:v>
                </c:pt>
                <c:pt idx="163">
                  <c:v>92.449576913654951</c:v>
                </c:pt>
                <c:pt idx="164">
                  <c:v>92.294379522118248</c:v>
                </c:pt>
                <c:pt idx="165">
                  <c:v>92.138950764666873</c:v>
                </c:pt>
                <c:pt idx="166">
                  <c:v>91.983288448129443</c:v>
                </c:pt>
                <c:pt idx="167">
                  <c:v>91.827386071611116</c:v>
                </c:pt>
                <c:pt idx="168">
                  <c:v>91.67123296784537</c:v>
                </c:pt>
                <c:pt idx="169">
                  <c:v>91.514814442177865</c:v>
                </c:pt>
                <c:pt idx="170">
                  <c:v>91.35811190847555</c:v>
                </c:pt>
                <c:pt idx="171">
                  <c:v>91.201103021337488</c:v>
                </c:pt>
                <c:pt idx="172">
                  <c:v>91.043761804064218</c:v>
                </c:pt>
                <c:pt idx="173">
                  <c:v>90.886058771911308</c:v>
                </c:pt>
                <c:pt idx="174">
                  <c:v>90.727961050229538</c:v>
                </c:pt>
                <c:pt idx="175">
                  <c:v>90.569432487143516</c:v>
                </c:pt>
                <c:pt idx="176">
                  <c:v>90.410433760489695</c:v>
                </c:pt>
                <c:pt idx="177">
                  <c:v>90.250922478777525</c:v>
                </c:pt>
                <c:pt idx="178">
                  <c:v>90.090853275989488</c:v>
                </c:pt>
                <c:pt idx="179">
                  <c:v>89.930177900072167</c:v>
                </c:pt>
                <c:pt idx="180">
                  <c:v>89.768845295011772</c:v>
                </c:pt>
                <c:pt idx="181">
                  <c:v>89.606801676419622</c:v>
                </c:pt>
                <c:pt idx="182">
                  <c:v>89.443990600578061</c:v>
                </c:pt>
                <c:pt idx="183">
                  <c:v>89.28035302692787</c:v>
                </c:pt>
                <c:pt idx="184">
                  <c:v>89.115827373994648</c:v>
                </c:pt>
                <c:pt idx="185">
                  <c:v>88.950349568772992</c:v>
                </c:pt>
                <c:pt idx="186">
                  <c:v>88.783853089603582</c:v>
                </c:pt>
                <c:pt idx="187">
                  <c:v>88.616269002587003</c:v>
                </c:pt>
                <c:pt idx="188">
                  <c:v>88.447525991594958</c:v>
                </c:pt>
                <c:pt idx="189">
                  <c:v>88.277550381942802</c:v>
                </c:pt>
                <c:pt idx="190">
                  <c:v>88.106266157799382</c:v>
                </c:pt>
                <c:pt idx="191">
                  <c:v>87.933594973411275</c:v>
                </c:pt>
                <c:pt idx="192">
                  <c:v>87.759456158226598</c:v>
                </c:pt>
                <c:pt idx="193">
                  <c:v>87.583766716007233</c:v>
                </c:pt>
                <c:pt idx="194">
                  <c:v>87.406441318016576</c:v>
                </c:pt>
                <c:pt idx="195">
                  <c:v>87.22739229038028</c:v>
                </c:pt>
                <c:pt idx="196">
                  <c:v>87.046529595712869</c:v>
                </c:pt>
                <c:pt idx="197">
                  <c:v>86.863760809108584</c:v>
                </c:pt>
                <c:pt idx="198">
                  <c:v>86.678991088598792</c:v>
                </c:pt>
                <c:pt idx="199">
                  <c:v>86.49212314017889</c:v>
                </c:pt>
                <c:pt idx="200">
                  <c:v>86.303057177512216</c:v>
                </c:pt>
                <c:pt idx="201">
                  <c:v>86.111690876425257</c:v>
                </c:pt>
                <c:pt idx="202">
                  <c:v>85.917919324312862</c:v>
                </c:pt>
                <c:pt idx="203">
                  <c:v>85.72163496457955</c:v>
                </c:pt>
                <c:pt idx="204">
                  <c:v>85.522727536253782</c:v>
                </c:pt>
                <c:pt idx="205">
                  <c:v>85.321084008920621</c:v>
                </c:pt>
                <c:pt idx="206">
                  <c:v>85.116588513135895</c:v>
                </c:pt>
                <c:pt idx="207">
                  <c:v>84.909122266495942</c:v>
                </c:pt>
                <c:pt idx="208">
                  <c:v>84.698563495556343</c:v>
                </c:pt>
                <c:pt idx="209">
                  <c:v>84.484787353819755</c:v>
                </c:pt>
                <c:pt idx="210">
                  <c:v>84.267665836027618</c:v>
                </c:pt>
                <c:pt idx="211">
                  <c:v>84.047067689026804</c:v>
                </c:pt>
                <c:pt idx="212">
                  <c:v>83.822858319511084</c:v>
                </c:pt>
                <c:pt idx="213">
                  <c:v>83.594899698970949</c:v>
                </c:pt>
                <c:pt idx="214">
                  <c:v>83.363050266225684</c:v>
                </c:pt>
                <c:pt idx="215">
                  <c:v>83.127164827957714</c:v>
                </c:pt>
                <c:pt idx="216">
                  <c:v>82.88709445771552</c:v>
                </c:pt>
                <c:pt idx="217">
                  <c:v>82.642686393904526</c:v>
                </c:pt>
                <c:pt idx="218">
                  <c:v>82.393783937343855</c:v>
                </c:pt>
                <c:pt idx="219">
                  <c:v>82.140226349031991</c:v>
                </c:pt>
                <c:pt idx="220">
                  <c:v>81.881848748828304</c:v>
                </c:pt>
                <c:pt idx="221">
                  <c:v>81.618482015833038</c:v>
                </c:pt>
                <c:pt idx="222">
                  <c:v>81.34995269132915</c:v>
                </c:pt>
                <c:pt idx="223">
                  <c:v>81.076082885225318</c:v>
                </c:pt>
                <c:pt idx="224">
                  <c:v>80.796690187034415</c:v>
                </c:pt>
                <c:pt idx="225">
                  <c:v>80.511587582506721</c:v>
                </c:pt>
                <c:pt idx="226">
                  <c:v>80.220583377138169</c:v>
                </c:pt>
                <c:pt idx="227">
                  <c:v>79.923481127869977</c:v>
                </c:pt>
                <c:pt idx="228">
                  <c:v>79.620079584394844</c:v>
                </c:pt>
                <c:pt idx="229">
                  <c:v>79.31017264158902</c:v>
                </c:pt>
                <c:pt idx="230">
                  <c:v>78.993549304696373</c:v>
                </c:pt>
                <c:pt idx="231">
                  <c:v>78.66999366897879</c:v>
                </c:pt>
                <c:pt idx="232">
                  <c:v>78.339284915665615</c:v>
                </c:pt>
                <c:pt idx="233">
                  <c:v>78.001197326109562</c:v>
                </c:pt>
                <c:pt idx="234">
                  <c:v>77.655500316161934</c:v>
                </c:pt>
                <c:pt idx="235">
                  <c:v>77.301958492846154</c:v>
                </c:pt>
                <c:pt idx="236">
                  <c:v>76.940331735492123</c:v>
                </c:pt>
                <c:pt idx="237">
                  <c:v>76.570375303537702</c:v>
                </c:pt>
                <c:pt idx="238">
                  <c:v>76.191839973252996</c:v>
                </c:pt>
                <c:pt idx="239">
                  <c:v>75.804472205662961</c:v>
                </c:pt>
                <c:pt idx="240">
                  <c:v>75.408014347941204</c:v>
                </c:pt>
                <c:pt idx="241">
                  <c:v>75.002204870527351</c:v>
                </c:pt>
                <c:pt idx="242">
                  <c:v>74.586778642165982</c:v>
                </c:pt>
                <c:pt idx="243">
                  <c:v>74.161467244982092</c:v>
                </c:pt>
                <c:pt idx="244">
                  <c:v>73.725999331587374</c:v>
                </c:pt>
                <c:pt idx="245">
                  <c:v>73.280101026064017</c:v>
                </c:pt>
                <c:pt idx="246">
                  <c:v>72.823496370473109</c:v>
                </c:pt>
                <c:pt idx="247">
                  <c:v>72.355907818297709</c:v>
                </c:pt>
                <c:pt idx="248">
                  <c:v>71.877056775960696</c:v>
                </c:pt>
                <c:pt idx="249">
                  <c:v>71.386664193223254</c:v>
                </c:pt>
                <c:pt idx="250">
                  <c:v>70.884451202906746</c:v>
                </c:pt>
                <c:pt idx="251">
                  <c:v>70.370139809969118</c:v>
                </c:pt>
                <c:pt idx="252">
                  <c:v>69.843453629503571</c:v>
                </c:pt>
                <c:pt idx="253">
                  <c:v>69.30411867273618</c:v>
                </c:pt>
                <c:pt idx="254">
                  <c:v>68.751864179553465</c:v>
                </c:pt>
                <c:pt idx="255">
                  <c:v>68.186423495525275</c:v>
                </c:pt>
                <c:pt idx="256">
                  <c:v>67.607534990791279</c:v>
                </c:pt>
                <c:pt idx="257">
                  <c:v>67.014943017546003</c:v>
                </c:pt>
                <c:pt idx="258">
                  <c:v>66.40839890223026</c:v>
                </c:pt>
                <c:pt idx="259">
                  <c:v>65.787661967890756</c:v>
                </c:pt>
                <c:pt idx="260">
                  <c:v>65.152500581534056</c:v>
                </c:pt>
                <c:pt idx="261">
                  <c:v>64.502693220666913</c:v>
                </c:pt>
                <c:pt idx="262">
                  <c:v>63.838029552636236</c:v>
                </c:pt>
                <c:pt idx="263">
                  <c:v>63.158311519798971</c:v>
                </c:pt>
                <c:pt idx="264">
                  <c:v>62.463354423063926</c:v>
                </c:pt>
                <c:pt idx="265">
                  <c:v>61.752987995886372</c:v>
                </c:pt>
                <c:pt idx="266">
                  <c:v>61.027057460425773</c:v>
                </c:pt>
                <c:pt idx="267">
                  <c:v>60.285424557294412</c:v>
                </c:pt>
                <c:pt idx="268">
                  <c:v>59.527968540127333</c:v>
                </c:pt>
                <c:pt idx="269">
                  <c:v>58.754587126119951</c:v>
                </c:pt>
                <c:pt idx="270">
                  <c:v>57.965197393704223</c:v>
                </c:pt>
                <c:pt idx="271">
                  <c:v>57.159736618680874</c:v>
                </c:pt>
                <c:pt idx="272">
                  <c:v>56.338163040396957</c:v>
                </c:pt>
                <c:pt idx="273">
                  <c:v>55.500456549940836</c:v>
                </c:pt>
                <c:pt idx="274">
                  <c:v>54.646619292855533</c:v>
                </c:pt>
                <c:pt idx="275">
                  <c:v>53.77667617950047</c:v>
                </c:pt>
                <c:pt idx="276">
                  <c:v>52.890675296948473</c:v>
                </c:pt>
                <c:pt idx="277">
                  <c:v>51.988688217164771</c:v>
                </c:pt>
                <c:pt idx="278">
                  <c:v>51.07081019717134</c:v>
                </c:pt>
                <c:pt idx="279">
                  <c:v>50.137160267942612</c:v>
                </c:pt>
                <c:pt idx="280">
                  <c:v>49.187881209883052</c:v>
                </c:pt>
                <c:pt idx="281">
                  <c:v>48.223139413911184</c:v>
                </c:pt>
                <c:pt idx="282">
                  <c:v>47.243124628361926</c:v>
                </c:pt>
                <c:pt idx="283">
                  <c:v>46.248049593144259</c:v>
                </c:pt>
                <c:pt idx="284">
                  <c:v>45.238149563790515</c:v>
                </c:pt>
                <c:pt idx="285">
                  <c:v>44.213681729240086</c:v>
                </c:pt>
                <c:pt idx="286">
                  <c:v>43.174924528329036</c:v>
                </c:pt>
                <c:pt idx="287">
                  <c:v>42.12217687105769</c:v>
                </c:pt>
                <c:pt idx="288">
                  <c:v>41.055757271712068</c:v>
                </c:pt>
                <c:pt idx="289">
                  <c:v>39.976002901820983</c:v>
                </c:pt>
                <c:pt idx="290">
                  <c:v>38.883268571745603</c:v>
                </c:pt>
                <c:pt idx="291">
                  <c:v>37.777925650376453</c:v>
                </c:pt>
                <c:pt idx="292">
                  <c:v>36.660360932951214</c:v>
                </c:pt>
                <c:pt idx="293">
                  <c:v>35.530975467436967</c:v>
                </c:pt>
                <c:pt idx="294">
                  <c:v>34.390183350160683</c:v>
                </c:pt>
                <c:pt idx="295">
                  <c:v>33.238410501502806</c:v>
                </c:pt>
                <c:pt idx="296">
                  <c:v>32.07609343243022</c:v>
                </c:pt>
                <c:pt idx="297">
                  <c:v>30.903678012460173</c:v>
                </c:pt>
                <c:pt idx="298">
                  <c:v>29.721618249330426</c:v>
                </c:pt>
                <c:pt idx="299">
                  <c:v>28.530375090195658</c:v>
                </c:pt>
                <c:pt idx="300">
                  <c:v>27.330415253583954</c:v>
                </c:pt>
                <c:pt idx="301">
                  <c:v>26.122210100662301</c:v>
                </c:pt>
                <c:pt idx="302">
                  <c:v>24.906234553550433</c:v>
                </c:pt>
                <c:pt idx="303">
                  <c:v>23.682966067556332</c:v>
                </c:pt>
                <c:pt idx="304">
                  <c:v>22.452883663242179</c:v>
                </c:pt>
                <c:pt idx="305">
                  <c:v>21.216467023219984</c:v>
                </c:pt>
                <c:pt idx="306">
                  <c:v>19.974195657537617</c:v>
                </c:pt>
                <c:pt idx="307">
                  <c:v>18.726548140431927</c:v>
                </c:pt>
                <c:pt idx="308">
                  <c:v>17.474001420155258</c:v>
                </c:pt>
                <c:pt idx="309">
                  <c:v>16.217030202521499</c:v>
                </c:pt>
                <c:pt idx="310">
                  <c:v>14.95610640775916</c:v>
                </c:pt>
                <c:pt idx="311">
                  <c:v>13.691698699279019</c:v>
                </c:pt>
                <c:pt idx="312">
                  <c:v>12.424272082002524</c:v>
                </c:pt>
                <c:pt idx="313">
                  <c:v>11.154287567029288</c:v>
                </c:pt>
                <c:pt idx="314">
                  <c:v>9.8822018986082583</c:v>
                </c:pt>
                <c:pt idx="315">
                  <c:v>8.6084673386819794</c:v>
                </c:pt>
                <c:pt idx="316">
                  <c:v>7.333531503635081</c:v>
                </c:pt>
                <c:pt idx="317">
                  <c:v>6.0578372473816016</c:v>
                </c:pt>
                <c:pt idx="318">
                  <c:v>4.7818225845065294</c:v>
                </c:pt>
                <c:pt idx="319">
                  <c:v>3.5059206468897006</c:v>
                </c:pt>
                <c:pt idx="320">
                  <c:v>2.2305596670408012</c:v>
                </c:pt>
                <c:pt idx="321">
                  <c:v>0.9561629813265522</c:v>
                </c:pt>
                <c:pt idx="322">
                  <c:v>-0.3168509537211443</c:v>
                </c:pt>
                <c:pt idx="323">
                  <c:v>-1.5880685386569231</c:v>
                </c:pt>
                <c:pt idx="324">
                  <c:v>-2.857081008345383</c:v>
                </c:pt>
                <c:pt idx="325">
                  <c:v>-4.123484415211486</c:v>
                </c:pt>
                <c:pt idx="326">
                  <c:v>-5.3868796241576522</c:v>
                </c:pt>
                <c:pt idx="327">
                  <c:v>-6.6468723242656349</c:v>
                </c:pt>
                <c:pt idx="328">
                  <c:v>-7.9030730618266842</c:v>
                </c:pt>
                <c:pt idx="329">
                  <c:v>-9.1550972986138373</c:v>
                </c:pt>
                <c:pt idx="330">
                  <c:v>-10.402565498605757</c:v>
                </c:pt>
                <c:pt idx="331">
                  <c:v>-11.64510324568419</c:v>
                </c:pt>
                <c:pt idx="332">
                  <c:v>-12.882341394049398</c:v>
                </c:pt>
                <c:pt idx="333">
                  <c:v>-14.113916252384668</c:v>
                </c:pt>
                <c:pt idx="334">
                  <c:v>-15.339469802026542</c:v>
                </c:pt>
                <c:pt idx="335">
                  <c:v>-16.558649948678092</c:v>
                </c:pt>
                <c:pt idx="336">
                  <c:v>-17.771110806501891</c:v>
                </c:pt>
                <c:pt idx="337">
                  <c:v>-18.97651301275825</c:v>
                </c:pt>
                <c:pt idx="338">
                  <c:v>-20.17452407054158</c:v>
                </c:pt>
                <c:pt idx="339">
                  <c:v>-21.36481871661659</c:v>
                </c:pt>
                <c:pt idx="340">
                  <c:v>-22.547079310850723</c:v>
                </c:pt>
                <c:pt idx="341">
                  <c:v>-23.720996243340291</c:v>
                </c:pt>
                <c:pt idx="342">
                  <c:v>-24.886268354976437</c:v>
                </c:pt>
                <c:pt idx="343">
                  <c:v>-26.042603366934411</c:v>
                </c:pt>
                <c:pt idx="344">
                  <c:v>-27.189718314412033</c:v>
                </c:pt>
                <c:pt idx="345">
                  <c:v>-28.327339979827489</c:v>
                </c:pt>
                <c:pt idx="346">
                  <c:v>-29.455205320695587</c:v>
                </c:pt>
                <c:pt idx="347">
                  <c:v>-30.573061887455101</c:v>
                </c:pt>
                <c:pt idx="348">
                  <c:v>-31.680668226670846</c:v>
                </c:pt>
                <c:pt idx="349">
                  <c:v>-32.77779426524252</c:v>
                </c:pt>
                <c:pt idx="350">
                  <c:v>-33.864221671521186</c:v>
                </c:pt>
                <c:pt idx="351">
                  <c:v>-34.939744189564813</c:v>
                </c:pt>
                <c:pt idx="352">
                  <c:v>-36.004167943137595</c:v>
                </c:pt>
                <c:pt idx="353">
                  <c:v>-37.057311706466251</c:v>
                </c:pt>
                <c:pt idx="354">
                  <c:v>-38.099007139208688</c:v>
                </c:pt>
                <c:pt idx="355">
                  <c:v>-39.129098983536487</c:v>
                </c:pt>
                <c:pt idx="356">
                  <c:v>-40.147445221727303</c:v>
                </c:pt>
                <c:pt idx="357">
                  <c:v>-41.153917193097833</c:v>
                </c:pt>
                <c:pt idx="358">
                  <c:v>-42.148399669610207</c:v>
                </c:pt>
                <c:pt idx="359">
                  <c:v>-43.130790889906997</c:v>
                </c:pt>
                <c:pt idx="360">
                  <c:v>-44.101002551982077</c:v>
                </c:pt>
                <c:pt idx="361">
                  <c:v>-45.058959765090073</c:v>
                </c:pt>
                <c:pt idx="362">
                  <c:v>-46.004600961880882</c:v>
                </c:pt>
                <c:pt idx="363">
                  <c:v>-46.93787777208675</c:v>
                </c:pt>
                <c:pt idx="364">
                  <c:v>-47.858754859396122</c:v>
                </c:pt>
                <c:pt idx="365">
                  <c:v>-48.76720972341699</c:v>
                </c:pt>
                <c:pt idx="366">
                  <c:v>-49.663232468863022</c:v>
                </c:pt>
                <c:pt idx="367">
                  <c:v>-50.546825544279756</c:v>
                </c:pt>
                <c:pt idx="368">
                  <c:v>-51.418003452784696</c:v>
                </c:pt>
                <c:pt idx="369">
                  <c:v>-52.276792437392388</c:v>
                </c:pt>
                <c:pt idx="370">
                  <c:v>-53.123230143589367</c:v>
                </c:pt>
                <c:pt idx="371">
                  <c:v>-53.957365261841701</c:v>
                </c:pt>
                <c:pt idx="372">
                  <c:v>-54.779257152741231</c:v>
                </c:pt>
                <c:pt idx="373">
                  <c:v>-55.58897545746062</c:v>
                </c:pt>
                <c:pt idx="374">
                  <c:v>-56.386599696158349</c:v>
                </c:pt>
                <c:pt idx="375">
                  <c:v>-57.172218856869669</c:v>
                </c:pt>
                <c:pt idx="376">
                  <c:v>-57.945930977369002</c:v>
                </c:pt>
                <c:pt idx="377">
                  <c:v>-58.70784272234323</c:v>
                </c:pt>
                <c:pt idx="378">
                  <c:v>-59.458068958112541</c:v>
                </c:pt>
                <c:pt idx="379">
                  <c:v>-60.19673232699509</c:v>
                </c:pt>
                <c:pt idx="380">
                  <c:v>-60.923962823270607</c:v>
                </c:pt>
                <c:pt idx="381">
                  <c:v>-61.639897372545157</c:v>
                </c:pt>
                <c:pt idx="382">
                  <c:v>-62.344679416172355</c:v>
                </c:pt>
                <c:pt idx="383">
                  <c:v>-63.038458502234313</c:v>
                </c:pt>
                <c:pt idx="384">
                  <c:v>-63.7213898844224</c:v>
                </c:pt>
                <c:pt idx="385">
                  <c:v>-64.393634130023287</c:v>
                </c:pt>
                <c:pt idx="386">
                  <c:v>-65.055356738053931</c:v>
                </c:pt>
                <c:pt idx="387">
                  <c:v>-65.706727768459231</c:v>
                </c:pt>
                <c:pt idx="388">
                  <c:v>-66.347921483141377</c:v>
                </c:pt>
                <c:pt idx="389">
                  <c:v>-66.979115999466373</c:v>
                </c:pt>
                <c:pt idx="390">
                  <c:v>-67.600492956765706</c:v>
                </c:pt>
                <c:pt idx="391">
                  <c:v>-68.212237196243308</c:v>
                </c:pt>
                <c:pt idx="392">
                  <c:v>-68.814536454585067</c:v>
                </c:pt>
                <c:pt idx="393">
                  <c:v>-69.40758107147272</c:v>
                </c:pt>
                <c:pt idx="394">
                  <c:v>-69.991563711113102</c:v>
                </c:pt>
                <c:pt idx="395">
                  <c:v>-70.566679097812809</c:v>
                </c:pt>
                <c:pt idx="396">
                  <c:v>-71.133123765548191</c:v>
                </c:pt>
                <c:pt idx="397">
                  <c:v>-71.691095821422209</c:v>
                </c:pt>
                <c:pt idx="398">
                  <c:v>-72.240794722831339</c:v>
                </c:pt>
                <c:pt idx="399">
                  <c:v>-72.782421068120911</c:v>
                </c:pt>
                <c:pt idx="400">
                  <c:v>-73.316176400454538</c:v>
                </c:pt>
                <c:pt idx="401">
                  <c:v>-73.842263024586615</c:v>
                </c:pt>
                <c:pt idx="402">
                  <c:v>-74.360883836193381</c:v>
                </c:pt>
                <c:pt idx="403">
                  <c:v>-74.872242163388066</c:v>
                </c:pt>
                <c:pt idx="404">
                  <c:v>-75.376541620021783</c:v>
                </c:pt>
                <c:pt idx="405">
                  <c:v>-75.873985970351058</c:v>
                </c:pt>
                <c:pt idx="406">
                  <c:v>-76.364779004643268</c:v>
                </c:pt>
                <c:pt idx="407">
                  <c:v>-76.849124425270659</c:v>
                </c:pt>
                <c:pt idx="408">
                  <c:v>-77.327225742845044</c:v>
                </c:pt>
                <c:pt idx="409">
                  <c:v>-77.799286181931976</c:v>
                </c:pt>
                <c:pt idx="410">
                  <c:v>-78.265508595885137</c:v>
                </c:pt>
                <c:pt idx="411">
                  <c:v>-78.726095390340063</c:v>
                </c:pt>
                <c:pt idx="412">
                  <c:v>-79.181248454906637</c:v>
                </c:pt>
                <c:pt idx="413">
                  <c:v>-79.631169102603366</c:v>
                </c:pt>
                <c:pt idx="414">
                  <c:v>-80.076058016582493</c:v>
                </c:pt>
                <c:pt idx="415">
                  <c:v>-80.516115203698078</c:v>
                </c:pt>
                <c:pt idx="416">
                  <c:v>-80.951539954476885</c:v>
                </c:pt>
                <c:pt idx="417">
                  <c:v>-81.382530809059176</c:v>
                </c:pt>
                <c:pt idx="418">
                  <c:v>-81.809285528683617</c:v>
                </c:pt>
                <c:pt idx="419">
                  <c:v>-82.232001072298843</c:v>
                </c:pt>
                <c:pt idx="420">
                  <c:v>-82.650873577892241</c:v>
                </c:pt>
                <c:pt idx="421">
                  <c:v>-83.066098348134616</c:v>
                </c:pt>
                <c:pt idx="422">
                  <c:v>-83.477869839946337</c:v>
                </c:pt>
                <c:pt idx="423">
                  <c:v>-83.886381657602797</c:v>
                </c:pt>
                <c:pt idx="424">
                  <c:v>-84.291826548996269</c:v>
                </c:pt>
                <c:pt idx="425">
                  <c:v>-84.694396404687978</c:v>
                </c:pt>
                <c:pt idx="426">
                  <c:v>-85.094282259384329</c:v>
                </c:pt>
                <c:pt idx="427">
                  <c:v>-85.491674295478632</c:v>
                </c:pt>
                <c:pt idx="428">
                  <c:v>-85.886761848306421</c:v>
                </c:pt>
                <c:pt idx="429">
                  <c:v>-86.279733412769389</c:v>
                </c:pt>
                <c:pt idx="430">
                  <c:v>-86.670776650979434</c:v>
                </c:pt>
                <c:pt idx="431">
                  <c:v>-87.060078400588381</c:v>
                </c:pt>
                <c:pt idx="432">
                  <c:v>-87.447824683462343</c:v>
                </c:pt>
                <c:pt idx="433">
                  <c:v>-87.834200714369672</c:v>
                </c:pt>
                <c:pt idx="434">
                  <c:v>-88.219390909345222</c:v>
                </c:pt>
                <c:pt idx="435">
                  <c:v>-88.603578893400467</c:v>
                </c:pt>
                <c:pt idx="436">
                  <c:v>-88.986947507245986</c:v>
                </c:pt>
                <c:pt idx="437">
                  <c:v>-89.369678812691333</c:v>
                </c:pt>
                <c:pt idx="438">
                  <c:v>-89.751954096388033</c:v>
                </c:pt>
                <c:pt idx="439">
                  <c:v>-90.133953871576679</c:v>
                </c:pt>
                <c:pt idx="440">
                  <c:v>-90.515857877497865</c:v>
                </c:pt>
                <c:pt idx="441">
                  <c:v>-90.897845076122934</c:v>
                </c:pt>
                <c:pt idx="442">
                  <c:v>-91.280093645855757</c:v>
                </c:pt>
                <c:pt idx="443">
                  <c:v>-91.662780971852087</c:v>
                </c:pt>
                <c:pt idx="444">
                  <c:v>-92.046083632599462</c:v>
                </c:pt>
                <c:pt idx="445">
                  <c:v>-92.430177382394248</c:v>
                </c:pt>
                <c:pt idx="446">
                  <c:v>-92.815237129345547</c:v>
                </c:pt>
                <c:pt idx="447">
                  <c:v>-93.201436908533296</c:v>
                </c:pt>
                <c:pt idx="448">
                  <c:v>-93.588949849938388</c:v>
                </c:pt>
                <c:pt idx="449">
                  <c:v>-93.977948140760148</c:v>
                </c:pt>
                <c:pt idx="450">
                  <c:v>-94.368602981728387</c:v>
                </c:pt>
                <c:pt idx="451">
                  <c:v>-94.761084537014156</c:v>
                </c:pt>
                <c:pt idx="452">
                  <c:v>-95.155561877337746</c:v>
                </c:pt>
                <c:pt idx="453">
                  <c:v>-95.552202915870026</c:v>
                </c:pt>
                <c:pt idx="454">
                  <c:v>-95.951174336517951</c:v>
                </c:pt>
                <c:pt idx="455">
                  <c:v>-96.352641514187951</c:v>
                </c:pt>
                <c:pt idx="456">
                  <c:v>-96.756768426614414</c:v>
                </c:pt>
                <c:pt idx="457">
                  <c:v>-97.163717557350424</c:v>
                </c:pt>
                <c:pt idx="458">
                  <c:v>-97.573649789513837</c:v>
                </c:pt>
                <c:pt idx="459">
                  <c:v>-97.986724289892919</c:v>
                </c:pt>
                <c:pt idx="460">
                  <c:v>-98.40309838302278</c:v>
                </c:pt>
                <c:pt idx="461">
                  <c:v>-98.822927414854846</c:v>
                </c:pt>
                <c:pt idx="462">
                  <c:v>-99.24636460565965</c:v>
                </c:pt>
                <c:pt idx="463">
                  <c:v>-99.673560891819818</c:v>
                </c:pt>
                <c:pt idx="464">
                  <c:v>-100.10466475619306</c:v>
                </c:pt>
                <c:pt idx="465">
                  <c:v>-100.53982204675542</c:v>
                </c:pt>
                <c:pt idx="466">
                  <c:v>-100.97917578326694</c:v>
                </c:pt>
                <c:pt idx="467">
                  <c:v>-101.42286595173944</c:v>
                </c:pt>
                <c:pt idx="468">
                  <c:v>-101.87102928653138</c:v>
                </c:pt>
                <c:pt idx="469">
                  <c:v>-102.32379903994816</c:v>
                </c:pt>
                <c:pt idx="470">
                  <c:v>-102.781304739278</c:v>
                </c:pt>
                <c:pt idx="471">
                  <c:v>-103.2436719312668</c:v>
                </c:pt>
                <c:pt idx="472">
                  <c:v>-103.71102191409987</c:v>
                </c:pt>
                <c:pt idx="473">
                  <c:v>-104.18347145704547</c:v>
                </c:pt>
                <c:pt idx="474">
                  <c:v>-104.66113250799923</c:v>
                </c:pt>
                <c:pt idx="475">
                  <c:v>-105.1441118892706</c:v>
                </c:pt>
                <c:pt idx="476">
                  <c:v>-105.63251098205029</c:v>
                </c:pt>
                <c:pt idx="477">
                  <c:v>-106.1264254001243</c:v>
                </c:pt>
                <c:pt idx="478">
                  <c:v>-106.62594465350827</c:v>
                </c:pt>
                <c:pt idx="479">
                  <c:v>-107.13115180281898</c:v>
                </c:pt>
                <c:pt idx="480">
                  <c:v>-107.64212310533459</c:v>
                </c:pt>
                <c:pt idx="481">
                  <c:v>-108.1589276538366</c:v>
                </c:pt>
                <c:pt idx="482">
                  <c:v>-108.68162700948996</c:v>
                </c:pt>
                <c:pt idx="483">
                  <c:v>-109.21027483016681</c:v>
                </c:pt>
                <c:pt idx="484">
                  <c:v>-109.74491649578657</c:v>
                </c:pt>
                <c:pt idx="485">
                  <c:v>-110.28558873241381</c:v>
                </c:pt>
                <c:pt idx="486">
                  <c:v>-110.83231923701977</c:v>
                </c:pt>
                <c:pt idx="487">
                  <c:v>-111.38512630498354</c:v>
                </c:pt>
                <c:pt idx="488">
                  <c:v>-111.94401846257225</c:v>
                </c:pt>
                <c:pt idx="489">
                  <c:v>-112.50899410680799</c:v>
                </c:pt>
                <c:pt idx="490">
                  <c:v>-113.08004115527059</c:v>
                </c:pt>
                <c:pt idx="491">
                  <c:v>-113.65713670854329</c:v>
                </c:pt>
                <c:pt idx="492">
                  <c:v>-114.24024672812946</c:v>
                </c:pt>
                <c:pt idx="493">
                  <c:v>-114.82932573278767</c:v>
                </c:pt>
                <c:pt idx="494">
                  <c:v>-115.42431651632798</c:v>
                </c:pt>
                <c:pt idx="495">
                  <c:v>-116.0251498899857</c:v>
                </c:pt>
                <c:pt idx="496">
                  <c:v>-116.63174445253392</c:v>
                </c:pt>
                <c:pt idx="497">
                  <c:v>-117.24400639131827</c:v>
                </c:pt>
                <c:pt idx="498">
                  <c:v>-117.86182931737666</c:v>
                </c:pt>
                <c:pt idx="499">
                  <c:v>-118.48509413776473</c:v>
                </c:pt>
                <c:pt idx="500">
                  <c:v>-119.11366896811596</c:v>
                </c:pt>
                <c:pt idx="501">
                  <c:v>-119.74740908833361</c:v>
                </c:pt>
                <c:pt idx="502">
                  <c:v>-120.38615694415444</c:v>
                </c:pt>
                <c:pt idx="503">
                  <c:v>-121.02974219709877</c:v>
                </c:pt>
                <c:pt idx="504">
                  <c:v>-121.67798182507232</c:v>
                </c:pt>
                <c:pt idx="505">
                  <c:v>-122.33068027558663</c:v>
                </c:pt>
                <c:pt idx="506">
                  <c:v>-122.98762967322261</c:v>
                </c:pt>
                <c:pt idx="507">
                  <c:v>-123.64861008257841</c:v>
                </c:pt>
                <c:pt idx="508">
                  <c:v>-124.31338982752732</c:v>
                </c:pt>
                <c:pt idx="509">
                  <c:v>-124.9817258671624</c:v>
                </c:pt>
                <c:pt idx="510">
                  <c:v>-125.65336422831302</c:v>
                </c:pt>
                <c:pt idx="511">
                  <c:v>-126.32804049402817</c:v>
                </c:pt>
                <c:pt idx="512">
                  <c:v>-127.00548034689025</c:v>
                </c:pt>
                <c:pt idx="513">
                  <c:v>-127.68540016549812</c:v>
                </c:pt>
                <c:pt idx="514">
                  <c:v>-128.3675076719133</c:v>
                </c:pt>
                <c:pt idx="515">
                  <c:v>-129.05150262735827</c:v>
                </c:pt>
                <c:pt idx="516">
                  <c:v>-129.73707757291356</c:v>
                </c:pt>
                <c:pt idx="517">
                  <c:v>-130.42391861148903</c:v>
                </c:pt>
                <c:pt idx="518">
                  <c:v>-131.11170622687666</c:v>
                </c:pt>
                <c:pt idx="519">
                  <c:v>-131.80011613527006</c:v>
                </c:pt>
                <c:pt idx="520">
                  <c:v>-132.48882016426123</c:v>
                </c:pt>
                <c:pt idx="521">
                  <c:v>-133.17748715400126</c:v>
                </c:pt>
                <c:pt idx="522">
                  <c:v>-133.86578387494799</c:v>
                </c:pt>
                <c:pt idx="523">
                  <c:v>-134.55337595643013</c:v>
                </c:pt>
                <c:pt idx="524">
                  <c:v>-135.23992882011643</c:v>
                </c:pt>
                <c:pt idx="525">
                  <c:v>-135.92510861242093</c:v>
                </c:pt>
                <c:pt idx="526">
                  <c:v>-136.60858312989208</c:v>
                </c:pt>
                <c:pt idx="527">
                  <c:v>-137.29002273170948</c:v>
                </c:pt>
                <c:pt idx="528">
                  <c:v>-137.96910123355715</c:v>
                </c:pt>
                <c:pt idx="529">
                  <c:v>-138.6454967773829</c:v>
                </c:pt>
                <c:pt idx="530">
                  <c:v>-139.31889267180438</c:v>
                </c:pt>
                <c:pt idx="531">
                  <c:v>-139.98897819828767</c:v>
                </c:pt>
                <c:pt idx="532">
                  <c:v>-140.65544937860162</c:v>
                </c:pt>
                <c:pt idx="533">
                  <c:v>-141.31800969948685</c:v>
                </c:pt>
                <c:pt idx="534">
                  <c:v>-141.97637079094869</c:v>
                </c:pt>
                <c:pt idx="535">
                  <c:v>-142.63025305508603</c:v>
                </c:pt>
                <c:pt idx="536">
                  <c:v>-143.27938624288319</c:v>
                </c:pt>
                <c:pt idx="537">
                  <c:v>-143.92350997692458</c:v>
                </c:pt>
                <c:pt idx="538">
                  <c:v>-144.56237421852222</c:v>
                </c:pt>
                <c:pt idx="539">
                  <c:v>-145.19573967827901</c:v>
                </c:pt>
                <c:pt idx="540">
                  <c:v>-145.82337816962624</c:v>
                </c:pt>
                <c:pt idx="541">
                  <c:v>-146.44507290536808</c:v>
                </c:pt>
              </c:numCache>
            </c:numRef>
          </c:yVal>
          <c:smooth val="1"/>
          <c:extLst>
            <c:ext xmlns:c16="http://schemas.microsoft.com/office/drawing/2014/chart" uri="{C3380CC4-5D6E-409C-BE32-E72D297353CC}">
              <c16:uniqueId val="{00000001-A13D-4DDF-8712-0E4D219187A5}"/>
            </c:ext>
          </c:extLst>
        </c:ser>
        <c:dLbls>
          <c:showLegendKey val="0"/>
          <c:showVal val="0"/>
          <c:showCatName val="0"/>
          <c:showSerName val="0"/>
          <c:showPercent val="0"/>
          <c:showBubbleSize val="0"/>
        </c:dLbls>
        <c:axId val="365469056"/>
        <c:axId val="365467520"/>
      </c:scatterChart>
      <c:valAx>
        <c:axId val="365455232"/>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365465600"/>
        <c:crosses val="autoZero"/>
        <c:crossBetween val="midCat"/>
      </c:valAx>
      <c:valAx>
        <c:axId val="365465600"/>
        <c:scaling>
          <c:orientation val="minMax"/>
          <c:max val="200"/>
          <c:min val="-1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US"/>
          </a:p>
        </c:txPr>
        <c:crossAx val="365455232"/>
        <c:crosses val="autoZero"/>
        <c:crossBetween val="midCat"/>
        <c:majorUnit val="20"/>
        <c:minorUnit val="10"/>
      </c:valAx>
      <c:valAx>
        <c:axId val="365467520"/>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US"/>
          </a:p>
        </c:txPr>
        <c:crossAx val="365469056"/>
        <c:crosses val="max"/>
        <c:crossBetween val="midCat"/>
        <c:majorUnit val="90"/>
        <c:minorUnit val="45"/>
      </c:valAx>
      <c:valAx>
        <c:axId val="365469056"/>
        <c:scaling>
          <c:logBase val="10"/>
          <c:orientation val="minMax"/>
        </c:scaling>
        <c:delete val="1"/>
        <c:axPos val="b"/>
        <c:numFmt formatCode="0.00" sourceLinked="1"/>
        <c:majorTickMark val="out"/>
        <c:minorTickMark val="none"/>
        <c:tickLblPos val="nextTo"/>
        <c:crossAx val="365467520"/>
        <c:crosses val="autoZero"/>
        <c:crossBetween val="midCat"/>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DCM Plant Transfer</a:t>
            </a:r>
            <a:r>
              <a:rPr lang="en-US" baseline="0"/>
              <a:t> Function</a:t>
            </a:r>
            <a:endParaRPr lang="en-US"/>
          </a:p>
        </c:rich>
      </c:tx>
      <c:overlay val="0"/>
    </c:title>
    <c:autoTitleDeleted val="0"/>
    <c:plotArea>
      <c:layout/>
      <c:scatterChart>
        <c:scatterStyle val="smoothMarker"/>
        <c:varyColors val="0"/>
        <c:ser>
          <c:idx val="0"/>
          <c:order val="0"/>
          <c:tx>
            <c:v>Gain(dB)</c:v>
          </c:tx>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Control_Loop_Tables!$AP$19:$AP$560</c:f>
              <c:numCache>
                <c:formatCode>General</c:formatCode>
                <c:ptCount val="542"/>
                <c:pt idx="0">
                  <c:v>30.737330274593884</c:v>
                </c:pt>
                <c:pt idx="1">
                  <c:v>30.737084617262575</c:v>
                </c:pt>
                <c:pt idx="2">
                  <c:v>30.736827397443065</c:v>
                </c:pt>
                <c:pt idx="3">
                  <c:v>30.736558071655907</c:v>
                </c:pt>
                <c:pt idx="4">
                  <c:v>30.736276070947184</c:v>
                </c:pt>
                <c:pt idx="5">
                  <c:v>30.735980799701412</c:v>
                </c:pt>
                <c:pt idx="6">
                  <c:v>30.73567163439964</c:v>
                </c:pt>
                <c:pt idx="7">
                  <c:v>30.735347922320457</c:v>
                </c:pt>
                <c:pt idx="8">
                  <c:v>30.735008980181341</c:v>
                </c:pt>
                <c:pt idx="9">
                  <c:v>30.734654092717591</c:v>
                </c:pt>
                <c:pt idx="10">
                  <c:v>30.734282511196213</c:v>
                </c:pt>
                <c:pt idx="11">
                  <c:v>30.733893451861857</c:v>
                </c:pt>
                <c:pt idx="12">
                  <c:v>30.733486094311495</c:v>
                </c:pt>
                <c:pt idx="13">
                  <c:v>30.733059579795228</c:v>
                </c:pt>
                <c:pt idx="14">
                  <c:v>30.732613009439412</c:v>
                </c:pt>
                <c:pt idx="15">
                  <c:v>30.732145442389204</c:v>
                </c:pt>
                <c:pt idx="16">
                  <c:v>30.731655893866538</c:v>
                </c:pt>
                <c:pt idx="17">
                  <c:v>30.73114333314027</c:v>
                </c:pt>
                <c:pt idx="18">
                  <c:v>30.730606681404407</c:v>
                </c:pt>
                <c:pt idx="19">
                  <c:v>30.730044809560422</c:v>
                </c:pt>
                <c:pt idx="20">
                  <c:v>30.729456535899971</c:v>
                </c:pt>
                <c:pt idx="21">
                  <c:v>30.728840623683148</c:v>
                </c:pt>
                <c:pt idx="22">
                  <c:v>30.728195778608118</c:v>
                </c:pt>
                <c:pt idx="23">
                  <c:v>30.727520646167882</c:v>
                </c:pt>
                <c:pt idx="24">
                  <c:v>30.726813808888593</c:v>
                </c:pt>
                <c:pt idx="25">
                  <c:v>30.726073783445372</c:v>
                </c:pt>
                <c:pt idx="26">
                  <c:v>30.725299017649917</c:v>
                </c:pt>
                <c:pt idx="27">
                  <c:v>30.724487887304864</c:v>
                </c:pt>
                <c:pt idx="28">
                  <c:v>30.723638692919355</c:v>
                </c:pt>
                <c:pt idx="29">
                  <c:v>30.722749656280378</c:v>
                </c:pt>
                <c:pt idx="30">
                  <c:v>30.721818916873573</c:v>
                </c:pt>
                <c:pt idx="31">
                  <c:v>30.720844528148238</c:v>
                </c:pt>
                <c:pt idx="32">
                  <c:v>30.719824453619488</c:v>
                </c:pt>
                <c:pt idx="33">
                  <c:v>30.718756562802017</c:v>
                </c:pt>
                <c:pt idx="34">
                  <c:v>30.717638626968164</c:v>
                </c:pt>
                <c:pt idx="35">
                  <c:v>30.716468314724192</c:v>
                </c:pt>
                <c:pt idx="36">
                  <c:v>30.715243187397405</c:v>
                </c:pt>
                <c:pt idx="37">
                  <c:v>30.713960694227328</c:v>
                </c:pt>
                <c:pt idx="38">
                  <c:v>30.712618167353476</c:v>
                </c:pt>
                <c:pt idx="39">
                  <c:v>30.711212816592351</c:v>
                </c:pt>
                <c:pt idx="40">
                  <c:v>30.709741723996416</c:v>
                </c:pt>
                <c:pt idx="41">
                  <c:v>30.708201838186788</c:v>
                </c:pt>
                <c:pt idx="42">
                  <c:v>30.70658996845237</c:v>
                </c:pt>
                <c:pt idx="43">
                  <c:v>30.704902778607153</c:v>
                </c:pt>
                <c:pt idx="44">
                  <c:v>30.70313678059776</c:v>
                </c:pt>
                <c:pt idx="45">
                  <c:v>30.701288327853259</c:v>
                </c:pt>
                <c:pt idx="46">
                  <c:v>30.699353608368831</c:v>
                </c:pt>
                <c:pt idx="47">
                  <c:v>30.697328637515202</c:v>
                </c:pt>
                <c:pt idx="48">
                  <c:v>30.695209250565902</c:v>
                </c:pt>
                <c:pt idx="49">
                  <c:v>30.692991094933987</c:v>
                </c:pt>
                <c:pt idx="50">
                  <c:v>30.690669622109958</c:v>
                </c:pt>
                <c:pt idx="51">
                  <c:v>30.688240079293418</c:v>
                </c:pt>
                <c:pt idx="52">
                  <c:v>30.685697500710248</c:v>
                </c:pt>
                <c:pt idx="53">
                  <c:v>30.683036698608099</c:v>
                </c:pt>
                <c:pt idx="54">
                  <c:v>30.680252253922365</c:v>
                </c:pt>
                <c:pt idx="55">
                  <c:v>30.677338506606464</c:v>
                </c:pt>
                <c:pt idx="56">
                  <c:v>30.674289545618919</c:v>
                </c:pt>
                <c:pt idx="57">
                  <c:v>30.671099198562054</c:v>
                </c:pt>
                <c:pt idx="58">
                  <c:v>30.667761020966196</c:v>
                </c:pt>
                <c:pt idx="59">
                  <c:v>30.664268285214821</c:v>
                </c:pt>
                <c:pt idx="60">
                  <c:v>30.660613969106471</c:v>
                </c:pt>
                <c:pt idx="61">
                  <c:v>30.656790744050365</c:v>
                </c:pt>
                <c:pt idx="62">
                  <c:v>30.652790962893373</c:v>
                </c:pt>
                <c:pt idx="63">
                  <c:v>30.648606647377086</c:v>
                </c:pt>
                <c:pt idx="64">
                  <c:v>30.644229475225938</c:v>
                </c:pt>
                <c:pt idx="65">
                  <c:v>30.639650766866914</c:v>
                </c:pt>
                <c:pt idx="66">
                  <c:v>30.634861471785101</c:v>
                </c:pt>
                <c:pt idx="67">
                  <c:v>30.62985215451917</c:v>
                </c:pt>
                <c:pt idx="68">
                  <c:v>30.624612980304367</c:v>
                </c:pt>
                <c:pt idx="69">
                  <c:v>30.619133700371979</c:v>
                </c:pt>
                <c:pt idx="70">
                  <c:v>30.613403636916317</c:v>
                </c:pt>
                <c:pt idx="71">
                  <c:v>30.607411667743971</c:v>
                </c:pt>
                <c:pt idx="72">
                  <c:v>30.601146210621607</c:v>
                </c:pt>
                <c:pt idx="73">
                  <c:v>30.594595207343069</c:v>
                </c:pt>
                <c:pt idx="74">
                  <c:v>30.587746107538301</c:v>
                </c:pt>
                <c:pt idx="75">
                  <c:v>30.58058585225233</c:v>
                </c:pt>
                <c:pt idx="76">
                  <c:v>30.573100857324</c:v>
                </c:pt>
                <c:pt idx="77">
                  <c:v>30.565276996601142</c:v>
                </c:pt>
                <c:pt idx="78">
                  <c:v>30.557099585031089</c:v>
                </c:pt>
                <c:pt idx="79">
                  <c:v>30.548553361671821</c:v>
                </c:pt>
                <c:pt idx="80">
                  <c:v>30.539622472673734</c:v>
                </c:pt>
                <c:pt idx="81">
                  <c:v>30.530290454287652</c:v>
                </c:pt>
                <c:pt idx="82">
                  <c:v>30.520540215960892</c:v>
                </c:pt>
                <c:pt idx="83">
                  <c:v>30.510354023588647</c:v>
                </c:pt>
                <c:pt idx="84">
                  <c:v>30.49971348299616</c:v>
                </c:pt>
                <c:pt idx="85">
                  <c:v>30.488599523732081</c:v>
                </c:pt>
                <c:pt idx="86">
                  <c:v>30.476992383262203</c:v>
                </c:pt>
                <c:pt idx="87">
                  <c:v>30.464871591659929</c:v>
                </c:pt>
                <c:pt idx="88">
                  <c:v>30.452215956896861</c:v>
                </c:pt>
                <c:pt idx="89">
                  <c:v>30.439003550845982</c:v>
                </c:pt>
                <c:pt idx="90">
                  <c:v>30.425211696117792</c:v>
                </c:pt>
                <c:pt idx="91">
                  <c:v>30.410816953857474</c:v>
                </c:pt>
                <c:pt idx="92">
                  <c:v>30.395795112640659</c:v>
                </c:pt>
                <c:pt idx="93">
                  <c:v>30.380121178613262</c:v>
                </c:pt>
                <c:pt idx="94">
                  <c:v>30.363769367028958</c:v>
                </c:pt>
                <c:pt idx="95">
                  <c:v>30.346713095346832</c:v>
                </c:pt>
                <c:pt idx="96">
                  <c:v>30.328924978059199</c:v>
                </c:pt>
                <c:pt idx="97">
                  <c:v>30.310376823427269</c:v>
                </c:pt>
                <c:pt idx="98">
                  <c:v>30.29103963230941</c:v>
                </c:pt>
                <c:pt idx="99">
                  <c:v>30.270883599273333</c:v>
                </c:pt>
                <c:pt idx="100">
                  <c:v>30.2498781161888</c:v>
                </c:pt>
                <c:pt idx="101">
                  <c:v>30.227991778502648</c:v>
                </c:pt>
                <c:pt idx="102">
                  <c:v>30.205192394400591</c:v>
                </c:pt>
                <c:pt idx="103">
                  <c:v>30.181446997063127</c:v>
                </c:pt>
                <c:pt idx="104">
                  <c:v>30.156721860223016</c:v>
                </c:pt>
                <c:pt idx="105">
                  <c:v>30.130982517230962</c:v>
                </c:pt>
                <c:pt idx="106">
                  <c:v>30.104193783832272</c:v>
                </c:pt>
                <c:pt idx="107">
                  <c:v>30.076319784852963</c:v>
                </c:pt>
                <c:pt idx="108">
                  <c:v>30.047323984984963</c:v>
                </c:pt>
                <c:pt idx="109">
                  <c:v>30.017169223850683</c:v>
                </c:pt>
                <c:pt idx="110">
                  <c:v>29.985817755513228</c:v>
                </c:pt>
                <c:pt idx="111">
                  <c:v>29.953231292583165</c:v>
                </c:pt>
                <c:pt idx="112">
                  <c:v>29.919371055052785</c:v>
                </c:pt>
                <c:pt idx="113">
                  <c:v>29.884197823966936</c:v>
                </c:pt>
                <c:pt idx="114">
                  <c:v>29.847672000013226</c:v>
                </c:pt>
                <c:pt idx="115">
                  <c:v>29.809753667084991</c:v>
                </c:pt>
                <c:pt idx="116">
                  <c:v>29.770402660838094</c:v>
                </c:pt>
                <c:pt idx="117">
                  <c:v>29.729578642226109</c:v>
                </c:pt>
                <c:pt idx="118">
                  <c:v>29.687241175959286</c:v>
                </c:pt>
                <c:pt idx="119">
                  <c:v>29.643349813790461</c:v>
                </c:pt>
                <c:pt idx="120">
                  <c:v>29.597864182484788</c:v>
                </c:pt>
                <c:pt idx="121">
                  <c:v>29.550744076283696</c:v>
                </c:pt>
                <c:pt idx="122">
                  <c:v>29.501949553622765</c:v>
                </c:pt>
                <c:pt idx="123">
                  <c:v>29.451441037811399</c:v>
                </c:pt>
                <c:pt idx="124">
                  <c:v>29.399179421330594</c:v>
                </c:pt>
                <c:pt idx="125">
                  <c:v>29.345126173351108</c:v>
                </c:pt>
                <c:pt idx="126">
                  <c:v>29.289243450021974</c:v>
                </c:pt>
                <c:pt idx="127">
                  <c:v>29.231494207028238</c:v>
                </c:pt>
                <c:pt idx="128">
                  <c:v>29.171842313866456</c:v>
                </c:pt>
                <c:pt idx="129">
                  <c:v>29.110252669239767</c:v>
                </c:pt>
                <c:pt idx="130">
                  <c:v>29.046691316931597</c:v>
                </c:pt>
                <c:pt idx="131">
                  <c:v>28.981125561478294</c:v>
                </c:pt>
                <c:pt idx="132">
                  <c:v>28.9135240829279</c:v>
                </c:pt>
                <c:pt idx="133">
                  <c:v>28.843857049945683</c:v>
                </c:pt>
                <c:pt idx="134">
                  <c:v>28.772096230507639</c:v>
                </c:pt>
                <c:pt idx="135">
                  <c:v>28.698215099412216</c:v>
                </c:pt>
                <c:pt idx="136">
                  <c:v>28.622188941835461</c:v>
                </c:pt>
                <c:pt idx="137">
                  <c:v>28.543994952163708</c:v>
                </c:pt>
                <c:pt idx="138">
                  <c:v>28.463612327351164</c:v>
                </c:pt>
                <c:pt idx="139">
                  <c:v>28.381022354074684</c:v>
                </c:pt>
                <c:pt idx="140">
                  <c:v>28.296208488994402</c:v>
                </c:pt>
                <c:pt idx="141">
                  <c:v>28.209156431470518</c:v>
                </c:pt>
                <c:pt idx="142">
                  <c:v>28.119854188140994</c:v>
                </c:pt>
                <c:pt idx="143">
                  <c:v>28.028292128826557</c:v>
                </c:pt>
                <c:pt idx="144">
                  <c:v>27.934463033297938</c:v>
                </c:pt>
                <c:pt idx="145">
                  <c:v>27.838362128516817</c:v>
                </c:pt>
                <c:pt idx="146">
                  <c:v>27.739987116045501</c:v>
                </c:pt>
                <c:pt idx="147">
                  <c:v>27.639338189404803</c:v>
                </c:pt>
                <c:pt idx="148">
                  <c:v>27.536418041252574</c:v>
                </c:pt>
                <c:pt idx="149">
                  <c:v>27.431231860345704</c:v>
                </c:pt>
                <c:pt idx="150">
                  <c:v>27.323787318342291</c:v>
                </c:pt>
                <c:pt idx="151">
                  <c:v>27.214094546593699</c:v>
                </c:pt>
                <c:pt idx="152">
                  <c:v>27.102166103163874</c:v>
                </c:pt>
                <c:pt idx="153">
                  <c:v>26.988016930402967</c:v>
                </c:pt>
                <c:pt idx="154">
                  <c:v>26.871664303481193</c:v>
                </c:pt>
                <c:pt idx="155">
                  <c:v>26.753127770365555</c:v>
                </c:pt>
                <c:pt idx="156">
                  <c:v>26.632429083791585</c:v>
                </c:pt>
                <c:pt idx="157">
                  <c:v>26.509592125840605</c:v>
                </c:pt>
                <c:pt idx="158">
                  <c:v>26.384642825787935</c:v>
                </c:pt>
                <c:pt idx="159">
                  <c:v>26.257609071927575</c:v>
                </c:pt>
                <c:pt idx="160">
                  <c:v>26.128520618114752</c:v>
                </c:pt>
                <c:pt idx="161">
                  <c:v>25.997408985790052</c:v>
                </c:pt>
                <c:pt idx="162">
                  <c:v>25.864307362263929</c:v>
                </c:pt>
                <c:pt idx="163">
                  <c:v>25.729250496045086</c:v>
                </c:pt>
                <c:pt idx="164">
                  <c:v>25.59227458999235</c:v>
                </c:pt>
                <c:pt idx="165">
                  <c:v>25.453417193057206</c:v>
                </c:pt>
                <c:pt idx="166">
                  <c:v>25.31271709136378</c:v>
                </c:pt>
                <c:pt idx="167">
                  <c:v>25.170214199345935</c:v>
                </c:pt>
                <c:pt idx="168">
                  <c:v>25.0259494516269</c:v>
                </c:pt>
                <c:pt idx="169">
                  <c:v>24.879964696288699</c:v>
                </c:pt>
                <c:pt idx="170">
                  <c:v>24.732302590134218</c:v>
                </c:pt>
                <c:pt idx="171">
                  <c:v>24.583006496497774</c:v>
                </c:pt>
                <c:pt idx="172">
                  <c:v>24.432120386110633</c:v>
                </c:pt>
                <c:pt idx="173">
                  <c:v>24.2796887414747</c:v>
                </c:pt>
                <c:pt idx="174">
                  <c:v>24.12575646514679</c:v>
                </c:pt>
                <c:pt idx="175">
                  <c:v>23.970368792280901</c:v>
                </c:pt>
                <c:pt idx="176">
                  <c:v>23.813571207724202</c:v>
                </c:pt>
                <c:pt idx="177">
                  <c:v>23.655409367911375</c:v>
                </c:pt>
                <c:pt idx="178">
                  <c:v>23.495929027749828</c:v>
                </c:pt>
                <c:pt idx="179">
                  <c:v>23.335175972643892</c:v>
                </c:pt>
                <c:pt idx="180">
                  <c:v>23.173195955756931</c:v>
                </c:pt>
                <c:pt idx="181">
                  <c:v>23.010034640571156</c:v>
                </c:pt>
                <c:pt idx="182">
                  <c:v>22.845737548763058</c:v>
                </c:pt>
                <c:pt idx="183">
                  <c:v>22.680350013376852</c:v>
                </c:pt>
                <c:pt idx="184">
                  <c:v>22.513917137246409</c:v>
                </c:pt>
                <c:pt idx="185">
                  <c:v>22.346483756583861</c:v>
                </c:pt>
                <c:pt idx="186">
                  <c:v>22.178094409630194</c:v>
                </c:pt>
                <c:pt idx="187">
                  <c:v>22.008793310236577</c:v>
                </c:pt>
                <c:pt idx="188">
                  <c:v>21.838624326227642</c:v>
                </c:pt>
                <c:pt idx="189">
                  <c:v>21.667630962380102</c:v>
                </c:pt>
                <c:pt idx="190">
                  <c:v>21.495856347835041</c:v>
                </c:pt>
                <c:pt idx="191">
                  <c:v>21.323343227753142</c:v>
                </c:pt>
                <c:pt idx="192">
                  <c:v>21.150133959009171</c:v>
                </c:pt>
                <c:pt idx="193">
                  <c:v>20.976270509719424</c:v>
                </c:pt>
                <c:pt idx="194">
                  <c:v>20.801794462386624</c:v>
                </c:pt>
                <c:pt idx="195">
                  <c:v>20.626747020447553</c:v>
                </c:pt>
                <c:pt idx="196">
                  <c:v>20.45116901800305</c:v>
                </c:pt>
                <c:pt idx="197">
                  <c:v>20.275100932512856</c:v>
                </c:pt>
                <c:pt idx="198">
                  <c:v>20.098582900236316</c:v>
                </c:pt>
                <c:pt idx="199">
                  <c:v>19.92165473420232</c:v>
                </c:pt>
                <c:pt idx="200">
                  <c:v>19.744355944493847</c:v>
                </c:pt>
                <c:pt idx="201">
                  <c:v>19.566725760635521</c:v>
                </c:pt>
                <c:pt idx="202">
                  <c:v>19.38880315587468</c:v>
                </c:pt>
                <c:pt idx="203">
                  <c:v>19.210626873151046</c:v>
                </c:pt>
                <c:pt idx="204">
                  <c:v>19.03223545255188</c:v>
                </c:pt>
                <c:pt idx="205">
                  <c:v>18.853667260054159</c:v>
                </c:pt>
                <c:pt idx="206">
                  <c:v>18.67496051735699</c:v>
                </c:pt>
                <c:pt idx="207">
                  <c:v>18.496153332610934</c:v>
                </c:pt>
                <c:pt idx="208">
                  <c:v>18.317283731853504</c:v>
                </c:pt>
                <c:pt idx="209">
                  <c:v>18.138389690961009</c:v>
                </c:pt>
                <c:pt idx="210">
                  <c:v>17.959509167929603</c:v>
                </c:pt>
                <c:pt idx="211">
                  <c:v>17.780680135298343</c:v>
                </c:pt>
                <c:pt idx="212">
                  <c:v>17.601940612528409</c:v>
                </c:pt>
                <c:pt idx="213">
                  <c:v>17.42332869815128</c:v>
                </c:pt>
                <c:pt idx="214">
                  <c:v>17.244882601499288</c:v>
                </c:pt>
                <c:pt idx="215">
                  <c:v>17.066640673829887</c:v>
                </c:pt>
                <c:pt idx="216">
                  <c:v>16.888641438653654</c:v>
                </c:pt>
                <c:pt idx="217">
                  <c:v>16.710923621073594</c:v>
                </c:pt>
                <c:pt idx="218">
                  <c:v>16.533526175941194</c:v>
                </c:pt>
                <c:pt idx="219">
                  <c:v>16.356488314631438</c:v>
                </c:pt>
                <c:pt idx="220">
                  <c:v>16.179849530236247</c:v>
                </c:pt>
                <c:pt idx="221">
                  <c:v>16.003649620972023</c:v>
                </c:pt>
                <c:pt idx="222">
                  <c:v>15.827928711595048</c:v>
                </c:pt>
                <c:pt idx="223">
                  <c:v>15.6527272726132</c:v>
                </c:pt>
                <c:pt idx="224">
                  <c:v>15.478086137082576</c:v>
                </c:pt>
                <c:pt idx="225">
                  <c:v>15.304046514772363</c:v>
                </c:pt>
                <c:pt idx="226">
                  <c:v>15.1306500034812</c:v>
                </c:pt>
                <c:pt idx="227">
                  <c:v>14.95793859728763</c:v>
                </c:pt>
                <c:pt idx="228">
                  <c:v>14.785954691515808</c:v>
                </c:pt>
                <c:pt idx="229">
                  <c:v>14.614741084199228</c:v>
                </c:pt>
                <c:pt idx="230">
                  <c:v>14.444340973830119</c:v>
                </c:pt>
                <c:pt idx="231">
                  <c:v>14.27479795318237</c:v>
                </c:pt>
                <c:pt idx="232">
                  <c:v>14.106155999006404</c:v>
                </c:pt>
                <c:pt idx="233">
                  <c:v>13.938459457398707</c:v>
                </c:pt>
                <c:pt idx="234">
                  <c:v>13.771753024662896</c:v>
                </c:pt>
                <c:pt idx="235">
                  <c:v>13.606081723489577</c:v>
                </c:pt>
                <c:pt idx="236">
                  <c:v>13.441490874299642</c:v>
                </c:pt>
                <c:pt idx="237">
                  <c:v>13.278026061613954</c:v>
                </c:pt>
                <c:pt idx="238">
                  <c:v>13.115733095334352</c:v>
                </c:pt>
                <c:pt idx="239">
                  <c:v>12.954657966846062</c:v>
                </c:pt>
                <c:pt idx="240">
                  <c:v>12.79484679987972</c:v>
                </c:pt>
                <c:pt idx="241">
                  <c:v>12.636345796102944</c:v>
                </c:pt>
                <c:pt idx="242">
                  <c:v>12.479201175446947</c:v>
                </c:pt>
                <c:pt idx="243">
                  <c:v>12.323459111211347</c:v>
                </c:pt>
                <c:pt idx="244">
                  <c:v>12.169165660031782</c:v>
                </c:pt>
                <c:pt idx="245">
                  <c:v>12.016366686839483</c:v>
                </c:pt>
                <c:pt idx="246">
                  <c:v>11.865107784989434</c:v>
                </c:pt>
                <c:pt idx="247">
                  <c:v>11.715434191781346</c:v>
                </c:pt>
                <c:pt idx="248">
                  <c:v>11.567390699650506</c:v>
                </c:pt>
                <c:pt idx="249">
                  <c:v>11.421021563357627</c:v>
                </c:pt>
                <c:pt idx="250">
                  <c:v>11.276370403557788</c:v>
                </c:pt>
                <c:pt idx="251">
                  <c:v>11.133480107186353</c:v>
                </c:pt>
                <c:pt idx="252">
                  <c:v>10.992392725145951</c:v>
                </c:pt>
                <c:pt idx="253">
                  <c:v>10.853149367836277</c:v>
                </c:pt>
                <c:pt idx="254">
                  <c:v>10.71579009911024</c:v>
                </c:pt>
                <c:pt idx="255">
                  <c:v>10.580353829292351</c:v>
                </c:pt>
                <c:pt idx="256">
                  <c:v>10.44687820792956</c:v>
                </c:pt>
                <c:pt idx="257">
                  <c:v>10.31539951698662</c:v>
                </c:pt>
                <c:pt idx="258">
                  <c:v>10.185952565224309</c:v>
                </c:pt>
                <c:pt idx="259">
                  <c:v>10.058570584524563</c:v>
                </c:pt>
                <c:pt idx="260">
                  <c:v>9.9332851289412627</c:v>
                </c:pt>
                <c:pt idx="261">
                  <c:v>9.8101259772638407</c:v>
                </c:pt>
                <c:pt idx="262">
                  <c:v>9.6891210398797103</c:v>
                </c:pt>
                <c:pt idx="263">
                  <c:v>9.5702962707099566</c:v>
                </c:pt>
                <c:pt idx="264">
                  <c:v>9.4536755849757839</c:v>
                </c:pt>
                <c:pt idx="265">
                  <c:v>9.3392807835202269</c:v>
                </c:pt>
                <c:pt idx="266">
                  <c:v>9.2271314843744587</c:v>
                </c:pt>
                <c:pt idx="267">
                  <c:v>9.1172450622063099</c:v>
                </c:pt>
                <c:pt idx="268">
                  <c:v>9.0096365962344436</c:v>
                </c:pt>
                <c:pt idx="269">
                  <c:v>8.9043188271250511</c:v>
                </c:pt>
                <c:pt idx="270">
                  <c:v>8.8013021233147306</c:v>
                </c:pt>
                <c:pt idx="271">
                  <c:v>8.700594457125792</c:v>
                </c:pt>
                <c:pt idx="272">
                  <c:v>8.6022013909544253</c:v>
                </c:pt>
                <c:pt idx="273">
                  <c:v>8.5061260737238769</c:v>
                </c:pt>
                <c:pt idx="274">
                  <c:v>8.412369247704067</c:v>
                </c:pt>
                <c:pt idx="275">
                  <c:v>8.3209292657054483</c:v>
                </c:pt>
                <c:pt idx="276">
                  <c:v>8.2318021185632801</c:v>
                </c:pt>
                <c:pt idx="277">
                  <c:v>8.1449814727366139</c:v>
                </c:pt>
                <c:pt idx="278">
                  <c:v>8.0604587177579532</c:v>
                </c:pt>
                <c:pt idx="279">
                  <c:v>7.9782230231861684</c:v>
                </c:pt>
                <c:pt idx="280">
                  <c:v>7.8982614046350177</c:v>
                </c:pt>
                <c:pt idx="281">
                  <c:v>7.8205587983798672</c:v>
                </c:pt>
                <c:pt idx="282">
                  <c:v>7.7450981439772884</c:v>
                </c:pt>
                <c:pt idx="283">
                  <c:v>7.671860474279014</c:v>
                </c:pt>
                <c:pt idx="284">
                  <c:v>7.6008250121706613</c:v>
                </c:pt>
                <c:pt idx="285">
                  <c:v>7.53196927333149</c:v>
                </c:pt>
                <c:pt idx="286">
                  <c:v>7.4652691742775721</c:v>
                </c:pt>
                <c:pt idx="287">
                  <c:v>7.4006991449369739</c:v>
                </c:pt>
                <c:pt idx="288">
                  <c:v>7.3382322449909285</c:v>
                </c:pt>
                <c:pt idx="289">
                  <c:v>7.2778402832178042</c:v>
                </c:pt>
                <c:pt idx="290">
                  <c:v>7.2194939390833346</c:v>
                </c:pt>
                <c:pt idx="291">
                  <c:v>7.1631628858363214</c:v>
                </c:pt>
                <c:pt idx="292">
                  <c:v>7.1088159143945751</c:v>
                </c:pt>
                <c:pt idx="293">
                  <c:v>7.0564210573342212</c:v>
                </c:pt>
                <c:pt idx="294">
                  <c:v>7.0059457123328102</c:v>
                </c:pt>
                <c:pt idx="295">
                  <c:v>6.9573567644576286</c:v>
                </c:pt>
                <c:pt idx="296">
                  <c:v>6.9106207067363101</c:v>
                </c:pt>
                <c:pt idx="297">
                  <c:v>6.8657037584930816</c:v>
                </c:pt>
                <c:pt idx="298">
                  <c:v>6.8225719809875809</c:v>
                </c:pt>
                <c:pt idx="299">
                  <c:v>6.7811913899424034</c:v>
                </c:pt>
                <c:pt idx="300">
                  <c:v>6.741528064599108</c:v>
                </c:pt>
                <c:pt idx="301">
                  <c:v>6.7035482529951116</c:v>
                </c:pt>
                <c:pt idx="302">
                  <c:v>6.6672184732034276</c:v>
                </c:pt>
                <c:pt idx="303">
                  <c:v>6.632505610329047</c:v>
                </c:pt>
                <c:pt idx="304">
                  <c:v>6.5993770091026622</c:v>
                </c:pt>
                <c:pt idx="305">
                  <c:v>6.567800561956747</c:v>
                </c:pt>
                <c:pt idx="306">
                  <c:v>6.5377447925138608</c:v>
                </c:pt>
                <c:pt idx="307">
                  <c:v>6.5091789344535265</c:v>
                </c:pt>
                <c:pt idx="308">
                  <c:v>6.4820730057623095</c:v>
                </c:pt>
                <c:pt idx="309">
                  <c:v>6.4563978784026697</c:v>
                </c:pt>
                <c:pt idx="310">
                  <c:v>6.4321253434657413</c:v>
                </c:pt>
                <c:pt idx="311">
                  <c:v>6.4092281718981656</c:v>
                </c:pt>
                <c:pt idx="312">
                  <c:v>6.387680170914094</c:v>
                </c:pt>
                <c:pt idx="313">
                  <c:v>6.3674562362232141</c:v>
                </c:pt>
                <c:pt idx="314">
                  <c:v>6.3485324002181276</c:v>
                </c:pt>
                <c:pt idx="315">
                  <c:v>6.3308858762772182</c:v>
                </c:pt>
                <c:pt idx="316">
                  <c:v>6.3144950993466011</c:v>
                </c:pt>
                <c:pt idx="317">
                  <c:v>6.29933976297096</c:v>
                </c:pt>
                <c:pt idx="318">
                  <c:v>6.2854008529434218</c:v>
                </c:pt>
                <c:pt idx="319">
                  <c:v>6.2726606777469618</c:v>
                </c:pt>
                <c:pt idx="320">
                  <c:v>6.2611028959557942</c:v>
                </c:pt>
                <c:pt idx="321">
                  <c:v>6.2507125407606168</c:v>
                </c:pt>
                <c:pt idx="322">
                  <c:v>6.2414760417753516</c:v>
                </c:pt>
                <c:pt idx="323">
                  <c:v>6.2333812442746153</c:v>
                </c:pt>
                <c:pt idx="324">
                  <c:v>6.2264174260005545</c:v>
                </c:pt>
                <c:pt idx="325">
                  <c:v>6.2205753116666145</c:v>
                </c:pt>
                <c:pt idx="326">
                  <c:v>6.2158470852742322</c:v>
                </c:pt>
                <c:pt idx="327">
                  <c:v>6.2122264003423089</c:v>
                </c:pt>
                <c:pt idx="328">
                  <c:v>6.2097083881371944</c:v>
                </c:pt>
                <c:pt idx="329">
                  <c:v>6.2082896639745417</c:v>
                </c:pt>
                <c:pt idx="330">
                  <c:v>6.2079683316488907</c:v>
                </c:pt>
                <c:pt idx="331">
                  <c:v>6.2087439860299201</c:v>
                </c:pt>
                <c:pt idx="332">
                  <c:v>6.210617713848043</c:v>
                </c:pt>
                <c:pt idx="333">
                  <c:v>6.2135920926759871</c:v>
                </c:pt>
                <c:pt idx="334">
                  <c:v>6.2176711880951707</c:v>
                </c:pt>
                <c:pt idx="335">
                  <c:v>6.2228605490186784</c:v>
                </c:pt>
                <c:pt idx="336">
                  <c:v>6.2291672011280186</c:v>
                </c:pt>
                <c:pt idx="337">
                  <c:v>6.2365996383618185</c:v>
                </c:pt>
                <c:pt idx="338">
                  <c:v>6.2451678123820802</c:v>
                </c:pt>
                <c:pt idx="339">
                  <c:v>6.2548831199259141</c:v>
                </c:pt>
                <c:pt idx="340">
                  <c:v>6.265758387937554</c:v>
                </c:pt>
                <c:pt idx="341">
                  <c:v>6.2778078563633466</c:v>
                </c:pt>
                <c:pt idx="342">
                  <c:v>6.2910471584769665</c:v>
                </c:pt>
                <c:pt idx="343">
                  <c:v>6.3054932985950609</c:v>
                </c:pt>
                <c:pt idx="344">
                  <c:v>6.3211646270305586</c:v>
                </c:pt>
                <c:pt idx="345">
                  <c:v>6.3380808121263676</c:v>
                </c:pt>
                <c:pt idx="346">
                  <c:v>6.3562628092024118</c:v>
                </c:pt>
                <c:pt idx="347">
                  <c:v>6.3757328262488242</c:v>
                </c:pt>
                <c:pt idx="348">
                  <c:v>6.3965142861935824</c:v>
                </c:pt>
                <c:pt idx="349">
                  <c:v>6.4186317855752595</c:v>
                </c:pt>
                <c:pt idx="350">
                  <c:v>6.4421110494533433</c:v>
                </c:pt>
                <c:pt idx="351">
                  <c:v>6.4669788823971119</c:v>
                </c:pt>
                <c:pt idx="352">
                  <c:v>6.4932631154006017</c:v>
                </c:pt>
                <c:pt idx="353">
                  <c:v>6.5209925485861309</c:v>
                </c:pt>
                <c:pt idx="354">
                  <c:v>6.5501968895725371</c:v>
                </c:pt>
                <c:pt idx="355">
                  <c:v>6.5809066874049682</c:v>
                </c:pt>
                <c:pt idx="356">
                  <c:v>6.6131532619657687</c:v>
                </c:pt>
                <c:pt idx="357">
                  <c:v>6.6469686288114707</c:v>
                </c:pt>
                <c:pt idx="358">
                  <c:v>6.6823854194121823</c:v>
                </c:pt>
                <c:pt idx="359">
                  <c:v>6.7194367968026381</c:v>
                </c:pt>
                <c:pt idx="360">
                  <c:v>6.7581563666914404</c:v>
                </c:pt>
                <c:pt idx="361">
                  <c:v>6.7985780841155643</c:v>
                </c:pt>
                <c:pt idx="362">
                  <c:v>6.8407361557713813</c:v>
                </c:pt>
                <c:pt idx="363">
                  <c:v>6.884664938197024</c:v>
                </c:pt>
                <c:pt idx="364">
                  <c:v>6.9303988320342205</c:v>
                </c:pt>
                <c:pt idx="365">
                  <c:v>6.9779721726427333</c:v>
                </c:pt>
                <c:pt idx="366">
                  <c:v>7.027419117396887</c:v>
                </c:pt>
                <c:pt idx="367">
                  <c:v>7.0787735300431285</c:v>
                </c:pt>
                <c:pt idx="368">
                  <c:v>7.1320688625514634</c:v>
                </c:pt>
                <c:pt idx="369">
                  <c:v>7.1873380349442817</c:v>
                </c:pt>
                <c:pt idx="370">
                  <c:v>7.2446133136373163</c:v>
                </c:pt>
                <c:pt idx="371">
                  <c:v>7.3039261888724685</c:v>
                </c:pt>
                <c:pt idx="372">
                  <c:v>7.3653072518695364</c:v>
                </c:pt>
                <c:pt idx="373">
                  <c:v>7.4287860723609995</c:v>
                </c:pt>
                <c:pt idx="374">
                  <c:v>7.4943910772084186</c:v>
                </c:pt>
                <c:pt idx="375">
                  <c:v>7.5621494308300496</c:v>
                </c:pt>
                <c:pt idx="376">
                  <c:v>7.6320869181870234</c:v>
                </c:pt>
                <c:pt idx="377">
                  <c:v>7.7042278310917132</c:v>
                </c:pt>
                <c:pt idx="378">
                  <c:v>7.7785948586060716</c:v>
                </c:pt>
                <c:pt idx="379">
                  <c:v>7.855208982295113</c:v>
                </c:pt>
                <c:pt idx="380">
                  <c:v>7.9340893770861811</c:v>
                </c:pt>
                <c:pt idx="381">
                  <c:v>8.0152533184646675</c:v>
                </c:pt>
                <c:pt idx="382">
                  <c:v>8.0987160967030434</c:v>
                </c:pt>
                <c:pt idx="383">
                  <c:v>8.1844909387794935</c:v>
                </c:pt>
                <c:pt idx="384">
                  <c:v>8.2725889385917721</c:v>
                </c:pt>
                <c:pt idx="385">
                  <c:v>8.3630189960133592</c:v>
                </c:pt>
                <c:pt idx="386">
                  <c:v>8.4557877652693172</c:v>
                </c:pt>
                <c:pt idx="387">
                  <c:v>8.550899613039503</c:v>
                </c:pt>
                <c:pt idx="388">
                  <c:v>8.6483565866105696</c:v>
                </c:pt>
                <c:pt idx="389">
                  <c:v>8.7481583923174302</c:v>
                </c:pt>
                <c:pt idx="390">
                  <c:v>8.8503023844228945</c:v>
                </c:pt>
                <c:pt idx="391">
                  <c:v>8.9547835644933915</c:v>
                </c:pt>
                <c:pt idx="392">
                  <c:v>9.0615945912361422</c:v>
                </c:pt>
                <c:pt idx="393">
                  <c:v>9.1707258006706667</c:v>
                </c:pt>
                <c:pt idx="394">
                  <c:v>9.2821652364171108</c:v>
                </c:pt>
                <c:pt idx="395">
                  <c:v>9.3958986897965939</c:v>
                </c:pt>
                <c:pt idx="396">
                  <c:v>9.5119097493578035</c:v>
                </c:pt>
                <c:pt idx="397">
                  <c:v>9.6301798593638086</c:v>
                </c:pt>
                <c:pt idx="398">
                  <c:v>9.7506883867070187</c:v>
                </c:pt>
                <c:pt idx="399">
                  <c:v>9.8734126956542347</c:v>
                </c:pt>
                <c:pt idx="400">
                  <c:v>9.9983282297732003</c:v>
                </c:pt>
                <c:pt idx="401">
                  <c:v>10.125408600343601</c:v>
                </c:pt>
                <c:pt idx="402">
                  <c:v>10.254625680523599</c:v>
                </c:pt>
                <c:pt idx="403">
                  <c:v>10.385949704513225</c:v>
                </c:pt>
                <c:pt idx="404">
                  <c:v>10.519349370943821</c:v>
                </c:pt>
                <c:pt idx="405">
                  <c:v>10.65479194971153</c:v>
                </c:pt>
                <c:pt idx="406">
                  <c:v>10.792243391478388</c:v>
                </c:pt>
                <c:pt idx="407">
                  <c:v>10.931668439072389</c:v>
                </c:pt>
                <c:pt idx="408">
                  <c:v>11.073030740039822</c:v>
                </c:pt>
                <c:pt idx="409">
                  <c:v>11.216292959625376</c:v>
                </c:pt>
                <c:pt idx="410">
                  <c:v>11.361416893491503</c:v>
                </c:pt>
                <c:pt idx="411">
                  <c:v>11.508363579523502</c:v>
                </c:pt>
                <c:pt idx="412">
                  <c:v>11.657093408112615</c:v>
                </c:pt>
                <c:pt idx="413">
                  <c:v>11.807566230352533</c:v>
                </c:pt>
                <c:pt idx="414">
                  <c:v>11.959741463637583</c:v>
                </c:pt>
                <c:pt idx="415">
                  <c:v>12.11357819420088</c:v>
                </c:pt>
                <c:pt idx="416">
                  <c:v>12.269035276182272</c:v>
                </c:pt>
                <c:pt idx="417">
                  <c:v>12.426071426872307</c:v>
                </c:pt>
                <c:pt idx="418">
                  <c:v>12.584645317827526</c:v>
                </c:pt>
                <c:pt idx="419">
                  <c:v>12.744715661607479</c:v>
                </c:pt>
                <c:pt idx="420">
                  <c:v>12.906241293932357</c:v>
                </c:pt>
                <c:pt idx="421">
                  <c:v>13.069181251108937</c:v>
                </c:pt>
                <c:pt idx="422">
                  <c:v>13.233494842617723</c:v>
                </c:pt>
                <c:pt idx="423">
                  <c:v>13.399141718799502</c:v>
                </c:pt>
                <c:pt idx="424">
                  <c:v>13.566081933615635</c:v>
                </c:pt>
                <c:pt idx="425">
                  <c:v>13.734276002496571</c:v>
                </c:pt>
                <c:pt idx="426">
                  <c:v>13.903684955325179</c:v>
                </c:pt>
                <c:pt idx="427">
                  <c:v>14.074270384630127</c:v>
                </c:pt>
                <c:pt idx="428">
                  <c:v>14.245994489092791</c:v>
                </c:pt>
                <c:pt idx="429">
                  <c:v>14.418820112494704</c:v>
                </c:pt>
                <c:pt idx="430">
                  <c:v>14.592710778248733</c:v>
                </c:pt>
                <c:pt idx="431">
                  <c:v>14.767630719679055</c:v>
                </c:pt>
                <c:pt idx="432">
                  <c:v>14.943544906223797</c:v>
                </c:pt>
                <c:pt idx="433">
                  <c:v>15.120419065748738</c:v>
                </c:pt>
                <c:pt idx="434">
                  <c:v>15.298219703165953</c:v>
                </c:pt>
                <c:pt idx="435">
                  <c:v>15.476914115558637</c:v>
                </c:pt>
                <c:pt idx="436">
                  <c:v>15.656470404016392</c:v>
                </c:pt>
                <c:pt idx="437">
                  <c:v>15.836857482386337</c:v>
                </c:pt>
                <c:pt idx="438">
                  <c:v>16.018045083146053</c:v>
                </c:pt>
                <c:pt idx="439">
                  <c:v>16.200003760601778</c:v>
                </c:pt>
                <c:pt idx="440">
                  <c:v>16.382704891611827</c:v>
                </c:pt>
                <c:pt idx="441">
                  <c:v>16.566120674032653</c:v>
                </c:pt>
                <c:pt idx="442">
                  <c:v>16.75022412307629</c:v>
                </c:pt>
                <c:pt idx="443">
                  <c:v>16.934989065764768</c:v>
                </c:pt>
                <c:pt idx="444">
                  <c:v>17.120390133658717</c:v>
                </c:pt>
                <c:pt idx="445">
                  <c:v>17.306402754029669</c:v>
                </c:pt>
                <c:pt idx="446">
                  <c:v>17.493003139638617</c:v>
                </c:pt>
                <c:pt idx="447">
                  <c:v>17.68016827727444</c:v>
                </c:pt>
                <c:pt idx="448">
                  <c:v>17.867875915197548</c:v>
                </c:pt>
                <c:pt idx="449">
                  <c:v>18.056104549627193</c:v>
                </c:pt>
                <c:pt idx="450">
                  <c:v>18.244833410398893</c:v>
                </c:pt>
                <c:pt idx="451">
                  <c:v>18.434042445915185</c:v>
                </c:pt>
                <c:pt idx="452">
                  <c:v>18.623712307499215</c:v>
                </c:pt>
                <c:pt idx="453">
                  <c:v>18.81382433325809</c:v>
                </c:pt>
                <c:pt idx="454">
                  <c:v>19.004360531549448</c:v>
                </c:pt>
                <c:pt idx="455">
                  <c:v>19.19530356414344</c:v>
                </c:pt>
                <c:pt idx="456">
                  <c:v>19.386636729157868</c:v>
                </c:pt>
                <c:pt idx="457">
                  <c:v>19.578343943845255</c:v>
                </c:pt>
                <c:pt idx="458">
                  <c:v>19.770409727296364</c:v>
                </c:pt>
                <c:pt idx="459">
                  <c:v>19.96281918312469</c:v>
                </c:pt>
                <c:pt idx="460">
                  <c:v>20.155557982185623</c:v>
                </c:pt>
                <c:pt idx="461">
                  <c:v>20.348612345381483</c:v>
                </c:pt>
                <c:pt idx="462">
                  <c:v>20.541969026598096</c:v>
                </c:pt>
                <c:pt idx="463">
                  <c:v>20.735615295811026</c:v>
                </c:pt>
                <c:pt idx="464">
                  <c:v>20.929538922398812</c:v>
                </c:pt>
                <c:pt idx="465">
                  <c:v>21.123728158692717</c:v>
                </c:pt>
                <c:pt idx="466">
                  <c:v>21.318171723791714</c:v>
                </c:pt>
                <c:pt idx="467">
                  <c:v>21.512858787664552</c:v>
                </c:pt>
                <c:pt idx="468">
                  <c:v>21.707778955560009</c:v>
                </c:pt>
                <c:pt idx="469">
                  <c:v>21.902922252741991</c:v>
                </c:pt>
                <c:pt idx="470">
                  <c:v>22.098279109563478</c:v>
                </c:pt>
                <c:pt idx="471">
                  <c:v>22.293840346890779</c:v>
                </c:pt>
                <c:pt idx="472">
                  <c:v>22.48959716188681</c:v>
                </c:pt>
                <c:pt idx="473">
                  <c:v>22.685541114161232</c:v>
                </c:pt>
                <c:pt idx="474">
                  <c:v>22.881664112291112</c:v>
                </c:pt>
                <c:pt idx="475">
                  <c:v>23.077958400715872</c:v>
                </c:pt>
                <c:pt idx="476">
                  <c:v>23.274416547008499</c:v>
                </c:pt>
                <c:pt idx="477">
                  <c:v>23.471031429522007</c:v>
                </c:pt>
                <c:pt idx="478">
                  <c:v>23.667796225410807</c:v>
                </c:pt>
                <c:pt idx="479">
                  <c:v>23.864704399024713</c:v>
                </c:pt>
                <c:pt idx="480">
                  <c:v>24.061749690671324</c:v>
                </c:pt>
                <c:pt idx="481">
                  <c:v>24.258926105743733</c:v>
                </c:pt>
                <c:pt idx="482">
                  <c:v>24.456227904207964</c:v>
                </c:pt>
                <c:pt idx="483">
                  <c:v>24.653649590444871</c:v>
                </c:pt>
                <c:pt idx="484">
                  <c:v>24.851185903439188</c:v>
                </c:pt>
                <c:pt idx="485">
                  <c:v>25.048831807311082</c:v>
                </c:pt>
                <c:pt idx="486">
                  <c:v>25.246582482180933</c:v>
                </c:pt>
                <c:pt idx="487">
                  <c:v>25.444433315361294</c:v>
                </c:pt>
                <c:pt idx="488">
                  <c:v>25.642379892868131</c:v>
                </c:pt>
                <c:pt idx="489">
                  <c:v>25.840417991242454</c:v>
                </c:pt>
                <c:pt idx="490">
                  <c:v>26.038543569675824</c:v>
                </c:pt>
                <c:pt idx="491">
                  <c:v>26.236752762429955</c:v>
                </c:pt>
                <c:pt idx="492">
                  <c:v>26.435041871543575</c:v>
                </c:pt>
                <c:pt idx="493">
                  <c:v>26.633407359816815</c:v>
                </c:pt>
                <c:pt idx="494">
                  <c:v>26.83184584406607</c:v>
                </c:pt>
                <c:pt idx="495">
                  <c:v>27.030354088639932</c:v>
                </c:pt>
                <c:pt idx="496">
                  <c:v>27.228928999189318</c:v>
                </c:pt>
                <c:pt idx="497">
                  <c:v>27.427567616682168</c:v>
                </c:pt>
                <c:pt idx="498">
                  <c:v>27.626267111655515</c:v>
                </c:pt>
                <c:pt idx="499">
                  <c:v>27.825024778696775</c:v>
                </c:pt>
                <c:pt idx="500">
                  <c:v>28.023838031147015</c:v>
                </c:pt>
                <c:pt idx="501">
                  <c:v>28.222704396016738</c:v>
                </c:pt>
                <c:pt idx="502">
                  <c:v>28.421621509109478</c:v>
                </c:pt>
                <c:pt idx="503">
                  <c:v>28.620587110342978</c:v>
                </c:pt>
                <c:pt idx="504">
                  <c:v>28.819599039263029</c:v>
                </c:pt>
                <c:pt idx="505">
                  <c:v>29.018655230740926</c:v>
                </c:pt>
                <c:pt idx="506">
                  <c:v>29.217753710850232</c:v>
                </c:pt>
                <c:pt idx="507">
                  <c:v>29.416892592913158</c:v>
                </c:pt>
                <c:pt idx="508">
                  <c:v>29.616070073713022</c:v>
                </c:pt>
                <c:pt idx="509">
                  <c:v>29.815284429864558</c:v>
                </c:pt>
                <c:pt idx="510">
                  <c:v>30.014534014336395</c:v>
                </c:pt>
                <c:pt idx="511">
                  <c:v>30.213817253120041</c:v>
                </c:pt>
                <c:pt idx="512">
                  <c:v>30.413132642040395</c:v>
                </c:pt>
                <c:pt idx="513">
                  <c:v>30.612478743700446</c:v>
                </c:pt>
                <c:pt idx="514">
                  <c:v>30.811854184556292</c:v>
                </c:pt>
                <c:pt idx="515">
                  <c:v>31.011257652116644</c:v>
                </c:pt>
                <c:pt idx="516">
                  <c:v>31.210687892261944</c:v>
                </c:pt>
                <c:pt idx="517">
                  <c:v>31.410143706678838</c:v>
                </c:pt>
                <c:pt idx="518">
                  <c:v>31.60962395040373</c:v>
                </c:pt>
                <c:pt idx="519">
                  <c:v>31.809127529473116</c:v>
                </c:pt>
                <c:pt idx="520">
                  <c:v>32.008653398674575</c:v>
                </c:pt>
                <c:pt idx="521">
                  <c:v>32.208200559395081</c:v>
                </c:pt>
                <c:pt idx="522">
                  <c:v>32.407768057562485</c:v>
                </c:pt>
                <c:pt idx="523">
                  <c:v>32.607354981675996</c:v>
                </c:pt>
                <c:pt idx="524">
                  <c:v>32.806960460923023</c:v>
                </c:pt>
                <c:pt idx="525">
                  <c:v>33.006583663376922</c:v>
                </c:pt>
                <c:pt idx="526">
                  <c:v>33.206223794273626</c:v>
                </c:pt>
                <c:pt idx="527">
                  <c:v>33.405880094364171</c:v>
                </c:pt>
                <c:pt idx="528">
                  <c:v>33.605551838337796</c:v>
                </c:pt>
                <c:pt idx="529">
                  <c:v>33.805238333315913</c:v>
                </c:pt>
                <c:pt idx="530">
                  <c:v>34.004938917410236</c:v>
                </c:pt>
                <c:pt idx="531">
                  <c:v>34.204652958345513</c:v>
                </c:pt>
                <c:pt idx="532">
                  <c:v>34.404379852141901</c:v>
                </c:pt>
                <c:pt idx="533">
                  <c:v>34.604119021855851</c:v>
                </c:pt>
                <c:pt idx="534">
                  <c:v>34.803869916376215</c:v>
                </c:pt>
                <c:pt idx="535">
                  <c:v>35.003632009273254</c:v>
                </c:pt>
                <c:pt idx="536">
                  <c:v>35.203404797698568</c:v>
                </c:pt>
                <c:pt idx="537">
                  <c:v>35.403187801333679</c:v>
                </c:pt>
                <c:pt idx="538">
                  <c:v>35.602980561384889</c:v>
                </c:pt>
                <c:pt idx="539">
                  <c:v>35.802782639622805</c:v>
                </c:pt>
                <c:pt idx="540">
                  <c:v>36.002593617463987</c:v>
                </c:pt>
                <c:pt idx="541">
                  <c:v>36.20241309509376</c:v>
                </c:pt>
              </c:numCache>
            </c:numRef>
          </c:yVal>
          <c:smooth val="1"/>
          <c:extLst>
            <c:ext xmlns:c16="http://schemas.microsoft.com/office/drawing/2014/chart" uri="{C3380CC4-5D6E-409C-BE32-E72D297353CC}">
              <c16:uniqueId val="{00000000-9071-434A-B397-2C3D7F38C963}"/>
            </c:ext>
          </c:extLst>
        </c:ser>
        <c:dLbls>
          <c:showLegendKey val="0"/>
          <c:showVal val="0"/>
          <c:showCatName val="0"/>
          <c:showSerName val="0"/>
          <c:showPercent val="0"/>
          <c:showBubbleSize val="0"/>
        </c:dLbls>
        <c:axId val="555304064"/>
        <c:axId val="555305984"/>
      </c:scatterChart>
      <c:scatterChart>
        <c:scatterStyle val="smoothMarker"/>
        <c:varyColors val="0"/>
        <c:ser>
          <c:idx val="1"/>
          <c:order val="1"/>
          <c:tx>
            <c:v>Phase (Deg)</c:v>
          </c:tx>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Control_Loop_Tables!$AQ$19:$AQ$560</c:f>
              <c:numCache>
                <c:formatCode>General</c:formatCode>
                <c:ptCount val="542"/>
                <c:pt idx="0">
                  <c:v>-1.8854869626211856</c:v>
                </c:pt>
                <c:pt idx="1">
                  <c:v>-1.9293671110979083</c:v>
                </c:pt>
                <c:pt idx="2">
                  <c:v>-1.9742666100034545</c:v>
                </c:pt>
                <c:pt idx="3">
                  <c:v>-2.020209006765326</c:v>
                </c:pt>
                <c:pt idx="4">
                  <c:v>-2.0672183833048514</c:v>
                </c:pt>
                <c:pt idx="5">
                  <c:v>-2.1153193674914452</c:v>
                </c:pt>
                <c:pt idx="6">
                  <c:v>-2.1645371447929578</c:v>
                </c:pt>
                <c:pt idx="7">
                  <c:v>-2.2148974701218545</c:v>
                </c:pt>
                <c:pt idx="8">
                  <c:v>-2.2664266798764734</c:v>
                </c:pt>
                <c:pt idx="9">
                  <c:v>-2.3191517041761736</c:v>
                </c:pt>
                <c:pt idx="10">
                  <c:v>-2.3731000792888355</c:v>
                </c:pt>
                <c:pt idx="11">
                  <c:v>-2.4282999602487072</c:v>
                </c:pt>
                <c:pt idx="12">
                  <c:v>-2.4847801336620217</c:v>
                </c:pt>
                <c:pt idx="13">
                  <c:v>-2.5425700306973003</c:v>
                </c:pt>
                <c:pt idx="14">
                  <c:v>-2.6016997402568918</c:v>
                </c:pt>
                <c:pt idx="15">
                  <c:v>-2.662200022325198</c:v>
                </c:pt>
                <c:pt idx="16">
                  <c:v>-2.7241023214887115</c:v>
                </c:pt>
                <c:pt idx="17">
                  <c:v>-2.787438780622352</c:v>
                </c:pt>
                <c:pt idx="18">
                  <c:v>-2.8522422547353052</c:v>
                </c:pt>
                <c:pt idx="19">
                  <c:v>-2.9185463249692449</c:v>
                </c:pt>
                <c:pt idx="20">
                  <c:v>-2.9863853127403326</c:v>
                </c:pt>
                <c:pt idx="21">
                  <c:v>-3.0557942940162692</c:v>
                </c:pt>
                <c:pt idx="22">
                  <c:v>-3.1268091137173228</c:v>
                </c:pt>
                <c:pt idx="23">
                  <c:v>-3.1994664002304325</c:v>
                </c:pt>
                <c:pt idx="24">
                  <c:v>-3.2738035800231571</c:v>
                </c:pt>
                <c:pt idx="25">
                  <c:v>-3.349858892343804</c:v>
                </c:pt>
                <c:pt idx="26">
                  <c:v>-3.4276714039917446</c:v>
                </c:pt>
                <c:pt idx="27">
                  <c:v>-3.5072810241412857</c:v>
                </c:pt>
                <c:pt idx="28">
                  <c:v>-3.5887285192001523</c:v>
                </c:pt>
                <c:pt idx="29">
                  <c:v>-3.6720555276820246</c:v>
                </c:pt>
                <c:pt idx="30">
                  <c:v>-3.7573045750711147</c:v>
                </c:pt>
                <c:pt idx="31">
                  <c:v>-3.8445190886540992</c:v>
                </c:pt>
                <c:pt idx="32">
                  <c:v>-3.9337434122928117</c:v>
                </c:pt>
                <c:pt idx="33">
                  <c:v>-4.0250228211093999</c:v>
                </c:pt>
                <c:pt idx="34">
                  <c:v>-4.1184035360518374</c:v>
                </c:pt>
                <c:pt idx="35">
                  <c:v>-4.2139327383066298</c:v>
                </c:pt>
                <c:pt idx="36">
                  <c:v>-4.3116585835215151</c:v>
                </c:pt>
                <c:pt idx="37">
                  <c:v>-4.4116302157986107</c:v>
                </c:pt>
                <c:pt idx="38">
                  <c:v>-4.5138977814151708</c:v>
                </c:pt>
                <c:pt idx="39">
                  <c:v>-4.6185124422257644</c:v>
                </c:pt>
                <c:pt idx="40">
                  <c:v>-4.7255263886955357</c:v>
                </c:pt>
                <c:pt idx="41">
                  <c:v>-4.8349928525118546</c:v>
                </c:pt>
                <c:pt idx="42">
                  <c:v>-4.9469661187156806</c:v>
                </c:pt>
                <c:pt idx="43">
                  <c:v>-5.0615015372911332</c:v>
                </c:pt>
                <c:pt idx="44">
                  <c:v>-5.1786555341467002</c:v>
                </c:pt>
                <c:pt idx="45">
                  <c:v>-5.2984856214167237</c:v>
                </c:pt>
                <c:pt idx="46">
                  <c:v>-5.4210504070064287</c:v>
                </c:pt>
                <c:pt idx="47">
                  <c:v>-5.546409603299173</c:v>
                </c:pt>
                <c:pt idx="48">
                  <c:v>-5.6746240349380361</c:v>
                </c:pt>
                <c:pt idx="49">
                  <c:v>-5.8057556455879693</c:v>
                </c:pt>
                <c:pt idx="50">
                  <c:v>-5.9398675035798494</c:v>
                </c:pt>
                <c:pt idx="51">
                  <c:v>-6.0770238063282811</c:v>
                </c:pt>
                <c:pt idx="52">
                  <c:v>-6.2172898834115466</c:v>
                </c:pt>
                <c:pt idx="53">
                  <c:v>-6.3607321981913394</c:v>
                </c:pt>
                <c:pt idx="54">
                  <c:v>-6.5074183478451477</c:v>
                </c:pt>
                <c:pt idx="55">
                  <c:v>-6.6574170616742183</c:v>
                </c:pt>
                <c:pt idx="56">
                  <c:v>-6.8107981975426526</c:v>
                </c:pt>
                <c:pt idx="57">
                  <c:v>-6.967632736293857</c:v>
                </c:pt>
                <c:pt idx="58">
                  <c:v>-7.1279927739822071</c:v>
                </c:pt>
                <c:pt idx="59">
                  <c:v>-7.2919515117476399</c:v>
                </c:pt>
                <c:pt idx="60">
                  <c:v>-7.4595832431517346</c:v>
                </c:pt>
                <c:pt idx="61">
                  <c:v>-7.6309633387832099</c:v>
                </c:pt>
                <c:pt idx="62">
                  <c:v>-7.8061682279308329</c:v>
                </c:pt>
                <c:pt idx="63">
                  <c:v>-7.985275377111396</c:v>
                </c:pt>
                <c:pt idx="64">
                  <c:v>-8.1683632652278</c:v>
                </c:pt>
                <c:pt idx="65">
                  <c:v>-8.3555113551240758</c:v>
                </c:pt>
                <c:pt idx="66">
                  <c:v>-8.5468000612893853</c:v>
                </c:pt>
                <c:pt idx="67">
                  <c:v>-8.7423107134547937</c:v>
                </c:pt>
                <c:pt idx="68">
                  <c:v>-8.9421255158130286</c:v>
                </c:pt>
                <c:pt idx="69">
                  <c:v>-9.1463275015801973</c:v>
                </c:pt>
                <c:pt idx="70">
                  <c:v>-9.3550004826082986</c:v>
                </c:pt>
                <c:pt idx="71">
                  <c:v>-9.5682289937441976</c:v>
                </c:pt>
                <c:pt idx="72">
                  <c:v>-9.7860982316209899</c:v>
                </c:pt>
                <c:pt idx="73">
                  <c:v>-10.008693987556631</c:v>
                </c:pt>
                <c:pt idx="74">
                  <c:v>-10.236102574224681</c:v>
                </c:pt>
                <c:pt idx="75">
                  <c:v>-10.468410745752207</c:v>
                </c:pt>
                <c:pt idx="76">
                  <c:v>-10.70570561089189</c:v>
                </c:pt>
                <c:pt idx="77">
                  <c:v>-10.948074538906509</c:v>
                </c:pt>
                <c:pt idx="78">
                  <c:v>-11.19560505779951</c:v>
                </c:pt>
                <c:pt idx="79">
                  <c:v>-11.448384744517956</c:v>
                </c:pt>
                <c:pt idx="80">
                  <c:v>-11.706501106752651</c:v>
                </c:pt>
                <c:pt idx="81">
                  <c:v>-11.970041455957826</c:v>
                </c:pt>
                <c:pt idx="82">
                  <c:v>-12.239092771213686</c:v>
                </c:pt>
                <c:pt idx="83">
                  <c:v>-12.513741553558516</c:v>
                </c:pt>
                <c:pt idx="84">
                  <c:v>-12.794073670423215</c:v>
                </c:pt>
                <c:pt idx="85">
                  <c:v>-13.080174189809364</c:v>
                </c:pt>
                <c:pt idx="86">
                  <c:v>-13.372127203866674</c:v>
                </c:pt>
                <c:pt idx="87">
                  <c:v>-13.670015641540209</c:v>
                </c:pt>
                <c:pt idx="88">
                  <c:v>-13.973921069980351</c:v>
                </c:pt>
                <c:pt idx="89">
                  <c:v>-14.283923484433707</c:v>
                </c:pt>
                <c:pt idx="90">
                  <c:v>-14.60010108636383</c:v>
                </c:pt>
                <c:pt idx="91">
                  <c:v>-14.922530049587829</c:v>
                </c:pt>
                <c:pt idx="92">
                  <c:v>-15.251284274257477</c:v>
                </c:pt>
                <c:pt idx="93">
                  <c:v>-15.586435128560959</c:v>
                </c:pt>
                <c:pt idx="94">
                  <c:v>-15.928051178080855</c:v>
                </c:pt>
                <c:pt idx="95">
                  <c:v>-16.276197902802817</c:v>
                </c:pt>
                <c:pt idx="96">
                  <c:v>-16.630937401843909</c:v>
                </c:pt>
                <c:pt idx="97">
                  <c:v>-16.992328086046211</c:v>
                </c:pt>
                <c:pt idx="98">
                  <c:v>-17.36042435867061</c:v>
                </c:pt>
                <c:pt idx="99">
                  <c:v>-17.735276284518118</c:v>
                </c:pt>
                <c:pt idx="100">
                  <c:v>-18.116929247913966</c:v>
                </c:pt>
                <c:pt idx="101">
                  <c:v>-18.505423600099473</c:v>
                </c:pt>
                <c:pt idx="102">
                  <c:v>-18.900794296700667</c:v>
                </c:pt>
                <c:pt idx="103">
                  <c:v>-19.303070526069657</c:v>
                </c:pt>
                <c:pt idx="104">
                  <c:v>-19.712275329435727</c:v>
                </c:pt>
                <c:pt idx="105">
                  <c:v>-20.128425213944297</c:v>
                </c:pt>
                <c:pt idx="106">
                  <c:v>-20.551529759819793</c:v>
                </c:pt>
                <c:pt idx="107">
                  <c:v>-20.981591223037967</c:v>
                </c:pt>
                <c:pt idx="108">
                  <c:v>-21.418604135064296</c:v>
                </c:pt>
                <c:pt idx="109">
                  <c:v>-21.862554901376832</c:v>
                </c:pt>
                <c:pt idx="110">
                  <c:v>-22.313421400658658</c:v>
                </c:pt>
                <c:pt idx="111">
                  <c:v>-22.77117258671635</c:v>
                </c:pt>
                <c:pt idx="112">
                  <c:v>-23.235768095343573</c:v>
                </c:pt>
                <c:pt idx="113">
                  <c:v>-23.707157858514442</c:v>
                </c:pt>
                <c:pt idx="114">
                  <c:v>-24.185281728440078</c:v>
                </c:pt>
                <c:pt idx="115">
                  <c:v>-24.670069114172765</c:v>
                </c:pt>
                <c:pt idx="116">
                  <c:v>-25.16143863356977</c:v>
                </c:pt>
                <c:pt idx="117">
                  <c:v>-25.659297783548872</c:v>
                </c:pt>
                <c:pt idx="118">
                  <c:v>-26.16354263166405</c:v>
                </c:pt>
                <c:pt idx="119">
                  <c:v>-26.67405753210236</c:v>
                </c:pt>
                <c:pt idx="120">
                  <c:v>-27.190714869258539</c:v>
                </c:pt>
                <c:pt idx="121">
                  <c:v>-27.713374832059998</c:v>
                </c:pt>
                <c:pt idx="122">
                  <c:v>-28.241885222204644</c:v>
                </c:pt>
                <c:pt idx="123">
                  <c:v>-28.776081299429102</c:v>
                </c:pt>
                <c:pt idx="124">
                  <c:v>-29.315785666839535</c:v>
                </c:pt>
                <c:pt idx="125">
                  <c:v>-29.860808199214087</c:v>
                </c:pt>
                <c:pt idx="126">
                  <c:v>-30.410946017023466</c:v>
                </c:pt>
                <c:pt idx="127">
                  <c:v>-30.965983508698216</c:v>
                </c:pt>
                <c:pt idx="128">
                  <c:v>-31.525692403434654</c:v>
                </c:pt>
                <c:pt idx="129">
                  <c:v>-32.08983189652416</c:v>
                </c:pt>
                <c:pt idx="130">
                  <c:v>-32.658148828858224</c:v>
                </c:pt>
                <c:pt idx="131">
                  <c:v>-33.230377921884568</c:v>
                </c:pt>
                <c:pt idx="132">
                  <c:v>-33.806242068874312</c:v>
                </c:pt>
                <c:pt idx="133">
                  <c:v>-34.385452682913879</c:v>
                </c:pt>
                <c:pt idx="134">
                  <c:v>-34.967710101549542</c:v>
                </c:pt>
                <c:pt idx="135">
                  <c:v>-35.552704047522141</c:v>
                </c:pt>
                <c:pt idx="136">
                  <c:v>-36.140114144501638</c:v>
                </c:pt>
                <c:pt idx="137">
                  <c:v>-36.729610486203157</c:v>
                </c:pt>
                <c:pt idx="138">
                  <c:v>-37.320854256733568</c:v>
                </c:pt>
                <c:pt idx="139">
                  <c:v>-37.913498399494557</c:v>
                </c:pt>
                <c:pt idx="140">
                  <c:v>-38.507188331437369</c:v>
                </c:pt>
                <c:pt idx="141">
                  <c:v>-39.101562698995217</c:v>
                </c:pt>
                <c:pt idx="142">
                  <c:v>-39.696254171532189</c:v>
                </c:pt>
                <c:pt idx="143">
                  <c:v>-40.290890267738916</c:v>
                </c:pt>
                <c:pt idx="144">
                  <c:v>-40.885094210017989</c:v>
                </c:pt>
                <c:pt idx="145">
                  <c:v>-41.478485801577584</c:v>
                </c:pt>
                <c:pt idx="146">
                  <c:v>-42.070682320685677</c:v>
                </c:pt>
                <c:pt idx="147">
                  <c:v>-42.661299426325527</c:v>
                </c:pt>
                <c:pt idx="148">
                  <c:v>-43.249952069369982</c:v>
                </c:pt>
                <c:pt idx="149">
                  <c:v>-43.836255403309778</c:v>
                </c:pt>
                <c:pt idx="150">
                  <c:v>-44.419825688590848</c:v>
                </c:pt>
                <c:pt idx="151">
                  <c:v>-45.000281184682663</c:v>
                </c:pt>
                <c:pt idx="152">
                  <c:v>-45.577243024151869</c:v>
                </c:pt>
                <c:pt idx="153">
                  <c:v>-46.150336063227435</c:v>
                </c:pt>
                <c:pt idx="154">
                  <c:v>-46.719189703623691</c:v>
                </c:pt>
                <c:pt idx="155">
                  <c:v>-47.283438680718589</c:v>
                </c:pt>
                <c:pt idx="156">
                  <c:v>-47.84272381358209</c:v>
                </c:pt>
                <c:pt idx="157">
                  <c:v>-48.396692712766082</c:v>
                </c:pt>
                <c:pt idx="158">
                  <c:v>-48.945000442257587</c:v>
                </c:pt>
                <c:pt idx="159">
                  <c:v>-49.487310132475514</c:v>
                </c:pt>
                <c:pt idx="160">
                  <c:v>-50.023293541731782</c:v>
                </c:pt>
                <c:pt idx="161">
                  <c:v>-50.552631564088273</c:v>
                </c:pt>
                <c:pt idx="162">
                  <c:v>-51.075014682098718</c:v>
                </c:pt>
                <c:pt idx="163">
                  <c:v>-51.590143363442074</c:v>
                </c:pt>
                <c:pt idx="164">
                  <c:v>-52.097728400983165</c:v>
                </c:pt>
                <c:pt idx="165">
                  <c:v>-52.597491196296112</c:v>
                </c:pt>
                <c:pt idx="166">
                  <c:v>-53.089163987166536</c:v>
                </c:pt>
                <c:pt idx="167">
                  <c:v>-53.572490020038998</c:v>
                </c:pt>
                <c:pt idx="168">
                  <c:v>-54.047223668786913</c:v>
                </c:pt>
                <c:pt idx="169">
                  <c:v>-54.513130501564618</c:v>
                </c:pt>
                <c:pt idx="170">
                  <c:v>-54.969987297836639</c:v>
                </c:pt>
                <c:pt idx="171">
                  <c:v>-55.417582017971938</c:v>
                </c:pt>
                <c:pt idx="172">
                  <c:v>-55.855713728046162</c:v>
                </c:pt>
                <c:pt idx="173">
                  <c:v>-56.284192482702593</c:v>
                </c:pt>
                <c:pt idx="174">
                  <c:v>-56.702839169089053</c:v>
                </c:pt>
                <c:pt idx="175">
                  <c:v>-57.111485315014136</c:v>
                </c:pt>
                <c:pt idx="176">
                  <c:v>-57.509972864549724</c:v>
                </c:pt>
                <c:pt idx="177">
                  <c:v>-57.898153924359782</c:v>
                </c:pt>
                <c:pt idx="178">
                  <c:v>-58.27589048404532</c:v>
                </c:pt>
                <c:pt idx="179">
                  <c:v>-58.643054113784551</c:v>
                </c:pt>
                <c:pt idx="180">
                  <c:v>-58.999525642494284</c:v>
                </c:pt>
                <c:pt idx="181">
                  <c:v>-59.345194819678518</c:v>
                </c:pt>
                <c:pt idx="182">
                  <c:v>-59.679959964030495</c:v>
                </c:pt>
                <c:pt idx="183">
                  <c:v>-60.003727601747777</c:v>
                </c:pt>
                <c:pt idx="184">
                  <c:v>-60.316412097401049</c:v>
                </c:pt>
                <c:pt idx="185">
                  <c:v>-60.617935280045536</c:v>
                </c:pt>
                <c:pt idx="186">
                  <c:v>-60.908226067139204</c:v>
                </c:pt>
                <c:pt idx="187">
                  <c:v>-61.187220088660645</c:v>
                </c:pt>
                <c:pt idx="188">
                  <c:v>-61.454859313676351</c:v>
                </c:pt>
                <c:pt idx="189">
                  <c:v>-61.711091681444543</c:v>
                </c:pt>
                <c:pt idx="190">
                  <c:v>-61.955870738986249</c:v>
                </c:pt>
                <c:pt idx="191">
                  <c:v>-62.189155286904814</c:v>
                </c:pt>
                <c:pt idx="192">
                  <c:v>-62.410909035073956</c:v>
                </c:pt>
                <c:pt idx="193">
                  <c:v>-62.621100269680575</c:v>
                </c:pt>
                <c:pt idx="194">
                  <c:v>-62.819701532960508</c:v>
                </c:pt>
                <c:pt idx="195">
                  <c:v>-63.006689316837075</c:v>
                </c:pt>
                <c:pt idx="196">
                  <c:v>-63.182043771541885</c:v>
                </c:pt>
                <c:pt idx="197">
                  <c:v>-63.345748430187179</c:v>
                </c:pt>
                <c:pt idx="198">
                  <c:v>-63.4977899501419</c:v>
                </c:pt>
                <c:pt idx="199">
                  <c:v>-63.638157871966229</c:v>
                </c:pt>
                <c:pt idx="200">
                  <c:v>-63.766844396566192</c:v>
                </c:pt>
                <c:pt idx="201">
                  <c:v>-63.883844181141562</c:v>
                </c:pt>
                <c:pt idx="202">
                  <c:v>-63.989154154425549</c:v>
                </c:pt>
                <c:pt idx="203">
                  <c:v>-64.082773351641904</c:v>
                </c:pt>
                <c:pt idx="204">
                  <c:v>-64.164702769540284</c:v>
                </c:pt>
                <c:pt idx="205">
                  <c:v>-64.234945241816035</c:v>
                </c:pt>
                <c:pt idx="206">
                  <c:v>-64.29350533516255</c:v>
                </c:pt>
                <c:pt idx="207">
                  <c:v>-64.340389266161864</c:v>
                </c:pt>
                <c:pt idx="208">
                  <c:v>-64.37560483917153</c:v>
                </c:pt>
                <c:pt idx="209">
                  <c:v>-64.399161405327234</c:v>
                </c:pt>
                <c:pt idx="210">
                  <c:v>-64.411069842741782</c:v>
                </c:pt>
                <c:pt idx="211">
                  <c:v>-64.411342557945645</c:v>
                </c:pt>
                <c:pt idx="212">
                  <c:v>-64.399993508579726</c:v>
                </c:pt>
                <c:pt idx="213">
                  <c:v>-64.377038247312697</c:v>
                </c:pt>
                <c:pt idx="214">
                  <c:v>-64.342493986924865</c:v>
                </c:pt>
                <c:pt idx="215">
                  <c:v>-64.296379686458906</c:v>
                </c:pt>
                <c:pt idx="216">
                  <c:v>-64.238716158300619</c:v>
                </c:pt>
                <c:pt idx="217">
                  <c:v>-64.169526196010324</c:v>
                </c:pt>
                <c:pt idx="218">
                  <c:v>-64.088834722679422</c:v>
                </c:pt>
                <c:pt idx="219">
                  <c:v>-63.996668959534311</c:v>
                </c:pt>
                <c:pt idx="220">
                  <c:v>-63.893058614458369</c:v>
                </c:pt>
                <c:pt idx="221">
                  <c:v>-63.778036090035002</c:v>
                </c:pt>
                <c:pt idx="222">
                  <c:v>-63.651636710652085</c:v>
                </c:pt>
                <c:pt idx="223">
                  <c:v>-63.513898968129624</c:v>
                </c:pt>
                <c:pt idx="224">
                  <c:v>-63.364864785252287</c:v>
                </c:pt>
                <c:pt idx="225">
                  <c:v>-63.204579796497185</c:v>
                </c:pt>
                <c:pt idx="226">
                  <c:v>-63.033093645146742</c:v>
                </c:pt>
                <c:pt idx="227">
                  <c:v>-62.850460295877546</c:v>
                </c:pt>
                <c:pt idx="228">
                  <c:v>-62.656738361792371</c:v>
                </c:pt>
                <c:pt idx="229">
                  <c:v>-62.451991444747016</c:v>
                </c:pt>
                <c:pt idx="230">
                  <c:v>-62.236288487689741</c:v>
                </c:pt>
                <c:pt idx="231">
                  <c:v>-62.009704137598426</c:v>
                </c:pt>
                <c:pt idx="232">
                  <c:v>-61.772319117451161</c:v>
                </c:pt>
                <c:pt idx="233">
                  <c:v>-61.524220605521897</c:v>
                </c:pt>
                <c:pt idx="234">
                  <c:v>-61.26550262013717</c:v>
                </c:pt>
                <c:pt idx="235">
                  <c:v>-60.996266407876689</c:v>
                </c:pt>
                <c:pt idx="236">
                  <c:v>-60.716620833037517</c:v>
                </c:pt>
                <c:pt idx="237">
                  <c:v>-60.426682766032222</c:v>
                </c:pt>
                <c:pt idx="238">
                  <c:v>-60.126577468230451</c:v>
                </c:pt>
                <c:pt idx="239">
                  <c:v>-59.816438970611571</c:v>
                </c:pt>
                <c:pt idx="240">
                  <c:v>-59.496410443449271</c:v>
                </c:pt>
                <c:pt idx="241">
                  <c:v>-59.166644554120595</c:v>
                </c:pt>
                <c:pt idx="242">
                  <c:v>-58.827303810021149</c:v>
                </c:pt>
                <c:pt idx="243">
                  <c:v>-58.478560883456431</c:v>
                </c:pt>
                <c:pt idx="244">
                  <c:v>-58.120598915315114</c:v>
                </c:pt>
                <c:pt idx="245">
                  <c:v>-57.753611794259399</c:v>
                </c:pt>
                <c:pt idx="246">
                  <c:v>-57.377804408151285</c:v>
                </c:pt>
                <c:pt idx="247">
                  <c:v>-56.993392864425722</c:v>
                </c:pt>
                <c:pt idx="248">
                  <c:v>-56.600604676160216</c:v>
                </c:pt>
                <c:pt idx="249">
                  <c:v>-56.199678910658953</c:v>
                </c:pt>
                <c:pt idx="250">
                  <c:v>-55.790866297479454</c:v>
                </c:pt>
                <c:pt idx="251">
                  <c:v>-55.374429292976323</c:v>
                </c:pt>
                <c:pt idx="252">
                  <c:v>-54.950642098630894</c:v>
                </c:pt>
                <c:pt idx="253">
                  <c:v>-54.519790630664836</c:v>
                </c:pt>
                <c:pt idx="254">
                  <c:v>-54.082172438718587</c:v>
                </c:pt>
                <c:pt idx="255">
                  <c:v>-53.638096571688799</c:v>
                </c:pt>
                <c:pt idx="256">
                  <c:v>-53.187883389184158</c:v>
                </c:pt>
                <c:pt idx="257">
                  <c:v>-52.731864317455866</c:v>
                </c:pt>
                <c:pt idx="258">
                  <c:v>-52.270381549094303</c:v>
                </c:pt>
                <c:pt idx="259">
                  <c:v>-51.803787686251042</c:v>
                </c:pt>
                <c:pt idx="260">
                  <c:v>-51.332445327636712</c:v>
                </c:pt>
                <c:pt idx="261">
                  <c:v>-50.856726600060583</c:v>
                </c:pt>
                <c:pt idx="262">
                  <c:v>-50.377012635806828</c:v>
                </c:pt>
                <c:pt idx="263">
                  <c:v>-49.893692997673412</c:v>
                </c:pt>
                <c:pt idx="264">
                  <c:v>-49.407165054035545</c:v>
                </c:pt>
                <c:pt idx="265">
                  <c:v>-48.917833306825351</c:v>
                </c:pt>
                <c:pt idx="266">
                  <c:v>-48.426108675818618</c:v>
                </c:pt>
                <c:pt idx="267">
                  <c:v>-47.932407743105671</c:v>
                </c:pt>
                <c:pt idx="268">
                  <c:v>-47.43715196207426</c:v>
                </c:pt>
                <c:pt idx="269">
                  <c:v>-46.940766835630448</c:v>
                </c:pt>
                <c:pt idx="270">
                  <c:v>-46.443681068745143</c:v>
                </c:pt>
                <c:pt idx="271">
                  <c:v>-45.946325700716677</c:v>
                </c:pt>
                <c:pt idx="272">
                  <c:v>-45.449133222769809</c:v>
                </c:pt>
                <c:pt idx="273">
                  <c:v>-44.952536686797025</c:v>
                </c:pt>
                <c:pt idx="274">
                  <c:v>-44.456968811139618</c:v>
                </c:pt>
                <c:pt idx="275">
                  <c:v>-43.962861089351094</c:v>
                </c:pt>
                <c:pt idx="276">
                  <c:v>-43.470642907834211</c:v>
                </c:pt>
                <c:pt idx="277">
                  <c:v>-42.980740678143192</c:v>
                </c:pt>
                <c:pt idx="278">
                  <c:v>-42.493576989555081</c:v>
                </c:pt>
                <c:pt idx="279">
                  <c:v>-42.009569787274259</c:v>
                </c:pt>
                <c:pt idx="280">
                  <c:v>-41.529131581325466</c:v>
                </c:pt>
                <c:pt idx="281">
                  <c:v>-41.052668690829464</c:v>
                </c:pt>
                <c:pt idx="282">
                  <c:v>-40.580580527943361</c:v>
                </c:pt>
                <c:pt idx="283">
                  <c:v>-40.113258925299775</c:v>
                </c:pt>
                <c:pt idx="284">
                  <c:v>-39.651087510287681</c:v>
                </c:pt>
                <c:pt idx="285">
                  <c:v>-39.19444112900829</c:v>
                </c:pt>
                <c:pt idx="286">
                  <c:v>-38.743685322217445</c:v>
                </c:pt>
                <c:pt idx="287">
                  <c:v>-38.299175855013644</c:v>
                </c:pt>
                <c:pt idx="288">
                  <c:v>-37.861258301514809</c:v>
                </c:pt>
                <c:pt idx="289">
                  <c:v>-37.430267685216528</c:v>
                </c:pt>
                <c:pt idx="290">
                  <c:v>-37.006528175224631</c:v>
                </c:pt>
                <c:pt idx="291">
                  <c:v>-36.59035283804905</c:v>
                </c:pt>
                <c:pt idx="292">
                  <c:v>-36.182043444186796</c:v>
                </c:pt>
                <c:pt idx="293">
                  <c:v>-35.781890328282252</c:v>
                </c:pt>
                <c:pt idx="294">
                  <c:v>-35.390172301250992</c:v>
                </c:pt>
                <c:pt idx="295">
                  <c:v>-35.007156612399399</c:v>
                </c:pt>
                <c:pt idx="296">
                  <c:v>-34.633098959240563</c:v>
                </c:pt>
                <c:pt idx="297">
                  <c:v>-34.268243542446093</c:v>
                </c:pt>
                <c:pt idx="298">
                  <c:v>-33.912823163119626</c:v>
                </c:pt>
                <c:pt idx="299">
                  <c:v>-33.567059359404581</c:v>
                </c:pt>
                <c:pt idx="300">
                  <c:v>-33.231162579277303</c:v>
                </c:pt>
                <c:pt idx="301">
                  <c:v>-32.905332386269627</c:v>
                </c:pt>
                <c:pt idx="302">
                  <c:v>-32.589757694796994</c:v>
                </c:pt>
                <c:pt idx="303">
                  <c:v>-32.284617031732111</c:v>
                </c:pt>
                <c:pt idx="304">
                  <c:v>-31.990078820856034</c:v>
                </c:pt>
                <c:pt idx="305">
                  <c:v>-31.706301686858044</c:v>
                </c:pt>
                <c:pt idx="306">
                  <c:v>-31.43343477559452</c:v>
                </c:pt>
                <c:pt idx="307">
                  <c:v>-31.171618087409964</c:v>
                </c:pt>
                <c:pt idx="308">
                  <c:v>-30.920982820412103</c:v>
                </c:pt>
                <c:pt idx="309">
                  <c:v>-30.681651720706117</c:v>
                </c:pt>
                <c:pt idx="310">
                  <c:v>-30.453739436734224</c:v>
                </c:pt>
                <c:pt idx="311">
                  <c:v>-30.237352874988566</c:v>
                </c:pt>
                <c:pt idx="312">
                  <c:v>-30.032591554529116</c:v>
                </c:pt>
                <c:pt idx="313">
                  <c:v>-29.839547957879336</c:v>
                </c:pt>
                <c:pt idx="314">
                  <c:v>-29.658307876037284</c:v>
                </c:pt>
                <c:pt idx="315">
                  <c:v>-29.488950745490541</c:v>
                </c:pt>
                <c:pt idx="316">
                  <c:v>-29.331549975286698</c:v>
                </c:pt>
                <c:pt idx="317">
                  <c:v>-29.186173262355826</c:v>
                </c:pt>
                <c:pt idx="318">
                  <c:v>-29.052882893447411</c:v>
                </c:pt>
                <c:pt idx="319">
                  <c:v>-28.931736032173692</c:v>
                </c:pt>
                <c:pt idx="320">
                  <c:v>-28.822784989807367</c:v>
                </c:pt>
                <c:pt idx="321">
                  <c:v>-28.726077478606648</c:v>
                </c:pt>
                <c:pt idx="322">
                  <c:v>-28.64165684657808</c:v>
                </c:pt>
                <c:pt idx="323">
                  <c:v>-28.569562292703058</c:v>
                </c:pt>
                <c:pt idx="324">
                  <c:v>-28.509829061776671</c:v>
                </c:pt>
                <c:pt idx="325">
                  <c:v>-28.462488618115533</c:v>
                </c:pt>
                <c:pt idx="326">
                  <c:v>-28.427568797491706</c:v>
                </c:pt>
                <c:pt idx="327">
                  <c:v>-28.405093936758952</c:v>
                </c:pt>
                <c:pt idx="328">
                  <c:v>-28.395084980720757</c:v>
                </c:pt>
                <c:pt idx="329">
                  <c:v>-28.397559565886894</c:v>
                </c:pt>
                <c:pt idx="330">
                  <c:v>-28.412532080846592</c:v>
                </c:pt>
                <c:pt idx="331">
                  <c:v>-28.440013703074548</c:v>
                </c:pt>
                <c:pt idx="332">
                  <c:v>-28.480012412066003</c:v>
                </c:pt>
                <c:pt idx="333">
                  <c:v>-28.532532978772881</c:v>
                </c:pt>
                <c:pt idx="334">
                  <c:v>-28.597576931400614</c:v>
                </c:pt>
                <c:pt idx="335">
                  <c:v>-28.675142497701604</c:v>
                </c:pt>
                <c:pt idx="336">
                  <c:v>-28.765224523981836</c:v>
                </c:pt>
                <c:pt idx="337">
                  <c:v>-28.867814371128048</c:v>
                </c:pt>
                <c:pt idx="338">
                  <c:v>-28.982899788040982</c:v>
                </c:pt>
                <c:pt idx="339">
                  <c:v>-29.110464762960362</c:v>
                </c:pt>
                <c:pt idx="340">
                  <c:v>-29.250489353258267</c:v>
                </c:pt>
                <c:pt idx="341">
                  <c:v>-29.402949494376447</c:v>
                </c:pt>
                <c:pt idx="342">
                  <c:v>-29.56781678869913</c:v>
                </c:pt>
                <c:pt idx="343">
                  <c:v>-29.745058275247938</c:v>
                </c:pt>
                <c:pt idx="344">
                  <c:v>-29.934636181229884</c:v>
                </c:pt>
                <c:pt idx="345">
                  <c:v>-30.136507656562099</c:v>
                </c:pt>
                <c:pt idx="346">
                  <c:v>-30.350624492660568</c:v>
                </c:pt>
                <c:pt idx="347">
                  <c:v>-30.576932826894421</c:v>
                </c:pt>
                <c:pt idx="348">
                  <c:v>-30.815372834263435</c:v>
                </c:pt>
                <c:pt idx="349">
                  <c:v>-31.065878407995925</c:v>
                </c:pt>
                <c:pt idx="350">
                  <c:v>-31.328376830923741</c:v>
                </c:pt>
                <c:pt idx="351">
                  <c:v>-31.602788439644893</c:v>
                </c:pt>
                <c:pt idx="352">
                  <c:v>-31.889026283634898</c:v>
                </c:pt>
                <c:pt idx="353">
                  <c:v>-32.186995781637094</c:v>
                </c:pt>
                <c:pt idx="354">
                  <c:v>-32.496594377805145</c:v>
                </c:pt>
                <c:pt idx="355">
                  <c:v>-32.817711200230121</c:v>
                </c:pt>
                <c:pt idx="356">
                  <c:v>-33.150226724628979</c:v>
                </c:pt>
                <c:pt idx="357">
                  <c:v>-33.494012446104421</c:v>
                </c:pt>
                <c:pt idx="358">
                  <c:v>-33.848930562009606</c:v>
                </c:pt>
                <c:pt idx="359">
                  <c:v>-34.214833669066678</c:v>
                </c:pt>
                <c:pt idx="360">
                  <c:v>-34.59156447797492</c:v>
                </c:pt>
                <c:pt idx="361">
                  <c:v>-34.978955548809836</c:v>
                </c:pt>
                <c:pt idx="362">
                  <c:v>-35.376829050573896</c:v>
                </c:pt>
                <c:pt idx="363">
                  <c:v>-35.784996548261873</c:v>
                </c:pt>
                <c:pt idx="364">
                  <c:v>-36.20325882079856</c:v>
                </c:pt>
                <c:pt idx="365">
                  <c:v>-36.631405713162899</c:v>
                </c:pt>
                <c:pt idx="366">
                  <c:v>-37.069216025917378</c:v>
                </c:pt>
                <c:pt idx="367">
                  <c:v>-37.516457445248903</c:v>
                </c:pt>
                <c:pt idx="368">
                  <c:v>-37.972886516461216</c:v>
                </c:pt>
                <c:pt idx="369">
                  <c:v>-38.438248663647272</c:v>
                </c:pt>
                <c:pt idx="370">
                  <c:v>-38.912278258026774</c:v>
                </c:pt>
                <c:pt idx="371">
                  <c:v>-39.394698737142569</c:v>
                </c:pt>
                <c:pt idx="372">
                  <c:v>-39.88522277676811</c:v>
                </c:pt>
                <c:pt idx="373">
                  <c:v>-40.383552517013719</c:v>
                </c:pt>
                <c:pt idx="374">
                  <c:v>-40.889379843695458</c:v>
                </c:pt>
                <c:pt idx="375">
                  <c:v>-41.40238672559309</c:v>
                </c:pt>
                <c:pt idx="376">
                  <c:v>-41.922245607738532</c:v>
                </c:pt>
                <c:pt idx="377">
                  <c:v>-42.44861986037909</c:v>
                </c:pt>
                <c:pt idx="378">
                  <c:v>-42.981164282734504</c:v>
                </c:pt>
                <c:pt idx="379">
                  <c:v>-43.519525660132139</c:v>
                </c:pt>
                <c:pt idx="380">
                  <c:v>-44.063343372574913</c:v>
                </c:pt>
                <c:pt idx="381">
                  <c:v>-44.612250052246104</c:v>
                </c:pt>
                <c:pt idx="382">
                  <c:v>-45.165872286946204</c:v>
                </c:pt>
                <c:pt idx="383">
                  <c:v>-45.723831365942232</c:v>
                </c:pt>
                <c:pt idx="384">
                  <c:v>-46.285744064241896</c:v>
                </c:pt>
                <c:pt idx="385">
                  <c:v>-46.851223460854726</c:v>
                </c:pt>
                <c:pt idx="386">
                  <c:v>-47.419879786219781</c:v>
                </c:pt>
                <c:pt idx="387">
                  <c:v>-47.991321293622825</c:v>
                </c:pt>
                <c:pt idx="388">
                  <c:v>-48.565155149146278</c:v>
                </c:pt>
                <c:pt idx="389">
                  <c:v>-49.140988334468261</c:v>
                </c:pt>
                <c:pt idx="390">
                  <c:v>-49.718428556667362</c:v>
                </c:pt>
                <c:pt idx="391">
                  <c:v>-50.297085159107525</c:v>
                </c:pt>
                <c:pt idx="392">
                  <c:v>-50.876570027456367</c:v>
                </c:pt>
                <c:pt idx="393">
                  <c:v>-51.456498484944355</c:v>
                </c:pt>
                <c:pt idx="394">
                  <c:v>-52.036490171109534</c:v>
                </c:pt>
                <c:pt idx="395">
                  <c:v>-52.616169898448661</c:v>
                </c:pt>
                <c:pt idx="396">
                  <c:v>-53.195168481674578</c:v>
                </c:pt>
                <c:pt idx="397">
                  <c:v>-53.773123534580023</c:v>
                </c:pt>
                <c:pt idx="398">
                  <c:v>-54.349680229893671</c:v>
                </c:pt>
                <c:pt idx="399">
                  <c:v>-54.924492017922617</c:v>
                </c:pt>
                <c:pt idx="400">
                  <c:v>-55.497221300244966</c:v>
                </c:pt>
                <c:pt idx="401">
                  <c:v>-56.06754005518755</c:v>
                </c:pt>
                <c:pt idx="402">
                  <c:v>-56.635130412357903</c:v>
                </c:pt>
                <c:pt idx="403">
                  <c:v>-57.199685174006817</c:v>
                </c:pt>
                <c:pt idx="404">
                  <c:v>-57.760908281540608</c:v>
                </c:pt>
                <c:pt idx="405">
                  <c:v>-58.318515226029483</c:v>
                </c:pt>
                <c:pt idx="406">
                  <c:v>-58.872233402082394</c:v>
                </c:pt>
                <c:pt idx="407">
                  <c:v>-59.421802404952658</c:v>
                </c:pt>
                <c:pt idx="408">
                  <c:v>-59.96697427123781</c:v>
                </c:pt>
                <c:pt idx="409">
                  <c:v>-60.507513663970549</c:v>
                </c:pt>
                <c:pt idx="410">
                  <c:v>-61.043198003329806</c:v>
                </c:pt>
                <c:pt idx="411">
                  <c:v>-61.573817544576812</c:v>
                </c:pt>
                <c:pt idx="412">
                  <c:v>-62.099175405168751</c:v>
                </c:pt>
                <c:pt idx="413">
                  <c:v>-62.619087543294313</c:v>
                </c:pt>
                <c:pt idx="414">
                  <c:v>-63.133382690342501</c:v>
                </c:pt>
                <c:pt idx="415">
                  <c:v>-63.641902240023448</c:v>
                </c:pt>
                <c:pt idx="416">
                  <c:v>-64.144500097032051</c:v>
                </c:pt>
                <c:pt idx="417">
                  <c:v>-64.64104248827671</c:v>
                </c:pt>
                <c:pt idx="418">
                  <c:v>-65.131407739780357</c:v>
                </c:pt>
                <c:pt idx="419">
                  <c:v>-65.615486022416547</c:v>
                </c:pt>
                <c:pt idx="420">
                  <c:v>-66.093179069655136</c:v>
                </c:pt>
                <c:pt idx="421">
                  <c:v>-66.564399870478226</c:v>
                </c:pt>
                <c:pt idx="422">
                  <c:v>-67.029072340576292</c:v>
                </c:pt>
                <c:pt idx="423">
                  <c:v>-67.487130974870496</c:v>
                </c:pt>
                <c:pt idx="424">
                  <c:v>-67.938520484302188</c:v>
                </c:pt>
                <c:pt idx="425">
                  <c:v>-68.383195419725126</c:v>
                </c:pt>
                <c:pt idx="426">
                  <c:v>-68.821119785598412</c:v>
                </c:pt>
                <c:pt idx="427">
                  <c:v>-69.252266646039956</c:v>
                </c:pt>
                <c:pt idx="428">
                  <c:v>-69.67661772564297</c:v>
                </c:pt>
                <c:pt idx="429">
                  <c:v>-70.094163007301859</c:v>
                </c:pt>
                <c:pt idx="430">
                  <c:v>-70.504900329119323</c:v>
                </c:pt>
                <c:pt idx="431">
                  <c:v>-70.908834982310466</c:v>
                </c:pt>
                <c:pt idx="432">
                  <c:v>-71.305979311843785</c:v>
                </c:pt>
                <c:pt idx="433">
                  <c:v>-71.696352321392524</c:v>
                </c:pt>
                <c:pt idx="434">
                  <c:v>-72.079979284011159</c:v>
                </c:pt>
                <c:pt idx="435">
                  <c:v>-72.456891359789637</c:v>
                </c:pt>
                <c:pt idx="436">
                  <c:v>-72.827125221585931</c:v>
                </c:pt>
                <c:pt idx="437">
                  <c:v>-73.190722689791045</c:v>
                </c:pt>
                <c:pt idx="438">
                  <c:v>-73.547730376943178</c:v>
                </c:pt>
                <c:pt idx="439">
                  <c:v>-73.898199342875031</c:v>
                </c:pt>
                <c:pt idx="440">
                  <c:v>-74.242184760955325</c:v>
                </c:pt>
                <c:pt idx="441">
                  <c:v>-74.579745595876304</c:v>
                </c:pt>
                <c:pt idx="442">
                  <c:v>-74.910944293324746</c:v>
                </c:pt>
                <c:pt idx="443">
                  <c:v>-75.235846481787064</c:v>
                </c:pt>
                <c:pt idx="444">
                  <c:v>-75.554520686642533</c:v>
                </c:pt>
                <c:pt idx="445">
                  <c:v>-75.867038056625333</c:v>
                </c:pt>
                <c:pt idx="446">
                  <c:v>-76.173472102657811</c:v>
                </c:pt>
                <c:pt idx="447">
                  <c:v>-76.473898448999222</c:v>
                </c:pt>
                <c:pt idx="448">
                  <c:v>-76.768394596591619</c:v>
                </c:pt>
                <c:pt idx="449">
                  <c:v>-77.057039698439496</c:v>
                </c:pt>
                <c:pt idx="450">
                  <c:v>-77.339914346812449</c:v>
                </c:pt>
                <c:pt idx="451">
                  <c:v>-77.617100372025249</c:v>
                </c:pt>
                <c:pt idx="452">
                  <c:v>-77.888680652516868</c:v>
                </c:pt>
                <c:pt idx="453">
                  <c:v>-78.154738935923547</c:v>
                </c:pt>
                <c:pt idx="454">
                  <c:v>-78.415359670820166</c:v>
                </c:pt>
                <c:pt idx="455">
                  <c:v>-78.670627848785784</c:v>
                </c:pt>
                <c:pt idx="456">
                  <c:v>-78.920628856436494</c:v>
                </c:pt>
                <c:pt idx="457">
                  <c:v>-79.165448337059559</c:v>
                </c:pt>
                <c:pt idx="458">
                  <c:v>-79.405172061474204</c:v>
                </c:pt>
                <c:pt idx="459">
                  <c:v>-79.639885807745699</c:v>
                </c:pt>
                <c:pt idx="460">
                  <c:v>-79.869675249370204</c:v>
                </c:pt>
                <c:pt idx="461">
                  <c:v>-80.094625851557836</c:v>
                </c:pt>
                <c:pt idx="462">
                  <c:v>-80.314822775238994</c:v>
                </c:pt>
                <c:pt idx="463">
                  <c:v>-80.530350788425082</c:v>
                </c:pt>
                <c:pt idx="464">
                  <c:v>-80.741294184561852</c:v>
                </c:pt>
                <c:pt idx="465">
                  <c:v>-80.947736707520306</c:v>
                </c:pt>
                <c:pt idx="466">
                  <c:v>-81.149761482879441</c:v>
                </c:pt>
                <c:pt idx="467">
                  <c:v>-81.347450955162742</c:v>
                </c:pt>
                <c:pt idx="468">
                  <c:v>-81.54088683070303</c:v>
                </c:pt>
                <c:pt idx="469">
                  <c:v>-81.730150025818517</c:v>
                </c:pt>
                <c:pt idx="470">
                  <c:v>-81.915320619995242</c:v>
                </c:pt>
                <c:pt idx="471">
                  <c:v>-82.096477813781476</c:v>
                </c:pt>
                <c:pt idx="472">
                  <c:v>-82.273699891112116</c:v>
                </c:pt>
                <c:pt idx="473">
                  <c:v>-82.447064185791405</c:v>
                </c:pt>
                <c:pt idx="474">
                  <c:v>-82.616647051875646</c:v>
                </c:pt>
                <c:pt idx="475">
                  <c:v>-82.782523837705611</c:v>
                </c:pt>
                <c:pt idx="476">
                  <c:v>-82.944768863355222</c:v>
                </c:pt>
                <c:pt idx="477">
                  <c:v>-83.103455401267766</c:v>
                </c:pt>
                <c:pt idx="478">
                  <c:v>-83.258655659867287</c:v>
                </c:pt>
                <c:pt idx="479">
                  <c:v>-83.410440769940294</c:v>
                </c:pt>
                <c:pt idx="480">
                  <c:v>-83.558880773594737</c:v>
                </c:pt>
                <c:pt idx="481">
                  <c:v>-83.704044615612489</c:v>
                </c:pt>
                <c:pt idx="482">
                  <c:v>-83.846000137022585</c:v>
                </c:pt>
                <c:pt idx="483">
                  <c:v>-83.984814070730252</c:v>
                </c:pt>
                <c:pt idx="484">
                  <c:v>-84.120552039047666</c:v>
                </c:pt>
                <c:pt idx="485">
                  <c:v>-84.253278552979452</c:v>
                </c:pt>
                <c:pt idx="486">
                  <c:v>-84.383057013125836</c:v>
                </c:pt>
                <c:pt idx="487">
                  <c:v>-84.509949712073492</c:v>
                </c:pt>
                <c:pt idx="488">
                  <c:v>-84.634017838152062</c:v>
                </c:pt>
                <c:pt idx="489">
                  <c:v>-84.75532148044158</c:v>
                </c:pt>
                <c:pt idx="490">
                  <c:v>-84.873919634924022</c:v>
                </c:pt>
                <c:pt idx="491">
                  <c:v>-84.989870211676617</c:v>
                </c:pt>
                <c:pt idx="492">
                  <c:v>-85.103230043014008</c:v>
                </c:pt>
                <c:pt idx="493">
                  <c:v>-85.214054892489344</c:v>
                </c:pt>
                <c:pt idx="494">
                  <c:v>-85.322399464672387</c:v>
                </c:pt>
                <c:pt idx="495">
                  <c:v>-85.428317415626992</c:v>
                </c:pt>
                <c:pt idx="496">
                  <c:v>-85.531861364015413</c:v>
                </c:pt>
                <c:pt idx="497">
                  <c:v>-85.63308290276278</c:v>
                </c:pt>
                <c:pt idx="498">
                  <c:v>-85.732032611218074</c:v>
                </c:pt>
                <c:pt idx="499">
                  <c:v>-85.828760067753834</c:v>
                </c:pt>
                <c:pt idx="500">
                  <c:v>-85.923313862750021</c:v>
                </c:pt>
                <c:pt idx="501">
                  <c:v>-86.015741611911054</c:v>
                </c:pt>
                <c:pt idx="502">
                  <c:v>-86.106089969870013</c:v>
                </c:pt>
                <c:pt idx="503">
                  <c:v>-86.194404644035686</c:v>
                </c:pt>
                <c:pt idx="504">
                  <c:v>-86.280730408642455</c:v>
                </c:pt>
                <c:pt idx="505">
                  <c:v>-86.365111118965885</c:v>
                </c:pt>
                <c:pt idx="506">
                  <c:v>-86.447589725669516</c:v>
                </c:pt>
                <c:pt idx="507">
                  <c:v>-86.528208289250571</c:v>
                </c:pt>
                <c:pt idx="508">
                  <c:v>-86.607007994556156</c:v>
                </c:pt>
                <c:pt idx="509">
                  <c:v>-86.684029165342238</c:v>
                </c:pt>
                <c:pt idx="510">
                  <c:v>-86.759311278850575</c:v>
                </c:pt>
                <c:pt idx="511">
                  <c:v>-86.832892980381288</c:v>
                </c:pt>
                <c:pt idx="512">
                  <c:v>-86.904812097840207</c:v>
                </c:pt>
                <c:pt idx="513">
                  <c:v>-86.975105656241098</c:v>
                </c:pt>
                <c:pt idx="514">
                  <c:v>-87.04380989214647</c:v>
                </c:pt>
                <c:pt idx="515">
                  <c:v>-87.110960268030126</c:v>
                </c:pt>
                <c:pt idx="516">
                  <c:v>-87.176591486547665</c:v>
                </c:pt>
                <c:pt idx="517">
                  <c:v>-87.240737504701812</c:v>
                </c:pt>
                <c:pt idx="518">
                  <c:v>-87.303431547890213</c:v>
                </c:pt>
                <c:pt idx="519">
                  <c:v>-87.364706123825698</c:v>
                </c:pt>
                <c:pt idx="520">
                  <c:v>-87.424593036319223</c:v>
                </c:pt>
                <c:pt idx="521">
                  <c:v>-87.483123398916916</c:v>
                </c:pt>
                <c:pt idx="522">
                  <c:v>-87.540327648383439</c:v>
                </c:pt>
                <c:pt idx="523">
                  <c:v>-87.596235558025313</c:v>
                </c:pt>
                <c:pt idx="524">
                  <c:v>-87.650876250848214</c:v>
                </c:pt>
                <c:pt idx="525">
                  <c:v>-87.704278212542775</c:v>
                </c:pt>
                <c:pt idx="526">
                  <c:v>-87.756469304294455</c:v>
                </c:pt>
                <c:pt idx="527">
                  <c:v>-87.807476775414187</c:v>
                </c:pt>
                <c:pt idx="528">
                  <c:v>-87.857327275785735</c:v>
                </c:pt>
                <c:pt idx="529">
                  <c:v>-87.906046868127973</c:v>
                </c:pt>
                <c:pt idx="530">
                  <c:v>-87.953661040068738</c:v>
                </c:pt>
                <c:pt idx="531">
                  <c:v>-88.000194716029867</c:v>
                </c:pt>
                <c:pt idx="532">
                  <c:v>-88.045672268921024</c:v>
                </c:pt>
                <c:pt idx="533">
                  <c:v>-88.090117531642093</c:v>
                </c:pt>
                <c:pt idx="534">
                  <c:v>-88.133553808393103</c:v>
                </c:pt>
                <c:pt idx="535">
                  <c:v>-88.176003885792113</c:v>
                </c:pt>
                <c:pt idx="536">
                  <c:v>-88.217490043800296</c:v>
                </c:pt>
                <c:pt idx="537">
                  <c:v>-88.25803406645548</c:v>
                </c:pt>
                <c:pt idx="538">
                  <c:v>-88.297657252414183</c:v>
                </c:pt>
                <c:pt idx="539">
                  <c:v>-88.336380425303119</c:v>
                </c:pt>
                <c:pt idx="540">
                  <c:v>-88.374223943881447</c:v>
                </c:pt>
                <c:pt idx="541">
                  <c:v>-88.411207712014757</c:v>
                </c:pt>
              </c:numCache>
            </c:numRef>
          </c:yVal>
          <c:smooth val="1"/>
          <c:extLst>
            <c:ext xmlns:c16="http://schemas.microsoft.com/office/drawing/2014/chart" uri="{C3380CC4-5D6E-409C-BE32-E72D297353CC}">
              <c16:uniqueId val="{00000001-9071-434A-B397-2C3D7F38C963}"/>
            </c:ext>
          </c:extLst>
        </c:ser>
        <c:dLbls>
          <c:showLegendKey val="0"/>
          <c:showVal val="0"/>
          <c:showCatName val="0"/>
          <c:showSerName val="0"/>
          <c:showPercent val="0"/>
          <c:showBubbleSize val="0"/>
        </c:dLbls>
        <c:axId val="555313792"/>
        <c:axId val="555312256"/>
      </c:scatterChart>
      <c:valAx>
        <c:axId val="555304064"/>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305984"/>
        <c:crosses val="autoZero"/>
        <c:crossBetween val="midCat"/>
      </c:valAx>
      <c:valAx>
        <c:axId val="555305984"/>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555304064"/>
        <c:crosses val="autoZero"/>
        <c:crossBetween val="midCat"/>
        <c:majorUnit val="20"/>
        <c:minorUnit val="10"/>
      </c:valAx>
      <c:valAx>
        <c:axId val="555312256"/>
        <c:scaling>
          <c:orientation val="minMax"/>
          <c:max val="180"/>
          <c:min val="-180"/>
        </c:scaling>
        <c:delete val="0"/>
        <c:axPos val="r"/>
        <c:numFmt formatCode="General" sourceLinked="1"/>
        <c:majorTickMark val="out"/>
        <c:minorTickMark val="none"/>
        <c:tickLblPos val="nextTo"/>
        <c:crossAx val="555313792"/>
        <c:crosses val="max"/>
        <c:crossBetween val="midCat"/>
        <c:majorUnit val="90"/>
        <c:minorUnit val="45"/>
      </c:valAx>
      <c:valAx>
        <c:axId val="555313792"/>
        <c:scaling>
          <c:logBase val="10"/>
          <c:orientation val="minMax"/>
        </c:scaling>
        <c:delete val="1"/>
        <c:axPos val="b"/>
        <c:numFmt formatCode="0.00" sourceLinked="1"/>
        <c:majorTickMark val="out"/>
        <c:minorTickMark val="none"/>
        <c:tickLblPos val="nextTo"/>
        <c:crossAx val="555312256"/>
        <c:crosses val="autoZero"/>
        <c:crossBetween val="midCat"/>
      </c:valAx>
    </c:plotArea>
    <c:legend>
      <c:legendPos val="r"/>
      <c:layout>
        <c:manualLayout>
          <c:xMode val="edge"/>
          <c:yMode val="edge"/>
          <c:x val="0.79880558209512509"/>
          <c:y val="0.14321997959862004"/>
          <c:w val="0.13459449276057311"/>
          <c:h val="0.10691609861199437"/>
        </c:manualLayout>
      </c:layout>
      <c:overlay val="1"/>
      <c:spPr>
        <a:solidFill>
          <a:schemeClr val="bg1"/>
        </a:solidFill>
      </c:spPr>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DCM Control Loop Transfer Function</a:t>
            </a:r>
          </a:p>
        </c:rich>
      </c:tx>
      <c:overlay val="0"/>
    </c:title>
    <c:autoTitleDeleted val="0"/>
    <c:plotArea>
      <c:layout/>
      <c:scatterChart>
        <c:scatterStyle val="smoothMarker"/>
        <c:varyColors val="0"/>
        <c:ser>
          <c:idx val="0"/>
          <c:order val="0"/>
          <c:spPr>
            <a:ln w="38100">
              <a:solidFill>
                <a:srgbClr val="FF0000"/>
              </a:solidFill>
            </a:ln>
          </c:spPr>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Control_Loop_Tables!$BI$19:$BI$560</c:f>
              <c:numCache>
                <c:formatCode>0.000</c:formatCode>
                <c:ptCount val="542"/>
                <c:pt idx="0">
                  <c:v>53.803371511272942</c:v>
                </c:pt>
                <c:pt idx="1">
                  <c:v>53.605006745463861</c:v>
                </c:pt>
                <c:pt idx="2">
                  <c:v>53.406718187757903</c:v>
                </c:pt>
                <c:pt idx="3">
                  <c:v>53.208509347809787</c:v>
                </c:pt>
                <c:pt idx="4">
                  <c:v>53.010383892902198</c:v>
                </c:pt>
                <c:pt idx="5">
                  <c:v>52.812345654643487</c:v>
                </c:pt>
                <c:pt idx="6">
                  <c:v>52.614398635911414</c:v>
                </c:pt>
                <c:pt idx="7">
                  <c:v>52.416547018051951</c:v>
                </c:pt>
                <c:pt idx="8">
                  <c:v>52.218795168335312</c:v>
                </c:pt>
                <c:pt idx="9">
                  <c:v>52.021147647675754</c:v>
                </c:pt>
                <c:pt idx="10">
                  <c:v>51.823609218619296</c:v>
                </c:pt>
                <c:pt idx="11">
                  <c:v>51.626184853603235</c:v>
                </c:pt>
                <c:pt idx="12">
                  <c:v>51.428879743490498</c:v>
                </c:pt>
                <c:pt idx="13">
                  <c:v>51.231699306383412</c:v>
                </c:pt>
                <c:pt idx="14">
                  <c:v>51.034649196716401</c:v>
                </c:pt>
                <c:pt idx="15">
                  <c:v>50.83773531463094</c:v>
                </c:pt>
                <c:pt idx="16">
                  <c:v>50.640963815632716</c:v>
                </c:pt>
                <c:pt idx="17">
                  <c:v>50.444341120529685</c:v>
                </c:pt>
                <c:pt idx="18">
                  <c:v>50.247873925649664</c:v>
                </c:pt>
                <c:pt idx="19">
                  <c:v>50.051569213333963</c:v>
                </c:pt>
                <c:pt idx="20">
                  <c:v>49.855434262703369</c:v>
                </c:pt>
                <c:pt idx="21">
                  <c:v>49.659476660688597</c:v>
                </c:pt>
                <c:pt idx="22">
                  <c:v>49.463704313318537</c:v>
                </c:pt>
                <c:pt idx="23">
                  <c:v>49.268125457255692</c:v>
                </c:pt>
                <c:pt idx="24">
                  <c:v>49.072748671566572</c:v>
                </c:pt>
                <c:pt idx="25">
                  <c:v>48.877582889712244</c:v>
                </c:pt>
                <c:pt idx="26">
                  <c:v>48.682637411742647</c:v>
                </c:pt>
                <c:pt idx="27">
                  <c:v>48.48792191667318</c:v>
                </c:pt>
                <c:pt idx="28">
                  <c:v>48.293446475021817</c:v>
                </c:pt>
                <c:pt idx="29">
                  <c:v>48.099221561479098</c:v>
                </c:pt>
                <c:pt idx="30">
                  <c:v>47.905258067681288</c:v>
                </c:pt>
                <c:pt idx="31">
                  <c:v>47.711567315052505</c:v>
                </c:pt>
                <c:pt idx="32">
                  <c:v>47.518161067677703</c:v>
                </c:pt>
                <c:pt idx="33">
                  <c:v>47.325051545162545</c:v>
                </c:pt>
                <c:pt idx="34">
                  <c:v>47.132251435433929</c:v>
                </c:pt>
                <c:pt idx="35">
                  <c:v>46.939773907426954</c:v>
                </c:pt>
                <c:pt idx="36">
                  <c:v>46.747632623600197</c:v>
                </c:pt>
                <c:pt idx="37">
                  <c:v>46.555841752215485</c:v>
                </c:pt>
                <c:pt idx="38">
                  <c:v>46.364415979310635</c:v>
                </c:pt>
                <c:pt idx="39">
                  <c:v>46.173370520288699</c:v>
                </c:pt>
                <c:pt idx="40">
                  <c:v>45.982721131039909</c:v>
                </c:pt>
                <c:pt idx="41">
                  <c:v>45.792484118504753</c:v>
                </c:pt>
                <c:pt idx="42">
                  <c:v>45.60267635057982</c:v>
                </c:pt>
                <c:pt idx="43">
                  <c:v>45.413315265260657</c:v>
                </c:pt>
                <c:pt idx="44">
                  <c:v>45.224418878906356</c:v>
                </c:pt>
                <c:pt idx="45">
                  <c:v>45.036005793504657</c:v>
                </c:pt>
                <c:pt idx="46">
                  <c:v>44.848095202805929</c:v>
                </c:pt>
                <c:pt idx="47">
                  <c:v>44.660706897187296</c:v>
                </c:pt>
                <c:pt idx="48">
                  <c:v>44.473861267100006</c:v>
                </c:pt>
                <c:pt idx="49">
                  <c:v>44.287579304942625</c:v>
                </c:pt>
                <c:pt idx="50">
                  <c:v>44.10188260519709</c:v>
                </c:pt>
                <c:pt idx="51">
                  <c:v>43.91679336265527</c:v>
                </c:pt>
                <c:pt idx="52">
                  <c:v>43.732334368555399</c:v>
                </c:pt>
                <c:pt idx="53">
                  <c:v>43.548529004442216</c:v>
                </c:pt>
                <c:pt idx="54">
                  <c:v>43.365401233555936</c:v>
                </c:pt>
                <c:pt idx="55">
                  <c:v>43.18297558955264</c:v>
                </c:pt>
                <c:pt idx="56">
                  <c:v>43.0012771623487</c:v>
                </c:pt>
                <c:pt idx="57">
                  <c:v>42.82033158088386</c:v>
                </c:pt>
                <c:pt idx="58">
                  <c:v>42.640164992590769</c:v>
                </c:pt>
                <c:pt idx="59">
                  <c:v>42.460804039359992</c:v>
                </c:pt>
                <c:pt idx="60">
                  <c:v>42.282275829788986</c:v>
                </c:pt>
                <c:pt idx="61">
                  <c:v>42.10460790750848</c:v>
                </c:pt>
                <c:pt idx="62">
                  <c:v>41.927828215380771</c:v>
                </c:pt>
                <c:pt idx="63">
                  <c:v>41.751965055375706</c:v>
                </c:pt>
                <c:pt idx="64">
                  <c:v>41.577047043937448</c:v>
                </c:pt>
                <c:pt idx="65">
                  <c:v>41.403103062668649</c:v>
                </c:pt>
                <c:pt idx="66">
                  <c:v>41.230162204174398</c:v>
                </c:pt>
                <c:pt idx="67">
                  <c:v>41.05825371292628</c:v>
                </c:pt>
                <c:pt idx="68">
                  <c:v>40.887406921031094</c:v>
                </c:pt>
                <c:pt idx="69">
                  <c:v>40.717651178812922</c:v>
                </c:pt>
                <c:pt idx="70">
                  <c:v>40.549015780146327</c:v>
                </c:pt>
                <c:pt idx="71">
                  <c:v>40.381529882513789</c:v>
                </c:pt>
                <c:pt idx="72">
                  <c:v>40.2152224217945</c:v>
                </c:pt>
                <c:pt idx="73">
                  <c:v>40.050122021833957</c:v>
                </c:pt>
                <c:pt idx="74">
                  <c:v>39.886256898886309</c:v>
                </c:pt>
                <c:pt idx="75">
                  <c:v>39.723654761069305</c:v>
                </c:pt>
                <c:pt idx="76">
                  <c:v>39.562342703021791</c:v>
                </c:pt>
                <c:pt idx="77">
                  <c:v>39.402347096006004</c:v>
                </c:pt>
                <c:pt idx="78">
                  <c:v>39.243693473752906</c:v>
                </c:pt>
                <c:pt idx="79">
                  <c:v>39.086406414404635</c:v>
                </c:pt>
                <c:pt idx="80">
                  <c:v>38.930509418967688</c:v>
                </c:pt>
                <c:pt idx="81">
                  <c:v>38.776024786747534</c:v>
                </c:pt>
                <c:pt idx="82">
                  <c:v>38.622973488295194</c:v>
                </c:pt>
                <c:pt idx="83">
                  <c:v>38.471375036452073</c:v>
                </c:pt>
                <c:pt idx="84">
                  <c:v>38.32124735613742</c:v>
                </c:pt>
                <c:pt idx="85">
                  <c:v>38.172606653572437</c:v>
                </c:pt>
                <c:pt idx="86">
                  <c:v>38.025467285686105</c:v>
                </c:pt>
                <c:pt idx="87">
                  <c:v>37.879841630493118</c:v>
                </c:pt>
                <c:pt idx="88">
                  <c:v>37.735739959270319</c:v>
                </c:pt>
                <c:pt idx="89">
                  <c:v>37.593170311393436</c:v>
                </c:pt>
                <c:pt idx="90">
                  <c:v>37.452138372719524</c:v>
                </c:pt>
                <c:pt idx="91">
                  <c:v>37.312647358419568</c:v>
                </c:pt>
                <c:pt idx="92">
                  <c:v>37.174697901172195</c:v>
                </c:pt>
                <c:pt idx="93">
                  <c:v>37.038287945631012</c:v>
                </c:pt>
                <c:pt idx="94">
                  <c:v>36.903412650067878</c:v>
                </c:pt>
                <c:pt idx="95">
                  <c:v>36.770064296073322</c:v>
                </c:pt>
                <c:pt idx="96">
                  <c:v>36.638232207168514</c:v>
                </c:pt>
                <c:pt idx="97">
                  <c:v>36.507902677140905</c:v>
                </c:pt>
                <c:pt idx="98">
                  <c:v>36.379058908869595</c:v>
                </c:pt>
                <c:pt idx="99">
                  <c:v>36.251680964347706</c:v>
                </c:pt>
                <c:pt idx="100">
                  <c:v>36.125745726543194</c:v>
                </c:pt>
                <c:pt idx="101">
                  <c:v>36.001226873665956</c:v>
                </c:pt>
                <c:pt idx="102">
                  <c:v>35.878094866329072</c:v>
                </c:pt>
                <c:pt idx="103">
                  <c:v>35.756316948006003</c:v>
                </c:pt>
                <c:pt idx="104">
                  <c:v>35.635857159094989</c:v>
                </c:pt>
                <c:pt idx="105">
                  <c:v>35.516676364808731</c:v>
                </c:pt>
                <c:pt idx="106">
                  <c:v>35.398732297010255</c:v>
                </c:pt>
                <c:pt idx="107">
                  <c:v>35.28197961002035</c:v>
                </c:pt>
                <c:pt idx="108">
                  <c:v>35.166369950324345</c:v>
                </c:pt>
                <c:pt idx="109">
                  <c:v>35.051852040011816</c:v>
                </c:pt>
                <c:pt idx="110">
                  <c:v>34.938371773688047</c:v>
                </c:pt>
                <c:pt idx="111">
                  <c:v>34.825872328509391</c:v>
                </c:pt>
                <c:pt idx="112">
                  <c:v>34.714294286906679</c:v>
                </c:pt>
                <c:pt idx="113">
                  <c:v>34.60357577148212</c:v>
                </c:pt>
                <c:pt idx="114">
                  <c:v>34.493652591490211</c:v>
                </c:pt>
                <c:pt idx="115">
                  <c:v>34.384458400242636</c:v>
                </c:pt>
                <c:pt idx="116">
                  <c:v>34.275924862716188</c:v>
                </c:pt>
                <c:pt idx="117">
                  <c:v>34.167981832583294</c:v>
                </c:pt>
                <c:pt idx="118">
                  <c:v>34.060557537837568</c:v>
                </c:pt>
                <c:pt idx="119">
                  <c:v>33.953578774139075</c:v>
                </c:pt>
                <c:pt idx="120">
                  <c:v>33.846971104967608</c:v>
                </c:pt>
                <c:pt idx="121">
                  <c:v>33.740659067638447</c:v>
                </c:pt>
                <c:pt idx="122">
                  <c:v>33.634566384209592</c:v>
                </c:pt>
                <c:pt idx="123">
                  <c:v>33.528616176284451</c:v>
                </c:pt>
                <c:pt idx="124">
                  <c:v>33.422731182700595</c:v>
                </c:pt>
                <c:pt idx="125">
                  <c:v>33.31683397907976</c:v>
                </c:pt>
                <c:pt idx="126">
                  <c:v>33.210847198207986</c:v>
                </c:pt>
                <c:pt idx="127">
                  <c:v>33.104693750211716</c:v>
                </c:pt>
                <c:pt idx="128">
                  <c:v>32.998297041495753</c:v>
                </c:pt>
                <c:pt idx="129">
                  <c:v>32.891581191414318</c:v>
                </c:pt>
                <c:pt idx="130">
                  <c:v>32.784471245657279</c:v>
                </c:pt>
                <c:pt idx="131">
                  <c:v>32.676893385346602</c:v>
                </c:pt>
                <c:pt idx="132">
                  <c:v>32.568775130859294</c:v>
                </c:pt>
                <c:pt idx="133">
                  <c:v>32.460045539413869</c:v>
                </c:pt>
                <c:pt idx="134">
                  <c:v>32.35063539549197</c:v>
                </c:pt>
                <c:pt idx="135">
                  <c:v>32.240477393197239</c:v>
                </c:pt>
                <c:pt idx="136">
                  <c:v>32.129506309697227</c:v>
                </c:pt>
                <c:pt idx="137">
                  <c:v>32.017659168940817</c:v>
                </c:pt>
                <c:pt idx="138">
                  <c:v>31.904875394896987</c:v>
                </c:pt>
                <c:pt idx="139">
                  <c:v>31.791096953619224</c:v>
                </c:pt>
                <c:pt idx="140">
                  <c:v>31.676268483507485</c:v>
                </c:pt>
                <c:pt idx="141">
                  <c:v>31.56033741321032</c:v>
                </c:pt>
                <c:pt idx="142">
                  <c:v>31.443254066686048</c:v>
                </c:pt>
                <c:pt idx="143">
                  <c:v>31.324971755027779</c:v>
                </c:pt>
                <c:pt idx="144">
                  <c:v>31.205446854740803</c:v>
                </c:pt>
                <c:pt idx="145">
                  <c:v>31.084638872253223</c:v>
                </c:pt>
                <c:pt idx="146">
                  <c:v>30.962510494536616</c:v>
                </c:pt>
                <c:pt idx="147">
                  <c:v>30.839027625805841</c:v>
                </c:pt>
                <c:pt idx="148">
                  <c:v>30.714159410367813</c:v>
                </c:pt>
                <c:pt idx="149">
                  <c:v>30.587878241782974</c:v>
                </c:pt>
                <c:pt idx="150">
                  <c:v>30.460159758599868</c:v>
                </c:pt>
                <c:pt idx="151">
                  <c:v>30.330982827016012</c:v>
                </c:pt>
                <c:pt idx="152">
                  <c:v>30.200329510904869</c:v>
                </c:pt>
                <c:pt idx="153">
                  <c:v>30.0681850297353</c:v>
                </c:pt>
                <c:pt idx="154">
                  <c:v>29.934537704985562</c:v>
                </c:pt>
                <c:pt idx="155">
                  <c:v>29.799378895723628</c:v>
                </c:pt>
                <c:pt idx="156">
                  <c:v>29.662702924091043</c:v>
                </c:pt>
                <c:pt idx="157">
                  <c:v>29.524506991477587</c:v>
                </c:pt>
                <c:pt idx="158">
                  <c:v>29.38479108622229</c:v>
                </c:pt>
                <c:pt idx="159">
                  <c:v>29.243557883708146</c:v>
                </c:pt>
                <c:pt idx="160">
                  <c:v>29.100812639745655</c:v>
                </c:pt>
                <c:pt idx="161">
                  <c:v>28.956563078154453</c:v>
                </c:pt>
                <c:pt idx="162">
                  <c:v>28.810819273457788</c:v>
                </c:pt>
                <c:pt idx="163">
                  <c:v>28.663593529602295</c:v>
                </c:pt>
                <c:pt idx="164">
                  <c:v>28.51490025560139</c:v>
                </c:pt>
                <c:pt idx="165">
                  <c:v>28.364755838981239</c:v>
                </c:pt>
                <c:pt idx="166">
                  <c:v>28.213178517878085</c:v>
                </c:pt>
                <c:pt idx="167">
                  <c:v>28.06018825260152</c:v>
                </c:pt>
                <c:pt idx="168">
                  <c:v>27.905806597435777</c:v>
                </c:pt>
                <c:pt idx="169">
                  <c:v>27.750056573405899</c:v>
                </c:pt>
                <c:pt idx="170">
                  <c:v>27.5929625426824</c:v>
                </c:pt>
                <c:pt idx="171">
                  <c:v>27.434550085246681</c:v>
                </c:pt>
                <c:pt idx="172">
                  <c:v>27.27484587838071</c:v>
                </c:pt>
                <c:pt idx="173">
                  <c:v>27.113877579486484</c:v>
                </c:pt>
                <c:pt idx="174">
                  <c:v>26.951673712684446</c:v>
                </c:pt>
                <c:pt idx="175">
                  <c:v>26.78826355957732</c:v>
                </c:pt>
                <c:pt idx="176">
                  <c:v>26.623677054511596</c:v>
                </c:pt>
                <c:pt idx="177">
                  <c:v>26.45794468461078</c:v>
                </c:pt>
                <c:pt idx="178">
                  <c:v>26.291097394798911</c:v>
                </c:pt>
                <c:pt idx="179">
                  <c:v>26.123166497983267</c:v>
                </c:pt>
                <c:pt idx="180">
                  <c:v>25.954183590513715</c:v>
                </c:pt>
                <c:pt idx="181">
                  <c:v>25.784180472990982</c:v>
                </c:pt>
                <c:pt idx="182">
                  <c:v>25.613189076453125</c:v>
                </c:pt>
                <c:pt idx="183">
                  <c:v>25.441241393929918</c:v>
                </c:pt>
                <c:pt idx="184">
                  <c:v>25.268369417319285</c:v>
                </c:pt>
                <c:pt idx="185">
                  <c:v>25.094605079507126</c:v>
                </c:pt>
                <c:pt idx="186">
                  <c:v>24.919980201625052</c:v>
                </c:pt>
                <c:pt idx="187">
                  <c:v>24.744526445312552</c:v>
                </c:pt>
                <c:pt idx="188">
                  <c:v>24.568275269830679</c:v>
                </c:pt>
                <c:pt idx="189">
                  <c:v>24.391257893855226</c:v>
                </c:pt>
                <c:pt idx="190">
                  <c:v>24.213505261760567</c:v>
                </c:pt>
                <c:pt idx="191">
                  <c:v>24.035048014195187</c:v>
                </c:pt>
                <c:pt idx="192">
                  <c:v>23.855916462736605</c:v>
                </c:pt>
                <c:pt idx="193">
                  <c:v>23.676140568408485</c:v>
                </c:pt>
                <c:pt idx="194">
                  <c:v>23.495749923835941</c:v>
                </c:pt>
                <c:pt idx="195">
                  <c:v>23.314773738811489</c:v>
                </c:pt>
                <c:pt idx="196">
                  <c:v>23.133240829041689</c:v>
                </c:pt>
                <c:pt idx="197">
                  <c:v>22.95117960784647</c:v>
                </c:pt>
                <c:pt idx="198">
                  <c:v>22.768618080579628</c:v>
                </c:pt>
                <c:pt idx="199">
                  <c:v>22.585583841546438</c:v>
                </c:pt>
                <c:pt idx="200">
                  <c:v>22.402104073191968</c:v>
                </c:pt>
                <c:pt idx="201">
                  <c:v>22.218205547339956</c:v>
                </c:pt>
                <c:pt idx="202">
                  <c:v>22.03391462826696</c:v>
                </c:pt>
                <c:pt idx="203">
                  <c:v>21.849257277397637</c:v>
                </c:pt>
                <c:pt idx="204">
                  <c:v>21.664259059414526</c:v>
                </c:pt>
                <c:pt idx="205">
                  <c:v>21.478945149580593</c:v>
                </c:pt>
                <c:pt idx="206">
                  <c:v>21.293340342074917</c:v>
                </c:pt>
                <c:pt idx="207">
                  <c:v>21.107469059150162</c:v>
                </c:pt>
                <c:pt idx="208">
                  <c:v>20.921355360922686</c:v>
                </c:pt>
                <c:pt idx="209">
                  <c:v>20.735022955612372</c:v>
                </c:pt>
                <c:pt idx="210">
                  <c:v>20.548495210052383</c:v>
                </c:pt>
                <c:pt idx="211">
                  <c:v>20.361795160293394</c:v>
                </c:pt>
                <c:pt idx="212">
                  <c:v>20.174945522132361</c:v>
                </c:pt>
                <c:pt idx="213">
                  <c:v>19.987968701396174</c:v>
                </c:pt>
                <c:pt idx="214">
                  <c:v>19.800886803817711</c:v>
                </c:pt>
                <c:pt idx="215">
                  <c:v>19.613721644341776</c:v>
                </c:pt>
                <c:pt idx="216">
                  <c:v>19.426494755703828</c:v>
                </c:pt>
                <c:pt idx="217">
                  <c:v>19.239227396125663</c:v>
                </c:pt>
                <c:pt idx="218">
                  <c:v>19.051940555975563</c:v>
                </c:pt>
                <c:pt idx="219">
                  <c:v>18.864654963244281</c:v>
                </c:pt>
                <c:pt idx="220">
                  <c:v>18.677391087689312</c:v>
                </c:pt>
                <c:pt idx="221">
                  <c:v>18.490169143504541</c:v>
                </c:pt>
                <c:pt idx="222">
                  <c:v>18.303009090376232</c:v>
                </c:pt>
                <c:pt idx="223">
                  <c:v>18.115930632788068</c:v>
                </c:pt>
                <c:pt idx="224">
                  <c:v>17.928953217445908</c:v>
                </c:pt>
                <c:pt idx="225">
                  <c:v>17.742096028695109</c:v>
                </c:pt>
                <c:pt idx="226">
                  <c:v>17.555377981810651</c:v>
                </c:pt>
                <c:pt idx="227">
                  <c:v>17.368817714049438</c:v>
                </c:pt>
                <c:pt idx="228">
                  <c:v>17.182433573358718</c:v>
                </c:pt>
                <c:pt idx="229">
                  <c:v>16.996243604646679</c:v>
                </c:pt>
                <c:pt idx="230">
                  <c:v>16.810265533534118</c:v>
                </c:pt>
                <c:pt idx="231">
                  <c:v>16.624516747514079</c:v>
                </c:pt>
                <c:pt idx="232">
                  <c:v>16.439014274467041</c:v>
                </c:pt>
                <c:pt idx="233">
                  <c:v>16.253774758490692</c:v>
                </c:pt>
                <c:pt idx="234">
                  <c:v>16.068814433025935</c:v>
                </c:pt>
                <c:pt idx="235">
                  <c:v>15.884149091278847</c:v>
                </c:pt>
                <c:pt idx="236">
                  <c:v>15.699794053963839</c:v>
                </c:pt>
                <c:pt idx="237">
                  <c:v>15.515764134416322</c:v>
                </c:pt>
                <c:pt idx="238">
                  <c:v>15.332073601152452</c:v>
                </c:pt>
                <c:pt idx="239">
                  <c:v>15.148736137983951</c:v>
                </c:pt>
                <c:pt idx="240">
                  <c:v>14.965764801824925</c:v>
                </c:pt>
                <c:pt idx="241">
                  <c:v>14.783171978365733</c:v>
                </c:pt>
                <c:pt idx="242">
                  <c:v>14.600969335821976</c:v>
                </c:pt>
                <c:pt idx="243">
                  <c:v>14.419167777004908</c:v>
                </c:pt>
                <c:pt idx="244">
                  <c:v>14.237777389997808</c:v>
                </c:pt>
                <c:pt idx="245">
                  <c:v>14.056807397762157</c:v>
                </c:pt>
                <c:pt idx="246">
                  <c:v>13.876266107038246</c:v>
                </c:pt>
                <c:pt idx="247">
                  <c:v>13.696160856940413</c:v>
                </c:pt>
                <c:pt idx="248">
                  <c:v>13.516497967689784</c:v>
                </c:pt>
                <c:pt idx="249">
                  <c:v>13.337282689961219</c:v>
                </c:pt>
                <c:pt idx="250">
                  <c:v>13.158519155354512</c:v>
                </c:pt>
                <c:pt idx="251">
                  <c:v>12.980210328534895</c:v>
                </c:pt>
                <c:pt idx="252">
                  <c:v>12.802357961609069</c:v>
                </c:pt>
                <c:pt idx="253">
                  <c:v>12.624962551330665</c:v>
                </c:pt>
                <c:pt idx="254">
                  <c:v>12.448023299739521</c:v>
                </c:pt>
                <c:pt idx="255">
                  <c:v>12.271538078854249</c:v>
                </c:pt>
                <c:pt idx="256">
                  <c:v>12.095503400034762</c:v>
                </c:pt>
                <c:pt idx="257">
                  <c:v>11.919914388628809</c:v>
                </c:pt>
                <c:pt idx="258">
                  <c:v>11.744764764499482</c:v>
                </c:pt>
                <c:pt idx="259">
                  <c:v>11.570046829007543</c:v>
                </c:pt>
                <c:pt idx="260">
                  <c:v>11.395751458988549</c:v>
                </c:pt>
                <c:pt idx="261">
                  <c:v>11.221868108219986</c:v>
                </c:pt>
                <c:pt idx="262">
                  <c:v>11.048384816822267</c:v>
                </c:pt>
                <c:pt idx="263">
                  <c:v>10.875288228970136</c:v>
                </c:pt>
                <c:pt idx="264">
                  <c:v>10.702563619223826</c:v>
                </c:pt>
                <c:pt idx="265">
                  <c:v>10.530194927703008</c:v>
                </c:pt>
                <c:pt idx="266">
                  <c:v>10.358164804242286</c:v>
                </c:pt>
                <c:pt idx="267">
                  <c:v>10.186454661567703</c:v>
                </c:pt>
                <c:pt idx="268">
                  <c:v>10.015044737436604</c:v>
                </c:pt>
                <c:pt idx="269">
                  <c:v>9.8439141655771927</c:v>
                </c:pt>
                <c:pt idx="270">
                  <c:v>9.6730410551575012</c:v>
                </c:pt>
                <c:pt idx="271">
                  <c:v>9.5024025784094057</c:v>
                </c:pt>
                <c:pt idx="272">
                  <c:v>9.3319750659265672</c:v>
                </c:pt>
                <c:pt idx="273">
                  <c:v>9.1617341090554252</c:v>
                </c:pt>
                <c:pt idx="274">
                  <c:v>8.9916546687033367</c:v>
                </c:pt>
                <c:pt idx="275">
                  <c:v>8.82171118979997</c:v>
                </c:pt>
                <c:pt idx="276">
                  <c:v>8.6518777205709299</c:v>
                </c:pt>
                <c:pt idx="277">
                  <c:v>8.4821280357144886</c:v>
                </c:pt>
                <c:pt idx="278">
                  <c:v>8.3124357625180387</c:v>
                </c:pt>
                <c:pt idx="279">
                  <c:v>8.1427745089108186</c:v>
                </c:pt>
                <c:pt idx="280">
                  <c:v>7.9731179924210016</c:v>
                </c:pt>
                <c:pt idx="281">
                  <c:v>7.8034401689966675</c:v>
                </c:pt>
                <c:pt idx="282">
                  <c:v>7.6337153606511796</c:v>
                </c:pt>
                <c:pt idx="283">
                  <c:v>7.4639183809154108</c:v>
                </c:pt>
                <c:pt idx="284">
                  <c:v>7.2940246571106613</c:v>
                </c:pt>
                <c:pt idx="285">
                  <c:v>7.1240103485075901</c:v>
                </c:pt>
                <c:pt idx="286">
                  <c:v>6.953852459493679</c:v>
                </c:pt>
                <c:pt idx="287">
                  <c:v>6.7835289469486346</c:v>
                </c:pt>
                <c:pt idx="288">
                  <c:v>6.6130188211073859</c:v>
                </c:pt>
                <c:pt idx="289">
                  <c:v>6.4423022392829914</c:v>
                </c:pt>
                <c:pt idx="290">
                  <c:v>6.271360591920395</c:v>
                </c:pt>
                <c:pt idx="291">
                  <c:v>6.1001765805541446</c:v>
                </c:pt>
                <c:pt idx="292">
                  <c:v>5.9287342873486431</c:v>
                </c:pt>
                <c:pt idx="293">
                  <c:v>5.757019236007106</c:v>
                </c:pt>
                <c:pt idx="294">
                  <c:v>5.5850184439381927</c:v>
                </c:pt>
                <c:pt idx="295">
                  <c:v>5.4127204656740124</c:v>
                </c:pt>
                <c:pt idx="296">
                  <c:v>5.2401154276303092</c:v>
                </c:pt>
                <c:pt idx="297">
                  <c:v>5.0671950543889599</c:v>
                </c:pt>
                <c:pt idx="298">
                  <c:v>4.8939526867712582</c:v>
                </c:pt>
                <c:pt idx="299">
                  <c:v>4.7203832920442199</c:v>
                </c:pt>
                <c:pt idx="300">
                  <c:v>4.5464834666694607</c:v>
                </c:pt>
                <c:pt idx="301">
                  <c:v>4.3722514320639396</c:v>
                </c:pt>
                <c:pt idx="302">
                  <c:v>4.1976870238863455</c:v>
                </c:pt>
                <c:pt idx="303">
                  <c:v>4.0227916754038899</c:v>
                </c:pt>
                <c:pt idx="304">
                  <c:v>3.8475683955212041</c:v>
                </c:pt>
                <c:pt idx="305">
                  <c:v>3.6720217420687966</c:v>
                </c:pt>
                <c:pt idx="306">
                  <c:v>3.4961577909631352</c:v>
                </c:pt>
                <c:pt idx="307">
                  <c:v>3.319984101844315</c:v>
                </c:pt>
                <c:pt idx="308">
                  <c:v>3.1435096807957565</c:v>
                </c:pt>
                <c:pt idx="309">
                  <c:v>2.9667449407308655</c:v>
                </c:pt>
                <c:pt idx="310">
                  <c:v>2.7897016600150213</c:v>
                </c:pt>
                <c:pt idx="311">
                  <c:v>2.6123929398609196</c:v>
                </c:pt>
                <c:pt idx="312">
                  <c:v>2.4348331610053999</c:v>
                </c:pt>
                <c:pt idx="313">
                  <c:v>2.2570379401435976</c:v>
                </c:pt>
                <c:pt idx="314">
                  <c:v>2.0790240865530802</c:v>
                </c:pt>
                <c:pt idx="315">
                  <c:v>1.9008095593047736</c:v>
                </c:pt>
                <c:pt idx="316">
                  <c:v>1.7224134254135381</c:v>
                </c:pt>
                <c:pt idx="317">
                  <c:v>1.5438558192397724</c:v>
                </c:pt>
                <c:pt idx="318">
                  <c:v>1.3651579034094328</c:v>
                </c:pt>
                <c:pt idx="319">
                  <c:v>1.1863418314787444</c:v>
                </c:pt>
                <c:pt idx="320">
                  <c:v>1.0074307125265034</c:v>
                </c:pt>
                <c:pt idx="321">
                  <c:v>0.82844857781745596</c:v>
                </c:pt>
                <c:pt idx="322">
                  <c:v>0.6494203496408435</c:v>
                </c:pt>
                <c:pt idx="323">
                  <c:v>0.47037181238895948</c:v>
                </c:pt>
                <c:pt idx="324">
                  <c:v>0.29132958590661795</c:v>
                </c:pt>
                <c:pt idx="325">
                  <c:v>0.1123211011084335</c:v>
                </c:pt>
                <c:pt idx="326">
                  <c:v>-6.6625422172017473E-2</c:v>
                </c:pt>
                <c:pt idx="327">
                  <c:v>-0.24548099516672198</c:v>
                </c:pt>
                <c:pt idx="328">
                  <c:v>-0.42421587808276923</c:v>
                </c:pt>
                <c:pt idx="329">
                  <c:v>-0.60279959605712796</c:v>
                </c:pt>
                <c:pt idx="330">
                  <c:v>-0.78120095329552042</c:v>
                </c:pt>
                <c:pt idx="331">
                  <c:v>-0.9593880455618673</c:v>
                </c:pt>
                <c:pt idx="332">
                  <c:v>-1.137328271199241</c:v>
                </c:pt>
                <c:pt idx="333">
                  <c:v>-1.314988340884413</c:v>
                </c:pt>
                <c:pt idx="334">
                  <c:v>-1.4923342863318354</c:v>
                </c:pt>
                <c:pt idx="335">
                  <c:v>-1.6693314681812468</c:v>
                </c:pt>
                <c:pt idx="336">
                  <c:v>-1.8459445833102961</c:v>
                </c:pt>
                <c:pt idx="337">
                  <c:v>-2.0221376718323407</c:v>
                </c:pt>
                <c:pt idx="338">
                  <c:v>-2.1978741240424848</c:v>
                </c:pt>
                <c:pt idx="339">
                  <c:v>-2.3731166875886793</c:v>
                </c:pt>
                <c:pt idx="340">
                  <c:v>-2.5478274751497714</c:v>
                </c:pt>
                <c:pt idx="341">
                  <c:v>-2.721967972907684</c:v>
                </c:pt>
                <c:pt idx="342">
                  <c:v>-2.8954990501069258</c:v>
                </c:pt>
                <c:pt idx="343">
                  <c:v>-3.0683809699951792</c:v>
                </c:pt>
                <c:pt idx="344">
                  <c:v>-3.2405734024419859</c:v>
                </c:pt>
                <c:pt idx="345">
                  <c:v>-3.4120354385297693</c:v>
                </c:pt>
                <c:pt idx="346">
                  <c:v>-3.5827256074114051</c:v>
                </c:pt>
                <c:pt idx="347">
                  <c:v>-3.7526018957213854</c:v>
                </c:pt>
                <c:pt idx="348">
                  <c:v>-3.9216217698240663</c:v>
                </c:pt>
                <c:pt idx="349">
                  <c:v>-4.0897422011708873</c:v>
                </c:pt>
                <c:pt idx="350">
                  <c:v>-4.2569196950303647</c:v>
                </c:pt>
                <c:pt idx="351">
                  <c:v>-4.4231103228374096</c:v>
                </c:pt>
                <c:pt idx="352">
                  <c:v>-4.5882697583957839</c:v>
                </c:pt>
                <c:pt idx="353">
                  <c:v>-4.7523533181444773</c:v>
                </c:pt>
                <c:pt idx="354">
                  <c:v>-4.9153160056800456</c:v>
                </c:pt>
                <c:pt idx="355">
                  <c:v>-5.0771125606983594</c:v>
                </c:pt>
                <c:pt idx="356">
                  <c:v>-5.2376975124920557</c:v>
                </c:pt>
                <c:pt idx="357">
                  <c:v>-5.3970252381078296</c:v>
                </c:pt>
                <c:pt idx="358">
                  <c:v>-5.5550500252319202</c:v>
                </c:pt>
                <c:pt idx="359">
                  <c:v>-5.7117261398340746</c:v>
                </c:pt>
                <c:pt idx="360">
                  <c:v>-5.8670078985584393</c:v>
                </c:pt>
                <c:pt idx="361">
                  <c:v>-6.0208497458046706</c:v>
                </c:pt>
                <c:pt idx="362">
                  <c:v>-6.1732063353949549</c:v>
                </c:pt>
                <c:pt idx="363">
                  <c:v>-6.3240326166756518</c:v>
                </c:pt>
                <c:pt idx="364">
                  <c:v>-6.4732839248444556</c:v>
                </c:pt>
                <c:pt idx="365">
                  <c:v>-6.620916075246873</c:v>
                </c:pt>
                <c:pt idx="366">
                  <c:v>-6.7668854613269955</c:v>
                </c:pt>
                <c:pt idx="367">
                  <c:v>-6.9111491558632077</c:v>
                </c:pt>
                <c:pt idx="368">
                  <c:v>-7.0536650150672813</c:v>
                </c:pt>
                <c:pt idx="369">
                  <c:v>-7.1943917850674275</c:v>
                </c:pt>
                <c:pt idx="370">
                  <c:v>-7.3332892102476146</c:v>
                </c:pt>
                <c:pt idx="371">
                  <c:v>-7.4703181428646834</c:v>
                </c:pt>
                <c:pt idx="372">
                  <c:v>-7.6054406533190981</c:v>
                </c:pt>
                <c:pt idx="373">
                  <c:v>-7.7386201404139072</c:v>
                </c:pt>
                <c:pt idx="374">
                  <c:v>-7.8698214409034861</c:v>
                </c:pt>
                <c:pt idx="375">
                  <c:v>-7.9990109375988983</c:v>
                </c:pt>
                <c:pt idx="376">
                  <c:v>-8.1261566652795985</c:v>
                </c:pt>
                <c:pt idx="377">
                  <c:v>-8.251228413644645</c:v>
                </c:pt>
                <c:pt idx="378">
                  <c:v>-8.3741978265284196</c:v>
                </c:pt>
                <c:pt idx="379">
                  <c:v>-8.4950384966129917</c:v>
                </c:pt>
                <c:pt idx="380">
                  <c:v>-8.6137260548776062</c:v>
                </c:pt>
                <c:pt idx="381">
                  <c:v>-8.7302382540495245</c:v>
                </c:pt>
                <c:pt idx="382">
                  <c:v>-8.8445550453523527</c:v>
                </c:pt>
                <c:pt idx="383">
                  <c:v>-8.956658647887199</c:v>
                </c:pt>
                <c:pt idx="384">
                  <c:v>-9.0665336100341634</c:v>
                </c:pt>
                <c:pt idx="385">
                  <c:v>-9.174166862319316</c:v>
                </c:pt>
                <c:pt idx="386">
                  <c:v>-9.2795477612607264</c:v>
                </c:pt>
                <c:pt idx="387">
                  <c:v>-9.3826681237794158</c:v>
                </c:pt>
                <c:pt idx="388">
                  <c:v>-9.4835222518443381</c:v>
                </c:pt>
                <c:pt idx="389">
                  <c:v>-9.5821069471023019</c:v>
                </c:pt>
                <c:pt idx="390">
                  <c:v>-9.6784215153369999</c:v>
                </c:pt>
                <c:pt idx="391">
                  <c:v>-9.7724677606907449</c:v>
                </c:pt>
                <c:pt idx="392">
                  <c:v>-9.864249969674189</c:v>
                </c:pt>
                <c:pt idx="393">
                  <c:v>-9.9537748850848669</c:v>
                </c:pt>
                <c:pt idx="394">
                  <c:v>-10.041051670042563</c:v>
                </c:pt>
                <c:pt idx="395">
                  <c:v>-10.126091862440003</c:v>
                </c:pt>
                <c:pt idx="396">
                  <c:v>-10.208909320184906</c:v>
                </c:pt>
                <c:pt idx="397">
                  <c:v>-10.289520157694017</c:v>
                </c:pt>
                <c:pt idx="398">
                  <c:v>-10.367942674162009</c:v>
                </c:pt>
                <c:pt idx="399">
                  <c:v>-10.444197274197274</c:v>
                </c:pt>
                <c:pt idx="400">
                  <c:v>-10.518306381465155</c:v>
                </c:pt>
                <c:pt idx="401">
                  <c:v>-10.590294346029378</c:v>
                </c:pt>
                <c:pt idx="402">
                  <c:v>-10.660187346113428</c:v>
                </c:pt>
                <c:pt idx="403">
                  <c:v>-10.728013285034432</c:v>
                </c:pt>
                <c:pt idx="404">
                  <c:v>-10.79380168407331</c:v>
                </c:pt>
                <c:pt idx="405">
                  <c:v>-10.857583572057889</c:v>
                </c:pt>
                <c:pt idx="406">
                  <c:v>-10.919391372428404</c:v>
                </c:pt>
                <c:pt idx="407">
                  <c:v>-10.979258788548645</c:v>
                </c:pt>
                <c:pt idx="408">
                  <c:v>-11.037220688004389</c:v>
                </c:pt>
                <c:pt idx="409">
                  <c:v>-11.093312986606932</c:v>
                </c:pt>
                <c:pt idx="410">
                  <c:v>-11.147572532785846</c:v>
                </c:pt>
                <c:pt idx="411">
                  <c:v>-11.200036993018944</c:v>
                </c:pt>
                <c:pt idx="412">
                  <c:v>-11.250744738902814</c:v>
                </c:pt>
                <c:pt idx="413">
                  <c:v>-11.299734736422682</c:v>
                </c:pt>
                <c:pt idx="414">
                  <c:v>-11.34704643792989</c:v>
                </c:pt>
                <c:pt idx="415">
                  <c:v>-11.392719677283353</c:v>
                </c:pt>
                <c:pt idx="416">
                  <c:v>-11.436794568561497</c:v>
                </c:pt>
                <c:pt idx="417">
                  <c:v>-11.479311408694224</c:v>
                </c:pt>
                <c:pt idx="418">
                  <c:v>-11.520310584315194</c:v>
                </c:pt>
                <c:pt idx="419">
                  <c:v>-11.559832483080502</c:v>
                </c:pt>
                <c:pt idx="420">
                  <c:v>-11.597917409651695</c:v>
                </c:pt>
                <c:pt idx="421">
                  <c:v>-11.634605506490965</c:v>
                </c:pt>
                <c:pt idx="422">
                  <c:v>-11.669936679572427</c:v>
                </c:pt>
                <c:pt idx="423">
                  <c:v>-11.703950529069107</c:v>
                </c:pt>
                <c:pt idx="424">
                  <c:v>-11.73668628503637</c:v>
                </c:pt>
                <c:pt idx="425">
                  <c:v>-11.768182748075644</c:v>
                </c:pt>
                <c:pt idx="426">
                  <c:v>-11.798478234929084</c:v>
                </c:pt>
                <c:pt idx="427">
                  <c:v>-11.827610528925272</c:v>
                </c:pt>
                <c:pt idx="428">
                  <c:v>-11.85561683517207</c:v>
                </c:pt>
                <c:pt idx="429">
                  <c:v>-11.882533740366554</c:v>
                </c:pt>
                <c:pt idx="430">
                  <c:v>-11.908397177074505</c:v>
                </c:pt>
                <c:pt idx="431">
                  <c:v>-11.933242392315094</c:v>
                </c:pt>
                <c:pt idx="432">
                  <c:v>-11.957103920271541</c:v>
                </c:pt>
                <c:pt idx="433">
                  <c:v>-11.98001555894006</c:v>
                </c:pt>
                <c:pt idx="434">
                  <c:v>-12.002010350518455</c:v>
                </c:pt>
                <c:pt idx="435">
                  <c:v>-12.023120565333452</c:v>
                </c:pt>
                <c:pt idx="436">
                  <c:v>-12.043377689098802</c:v>
                </c:pt>
                <c:pt idx="437">
                  <c:v>-12.062812413298239</c:v>
                </c:pt>
                <c:pt idx="438">
                  <c:v>-12.081454628484581</c:v>
                </c:pt>
                <c:pt idx="439">
                  <c:v>-12.099333420290685</c:v>
                </c:pt>
                <c:pt idx="440">
                  <c:v>-12.116477067949802</c:v>
                </c:pt>
                <c:pt idx="441">
                  <c:v>-12.13291304512742</c:v>
                </c:pt>
                <c:pt idx="442">
                  <c:v>-12.148668022873645</c:v>
                </c:pt>
                <c:pt idx="443">
                  <c:v>-12.163767874508835</c:v>
                </c:pt>
                <c:pt idx="444">
                  <c:v>-12.178237682265165</c:v>
                </c:pt>
                <c:pt idx="445">
                  <c:v>-12.192101745511994</c:v>
                </c:pt>
                <c:pt idx="446">
                  <c:v>-12.205383590402041</c:v>
                </c:pt>
                <c:pt idx="447">
                  <c:v>-12.218105980783257</c:v>
                </c:pt>
                <c:pt idx="448">
                  <c:v>-12.230290930229907</c:v>
                </c:pt>
                <c:pt idx="449">
                  <c:v>-12.241959715053635</c:v>
                </c:pt>
                <c:pt idx="450">
                  <c:v>-12.253132888166501</c:v>
                </c:pt>
                <c:pt idx="451">
                  <c:v>-12.263830293672422</c:v>
                </c:pt>
                <c:pt idx="452">
                  <c:v>-12.274071082075897</c:v>
                </c:pt>
                <c:pt idx="453">
                  <c:v>-12.283873726000712</c:v>
                </c:pt>
                <c:pt idx="454">
                  <c:v>-12.293256036324019</c:v>
                </c:pt>
                <c:pt idx="455">
                  <c:v>-12.302235178633161</c:v>
                </c:pt>
                <c:pt idx="456">
                  <c:v>-12.31082768992575</c:v>
                </c:pt>
                <c:pt idx="457">
                  <c:v>-12.319049495474658</c:v>
                </c:pt>
                <c:pt idx="458">
                  <c:v>-12.326915925791999</c:v>
                </c:pt>
                <c:pt idx="459">
                  <c:v>-12.334441733626992</c:v>
                </c:pt>
                <c:pt idx="460">
                  <c:v>-12.341641110943231</c:v>
                </c:pt>
                <c:pt idx="461">
                  <c:v>-12.348527705824061</c:v>
                </c:pt>
                <c:pt idx="462">
                  <c:v>-12.355114639258758</c:v>
                </c:pt>
                <c:pt idx="463">
                  <c:v>-12.361414521772131</c:v>
                </c:pt>
                <c:pt idx="464">
                  <c:v>-12.367439469858677</c:v>
                </c:pt>
                <c:pt idx="465">
                  <c:v>-12.373201122191313</c:v>
                </c:pt>
                <c:pt idx="466">
                  <c:v>-12.378710655576061</c:v>
                </c:pt>
                <c:pt idx="467">
                  <c:v>-12.383978800629937</c:v>
                </c:pt>
                <c:pt idx="468">
                  <c:v>-12.389015857160128</c:v>
                </c:pt>
                <c:pt idx="469">
                  <c:v>-12.3938317092283</c:v>
                </c:pt>
                <c:pt idx="470">
                  <c:v>-12.398435839884677</c:v>
                </c:pt>
                <c:pt idx="471">
                  <c:v>-12.402837345560725</c:v>
                </c:pt>
                <c:pt idx="472">
                  <c:v>-12.407044950110556</c:v>
                </c:pt>
                <c:pt idx="473">
                  <c:v>-12.411067018494029</c:v>
                </c:pt>
                <c:pt idx="474">
                  <c:v>-12.414911570096095</c:v>
                </c:pt>
                <c:pt idx="475">
                  <c:v>-12.418586291679446</c:v>
                </c:pt>
                <c:pt idx="476">
                  <c:v>-12.422098549967767</c:v>
                </c:pt>
                <c:pt idx="477">
                  <c:v>-12.425455403860145</c:v>
                </c:pt>
                <c:pt idx="478">
                  <c:v>-12.428663616276758</c:v>
                </c:pt>
                <c:pt idx="479">
                  <c:v>-12.431729665637949</c:v>
                </c:pt>
                <c:pt idx="480">
                  <c:v>-12.434659756980828</c:v>
                </c:pt>
                <c:pt idx="481">
                  <c:v>-12.437459832715499</c:v>
                </c:pt>
                <c:pt idx="482">
                  <c:v>-12.440135583027519</c:v>
                </c:pt>
                <c:pt idx="483">
                  <c:v>-12.442692455929942</c:v>
                </c:pt>
                <c:pt idx="484">
                  <c:v>-12.445135666973826</c:v>
                </c:pt>
                <c:pt idx="485">
                  <c:v>-12.447470208620077</c:v>
                </c:pt>
                <c:pt idx="486">
                  <c:v>-12.449700859282743</c:v>
                </c:pt>
                <c:pt idx="487">
                  <c:v>-12.451832192049441</c:v>
                </c:pt>
                <c:pt idx="488">
                  <c:v>-12.453868583085921</c:v>
                </c:pt>
                <c:pt idx="489">
                  <c:v>-12.455814219734309</c:v>
                </c:pt>
                <c:pt idx="490">
                  <c:v>-12.457673108311312</c:v>
                </c:pt>
                <c:pt idx="491">
                  <c:v>-12.459449081615315</c:v>
                </c:pt>
                <c:pt idx="492">
                  <c:v>-12.461145806149895</c:v>
                </c:pt>
                <c:pt idx="493">
                  <c:v>-12.462766789072608</c:v>
                </c:pt>
                <c:pt idx="494">
                  <c:v>-12.464315384876446</c:v>
                </c:pt>
                <c:pt idx="495">
                  <c:v>-12.465794801813182</c:v>
                </c:pt>
                <c:pt idx="496">
                  <c:v>-12.467208108065142</c:v>
                </c:pt>
                <c:pt idx="497">
                  <c:v>-12.468558237675033</c:v>
                </c:pt>
                <c:pt idx="498">
                  <c:v>-12.469847996241072</c:v>
                </c:pt>
                <c:pt idx="499">
                  <c:v>-12.471080066384665</c:v>
                </c:pt>
                <c:pt idx="500">
                  <c:v>-12.47225701299948</c:v>
                </c:pt>
                <c:pt idx="501">
                  <c:v>-12.473381288288872</c:v>
                </c:pt>
                <c:pt idx="502">
                  <c:v>-12.474455236598622</c:v>
                </c:pt>
                <c:pt idx="503">
                  <c:v>-12.475481099053663</c:v>
                </c:pt>
                <c:pt idx="504">
                  <c:v>-12.476461018003697</c:v>
                </c:pt>
                <c:pt idx="505">
                  <c:v>-12.477397041287944</c:v>
                </c:pt>
                <c:pt idx="506">
                  <c:v>-12.478291126321103</c:v>
                </c:pt>
                <c:pt idx="507">
                  <c:v>-12.479145144012509</c:v>
                </c:pt>
                <c:pt idx="508">
                  <c:v>-12.47996088251983</c:v>
                </c:pt>
                <c:pt idx="509">
                  <c:v>-12.480740050847004</c:v>
                </c:pt>
                <c:pt idx="510">
                  <c:v>-12.481484282291387</c:v>
                </c:pt>
                <c:pt idx="511">
                  <c:v>-12.482195137745382</c:v>
                </c:pt>
                <c:pt idx="512">
                  <c:v>-12.482874108858146</c:v>
                </c:pt>
                <c:pt idx="513">
                  <c:v>-12.483522621064733</c:v>
                </c:pt>
                <c:pt idx="514">
                  <c:v>-12.484142036485263</c:v>
                </c:pt>
                <c:pt idx="515">
                  <c:v>-12.484733656701303</c:v>
                </c:pt>
                <c:pt idx="516">
                  <c:v>-12.485298725413665</c:v>
                </c:pt>
                <c:pt idx="517">
                  <c:v>-12.485838430985856</c:v>
                </c:pt>
                <c:pt idx="518">
                  <c:v>-12.486353908879506</c:v>
                </c:pt>
                <c:pt idx="519">
                  <c:v>-12.486846243983564</c:v>
                </c:pt>
                <c:pt idx="520">
                  <c:v>-12.48731647284438</c:v>
                </c:pt>
                <c:pt idx="521">
                  <c:v>-12.487765585799117</c:v>
                </c:pt>
                <c:pt idx="522">
                  <c:v>-12.488194529016241</c:v>
                </c:pt>
                <c:pt idx="523">
                  <c:v>-12.488604206448503</c:v>
                </c:pt>
                <c:pt idx="524">
                  <c:v>-12.48899548170038</c:v>
                </c:pt>
                <c:pt idx="525">
                  <c:v>-12.489369179814787</c:v>
                </c:pt>
                <c:pt idx="526">
                  <c:v>-12.489726088981723</c:v>
                </c:pt>
                <c:pt idx="527">
                  <c:v>-12.490066962172126</c:v>
                </c:pt>
                <c:pt idx="528">
                  <c:v>-12.490392518700871</c:v>
                </c:pt>
                <c:pt idx="529">
                  <c:v>-12.490703445721071</c:v>
                </c:pt>
                <c:pt idx="530">
                  <c:v>-12.491000399652762</c:v>
                </c:pt>
                <c:pt idx="531">
                  <c:v>-12.491284007549337</c:v>
                </c:pt>
                <c:pt idx="532">
                  <c:v>-12.491554868403574</c:v>
                </c:pt>
                <c:pt idx="533">
                  <c:v>-12.49181355439654</c:v>
                </c:pt>
                <c:pt idx="534">
                  <c:v>-12.492060612091159</c:v>
                </c:pt>
                <c:pt idx="535">
                  <c:v>-12.492296563573781</c:v>
                </c:pt>
                <c:pt idx="536">
                  <c:v>-12.492521907544688</c:v>
                </c:pt>
                <c:pt idx="537">
                  <c:v>-12.492737120361051</c:v>
                </c:pt>
                <c:pt idx="538">
                  <c:v>-12.492942657033501</c:v>
                </c:pt>
                <c:pt idx="539">
                  <c:v>-12.493138952178784</c:v>
                </c:pt>
                <c:pt idx="540">
                  <c:v>-12.493326420929948</c:v>
                </c:pt>
                <c:pt idx="541">
                  <c:v>-12.493505459806881</c:v>
                </c:pt>
              </c:numCache>
            </c:numRef>
          </c:yVal>
          <c:smooth val="1"/>
          <c:extLst>
            <c:ext xmlns:c16="http://schemas.microsoft.com/office/drawing/2014/chart" uri="{C3380CC4-5D6E-409C-BE32-E72D297353CC}">
              <c16:uniqueId val="{00000000-79CC-43C6-9415-C1FDEEB8D57B}"/>
            </c:ext>
          </c:extLst>
        </c:ser>
        <c:dLbls>
          <c:showLegendKey val="0"/>
          <c:showVal val="0"/>
          <c:showCatName val="0"/>
          <c:showSerName val="0"/>
          <c:showPercent val="0"/>
          <c:showBubbleSize val="0"/>
        </c:dLbls>
        <c:axId val="555344640"/>
        <c:axId val="555346560"/>
      </c:scatterChart>
      <c:scatterChart>
        <c:scatterStyle val="smoothMarker"/>
        <c:varyColors val="0"/>
        <c:ser>
          <c:idx val="1"/>
          <c:order val="1"/>
          <c:spPr>
            <a:ln w="38100">
              <a:solidFill>
                <a:schemeClr val="tx1">
                  <a:lumMod val="95000"/>
                  <a:lumOff val="5000"/>
                </a:schemeClr>
              </a:solidFill>
              <a:prstDash val="sysDash"/>
            </a:ln>
          </c:spPr>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Control_Loop_Tables!$BJ$19:$BJ$560</c:f>
              <c:numCache>
                <c:formatCode>General</c:formatCode>
                <c:ptCount val="542"/>
                <c:pt idx="0">
                  <c:v>93.53390079792554</c:v>
                </c:pt>
                <c:pt idx="1">
                  <c:v>93.615440442601923</c:v>
                </c:pt>
                <c:pt idx="2">
                  <c:v>93.698824389070921</c:v>
                </c:pt>
                <c:pt idx="3">
                  <c:v>93.784091718812718</c:v>
                </c:pt>
                <c:pt idx="4">
                  <c:v>93.871282153010142</c:v>
                </c:pt>
                <c:pt idx="5">
                  <c:v>93.960436048898941</c:v>
                </c:pt>
                <c:pt idx="6">
                  <c:v>94.051594394802677</c:v>
                </c:pt>
                <c:pt idx="7">
                  <c:v>94.144798803742674</c:v>
                </c:pt>
                <c:pt idx="8">
                  <c:v>94.240091505511458</c:v>
                </c:pt>
                <c:pt idx="9">
                  <c:v>94.337515337086316</c:v>
                </c:pt>
                <c:pt idx="10">
                  <c:v>94.437113731255465</c:v>
                </c:pt>
                <c:pt idx="11">
                  <c:v>94.538930703320773</c:v>
                </c:pt>
                <c:pt idx="12">
                  <c:v>94.643010835732326</c:v>
                </c:pt>
                <c:pt idx="13">
                  <c:v>94.749399260502329</c:v>
                </c:pt>
                <c:pt idx="14">
                  <c:v>94.858141639238198</c:v>
                </c:pt>
                <c:pt idx="15">
                  <c:v>94.969284140624438</c:v>
                </c:pt>
                <c:pt idx="16">
                  <c:v>95.082873415173594</c:v>
                </c:pt>
                <c:pt idx="17">
                  <c:v>95.198956567059113</c:v>
                </c:pt>
                <c:pt idx="18">
                  <c:v>95.317581122831513</c:v>
                </c:pt>
                <c:pt idx="19">
                  <c:v>95.438794996809378</c:v>
                </c:pt>
                <c:pt idx="20">
                  <c:v>95.562646452928078</c:v>
                </c:pt>
                <c:pt idx="21">
                  <c:v>95.689184062817077</c:v>
                </c:pt>
                <c:pt idx="22">
                  <c:v>95.818456659868218</c:v>
                </c:pt>
                <c:pt idx="23">
                  <c:v>95.950513289046029</c:v>
                </c:pt>
                <c:pt idx="24">
                  <c:v>96.085403152180064</c:v>
                </c:pt>
                <c:pt idx="25">
                  <c:v>96.223175548472128</c:v>
                </c:pt>
                <c:pt idx="26">
                  <c:v>96.363879809936819</c:v>
                </c:pt>
                <c:pt idx="27">
                  <c:v>96.507565231488385</c:v>
                </c:pt>
                <c:pt idx="28">
                  <c:v>96.654280995375174</c:v>
                </c:pt>
                <c:pt idx="29">
                  <c:v>96.804076089654785</c:v>
                </c:pt>
                <c:pt idx="30">
                  <c:v>96.956999220394991</c:v>
                </c:pt>
                <c:pt idx="31">
                  <c:v>97.113098717279598</c:v>
                </c:pt>
                <c:pt idx="32">
                  <c:v>97.272422432288721</c:v>
                </c:pt>
                <c:pt idx="33">
                  <c:v>97.435017631123102</c:v>
                </c:pt>
                <c:pt idx="34">
                  <c:v>97.600930877033335</c:v>
                </c:pt>
                <c:pt idx="35">
                  <c:v>97.770207906716649</c:v>
                </c:pt>
                <c:pt idx="36">
                  <c:v>97.94289349794262</c:v>
                </c:pt>
                <c:pt idx="37">
                  <c:v>98.119031328570941</c:v>
                </c:pt>
                <c:pt idx="38">
                  <c:v>98.29866382662928</c:v>
                </c:pt>
                <c:pt idx="39">
                  <c:v>98.481832011128233</c:v>
                </c:pt>
                <c:pt idx="40">
                  <c:v>98.668575323298825</c:v>
                </c:pt>
                <c:pt idx="41">
                  <c:v>98.858931447952301</c:v>
                </c:pt>
                <c:pt idx="42">
                  <c:v>99.052936124683811</c:v>
                </c:pt>
                <c:pt idx="43">
                  <c:v>99.250622948656655</c:v>
                </c:pt>
                <c:pt idx="44">
                  <c:v>99.452023160739671</c:v>
                </c:pt>
                <c:pt idx="45">
                  <c:v>99.657165426794577</c:v>
                </c:pt>
                <c:pt idx="46">
                  <c:v>99.866075605953128</c:v>
                </c:pt>
                <c:pt idx="47">
                  <c:v>100.07877650776545</c:v>
                </c:pt>
                <c:pt idx="48">
                  <c:v>100.29528763815151</c:v>
                </c:pt>
                <c:pt idx="49">
                  <c:v>100.51562493414612</c:v>
                </c:pt>
                <c:pt idx="50">
                  <c:v>100.73980048749071</c:v>
                </c:pt>
                <c:pt idx="51">
                  <c:v>100.96782225719764</c:v>
                </c:pt>
                <c:pt idx="52">
                  <c:v>101.19969377129438</c:v>
                </c:pt>
                <c:pt idx="53">
                  <c:v>101.43541381804468</c:v>
                </c:pt>
                <c:pt idx="54">
                  <c:v>101.67497612703585</c:v>
                </c:pt>
                <c:pt idx="55">
                  <c:v>101.91836904063507</c:v>
                </c:pt>
                <c:pt idx="56">
                  <c:v>102.16557517642696</c:v>
                </c:pt>
                <c:pt idx="57">
                  <c:v>102.41657108137433</c:v>
                </c:pt>
                <c:pt idx="58">
                  <c:v>102.67132687856974</c:v>
                </c:pt>
                <c:pt idx="59">
                  <c:v>102.92980590759622</c:v>
                </c:pt>
                <c:pt idx="60">
                  <c:v>103.19196435965875</c:v>
                </c:pt>
                <c:pt idx="61">
                  <c:v>103.45775090880596</c:v>
                </c:pt>
                <c:pt idx="62">
                  <c:v>103.72710634073373</c:v>
                </c:pt>
                <c:pt idx="63">
                  <c:v>103.99996318081772</c:v>
                </c:pt>
                <c:pt idx="64">
                  <c:v>104.27624532321448</c:v>
                </c:pt>
                <c:pt idx="65">
                  <c:v>104.55586766303097</c:v>
                </c:pt>
                <c:pt idx="66">
                  <c:v>104.83873573375716</c:v>
                </c:pt>
                <c:pt idx="67">
                  <c:v>105.12474535232546</c:v>
                </c:pt>
                <c:pt idx="68">
                  <c:v>105.41378227433762</c:v>
                </c:pt>
                <c:pt idx="69">
                  <c:v>105.70572186217809</c:v>
                </c:pt>
                <c:pt idx="70">
                  <c:v>106.00042876888718</c:v>
                </c:pt>
                <c:pt idx="71">
                  <c:v>106.29775664082509</c:v>
                </c:pt>
                <c:pt idx="72">
                  <c:v>106.59754784229442</c:v>
                </c:pt>
                <c:pt idx="73">
                  <c:v>106.8996332054128</c:v>
                </c:pt>
                <c:pt idx="74">
                  <c:v>107.20383180862338</c:v>
                </c:pt>
                <c:pt idx="75">
                  <c:v>107.50995078731472</c:v>
                </c:pt>
                <c:pt idx="76">
                  <c:v>107.81778518006253</c:v>
                </c:pt>
                <c:pt idx="77">
                  <c:v>108.12711781403414</c:v>
                </c:pt>
                <c:pt idx="78">
                  <c:v>108.43771923307007</c:v>
                </c:pt>
                <c:pt idx="79">
                  <c:v>108.749347671915</c:v>
                </c:pt>
                <c:pt idx="80">
                  <c:v>109.06174907996711</c:v>
                </c:pt>
                <c:pt idx="81">
                  <c:v>109.37465719778662</c:v>
                </c:pt>
                <c:pt idx="82">
                  <c:v>109.68779368942235</c:v>
                </c:pt>
                <c:pt idx="83">
                  <c:v>110.0008683333879</c:v>
                </c:pt>
                <c:pt idx="84">
                  <c:v>110.31357927484787</c:v>
                </c:pt>
                <c:pt idx="85">
                  <c:v>110.62561334125976</c:v>
                </c:pt>
                <c:pt idx="86">
                  <c:v>110.93664642335168</c:v>
                </c:pt>
                <c:pt idx="87">
                  <c:v>111.24634392290682</c:v>
                </c:pt>
                <c:pt idx="88">
                  <c:v>111.5543612683834</c:v>
                </c:pt>
                <c:pt idx="89">
                  <c:v>111.86034449891179</c:v>
                </c:pt>
                <c:pt idx="90">
                  <c:v>112.16393091669205</c:v>
                </c:pt>
                <c:pt idx="91">
                  <c:v>112.4647498072716</c:v>
                </c:pt>
                <c:pt idx="92">
                  <c:v>112.76242322661227</c:v>
                </c:pt>
                <c:pt idx="93">
                  <c:v>113.05656685328475</c:v>
                </c:pt>
                <c:pt idx="94">
                  <c:v>113.34679090352282</c:v>
                </c:pt>
                <c:pt idx="95">
                  <c:v>113.6327011063006</c:v>
                </c:pt>
                <c:pt idx="96">
                  <c:v>113.91389973499497</c:v>
                </c:pt>
                <c:pt idx="97">
                  <c:v>114.18998669165128</c:v>
                </c:pt>
                <c:pt idx="98">
                  <c:v>114.4605606393142</c:v>
                </c:pt>
                <c:pt idx="99">
                  <c:v>114.72522017738847</c:v>
                </c:pt>
                <c:pt idx="100">
                  <c:v>114.98356505451663</c:v>
                </c:pt>
                <c:pt idx="101">
                  <c:v>115.23519741305067</c:v>
                </c:pt>
                <c:pt idx="102">
                  <c:v>115.47972305880957</c:v>
                </c:pt>
                <c:pt idx="103">
                  <c:v>115.71675274951421</c:v>
                </c:pt>
                <c:pt idx="104">
                  <c:v>115.945903495024</c:v>
                </c:pt>
                <c:pt idx="105">
                  <c:v>116.16679986232488</c:v>
                </c:pt>
                <c:pt idx="106">
                  <c:v>116.37907527807691</c:v>
                </c:pt>
                <c:pt idx="107">
                  <c:v>116.58237332148769</c:v>
                </c:pt>
                <c:pt idx="108">
                  <c:v>116.77634900026386</c:v>
                </c:pt>
                <c:pt idx="109">
                  <c:v>116.96067000247483</c:v>
                </c:pt>
                <c:pt idx="110">
                  <c:v>117.13501791728109</c:v>
                </c:pt>
                <c:pt idx="111">
                  <c:v>117.29908941767046</c:v>
                </c:pt>
                <c:pt idx="112">
                  <c:v>117.45259739857107</c:v>
                </c:pt>
                <c:pt idx="113">
                  <c:v>117.59527206399937</c:v>
                </c:pt>
                <c:pt idx="114">
                  <c:v>117.72686195722315</c:v>
                </c:pt>
                <c:pt idx="115">
                  <c:v>117.84713492827483</c:v>
                </c:pt>
                <c:pt idx="116">
                  <c:v>117.95587903354486</c:v>
                </c:pt>
                <c:pt idx="117">
                  <c:v>118.05290336259976</c:v>
                </c:pt>
                <c:pt idx="118">
                  <c:v>118.1380387878004</c:v>
                </c:pt>
                <c:pt idx="119">
                  <c:v>118.21113863275565</c:v>
                </c:pt>
                <c:pt idx="120">
                  <c:v>118.27207925610078</c:v>
                </c:pt>
                <c:pt idx="121">
                  <c:v>118.3207605475676</c:v>
                </c:pt>
                <c:pt idx="122">
                  <c:v>118.35710633379068</c:v>
                </c:pt>
                <c:pt idx="123">
                  <c:v>118.38106469177301</c:v>
                </c:pt>
                <c:pt idx="124">
                  <c:v>118.39260816841657</c:v>
                </c:pt>
                <c:pt idx="125">
                  <c:v>118.39173390501249</c:v>
                </c:pt>
                <c:pt idx="126">
                  <c:v>118.3784636660628</c:v>
                </c:pt>
                <c:pt idx="127">
                  <c:v>118.35284377229927</c:v>
                </c:pt>
                <c:pt idx="128">
                  <c:v>118.31494493823863</c:v>
                </c:pt>
                <c:pt idx="129">
                  <c:v>118.26486201511156</c:v>
                </c:pt>
                <c:pt idx="130">
                  <c:v>118.20271364047119</c:v>
                </c:pt>
                <c:pt idx="131">
                  <c:v>118.12864179628696</c:v>
                </c:pt>
                <c:pt idx="132">
                  <c:v>118.04281127780001</c:v>
                </c:pt>
                <c:pt idx="133">
                  <c:v>117.94540907589894</c:v>
                </c:pt>
                <c:pt idx="134">
                  <c:v>117.8366436762572</c:v>
                </c:pt>
                <c:pt idx="135">
                  <c:v>117.71674427892607</c:v>
                </c:pt>
                <c:pt idx="136">
                  <c:v>117.58595994255546</c:v>
                </c:pt>
                <c:pt idx="137">
                  <c:v>117.44455865784046</c:v>
                </c:pt>
                <c:pt idx="138">
                  <c:v>117.2928263552338</c:v>
                </c:pt>
                <c:pt idx="139">
                  <c:v>117.13106585235614</c:v>
                </c:pt>
                <c:pt idx="140">
                  <c:v>116.95959574692905</c:v>
                </c:pt>
                <c:pt idx="141">
                  <c:v>116.77874926137984</c:v>
                </c:pt>
                <c:pt idx="142">
                  <c:v>116.58887304558893</c:v>
                </c:pt>
                <c:pt idx="143">
                  <c:v>116.3903259445068</c:v>
                </c:pt>
                <c:pt idx="144">
                  <c:v>116.18347773757785</c:v>
                </c:pt>
                <c:pt idx="145">
                  <c:v>115.96870785707021</c:v>
                </c:pt>
                <c:pt idx="146">
                  <c:v>115.74640409250921</c:v>
                </c:pt>
                <c:pt idx="147">
                  <c:v>115.51696128846017</c:v>
                </c:pt>
                <c:pt idx="148">
                  <c:v>115.28078004286449</c:v>
                </c:pt>
                <c:pt idx="149">
                  <c:v>115.03826541306981</c:v>
                </c:pt>
                <c:pt idx="150">
                  <c:v>114.78982563651375</c:v>
                </c:pt>
                <c:pt idx="151">
                  <c:v>114.53587087282493</c:v>
                </c:pt>
                <c:pt idx="152">
                  <c:v>114.27681197380868</c:v>
                </c:pt>
                <c:pt idx="153">
                  <c:v>114.01305928745494</c:v>
                </c:pt>
                <c:pt idx="154">
                  <c:v>113.74502150170363</c:v>
                </c:pt>
                <c:pt idx="155">
                  <c:v>113.4731045332647</c:v>
                </c:pt>
                <c:pt idx="156">
                  <c:v>113.19771046629508</c:v>
                </c:pt>
                <c:pt idx="157">
                  <c:v>112.91923654522346</c:v>
                </c:pt>
                <c:pt idx="158">
                  <c:v>112.63807422544299</c:v>
                </c:pt>
                <c:pt idx="159">
                  <c:v>112.3546082850394</c:v>
                </c:pt>
                <c:pt idx="160">
                  <c:v>112.06921600011387</c:v>
                </c:pt>
                <c:pt idx="161">
                  <c:v>111.78226638569022</c:v>
                </c:pt>
                <c:pt idx="162">
                  <c:v>111.49411950358677</c:v>
                </c:pt>
                <c:pt idx="163">
                  <c:v>111.20512583807239</c:v>
                </c:pt>
                <c:pt idx="164">
                  <c:v>110.91562573955696</c:v>
                </c:pt>
                <c:pt idx="165">
                  <c:v>110.6259489360335</c:v>
                </c:pt>
                <c:pt idx="166">
                  <c:v>110.3364141114828</c:v>
                </c:pt>
                <c:pt idx="167">
                  <c:v>110.04732854997934</c:v>
                </c:pt>
                <c:pt idx="168">
                  <c:v>109.75898784380853</c:v>
                </c:pt>
                <c:pt idx="169">
                  <c:v>109.47167566350885</c:v>
                </c:pt>
                <c:pt idx="170">
                  <c:v>109.18566358741047</c:v>
                </c:pt>
                <c:pt idx="171">
                  <c:v>108.90121098794049</c:v>
                </c:pt>
                <c:pt idx="172">
                  <c:v>108.61856497171171</c:v>
                </c:pt>
                <c:pt idx="173">
                  <c:v>108.33796037019748</c:v>
                </c:pt>
                <c:pt idx="174">
                  <c:v>108.05961977764201</c:v>
                </c:pt>
                <c:pt idx="175">
                  <c:v>107.78375363272247</c:v>
                </c:pt>
                <c:pt idx="176">
                  <c:v>107.51056034041342</c:v>
                </c:pt>
                <c:pt idx="177">
                  <c:v>107.2402264304538</c:v>
                </c:pt>
                <c:pt idx="178">
                  <c:v>106.97292674882011</c:v>
                </c:pt>
                <c:pt idx="179">
                  <c:v>106.70882467862967</c:v>
                </c:pt>
                <c:pt idx="180">
                  <c:v>106.44807238696795</c:v>
                </c:pt>
                <c:pt idx="181">
                  <c:v>106.19081109420362</c:v>
                </c:pt>
                <c:pt idx="182">
                  <c:v>105.93717136247137</c:v>
                </c:pt>
                <c:pt idx="183">
                  <c:v>105.68727340012661</c:v>
                </c:pt>
                <c:pt idx="184">
                  <c:v>105.44122737910789</c:v>
                </c:pt>
                <c:pt idx="185">
                  <c:v>105.19913376231297</c:v>
                </c:pt>
                <c:pt idx="186">
                  <c:v>104.96108363823781</c:v>
                </c:pt>
                <c:pt idx="187">
                  <c:v>104.72715906031296</c:v>
                </c:pt>
                <c:pt idx="188">
                  <c:v>104.49743338853625</c:v>
                </c:pt>
                <c:pt idx="189">
                  <c:v>104.27197163117857</c:v>
                </c:pt>
                <c:pt idx="190">
                  <c:v>104.05083078451644</c:v>
                </c:pt>
                <c:pt idx="191">
                  <c:v>103.83406016871042</c:v>
                </c:pt>
                <c:pt idx="192">
                  <c:v>103.62170175812935</c:v>
                </c:pt>
                <c:pt idx="193">
                  <c:v>103.4137905045738</c:v>
                </c:pt>
                <c:pt idx="194">
                  <c:v>103.21035465201577</c:v>
                </c:pt>
                <c:pt idx="195">
                  <c:v>103.01141604162065</c:v>
                </c:pt>
                <c:pt idx="196">
                  <c:v>102.81699040596729</c:v>
                </c:pt>
                <c:pt idx="197">
                  <c:v>102.62708765150734</c:v>
                </c:pt>
                <c:pt idx="198">
                  <c:v>102.44171212844462</c:v>
                </c:pt>
                <c:pt idx="199">
                  <c:v>102.26086288732959</c:v>
                </c:pt>
                <c:pt idx="200">
                  <c:v>102.08453392177383</c:v>
                </c:pt>
                <c:pt idx="201">
                  <c:v>101.91271439680021</c:v>
                </c:pt>
                <c:pt idx="202">
                  <c:v>101.74538886243433</c:v>
                </c:pt>
                <c:pt idx="203">
                  <c:v>101.58253745223494</c:v>
                </c:pt>
                <c:pt idx="204">
                  <c:v>101.42413606654425</c:v>
                </c:pt>
                <c:pt idx="205">
                  <c:v>101.27015654031021</c:v>
                </c:pt>
                <c:pt idx="206">
                  <c:v>101.1205667954118</c:v>
                </c:pt>
                <c:pt idx="207">
                  <c:v>100.97533097747392</c:v>
                </c:pt>
                <c:pt idx="208">
                  <c:v>100.83440957722497</c:v>
                </c:pt>
                <c:pt idx="209">
                  <c:v>100.69775953650813</c:v>
                </c:pt>
                <c:pt idx="210">
                  <c:v>100.56533433910478</c:v>
                </c:pt>
                <c:pt idx="211">
                  <c:v>100.43708408658857</c:v>
                </c:pt>
                <c:pt idx="212">
                  <c:v>100.31295555947032</c:v>
                </c:pt>
                <c:pt idx="213">
                  <c:v>100.1928922639502</c:v>
                </c:pt>
                <c:pt idx="214">
                  <c:v>100.0768344646328</c:v>
                </c:pt>
                <c:pt idx="215">
                  <c:v>99.964719203618699</c:v>
                </c:pt>
                <c:pt idx="216">
                  <c:v>99.856480306429575</c:v>
                </c:pt>
                <c:pt idx="217">
                  <c:v>99.752048375275706</c:v>
                </c:pt>
                <c:pt idx="218">
                  <c:v>99.651350770227126</c:v>
                </c:pt>
                <c:pt idx="219">
                  <c:v>99.554311578908838</c:v>
                </c:pt>
                <c:pt idx="220">
                  <c:v>99.46085157539008</c:v>
                </c:pt>
                <c:pt idx="221">
                  <c:v>99.3708881690076</c:v>
                </c:pt>
                <c:pt idx="222">
                  <c:v>99.284335343922351</c:v>
                </c:pt>
                <c:pt idx="223">
                  <c:v>99.201103590278095</c:v>
                </c:pt>
                <c:pt idx="224">
                  <c:v>99.121099827903436</c:v>
                </c:pt>
                <c:pt idx="225">
                  <c:v>99.04422732357223</c:v>
                </c:pt>
                <c:pt idx="226">
                  <c:v>98.97038560292124</c:v>
                </c:pt>
                <c:pt idx="227">
                  <c:v>98.899470358200318</c:v>
                </c:pt>
                <c:pt idx="228">
                  <c:v>98.831373353119744</c:v>
                </c:pt>
                <c:pt idx="229">
                  <c:v>98.765982326145377</c:v>
                </c:pt>
                <c:pt idx="230">
                  <c:v>98.703180893685683</c:v>
                </c:pt>
                <c:pt idx="231">
                  <c:v>98.642848454693521</c:v>
                </c:pt>
                <c:pt idx="232">
                  <c:v>98.584860098309534</c:v>
                </c:pt>
                <c:pt idx="233">
                  <c:v>98.529086516248555</c:v>
                </c:pt>
                <c:pt idx="234">
                  <c:v>98.475393921723594</c:v>
                </c:pt>
                <c:pt idx="235">
                  <c:v>98.423643976770293</c:v>
                </c:pt>
                <c:pt idx="236">
                  <c:v>98.373693729921143</c:v>
                </c:pt>
                <c:pt idx="237">
                  <c:v>98.325395566224984</c:v>
                </c:pt>
                <c:pt idx="238">
                  <c:v>98.278597171670327</c:v>
                </c:pt>
                <c:pt idx="239">
                  <c:v>98.233141514103593</c:v>
                </c:pt>
                <c:pt idx="240">
                  <c:v>98.188866842751594</c:v>
                </c:pt>
                <c:pt idx="241">
                  <c:v>98.145606708466289</c:v>
                </c:pt>
                <c:pt idx="242">
                  <c:v>98.103190006779968</c:v>
                </c:pt>
                <c:pt idx="243">
                  <c:v>98.061441045825646</c:v>
                </c:pt>
                <c:pt idx="244">
                  <c:v>98.020179641092199</c:v>
                </c:pt>
                <c:pt idx="245">
                  <c:v>97.979221238897082</c:v>
                </c:pt>
                <c:pt idx="246">
                  <c:v>97.93837707031571</c:v>
                </c:pt>
                <c:pt idx="247">
                  <c:v>97.897454337143017</c:v>
                </c:pt>
                <c:pt idx="248">
                  <c:v>97.856256431265152</c:v>
                </c:pt>
                <c:pt idx="249">
                  <c:v>97.814583188575284</c:v>
                </c:pt>
                <c:pt idx="250">
                  <c:v>97.772231178297801</c:v>
                </c:pt>
                <c:pt idx="251">
                  <c:v>97.728994028271501</c:v>
                </c:pt>
                <c:pt idx="252">
                  <c:v>97.684662786399414</c:v>
                </c:pt>
                <c:pt idx="253">
                  <c:v>97.639026318091922</c:v>
                </c:pt>
                <c:pt idx="254">
                  <c:v>97.591871739119057</c:v>
                </c:pt>
                <c:pt idx="255">
                  <c:v>97.54298488285086</c:v>
                </c:pt>
                <c:pt idx="256">
                  <c:v>97.492150800410968</c:v>
                </c:pt>
                <c:pt idx="257">
                  <c:v>97.439154291780682</c:v>
                </c:pt>
                <c:pt idx="258">
                  <c:v>97.383780465416606</c:v>
                </c:pt>
                <c:pt idx="259">
                  <c:v>97.325815323447316</c:v>
                </c:pt>
                <c:pt idx="260">
                  <c:v>97.265046369035701</c:v>
                </c:pt>
                <c:pt idx="261">
                  <c:v>97.201263232017254</c:v>
                </c:pt>
                <c:pt idx="262">
                  <c:v>97.134258308486523</c:v>
                </c:pt>
                <c:pt idx="263">
                  <c:v>97.063827409578948</c:v>
                </c:pt>
                <c:pt idx="264">
                  <c:v>96.989770414337528</c:v>
                </c:pt>
                <c:pt idx="265">
                  <c:v>96.911891921218682</c:v>
                </c:pt>
                <c:pt idx="266">
                  <c:v>96.830001892545368</c:v>
                </c:pt>
                <c:pt idx="267">
                  <c:v>96.74391628601991</c:v>
                </c:pt>
                <c:pt idx="268">
                  <c:v>96.653457667294134</c:v>
                </c:pt>
                <c:pt idx="269">
                  <c:v>96.558455797568811</c:v>
                </c:pt>
                <c:pt idx="270">
                  <c:v>96.458748190246752</c:v>
                </c:pt>
                <c:pt idx="271">
                  <c:v>96.354180630806098</c:v>
                </c:pt>
                <c:pt idx="272">
                  <c:v>96.24460765431084</c:v>
                </c:pt>
                <c:pt idx="273">
                  <c:v>96.12989297528361</c:v>
                </c:pt>
                <c:pt idx="274">
                  <c:v>96.00990986510152</c:v>
                </c:pt>
                <c:pt idx="275">
                  <c:v>95.884541472552414</c:v>
                </c:pt>
                <c:pt idx="276">
                  <c:v>95.753681083781046</c:v>
                </c:pt>
                <c:pt idx="277">
                  <c:v>95.617232318478656</c:v>
                </c:pt>
                <c:pt idx="278">
                  <c:v>95.475109259875495</c:v>
                </c:pt>
                <c:pt idx="279">
                  <c:v>95.327236516833452</c:v>
                </c:pt>
                <c:pt idx="280">
                  <c:v>95.173549217106867</c:v>
                </c:pt>
                <c:pt idx="281">
                  <c:v>95.013992931634988</c:v>
                </c:pt>
                <c:pt idx="282">
                  <c:v>94.848523530518619</c:v>
                </c:pt>
                <c:pt idx="283">
                  <c:v>94.677106972121592</c:v>
                </c:pt>
                <c:pt idx="284">
                  <c:v>94.499719027493782</c:v>
                </c:pt>
                <c:pt idx="285">
                  <c:v>94.316344943038132</c:v>
                </c:pt>
                <c:pt idx="286">
                  <c:v>94.126979045006905</c:v>
                </c:pt>
                <c:pt idx="287">
                  <c:v>93.931624290033241</c:v>
                </c:pt>
                <c:pt idx="288">
                  <c:v>93.730291766431634</c:v>
                </c:pt>
                <c:pt idx="289">
                  <c:v>93.523000151467429</c:v>
                </c:pt>
                <c:pt idx="290">
                  <c:v>93.309775130164397</c:v>
                </c:pt>
                <c:pt idx="291">
                  <c:v>93.090648781517714</c:v>
                </c:pt>
                <c:pt idx="292">
                  <c:v>92.865658938155306</c:v>
                </c:pt>
                <c:pt idx="293">
                  <c:v>92.634848525620271</c:v>
                </c:pt>
                <c:pt idx="294">
                  <c:v>92.398264887444654</c:v>
                </c:pt>
                <c:pt idx="295">
                  <c:v>92.15595910212862</c:v>
                </c:pt>
                <c:pt idx="296">
                  <c:v>91.90798529799774</c:v>
                </c:pt>
                <c:pt idx="297">
                  <c:v>91.654399971675048</c:v>
                </c:pt>
                <c:pt idx="298">
                  <c:v>91.395261315647474</c:v>
                </c:pt>
                <c:pt idx="299">
                  <c:v>91.130628560048393</c:v>
                </c:pt>
                <c:pt idx="300">
                  <c:v>90.860561333402018</c:v>
                </c:pt>
                <c:pt idx="301">
                  <c:v>90.585119046659301</c:v>
                </c:pt>
                <c:pt idx="302">
                  <c:v>90.304360304397406</c:v>
                </c:pt>
                <c:pt idx="303">
                  <c:v>90.018342346591297</c:v>
                </c:pt>
                <c:pt idx="304">
                  <c:v>89.72712052390024</c:v>
                </c:pt>
                <c:pt idx="305">
                  <c:v>89.430747808918895</c:v>
                </c:pt>
                <c:pt idx="306">
                  <c:v>89.129274345396041</c:v>
                </c:pt>
                <c:pt idx="307">
                  <c:v>88.822747036949949</c:v>
                </c:pt>
                <c:pt idx="308">
                  <c:v>88.511209176389599</c:v>
                </c:pt>
                <c:pt idx="309">
                  <c:v>88.194700116340982</c:v>
                </c:pt>
                <c:pt idx="310">
                  <c:v>87.873254981488657</c:v>
                </c:pt>
                <c:pt idx="311">
                  <c:v>87.546904422413718</c:v>
                </c:pt>
                <c:pt idx="312">
                  <c:v>87.215674410680364</c:v>
                </c:pt>
                <c:pt idx="313">
                  <c:v>86.879586074563747</c:v>
                </c:pt>
                <c:pt idx="314">
                  <c:v>86.538655574559485</c:v>
                </c:pt>
                <c:pt idx="315">
                  <c:v>86.192894017623743</c:v>
                </c:pt>
                <c:pt idx="316">
                  <c:v>85.842307408916483</c:v>
                </c:pt>
                <c:pt idx="317">
                  <c:v>85.486896639700873</c:v>
                </c:pt>
                <c:pt idx="318">
                  <c:v>85.126657509932528</c:v>
                </c:pt>
                <c:pt idx="319">
                  <c:v>84.761580784024176</c:v>
                </c:pt>
                <c:pt idx="320">
                  <c:v>84.39165227820601</c:v>
                </c:pt>
                <c:pt idx="321">
                  <c:v>84.01685297790479</c:v>
                </c:pt>
                <c:pt idx="322">
                  <c:v>83.637159183550011</c:v>
                </c:pt>
                <c:pt idx="323">
                  <c:v>83.252542683250823</c:v>
                </c:pt>
                <c:pt idx="324">
                  <c:v>82.862970950817996</c:v>
                </c:pt>
                <c:pt idx="325">
                  <c:v>82.468407367661541</c:v>
                </c:pt>
                <c:pt idx="326">
                  <c:v>82.068811467153509</c:v>
                </c:pt>
                <c:pt idx="327">
                  <c:v>81.664139200112317</c:v>
                </c:pt>
                <c:pt idx="328">
                  <c:v>81.254343220144776</c:v>
                </c:pt>
                <c:pt idx="329">
                  <c:v>80.839373187648448</c:v>
                </c:pt>
                <c:pt idx="330">
                  <c:v>80.419176091367774</c:v>
                </c:pt>
                <c:pt idx="331">
                  <c:v>79.993696586451691</c:v>
                </c:pt>
                <c:pt idx="332">
                  <c:v>79.562877348050378</c:v>
                </c:pt>
                <c:pt idx="333">
                  <c:v>79.126659439538173</c:v>
                </c:pt>
                <c:pt idx="334">
                  <c:v>78.68498269451851</c:v>
                </c:pt>
                <c:pt idx="335">
                  <c:v>78.237786111804553</c:v>
                </c:pt>
                <c:pt idx="336">
                  <c:v>77.785008262619883</c:v>
                </c:pt>
                <c:pt idx="337">
                  <c:v>77.326587709279181</c:v>
                </c:pt>
                <c:pt idx="338">
                  <c:v>76.862463434637107</c:v>
                </c:pt>
                <c:pt idx="339">
                  <c:v>76.392575281589842</c:v>
                </c:pt>
                <c:pt idx="340">
                  <c:v>75.916864401905855</c:v>
                </c:pt>
                <c:pt idx="341">
                  <c:v>75.435273713645628</c:v>
                </c:pt>
                <c:pt idx="342">
                  <c:v>74.947748366383536</c:v>
                </c:pt>
                <c:pt idx="343">
                  <c:v>74.454236213412443</c:v>
                </c:pt>
                <c:pt idx="344">
                  <c:v>73.954688290022901</c:v>
                </c:pt>
                <c:pt idx="345">
                  <c:v>73.449059296906213</c:v>
                </c:pt>
                <c:pt idx="346">
                  <c:v>72.937308087607505</c:v>
                </c:pt>
                <c:pt idx="347">
                  <c:v>72.419398158879716</c:v>
                </c:pt>
                <c:pt idx="348">
                  <c:v>71.895298142659811</c:v>
                </c:pt>
                <c:pt idx="349">
                  <c:v>71.364982298279742</c:v>
                </c:pt>
                <c:pt idx="350">
                  <c:v>70.828431003381311</c:v>
                </c:pt>
                <c:pt idx="351">
                  <c:v>70.285631241870831</c:v>
                </c:pt>
                <c:pt idx="352">
                  <c:v>69.736577087107676</c:v>
                </c:pt>
                <c:pt idx="353">
                  <c:v>69.181270178365267</c:v>
                </c:pt>
                <c:pt idx="354">
                  <c:v>68.619720188460334</c:v>
                </c:pt>
                <c:pt idx="355">
                  <c:v>68.051945280297147</c:v>
                </c:pt>
                <c:pt idx="356">
                  <c:v>67.477972549922612</c:v>
                </c:pt>
                <c:pt idx="357">
                  <c:v>66.897838453559245</c:v>
                </c:pt>
                <c:pt idx="358">
                  <c:v>66.311589215952139</c:v>
                </c:pt>
                <c:pt idx="359">
                  <c:v>65.719281217248465</c:v>
                </c:pt>
                <c:pt idx="360">
                  <c:v>65.120981355530844</c:v>
                </c:pt>
                <c:pt idx="361">
                  <c:v>64.516767382058461</c:v>
                </c:pt>
                <c:pt idx="362">
                  <c:v>63.906728206194721</c:v>
                </c:pt>
                <c:pt idx="363">
                  <c:v>63.290964166995778</c:v>
                </c:pt>
                <c:pt idx="364">
                  <c:v>62.669587268422077</c:v>
                </c:pt>
                <c:pt idx="365">
                  <c:v>62.042721375175525</c:v>
                </c:pt>
                <c:pt idx="366">
                  <c:v>61.410502366241985</c:v>
                </c:pt>
                <c:pt idx="367">
                  <c:v>60.773078243325706</c:v>
                </c:pt>
                <c:pt idx="368">
                  <c:v>60.13060919151345</c:v>
                </c:pt>
                <c:pt idx="369">
                  <c:v>59.483267589708468</c:v>
                </c:pt>
                <c:pt idx="370">
                  <c:v>58.831237968605663</c:v>
                </c:pt>
                <c:pt idx="371">
                  <c:v>58.174716914256287</c:v>
                </c:pt>
                <c:pt idx="372">
                  <c:v>57.513912915607278</c:v>
                </c:pt>
                <c:pt idx="373">
                  <c:v>56.849046154747107</c:v>
                </c:pt>
                <c:pt idx="374">
                  <c:v>56.180348239006143</c:v>
                </c:pt>
                <c:pt idx="375">
                  <c:v>55.508061874487488</c:v>
                </c:pt>
                <c:pt idx="376">
                  <c:v>54.832440481074791</c:v>
                </c:pt>
                <c:pt idx="377">
                  <c:v>54.153747749455789</c:v>
                </c:pt>
                <c:pt idx="378">
                  <c:v>53.472257141210171</c:v>
                </c:pt>
                <c:pt idx="379">
                  <c:v>52.788251333543236</c:v>
                </c:pt>
                <c:pt idx="380">
                  <c:v>52.102021610757745</c:v>
                </c:pt>
                <c:pt idx="381">
                  <c:v>51.413867205107188</c:v>
                </c:pt>
                <c:pt idx="382">
                  <c:v>50.724094590169862</c:v>
                </c:pt>
                <c:pt idx="383">
                  <c:v>50.033016730389285</c:v>
                </c:pt>
                <c:pt idx="384">
                  <c:v>49.340952290888957</c:v>
                </c:pt>
                <c:pt idx="385">
                  <c:v>48.64822481211359</c:v>
                </c:pt>
                <c:pt idx="386">
                  <c:v>47.955161854218737</c:v>
                </c:pt>
                <c:pt idx="387">
                  <c:v>47.262094116487916</c:v>
                </c:pt>
                <c:pt idx="388">
                  <c:v>46.569354537325907</c:v>
                </c:pt>
                <c:pt idx="389">
                  <c:v>45.877277380598144</c:v>
                </c:pt>
                <c:pt idx="390">
                  <c:v>45.186197314238271</c:v>
                </c:pt>
                <c:pt idx="391">
                  <c:v>44.496448487131346</c:v>
                </c:pt>
                <c:pt idx="392">
                  <c:v>43.808363610281383</c:v>
                </c:pt>
                <c:pt idx="393">
                  <c:v>43.122273048229282</c:v>
                </c:pt>
                <c:pt idx="394">
                  <c:v>42.438503926532867</c:v>
                </c:pt>
                <c:pt idx="395">
                  <c:v>41.757379260946301</c:v>
                </c:pt>
                <c:pt idx="396">
                  <c:v>41.079217113653058</c:v>
                </c:pt>
                <c:pt idx="397">
                  <c:v>40.404329781600083</c:v>
                </c:pt>
                <c:pt idx="398">
                  <c:v>39.733023021593603</c:v>
                </c:pt>
                <c:pt idx="399">
                  <c:v>39.065595316404227</c:v>
                </c:pt>
                <c:pt idx="400">
                  <c:v>38.402337185656563</c:v>
                </c:pt>
                <c:pt idx="401">
                  <c:v>37.743530544804678</c:v>
                </c:pt>
                <c:pt idx="402">
                  <c:v>37.089448114958891</c:v>
                </c:pt>
                <c:pt idx="403">
                  <c:v>36.440352885813851</c:v>
                </c:pt>
                <c:pt idx="404">
                  <c:v>35.796497633394239</c:v>
                </c:pt>
                <c:pt idx="405">
                  <c:v>35.158124493789387</c:v>
                </c:pt>
                <c:pt idx="406">
                  <c:v>34.525464593538153</c:v>
                </c:pt>
                <c:pt idx="407">
                  <c:v>33.898737736814375</c:v>
                </c:pt>
                <c:pt idx="408">
                  <c:v>33.278152149075844</c:v>
                </c:pt>
                <c:pt idx="409">
                  <c:v>32.66390427639265</c:v>
                </c:pt>
                <c:pt idx="410">
                  <c:v>32.056178639247385</c:v>
                </c:pt>
                <c:pt idx="411">
                  <c:v>31.455147739212528</c:v>
                </c:pt>
                <c:pt idx="412">
                  <c:v>30.860972016570081</c:v>
                </c:pt>
                <c:pt idx="413">
                  <c:v>30.273799856639432</c:v>
                </c:pt>
                <c:pt idx="414">
                  <c:v>29.693767642312999</c:v>
                </c:pt>
                <c:pt idx="415">
                  <c:v>29.120999850092556</c:v>
                </c:pt>
                <c:pt idx="416">
                  <c:v>28.555609186741577</c:v>
                </c:pt>
                <c:pt idx="417">
                  <c:v>27.997696763542731</c:v>
                </c:pt>
                <c:pt idx="418">
                  <c:v>27.447352305056175</c:v>
                </c:pt>
                <c:pt idx="419">
                  <c:v>26.904654389226287</c:v>
                </c:pt>
                <c:pt idx="420">
                  <c:v>26.369670715663958</c:v>
                </c:pt>
                <c:pt idx="421">
                  <c:v>25.842458398950615</c:v>
                </c:pt>
                <c:pt idx="422">
                  <c:v>25.323064283857587</c:v>
                </c:pt>
                <c:pt idx="423">
                  <c:v>24.81152527943739</c:v>
                </c:pt>
                <c:pt idx="424">
                  <c:v>24.307868709048464</c:v>
                </c:pt>
                <c:pt idx="425">
                  <c:v>23.812112673482915</c:v>
                </c:pt>
                <c:pt idx="426">
                  <c:v>23.324266424495971</c:v>
                </c:pt>
                <c:pt idx="427">
                  <c:v>22.844330746183214</c:v>
                </c:pt>
                <c:pt idx="428">
                  <c:v>22.37229834180145</c:v>
                </c:pt>
                <c:pt idx="429">
                  <c:v>21.908154223788053</c:v>
                </c:pt>
                <c:pt idx="430">
                  <c:v>21.451876104906724</c:v>
                </c:pt>
                <c:pt idx="431">
                  <c:v>21.00343478860443</c:v>
                </c:pt>
                <c:pt idx="432">
                  <c:v>20.562794556838387</c:v>
                </c:pt>
                <c:pt idx="433">
                  <c:v>20.129913553798698</c:v>
                </c:pt>
                <c:pt idx="434">
                  <c:v>19.704744164111769</c:v>
                </c:pt>
                <c:pt idx="435">
                  <c:v>19.287233384270579</c:v>
                </c:pt>
                <c:pt idx="436">
                  <c:v>18.877323186188026</c:v>
                </c:pt>
                <c:pt idx="437">
                  <c:v>18.474950871920747</c:v>
                </c:pt>
                <c:pt idx="438">
                  <c:v>18.080049418741723</c:v>
                </c:pt>
                <c:pt idx="439">
                  <c:v>17.69254781387842</c:v>
                </c:pt>
                <c:pt idx="440">
                  <c:v>17.31237137835123</c:v>
                </c:pt>
                <c:pt idx="441">
                  <c:v>16.939442079459962</c:v>
                </c:pt>
                <c:pt idx="442">
                  <c:v>16.57367883157783</c:v>
                </c:pt>
                <c:pt idx="443">
                  <c:v>16.214997784999692</c:v>
                </c:pt>
                <c:pt idx="444">
                  <c:v>15.863312602688918</c:v>
                </c:pt>
                <c:pt idx="445">
                  <c:v>15.518534724838943</c:v>
                </c:pt>
                <c:pt idx="446">
                  <c:v>15.180573621245353</c:v>
                </c:pt>
                <c:pt idx="447">
                  <c:v>14.849337031540502</c:v>
                </c:pt>
                <c:pt idx="448">
                  <c:v>14.524731193407764</c:v>
                </c:pt>
                <c:pt idx="449">
                  <c:v>14.206661058934932</c:v>
                </c:pt>
                <c:pt idx="450">
                  <c:v>13.895030499315132</c:v>
                </c:pt>
                <c:pt idx="451">
                  <c:v>13.589742498139048</c:v>
                </c:pt>
                <c:pt idx="452">
                  <c:v>13.290699333552361</c:v>
                </c:pt>
                <c:pt idx="453">
                  <c:v>12.997802749582485</c:v>
                </c:pt>
                <c:pt idx="454">
                  <c:v>12.710954116956122</c:v>
                </c:pt>
                <c:pt idx="455">
                  <c:v>12.430054583750053</c:v>
                </c:pt>
                <c:pt idx="456">
                  <c:v>12.155005216228492</c:v>
                </c:pt>
                <c:pt idx="457">
                  <c:v>11.885707130230816</c:v>
                </c:pt>
                <c:pt idx="458">
                  <c:v>11.622061613481186</c:v>
                </c:pt>
                <c:pt idx="459">
                  <c:v>11.363970239191266</c:v>
                </c:pt>
                <c:pt idx="460">
                  <c:v>11.111334971335118</c:v>
                </c:pt>
                <c:pt idx="461">
                  <c:v>10.864058261966722</c:v>
                </c:pt>
                <c:pt idx="462">
                  <c:v>10.622043140952263</c:v>
                </c:pt>
                <c:pt idx="463">
                  <c:v>10.385193298483314</c:v>
                </c:pt>
                <c:pt idx="464">
                  <c:v>10.153413160730155</c:v>
                </c:pt>
                <c:pt idx="465">
                  <c:v>9.9266079589878888</c:v>
                </c:pt>
                <c:pt idx="466">
                  <c:v>9.7046837926580292</c:v>
                </c:pt>
                <c:pt idx="467">
                  <c:v>9.4875476864017649</c:v>
                </c:pt>
                <c:pt idx="468">
                  <c:v>9.2751076417873506</c:v>
                </c:pt>
                <c:pt idx="469">
                  <c:v>9.06727268374655</c:v>
                </c:pt>
                <c:pt idx="470">
                  <c:v>8.8639529021424259</c:v>
                </c:pt>
                <c:pt idx="471">
                  <c:v>8.6650594887403596</c:v>
                </c:pt>
                <c:pt idx="472">
                  <c:v>8.4705047698624938</c:v>
                </c:pt>
                <c:pt idx="473">
                  <c:v>8.2802022349942774</c:v>
                </c:pt>
                <c:pt idx="474">
                  <c:v>8.0940665615993677</c:v>
                </c:pt>
                <c:pt idx="475">
                  <c:v>7.912013636391273</c:v>
                </c:pt>
                <c:pt idx="476">
                  <c:v>7.7339605732925572</c:v>
                </c:pt>
                <c:pt idx="477">
                  <c:v>7.5598257283083532</c:v>
                </c:pt>
                <c:pt idx="478">
                  <c:v>7.3895287115242194</c:v>
                </c:pt>
                <c:pt idx="479">
                  <c:v>7.2229903964314577</c:v>
                </c:pt>
                <c:pt idx="480">
                  <c:v>7.060132926770601</c:v>
                </c:pt>
                <c:pt idx="481">
                  <c:v>6.9008797210747979</c:v>
                </c:pt>
                <c:pt idx="482">
                  <c:v>6.7451554750839842</c:v>
                </c:pt>
                <c:pt idx="483">
                  <c:v>6.5928861621928165</c:v>
                </c:pt>
                <c:pt idx="484">
                  <c:v>6.4439990320844016</c:v>
                </c:pt>
                <c:pt idx="485">
                  <c:v>6.2984226076952101</c:v>
                </c:pt>
                <c:pt idx="486">
                  <c:v>6.1560866806459957</c:v>
                </c:pt>
                <c:pt idx="487">
                  <c:v>6.0169223052672605</c:v>
                </c:pt>
                <c:pt idx="488">
                  <c:v>5.8808617913392363</c:v>
                </c:pt>
                <c:pt idx="489">
                  <c:v>5.747838695659631</c:v>
                </c:pt>
                <c:pt idx="490">
                  <c:v>5.6177878125439547</c:v>
                </c:pt>
                <c:pt idx="491">
                  <c:v>5.4906451633595008</c:v>
                </c:pt>
                <c:pt idx="492">
                  <c:v>5.3663479851835998</c:v>
                </c:pt>
                <c:pt idx="493">
                  <c:v>5.2448347186753237</c:v>
                </c:pt>
                <c:pt idx="494">
                  <c:v>5.1260449952402141</c:v>
                </c:pt>
                <c:pt idx="495">
                  <c:v>5.0099196235645245</c:v>
                </c:pt>
                <c:pt idx="496">
                  <c:v>4.8964005755899374</c:v>
                </c:pt>
                <c:pt idx="497">
                  <c:v>4.7854309719939279</c:v>
                </c:pt>
                <c:pt idx="498">
                  <c:v>4.6769550672378806</c:v>
                </c:pt>
                <c:pt idx="499">
                  <c:v>4.5709182342395973</c:v>
                </c:pt>
                <c:pt idx="500">
                  <c:v>4.4672669487230072</c:v>
                </c:pt>
                <c:pt idx="501">
                  <c:v>4.3659487732948321</c:v>
                </c:pt>
                <c:pt idx="502">
                  <c:v>4.2669123412932244</c:v>
                </c:pt>
                <c:pt idx="503">
                  <c:v>4.1701073404507714</c:v>
                </c:pt>
                <c:pt idx="504">
                  <c:v>4.0754844964110619</c:v>
                </c:pt>
                <c:pt idx="505">
                  <c:v>3.9829955561345116</c:v>
                </c:pt>
                <c:pt idx="506">
                  <c:v>3.8925932712267977</c:v>
                </c:pt>
                <c:pt idx="507">
                  <c:v>3.8042313812209705</c:v>
                </c:pt>
                <c:pt idx="508">
                  <c:v>3.7178645968403701</c:v>
                </c:pt>
                <c:pt idx="509">
                  <c:v>3.6334485832689878</c:v>
                </c:pt>
                <c:pt idx="510">
                  <c:v>3.5509399434533258</c:v>
                </c:pt>
                <c:pt idx="511">
                  <c:v>3.4702962014562582</c:v>
                </c:pt>
                <c:pt idx="512">
                  <c:v>3.3914757858832214</c:v>
                </c:pt>
                <c:pt idx="513">
                  <c:v>3.3144380133994695</c:v>
                </c:pt>
                <c:pt idx="514">
                  <c:v>3.2391430723536345</c:v>
                </c:pt>
                <c:pt idx="515">
                  <c:v>3.165552006523197</c:v>
                </c:pt>
                <c:pt idx="516">
                  <c:v>3.0936266989951933</c:v>
                </c:pt>
                <c:pt idx="517">
                  <c:v>3.0233298561937416</c:v>
                </c:pt>
                <c:pt idx="518">
                  <c:v>2.9546249920663432</c:v>
                </c:pt>
                <c:pt idx="519">
                  <c:v>2.8874764124373891</c:v>
                </c:pt>
                <c:pt idx="520">
                  <c:v>2.8218491995385508</c:v>
                </c:pt>
                <c:pt idx="521">
                  <c:v>2.7577091967230318</c:v>
                </c:pt>
                <c:pt idx="522">
                  <c:v>2.695022993371091</c:v>
                </c:pt>
                <c:pt idx="523">
                  <c:v>2.6337579099919743</c:v>
                </c:pt>
                <c:pt idx="524">
                  <c:v>2.5738819835278983</c:v>
                </c:pt>
                <c:pt idx="525">
                  <c:v>2.5153639528641452</c:v>
                </c:pt>
                <c:pt idx="526">
                  <c:v>2.4581732445494464</c:v>
                </c:pt>
                <c:pt idx="527">
                  <c:v>2.4022799587288017</c:v>
                </c:pt>
                <c:pt idx="528">
                  <c:v>2.3476548552924021</c:v>
                </c:pt>
                <c:pt idx="529">
                  <c:v>2.2942693402413696</c:v>
                </c:pt>
                <c:pt idx="530">
                  <c:v>2.2420954522730567</c:v>
                </c:pt>
                <c:pt idx="531">
                  <c:v>2.1911058495856977</c:v>
                </c:pt>
                <c:pt idx="532">
                  <c:v>2.1412737969040441</c:v>
                </c:pt>
                <c:pt idx="533">
                  <c:v>2.0925731527254459</c:v>
                </c:pt>
                <c:pt idx="534">
                  <c:v>2.0449783567869066</c:v>
                </c:pt>
                <c:pt idx="535">
                  <c:v>1.9984644177519322</c:v>
                </c:pt>
                <c:pt idx="536">
                  <c:v>1.9530069011173652</c:v>
                </c:pt>
                <c:pt idx="537">
                  <c:v>1.9085819173382634</c:v>
                </c:pt>
                <c:pt idx="538">
                  <c:v>1.8651661101703045</c:v>
                </c:pt>
                <c:pt idx="539">
                  <c:v>1.8227366452280023</c:v>
                </c:pt>
                <c:pt idx="540">
                  <c:v>1.7812711987569776</c:v>
                </c:pt>
                <c:pt idx="541">
                  <c:v>1.7407479466187603</c:v>
                </c:pt>
              </c:numCache>
            </c:numRef>
          </c:yVal>
          <c:smooth val="1"/>
          <c:extLst>
            <c:ext xmlns:c16="http://schemas.microsoft.com/office/drawing/2014/chart" uri="{C3380CC4-5D6E-409C-BE32-E72D297353CC}">
              <c16:uniqueId val="{00000001-79CC-43C6-9415-C1FDEEB8D57B}"/>
            </c:ext>
          </c:extLst>
        </c:ser>
        <c:dLbls>
          <c:showLegendKey val="0"/>
          <c:showVal val="0"/>
          <c:showCatName val="0"/>
          <c:showSerName val="0"/>
          <c:showPercent val="0"/>
          <c:showBubbleSize val="0"/>
        </c:dLbls>
        <c:axId val="555497728"/>
        <c:axId val="555496192"/>
      </c:scatterChart>
      <c:valAx>
        <c:axId val="555344640"/>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346560"/>
        <c:crosses val="autoZero"/>
        <c:crossBetween val="midCat"/>
      </c:valAx>
      <c:valAx>
        <c:axId val="555346560"/>
        <c:scaling>
          <c:orientation val="minMax"/>
          <c:max val="2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US"/>
          </a:p>
        </c:txPr>
        <c:crossAx val="555344640"/>
        <c:crosses val="autoZero"/>
        <c:crossBetween val="midCat"/>
        <c:majorUnit val="20"/>
        <c:minorUnit val="10"/>
      </c:valAx>
      <c:valAx>
        <c:axId val="555496192"/>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US"/>
          </a:p>
        </c:txPr>
        <c:crossAx val="555497728"/>
        <c:crosses val="max"/>
        <c:crossBetween val="midCat"/>
        <c:majorUnit val="90"/>
        <c:minorUnit val="45"/>
      </c:valAx>
      <c:valAx>
        <c:axId val="555497728"/>
        <c:scaling>
          <c:logBase val="10"/>
          <c:orientation val="minMax"/>
        </c:scaling>
        <c:delete val="1"/>
        <c:axPos val="b"/>
        <c:numFmt formatCode="0.00" sourceLinked="1"/>
        <c:majorTickMark val="out"/>
        <c:minorTickMark val="none"/>
        <c:tickLblPos val="nextTo"/>
        <c:crossAx val="555496192"/>
        <c:crosses val="autoZero"/>
        <c:crossBetween val="midCat"/>
      </c:valAx>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Total Control Loop Transfer Function</a:t>
            </a:r>
          </a:p>
        </c:rich>
      </c:tx>
      <c:overlay val="0"/>
    </c:title>
    <c:autoTitleDeleted val="0"/>
    <c:plotArea>
      <c:layout/>
      <c:scatterChart>
        <c:scatterStyle val="smoothMarker"/>
        <c:varyColors val="0"/>
        <c:ser>
          <c:idx val="0"/>
          <c:order val="0"/>
          <c:spPr>
            <a:ln w="38100">
              <a:solidFill>
                <a:srgbClr val="FF0000"/>
              </a:solidFill>
            </a:ln>
          </c:spPr>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Control_Loop_Tables!$BK$19:$BK$560</c:f>
              <c:numCache>
                <c:formatCode>General</c:formatCode>
                <c:ptCount val="542"/>
                <c:pt idx="0">
                  <c:v>50.088812728883518</c:v>
                </c:pt>
                <c:pt idx="1">
                  <c:v>49.889712104724765</c:v>
                </c:pt>
                <c:pt idx="2">
                  <c:v>49.690653231708566</c:v>
                </c:pt>
                <c:pt idx="3">
                  <c:v>49.491638016973653</c:v>
                </c:pt>
                <c:pt idx="4">
                  <c:v>49.292668451808325</c:v>
                </c:pt>
                <c:pt idx="5">
                  <c:v>49.093746615080036</c:v>
                </c:pt>
                <c:pt idx="6">
                  <c:v>48.894874676775004</c:v>
                </c:pt>
                <c:pt idx="7">
                  <c:v>48.696054901653099</c:v>
                </c:pt>
                <c:pt idx="8">
                  <c:v>48.497289653015052</c:v>
                </c:pt>
                <c:pt idx="9">
                  <c:v>48.29858139658252</c:v>
                </c:pt>
                <c:pt idx="10">
                  <c:v>48.099932704493156</c:v>
                </c:pt>
                <c:pt idx="11">
                  <c:v>47.901346259406139</c:v>
                </c:pt>
                <c:pt idx="12">
                  <c:v>47.702824858719694</c:v>
                </c:pt>
                <c:pt idx="13">
                  <c:v>47.504371418898032</c:v>
                </c:pt>
                <c:pt idx="14">
                  <c:v>47.305988979903361</c:v>
                </c:pt>
                <c:pt idx="15">
                  <c:v>47.10768070973149</c:v>
                </c:pt>
                <c:pt idx="16">
                  <c:v>46.909449909046181</c:v>
                </c:pt>
                <c:pt idx="17">
                  <c:v>46.711300015906367</c:v>
                </c:pt>
                <c:pt idx="18">
                  <c:v>46.513234610580426</c:v>
                </c:pt>
                <c:pt idx="19">
                  <c:v>46.315257420440417</c:v>
                </c:pt>
                <c:pt idx="20">
                  <c:v>46.117372324927011</c:v>
                </c:pt>
                <c:pt idx="21">
                  <c:v>45.919583360575665</c:v>
                </c:pt>
                <c:pt idx="22">
                  <c:v>45.721894726092422</c:v>
                </c:pt>
                <c:pt idx="23">
                  <c:v>45.524310787465893</c:v>
                </c:pt>
                <c:pt idx="24">
                  <c:v>45.326836083101512</c:v>
                </c:pt>
                <c:pt idx="25">
                  <c:v>45.129475328960012</c:v>
                </c:pt>
                <c:pt idx="26">
                  <c:v>44.932233423683314</c:v>
                </c:pt>
                <c:pt idx="27">
                  <c:v>44.735115453684806</c:v>
                </c:pt>
                <c:pt idx="28">
                  <c:v>44.538126698182552</c:v>
                </c:pt>
                <c:pt idx="29">
                  <c:v>44.34127263414851</c:v>
                </c:pt>
                <c:pt idx="30">
                  <c:v>44.144558941145689</c:v>
                </c:pt>
                <c:pt idx="31">
                  <c:v>43.947991506022476</c:v>
                </c:pt>
                <c:pt idx="32">
                  <c:v>43.751576427428574</c:v>
                </c:pt>
                <c:pt idx="33">
                  <c:v>43.555320020115772</c:v>
                </c:pt>
                <c:pt idx="34">
                  <c:v>43.359228818983141</c:v>
                </c:pt>
                <c:pt idx="35">
                  <c:v>43.163309582820119</c:v>
                </c:pt>
                <c:pt idx="36">
                  <c:v>42.967569297701601</c:v>
                </c:pt>
                <c:pt idx="37">
                  <c:v>42.772015179980812</c:v>
                </c:pt>
                <c:pt idx="38">
                  <c:v>42.576654678825008</c:v>
                </c:pt>
                <c:pt idx="39">
                  <c:v>42.381495478233042</c:v>
                </c:pt>
                <c:pt idx="40">
                  <c:v>42.186545498469464</c:v>
                </c:pt>
                <c:pt idx="41">
                  <c:v>41.99181289684762</c:v>
                </c:pt>
                <c:pt idx="42">
                  <c:v>41.797306067785755</c:v>
                </c:pt>
                <c:pt idx="43">
                  <c:v>41.603033642061035</c:v>
                </c:pt>
                <c:pt idx="44">
                  <c:v>41.409004485175458</c:v>
                </c:pt>
                <c:pt idx="45">
                  <c:v>41.215227694749792</c:v>
                </c:pt>
                <c:pt idx="46">
                  <c:v>41.021712596852524</c:v>
                </c:pt>
                <c:pt idx="47">
                  <c:v>40.828468741169118</c:v>
                </c:pt>
                <c:pt idx="48">
                  <c:v>40.6355058949122</c:v>
                </c:pt>
                <c:pt idx="49">
                  <c:v>40.442834035370289</c:v>
                </c:pt>
                <c:pt idx="50">
                  <c:v>40.250463340989</c:v>
                </c:pt>
                <c:pt idx="51">
                  <c:v>40.058404180877233</c:v>
                </c:pt>
                <c:pt idx="52">
                  <c:v>39.866667102627261</c:v>
                </c:pt>
                <c:pt idx="53">
                  <c:v>39.675262818338012</c:v>
                </c:pt>
                <c:pt idx="54">
                  <c:v>39.484202188730556</c:v>
                </c:pt>
                <c:pt idx="55">
                  <c:v>39.293496205244082</c:v>
                </c:pt>
                <c:pt idx="56">
                  <c:v>39.1031559700047</c:v>
                </c:pt>
                <c:pt idx="57">
                  <c:v>38.913192673561035</c:v>
                </c:pt>
                <c:pt idx="58">
                  <c:v>38.723617570286386</c:v>
                </c:pt>
                <c:pt idx="59">
                  <c:v>38.534441951352832</c:v>
                </c:pt>
                <c:pt idx="60">
                  <c:v>38.345677115191897</c:v>
                </c:pt>
                <c:pt idx="61">
                  <c:v>38.15733433536608</c:v>
                </c:pt>
                <c:pt idx="62">
                  <c:v>37.969424825786369</c:v>
                </c:pt>
                <c:pt idx="63">
                  <c:v>37.781959703229198</c:v>
                </c:pt>
                <c:pt idx="64">
                  <c:v>37.594949947118501</c:v>
                </c:pt>
                <c:pt idx="65">
                  <c:v>37.408406356562132</c:v>
                </c:pt>
                <c:pt idx="66">
                  <c:v>37.22233950465133</c:v>
                </c:pt>
                <c:pt idx="67">
                  <c:v>37.036759690057004</c:v>
                </c:pt>
                <c:pt idx="68">
                  <c:v>36.851676885985668</c:v>
                </c:pt>
                <c:pt idx="69">
                  <c:v>36.667100686584966</c:v>
                </c:pt>
                <c:pt idx="70">
                  <c:v>36.483040250923423</c:v>
                </c:pt>
                <c:pt idx="71">
                  <c:v>36.299504244703755</c:v>
                </c:pt>
                <c:pt idx="72">
                  <c:v>36.116500779904747</c:v>
                </c:pt>
                <c:pt idx="73">
                  <c:v>35.934037352587858</c:v>
                </c:pt>
                <c:pt idx="74">
                  <c:v>35.752120779144207</c:v>
                </c:pt>
                <c:pt idx="75">
                  <c:v>35.570757131299438</c:v>
                </c:pt>
                <c:pt idx="76">
                  <c:v>35.389951670239064</c:v>
                </c:pt>
                <c:pt idx="77">
                  <c:v>35.209708780255973</c:v>
                </c:pt>
                <c:pt idx="78">
                  <c:v>35.030031902368293</c:v>
                </c:pt>
                <c:pt idx="79">
                  <c:v>34.850923468393965</c:v>
                </c:pt>
                <c:pt idx="80">
                  <c:v>34.672384836010522</c:v>
                </c:pt>
                <c:pt idx="81">
                  <c:v>34.494416225362492</c:v>
                </c:pt>
                <c:pt idx="82">
                  <c:v>34.317016657813738</c:v>
                </c:pt>
                <c:pt idx="83">
                  <c:v>34.14018389746942</c:v>
                </c:pt>
                <c:pt idx="84">
                  <c:v>33.963914396114738</c:v>
                </c:pt>
                <c:pt idx="85">
                  <c:v>33.788203242234658</c:v>
                </c:pt>
                <c:pt idx="86">
                  <c:v>33.613044114785531</c:v>
                </c:pt>
                <c:pt idx="87">
                  <c:v>33.438429242393759</c:v>
                </c:pt>
                <c:pt idx="88">
                  <c:v>33.264349368642769</c:v>
                </c:pt>
                <c:pt idx="89">
                  <c:v>33.09079372409699</c:v>
                </c:pt>
                <c:pt idx="90">
                  <c:v>32.917750005677597</c:v>
                </c:pt>
                <c:pt idx="91">
                  <c:v>32.745204363970409</c:v>
                </c:pt>
                <c:pt idx="92">
                  <c:v>32.573141398993599</c:v>
                </c:pt>
                <c:pt idx="93">
                  <c:v>32.401544164892009</c:v>
                </c:pt>
                <c:pt idx="94">
                  <c:v>32.230394183957301</c:v>
                </c:pt>
                <c:pt idx="95">
                  <c:v>32.059671470287412</c:v>
                </c:pt>
                <c:pt idx="96">
                  <c:v>31.889354563313152</c:v>
                </c:pt>
                <c:pt idx="97">
                  <c:v>31.719420571317883</c:v>
                </c:pt>
                <c:pt idx="98">
                  <c:v>31.54984522497444</c:v>
                </c:pt>
                <c:pt idx="99">
                  <c:v>31.380602940809514</c:v>
                </c:pt>
                <c:pt idx="100">
                  <c:v>31.211666894394096</c:v>
                </c:pt>
                <c:pt idx="101">
                  <c:v>31.043009102941241</c:v>
                </c:pt>
                <c:pt idx="102">
                  <c:v>30.874600516875006</c:v>
                </c:pt>
                <c:pt idx="103">
                  <c:v>30.706411119823429</c:v>
                </c:pt>
                <c:pt idx="104">
                  <c:v>30.5384100363753</c:v>
                </c:pt>
                <c:pt idx="105">
                  <c:v>30.370565646839907</c:v>
                </c:pt>
                <c:pt idx="106">
                  <c:v>30.202845708151386</c:v>
                </c:pt>
                <c:pt idx="107">
                  <c:v>30.035217479976751</c:v>
                </c:pt>
                <c:pt idx="108">
                  <c:v>29.867647855013072</c:v>
                </c:pt>
                <c:pt idx="109">
                  <c:v>29.700103492400316</c:v>
                </c:pt>
                <c:pt idx="110">
                  <c:v>29.532550953131214</c:v>
                </c:pt>
                <c:pt idx="111">
                  <c:v>29.36495683631318</c:v>
                </c:pt>
                <c:pt idx="112">
                  <c:v>29.19728791512339</c:v>
                </c:pt>
                <c:pt idx="113">
                  <c:v>29.029511271301608</c:v>
                </c:pt>
                <c:pt idx="114">
                  <c:v>28.861594427050292</c:v>
                </c:pt>
                <c:pt idx="115">
                  <c:v>28.693505473243583</c:v>
                </c:pt>
                <c:pt idx="116">
                  <c:v>28.525213192903564</c:v>
                </c:pt>
                <c:pt idx="117">
                  <c:v>28.356687178964432</c:v>
                </c:pt>
                <c:pt idx="118">
                  <c:v>28.187897945429562</c:v>
                </c:pt>
                <c:pt idx="119">
                  <c:v>28.018817031111848</c:v>
                </c:pt>
                <c:pt idx="120">
                  <c:v>27.84941709525064</c:v>
                </c:pt>
                <c:pt idx="121">
                  <c:v>27.679672004404857</c:v>
                </c:pt>
                <c:pt idx="122">
                  <c:v>27.509556910134062</c:v>
                </c:pt>
                <c:pt idx="123">
                  <c:v>27.339048317094377</c:v>
                </c:pt>
                <c:pt idx="124">
                  <c:v>27.168124141293667</c:v>
                </c:pt>
                <c:pt idx="125">
                  <c:v>26.996763758364168</c:v>
                </c:pt>
                <c:pt idx="126">
                  <c:v>26.824948041825234</c:v>
                </c:pt>
                <c:pt idx="127">
                  <c:v>26.652659391416297</c:v>
                </c:pt>
                <c:pt idx="128">
                  <c:v>26.479881751679564</c:v>
                </c:pt>
                <c:pt idx="129">
                  <c:v>26.306600621069517</c:v>
                </c:pt>
                <c:pt idx="130">
                  <c:v>26.132803051949331</c:v>
                </c:pt>
                <c:pt idx="131">
                  <c:v>25.958477641910083</c:v>
                </c:pt>
                <c:pt idx="132">
                  <c:v>25.783614516916046</c:v>
                </c:pt>
                <c:pt idx="133">
                  <c:v>25.608205306829767</c:v>
                </c:pt>
                <c:pt idx="134">
                  <c:v>25.43224311392191</c:v>
                </c:pt>
                <c:pt idx="135">
                  <c:v>25.255722474995711</c:v>
                </c:pt>
                <c:pt idx="136">
                  <c:v>25.078639317786671</c:v>
                </c:pt>
                <c:pt idx="137">
                  <c:v>24.900990912305385</c:v>
                </c:pt>
                <c:pt idx="138">
                  <c:v>24.722775817798365</c:v>
                </c:pt>
                <c:pt idx="139">
                  <c:v>24.543993825995784</c:v>
                </c:pt>
                <c:pt idx="140">
                  <c:v>24.364645901301564</c:v>
                </c:pt>
                <c:pt idx="141">
                  <c:v>24.184734118562979</c:v>
                </c:pt>
                <c:pt idx="142">
                  <c:v>24.004261599029235</c:v>
                </c:pt>
                <c:pt idx="143">
                  <c:v>23.823232445080347</c:v>
                </c:pt>
                <c:pt idx="144">
                  <c:v>23.641651674269461</c:v>
                </c:pt>
                <c:pt idx="145">
                  <c:v>23.459525153186107</c:v>
                </c:pt>
                <c:pt idx="146">
                  <c:v>23.276859531607023</c:v>
                </c:pt>
                <c:pt idx="147">
                  <c:v>23.093662177356418</c:v>
                </c:pt>
                <c:pt idx="148">
                  <c:v>22.90994111225984</c:v>
                </c:pt>
                <c:pt idx="149">
                  <c:v>22.725704949526566</c:v>
                </c:pt>
                <c:pt idx="150">
                  <c:v>22.54096283285897</c:v>
                </c:pt>
                <c:pt idx="151">
                  <c:v>22.355724377540959</c:v>
                </c:pt>
                <c:pt idx="152">
                  <c:v>22.169999613721586</c:v>
                </c:pt>
                <c:pt idx="153">
                  <c:v>21.983798932067433</c:v>
                </c:pt>
                <c:pt idx="154">
                  <c:v>21.797133031926506</c:v>
                </c:pt>
                <c:pt idx="155">
                  <c:v>21.610012872108207</c:v>
                </c:pt>
                <c:pt idx="156">
                  <c:v>21.422449624354751</c:v>
                </c:pt>
                <c:pt idx="157">
                  <c:v>21.234454629551035</c:v>
                </c:pt>
                <c:pt idx="158">
                  <c:v>21.046039356692742</c:v>
                </c:pt>
                <c:pt idx="159">
                  <c:v>20.857215364610923</c:v>
                </c:pt>
                <c:pt idx="160">
                  <c:v>20.667994266428764</c:v>
                </c:pt>
                <c:pt idx="161">
                  <c:v>20.478387696709419</c:v>
                </c:pt>
                <c:pt idx="162">
                  <c:v>20.288407281237447</c:v>
                </c:pt>
                <c:pt idx="163">
                  <c:v>20.098064609362204</c:v>
                </c:pt>
                <c:pt idx="164">
                  <c:v>19.907371208822546</c:v>
                </c:pt>
                <c:pt idx="165">
                  <c:v>19.716338522960843</c:v>
                </c:pt>
                <c:pt idx="166">
                  <c:v>19.524977890227369</c:v>
                </c:pt>
                <c:pt idx="167">
                  <c:v>19.333300525870481</c:v>
                </c:pt>
                <c:pt idx="168">
                  <c:v>19.14131750570489</c:v>
                </c:pt>
                <c:pt idx="169">
                  <c:v>18.949039751846534</c:v>
                </c:pt>
                <c:pt idx="170">
                  <c:v>18.756478020299806</c:v>
                </c:pt>
                <c:pt idx="171">
                  <c:v>18.563642890285973</c:v>
                </c:pt>
                <c:pt idx="172">
                  <c:v>18.370544755198331</c:v>
                </c:pt>
                <c:pt idx="173">
                  <c:v>18.177193815072656</c:v>
                </c:pt>
                <c:pt idx="174">
                  <c:v>17.983600070464185</c:v>
                </c:pt>
                <c:pt idx="175">
                  <c:v>17.789773317622362</c:v>
                </c:pt>
                <c:pt idx="176">
                  <c:v>17.595723144860244</c:v>
                </c:pt>
                <c:pt idx="177">
                  <c:v>17.401458930016787</c:v>
                </c:pt>
                <c:pt idx="178">
                  <c:v>17.206989838914673</c:v>
                </c:pt>
                <c:pt idx="179">
                  <c:v>17.012324824719428</c:v>
                </c:pt>
                <c:pt idx="180">
                  <c:v>16.817472628109883</c:v>
                </c:pt>
                <c:pt idx="181">
                  <c:v>16.622441778173965</c:v>
                </c:pt>
                <c:pt idx="182">
                  <c:v>16.427240593946237</c:v>
                </c:pt>
                <c:pt idx="183">
                  <c:v>16.231877186509863</c:v>
                </c:pt>
                <c:pt idx="184">
                  <c:v>16.036359461586322</c:v>
                </c:pt>
                <c:pt idx="185">
                  <c:v>15.840695122542405</c:v>
                </c:pt>
                <c:pt idx="186">
                  <c:v>15.644891673745319</c:v>
                </c:pt>
                <c:pt idx="187">
                  <c:v>15.448956424201034</c:v>
                </c:pt>
                <c:pt idx="188">
                  <c:v>15.252896491413557</c:v>
                </c:pt>
                <c:pt idx="189">
                  <c:v>15.05671880540504</c:v>
                </c:pt>
                <c:pt idx="190">
                  <c:v>14.860430112839575</c:v>
                </c:pt>
                <c:pt idx="191">
                  <c:v>14.66403698119607</c:v>
                </c:pt>
                <c:pt idx="192">
                  <c:v>14.4675458029357</c:v>
                </c:pt>
                <c:pt idx="193">
                  <c:v>14.270962799612906</c:v>
                </c:pt>
                <c:pt idx="194">
                  <c:v>14.074294025879864</c:v>
                </c:pt>
                <c:pt idx="195">
                  <c:v>13.877545373333909</c:v>
                </c:pt>
                <c:pt idx="196">
                  <c:v>13.680722574159621</c:v>
                </c:pt>
                <c:pt idx="197">
                  <c:v>13.483831204518207</c:v>
                </c:pt>
                <c:pt idx="198">
                  <c:v>13.286876687633608</c:v>
                </c:pt>
                <c:pt idx="199">
                  <c:v>13.08986429653039</c:v>
                </c:pt>
                <c:pt idx="200">
                  <c:v>12.892799156371451</c:v>
                </c:pt>
                <c:pt idx="201">
                  <c:v>12.695686246348414</c:v>
                </c:pt>
                <c:pt idx="202">
                  <c:v>12.498530401073877</c:v>
                </c:pt>
                <c:pt idx="203">
                  <c:v>12.30133631142391</c:v>
                </c:pt>
                <c:pt idx="204">
                  <c:v>12.104108524778328</c:v>
                </c:pt>
                <c:pt idx="205">
                  <c:v>11.906851444604625</c:v>
                </c:pt>
                <c:pt idx="206">
                  <c:v>11.709569329329721</c:v>
                </c:pt>
                <c:pt idx="207">
                  <c:v>11.512266290441211</c:v>
                </c:pt>
                <c:pt idx="208">
                  <c:v>11.314946289758673</c:v>
                </c:pt>
                <c:pt idx="209">
                  <c:v>11.117613135813059</c:v>
                </c:pt>
                <c:pt idx="210">
                  <c:v>10.920270479269849</c:v>
                </c:pt>
                <c:pt idx="211">
                  <c:v>10.722921807329458</c:v>
                </c:pt>
                <c:pt idx="212">
                  <c:v>10.525570437037487</c:v>
                </c:pt>
                <c:pt idx="213">
                  <c:v>10.328219507432159</c:v>
                </c:pt>
                <c:pt idx="214">
                  <c:v>10.130871970458662</c:v>
                </c:pt>
                <c:pt idx="215">
                  <c:v>9.9335305805741374</c:v>
                </c:pt>
                <c:pt idx="216">
                  <c:v>9.7361978829686375</c:v>
                </c:pt>
                <c:pt idx="217">
                  <c:v>9.5388762003248431</c:v>
                </c:pt>
                <c:pt idx="218">
                  <c:v>9.3415676180380594</c:v>
                </c:pt>
                <c:pt idx="219">
                  <c:v>9.1442739678201015</c:v>
                </c:pt>
                <c:pt idx="220">
                  <c:v>8.946996809608061</c:v>
                </c:pt>
                <c:pt idx="221">
                  <c:v>8.7497374117025348</c:v>
                </c:pt>
                <c:pt idx="222">
                  <c:v>8.5524967290618665</c:v>
                </c:pt>
                <c:pt idx="223">
                  <c:v>8.3552753796799077</c:v>
                </c:pt>
                <c:pt idx="224">
                  <c:v>8.158073618981831</c:v>
                </c:pt>
                <c:pt idx="225">
                  <c:v>7.9608913121761669</c:v>
                </c:pt>
                <c:pt idx="226">
                  <c:v>7.7637279045087668</c:v>
                </c:pt>
                <c:pt idx="227">
                  <c:v>7.5665823893739255</c:v>
                </c:pt>
                <c:pt idx="228">
                  <c:v>7.369453274246224</c:v>
                </c:pt>
                <c:pt idx="229">
                  <c:v>7.1723385444096337</c:v>
                </c:pt>
                <c:pt idx="230">
                  <c:v>6.9752356244768343</c:v>
                </c:pt>
                <c:pt idx="231">
                  <c:v>6.7781413377050148</c:v>
                </c:pt>
                <c:pt idx="232">
                  <c:v>6.5810518631343928</c:v>
                </c:pt>
                <c:pt idx="233">
                  <c:v>6.3839626905973388</c:v>
                </c:pt>
                <c:pt idx="234">
                  <c:v>6.186868573670492</c:v>
                </c:pt>
                <c:pt idx="235">
                  <c:v>5.9897634806662747</c:v>
                </c:pt>
                <c:pt idx="236">
                  <c:v>5.7926405437917321</c:v>
                </c:pt>
                <c:pt idx="237">
                  <c:v>5.5954920066338705</c:v>
                </c:pt>
                <c:pt idx="238">
                  <c:v>5.3983091701629871</c:v>
                </c:pt>
                <c:pt idx="239">
                  <c:v>5.2010823374866009</c:v>
                </c:pt>
                <c:pt idx="240">
                  <c:v>5.0038007576213577</c:v>
                </c:pt>
                <c:pt idx="241">
                  <c:v>4.8064525685949819</c:v>
                </c:pt>
                <c:pt idx="242">
                  <c:v>4.6090247402329743</c:v>
                </c:pt>
                <c:pt idx="243">
                  <c:v>4.4115030170289264</c:v>
                </c:pt>
                <c:pt idx="244">
                  <c:v>4.2138718615444297</c:v>
                </c:pt>
                <c:pt idx="245">
                  <c:v>4.0161143988297168</c:v>
                </c:pt>
                <c:pt idx="246">
                  <c:v>3.8182123624062783</c:v>
                </c:pt>
                <c:pt idx="247">
                  <c:v>3.6201460423920988</c:v>
                </c:pt>
                <c:pt idx="248">
                  <c:v>3.4218942364024008</c:v>
                </c:pt>
                <c:pt idx="249">
                  <c:v>3.2234342038938331</c:v>
                </c:pt>
                <c:pt idx="250">
                  <c:v>3.024741624662981</c:v>
                </c:pt>
                <c:pt idx="251">
                  <c:v>2.8257905622410635</c:v>
                </c:pt>
                <c:pt idx="252">
                  <c:v>2.6265534329606348</c:v>
                </c:pt>
                <c:pt idx="253">
                  <c:v>2.4270009814849138</c:v>
                </c:pt>
                <c:pt idx="254">
                  <c:v>2.2271022636134727</c:v>
                </c:pt>
                <c:pt idx="255">
                  <c:v>2.0268246371779557</c:v>
                </c:pt>
                <c:pt idx="256">
                  <c:v>1.8261337618433857</c:v>
                </c:pt>
                <c:pt idx="257">
                  <c:v>1.6249936086119749</c:v>
                </c:pt>
                <c:pt idx="258">
                  <c:v>1.4233664798055936</c:v>
                </c:pt>
                <c:pt idx="259">
                  <c:v>1.2212130402622303</c:v>
                </c:pt>
                <c:pt idx="260">
                  <c:v>1.0184923604354408</c:v>
                </c:pt>
                <c:pt idx="261">
                  <c:v>0.81516197201802354</c:v>
                </c:pt>
                <c:pt idx="262">
                  <c:v>0.61117793663960074</c:v>
                </c:pt>
                <c:pt idx="263">
                  <c:v>0.40649492809418186</c:v>
                </c:pt>
                <c:pt idx="264">
                  <c:v>0.20106632845443562</c:v>
                </c:pt>
                <c:pt idx="265">
                  <c:v>-5.1556616867762875E-3</c:v>
                </c:pt>
                <c:pt idx="266">
                  <c:v>-0.21221989873317704</c:v>
                </c:pt>
                <c:pt idx="267">
                  <c:v>-0.42017615738110858</c:v>
                </c:pt>
                <c:pt idx="268">
                  <c:v>-0.62907497786007061</c:v>
                </c:pt>
                <c:pt idx="269">
                  <c:v>-0.83896749943683357</c:v>
                </c:pt>
                <c:pt idx="270">
                  <c:v>-1.0499052806563471</c:v>
                </c:pt>
                <c:pt idx="271">
                  <c:v>-1.2619401069543925</c:v>
                </c:pt>
                <c:pt idx="272">
                  <c:v>-1.4751237864348863</c:v>
                </c:pt>
                <c:pt idx="273">
                  <c:v>-1.6895079347652184</c:v>
                </c:pt>
                <c:pt idx="274">
                  <c:v>-1.9051437502937141</c:v>
                </c:pt>
                <c:pt idx="275">
                  <c:v>-2.1220817806416035</c:v>
                </c:pt>
                <c:pt idx="276">
                  <c:v>-2.3403716821577785</c:v>
                </c:pt>
                <c:pt idx="277">
                  <c:v>-2.5600619737483719</c:v>
                </c:pt>
                <c:pt idx="278">
                  <c:v>-2.7811997867050686</c:v>
                </c:pt>
                <c:pt idx="279">
                  <c:v>-3.0038306122469698</c:v>
                </c:pt>
                <c:pt idx="280">
                  <c:v>-3.2279980485697095</c:v>
                </c:pt>
                <c:pt idx="281">
                  <c:v>-3.4537435492464308</c:v>
                </c:pt>
                <c:pt idx="282">
                  <c:v>-3.6811061748646532</c:v>
                </c:pt>
                <c:pt idx="283">
                  <c:v>-3.9101223497916306</c:v>
                </c:pt>
                <c:pt idx="284">
                  <c:v>-4.140825625954589</c:v>
                </c:pt>
                <c:pt idx="285">
                  <c:v>-4.373246455488208</c:v>
                </c:pt>
                <c:pt idx="286">
                  <c:v>-4.6074119740505335</c:v>
                </c:pt>
                <c:pt idx="287">
                  <c:v>-4.8433457965331934</c:v>
                </c:pt>
                <c:pt idx="288">
                  <c:v>-5.0810678267969163</c:v>
                </c:pt>
                <c:pt idx="289">
                  <c:v>-5.3205940829539191</c:v>
                </c:pt>
                <c:pt idx="290">
                  <c:v>-5.5619365395871441</c:v>
                </c:pt>
                <c:pt idx="291">
                  <c:v>-5.8051029881536191</c:v>
                </c:pt>
                <c:pt idx="292">
                  <c:v>-6.0500969166662273</c:v>
                </c:pt>
                <c:pt idx="293">
                  <c:v>-6.2969174095789304</c:v>
                </c:pt>
                <c:pt idx="294">
                  <c:v>-6.5455590686329588</c:v>
                </c:pt>
                <c:pt idx="295">
                  <c:v>-6.7960119552399725</c:v>
                </c:pt>
                <c:pt idx="296">
                  <c:v>-7.0482615548015701</c:v>
                </c:pt>
                <c:pt idx="297">
                  <c:v>-7.3022887631857278</c:v>
                </c:pt>
                <c:pt idx="298">
                  <c:v>-7.5580698954035705</c:v>
                </c:pt>
                <c:pt idx="299">
                  <c:v>-7.8155767163577501</c:v>
                </c:pt>
                <c:pt idx="300">
                  <c:v>-8.0747764933725144</c:v>
                </c:pt>
                <c:pt idx="301">
                  <c:v>-8.3356320700552207</c:v>
                </c:pt>
                <c:pt idx="302">
                  <c:v>-8.5981019608969689</c:v>
                </c:pt>
                <c:pt idx="303">
                  <c:v>-8.8621404658836092</c:v>
                </c:pt>
                <c:pt idx="304">
                  <c:v>-9.1276978042661838</c:v>
                </c:pt>
                <c:pt idx="305">
                  <c:v>-9.3947202665321434</c:v>
                </c:pt>
                <c:pt idx="306">
                  <c:v>-9.6631503835196426</c:v>
                </c:pt>
                <c:pt idx="307">
                  <c:v>-9.932927111538536</c:v>
                </c:pt>
                <c:pt idx="308">
                  <c:v>-10.203986032288663</c:v>
                </c:pt>
                <c:pt idx="309">
                  <c:v>-10.476259566311271</c:v>
                </c:pt>
                <c:pt idx="310">
                  <c:v>-10.749677198665053</c:v>
                </c:pt>
                <c:pt idx="311">
                  <c:v>-11.024165715485614</c:v>
                </c:pt>
                <c:pt idx="312">
                  <c:v>-11.2996494500642</c:v>
                </c:pt>
                <c:pt idx="313">
                  <c:v>-11.576050537070754</c:v>
                </c:pt>
                <c:pt idx="314">
                  <c:v>-11.853289173542635</c:v>
                </c:pt>
                <c:pt idx="315">
                  <c:v>-12.131283885263265</c:v>
                </c:pt>
                <c:pt idx="316">
                  <c:v>-12.409951797169086</c:v>
                </c:pt>
                <c:pt idx="317">
                  <c:v>-12.689208906437518</c:v>
                </c:pt>
                <c:pt idx="318">
                  <c:v>-12.968970356932317</c:v>
                </c:pt>
                <c:pt idx="319">
                  <c:v>-13.249150713708481</c:v>
                </c:pt>
                <c:pt idx="320">
                  <c:v>-13.529664236310303</c:v>
                </c:pt>
                <c:pt idx="321">
                  <c:v>-13.810425149627418</c:v>
                </c:pt>
                <c:pt idx="322">
                  <c:v>-14.091347911111257</c:v>
                </c:pt>
                <c:pt idx="323">
                  <c:v>-14.37234747319237</c:v>
                </c:pt>
                <c:pt idx="324">
                  <c:v>-14.653339539782323</c:v>
                </c:pt>
                <c:pt idx="325">
                  <c:v>-14.93424081578349</c:v>
                </c:pt>
                <c:pt idx="326">
                  <c:v>-15.21496924858025</c:v>
                </c:pt>
                <c:pt idx="327">
                  <c:v>-15.495444260534001</c:v>
                </c:pt>
                <c:pt idx="328">
                  <c:v>-15.775586971554398</c:v>
                </c:pt>
                <c:pt idx="329">
                  <c:v>-16.055320410879006</c:v>
                </c:pt>
                <c:pt idx="330">
                  <c:v>-16.334569717248154</c:v>
                </c:pt>
                <c:pt idx="331">
                  <c:v>-16.613262326731768</c:v>
                </c:pt>
                <c:pt idx="332">
                  <c:v>-16.891328147526131</c:v>
                </c:pt>
                <c:pt idx="333">
                  <c:v>-17.168699721116351</c:v>
                </c:pt>
                <c:pt idx="334">
                  <c:v>-17.445312369272884</c:v>
                </c:pt>
                <c:pt idx="335">
                  <c:v>-17.721104326433835</c:v>
                </c:pt>
                <c:pt idx="336">
                  <c:v>-17.996016857106238</c:v>
                </c:pt>
                <c:pt idx="337">
                  <c:v>-18.269994358013122</c:v>
                </c:pt>
                <c:pt idx="338">
                  <c:v>-18.54298444479808</c:v>
                </c:pt>
                <c:pt idx="339">
                  <c:v>-18.814938023198966</c:v>
                </c:pt>
                <c:pt idx="340">
                  <c:v>-19.085809344693068</c:v>
                </c:pt>
                <c:pt idx="341">
                  <c:v>-19.355556046716384</c:v>
                </c:pt>
                <c:pt idx="342">
                  <c:v>-19.624139177651728</c:v>
                </c:pt>
                <c:pt idx="343">
                  <c:v>-19.891523206878883</c:v>
                </c:pt>
                <c:pt idx="344">
                  <c:v>-20.157676020269292</c:v>
                </c:pt>
                <c:pt idx="345">
                  <c:v>-20.422568901597455</c:v>
                </c:pt>
                <c:pt idx="346">
                  <c:v>-20.686176500426821</c:v>
                </c:pt>
                <c:pt idx="347">
                  <c:v>-20.948476787102159</c:v>
                </c:pt>
                <c:pt idx="348">
                  <c:v>-21.20945099555794</c:v>
                </c:pt>
                <c:pt idx="349">
                  <c:v>-21.469083554709506</c:v>
                </c:pt>
                <c:pt idx="350">
                  <c:v>-21.727362009256375</c:v>
                </c:pt>
                <c:pt idx="351">
                  <c:v>-21.984276930767717</c:v>
                </c:pt>
                <c:pt idx="352">
                  <c:v>-22.239821819962078</c:v>
                </c:pt>
                <c:pt idx="353">
                  <c:v>-22.493993001118099</c:v>
                </c:pt>
                <c:pt idx="354">
                  <c:v>-22.746789509573663</c:v>
                </c:pt>
                <c:pt idx="355">
                  <c:v>-22.99821297327647</c:v>
                </c:pt>
                <c:pt idx="356">
                  <c:v>-23.248267489349452</c:v>
                </c:pt>
                <c:pt idx="357">
                  <c:v>-23.496959496625148</c:v>
                </c:pt>
                <c:pt idx="358">
                  <c:v>-23.744297645080962</c:v>
                </c:pt>
                <c:pt idx="359">
                  <c:v>-23.990292663083888</c:v>
                </c:pt>
                <c:pt idx="360">
                  <c:v>-24.234957223317011</c:v>
                </c:pt>
                <c:pt idx="361">
                  <c:v>-24.478305808220234</c:v>
                </c:pt>
                <c:pt idx="362">
                  <c:v>-24.720354575730759</c:v>
                </c:pt>
                <c:pt idx="363">
                  <c:v>-24.961121226060538</c:v>
                </c:pt>
                <c:pt idx="364">
                  <c:v>-25.200624870189632</c:v>
                </c:pt>
                <c:pt idx="365">
                  <c:v>-25.43888590069912</c:v>
                </c:pt>
                <c:pt idx="366">
                  <c:v>-25.675925865510525</c:v>
                </c:pt>
                <c:pt idx="367">
                  <c:v>-25.911767345031635</c:v>
                </c:pt>
                <c:pt idx="368">
                  <c:v>-26.146433833156525</c:v>
                </c:pt>
                <c:pt idx="369">
                  <c:v>-26.379949622499225</c:v>
                </c:pt>
                <c:pt idx="370">
                  <c:v>-26.612339694189767</c:v>
                </c:pt>
                <c:pt idx="371">
                  <c:v>-26.843629612496315</c:v>
                </c:pt>
                <c:pt idx="372">
                  <c:v>-27.073845424489733</c:v>
                </c:pt>
                <c:pt idx="373">
                  <c:v>-27.303013564908333</c:v>
                </c:pt>
                <c:pt idx="374">
                  <c:v>-27.531160766337848</c:v>
                </c:pt>
                <c:pt idx="375">
                  <c:v>-27.758313974769703</c:v>
                </c:pt>
                <c:pt idx="376">
                  <c:v>-27.984500270564247</c:v>
                </c:pt>
                <c:pt idx="377">
                  <c:v>-28.209746794804836</c:v>
                </c:pt>
                <c:pt idx="378">
                  <c:v>-28.434080680991364</c:v>
                </c:pt>
                <c:pt idx="379">
                  <c:v>-28.657528991998184</c:v>
                </c:pt>
                <c:pt idx="380">
                  <c:v>-28.88011866218563</c:v>
                </c:pt>
                <c:pt idx="381">
                  <c:v>-29.101876444536966</c:v>
                </c:pt>
                <c:pt idx="382">
                  <c:v>-29.32282886267047</c:v>
                </c:pt>
                <c:pt idx="383">
                  <c:v>-29.543002167558406</c:v>
                </c:pt>
                <c:pt idx="384">
                  <c:v>-29.762422298773593</c:v>
                </c:pt>
                <c:pt idx="385">
                  <c:v>-29.981114850070419</c:v>
                </c:pt>
                <c:pt idx="386">
                  <c:v>-30.19910503910242</c:v>
                </c:pt>
                <c:pt idx="387">
                  <c:v>-30.416417681069817</c:v>
                </c:pt>
                <c:pt idx="388">
                  <c:v>-30.633077166090338</c:v>
                </c:pt>
                <c:pt idx="389">
                  <c:v>-30.849107440081305</c:v>
                </c:pt>
                <c:pt idx="390">
                  <c:v>-31.064531988946207</c:v>
                </c:pt>
                <c:pt idx="391">
                  <c:v>-31.27937382585781</c:v>
                </c:pt>
                <c:pt idx="392">
                  <c:v>-31.493655481433525</c:v>
                </c:pt>
                <c:pt idx="393">
                  <c:v>-31.707398996605161</c:v>
                </c:pt>
                <c:pt idx="394">
                  <c:v>-31.920625917989561</c:v>
                </c:pt>
                <c:pt idx="395">
                  <c:v>-32.133357295573653</c:v>
                </c:pt>
                <c:pt idx="396">
                  <c:v>-32.345613682533426</c:v>
                </c:pt>
                <c:pt idx="397">
                  <c:v>-32.557415137016264</c:v>
                </c:pt>
                <c:pt idx="398">
                  <c:v>-32.768781225722421</c:v>
                </c:pt>
                <c:pt idx="399">
                  <c:v>-32.979731029129901</c:v>
                </c:pt>
                <c:pt idx="400">
                  <c:v>-33.190283148215897</c:v>
                </c:pt>
                <c:pt idx="401">
                  <c:v>-33.400455712536839</c:v>
                </c:pt>
                <c:pt idx="402">
                  <c:v>-33.610266389537856</c:v>
                </c:pt>
                <c:pt idx="403">
                  <c:v>-33.819732394969357</c:v>
                </c:pt>
                <c:pt idx="404">
                  <c:v>-34.028870504298077</c:v>
                </c:pt>
                <c:pt idx="405">
                  <c:v>-34.237697065010153</c:v>
                </c:pt>
                <c:pt idx="406">
                  <c:v>-34.446228009706509</c:v>
                </c:pt>
                <c:pt idx="407">
                  <c:v>-34.654478869904054</c:v>
                </c:pt>
                <c:pt idx="408">
                  <c:v>-34.862464790460891</c:v>
                </c:pt>
                <c:pt idx="409">
                  <c:v>-35.070200544550552</c:v>
                </c:pt>
                <c:pt idx="410">
                  <c:v>-35.277700549118599</c:v>
                </c:pt>
                <c:pt idx="411">
                  <c:v>-35.484978880760998</c:v>
                </c:pt>
                <c:pt idx="412">
                  <c:v>-35.692049291968004</c:v>
                </c:pt>
                <c:pt idx="413">
                  <c:v>-35.898925227686775</c:v>
                </c:pt>
                <c:pt idx="414">
                  <c:v>-36.10561984215807</c:v>
                </c:pt>
                <c:pt idx="415">
                  <c:v>-36.312146015987793</c:v>
                </c:pt>
                <c:pt idx="416">
                  <c:v>-36.518516373422678</c:v>
                </c:pt>
                <c:pt idx="417">
                  <c:v>-36.724743299798071</c:v>
                </c:pt>
                <c:pt idx="418">
                  <c:v>-36.930838959135606</c:v>
                </c:pt>
                <c:pt idx="419">
                  <c:v>-37.136815311867302</c:v>
                </c:pt>
                <c:pt idx="420">
                  <c:v>-37.34268413267128</c:v>
                </c:pt>
                <c:pt idx="421">
                  <c:v>-37.548457028403533</c:v>
                </c:pt>
                <c:pt idx="422">
                  <c:v>-37.754145456114642</c:v>
                </c:pt>
                <c:pt idx="423">
                  <c:v>-37.959760741143363</c:v>
                </c:pt>
                <c:pt idx="424">
                  <c:v>-38.165314095282035</c:v>
                </c:pt>
                <c:pt idx="425">
                  <c:v>-38.370816635008993</c:v>
                </c:pt>
                <c:pt idx="426">
                  <c:v>-38.576279399787367</c:v>
                </c:pt>
                <c:pt idx="427">
                  <c:v>-38.781713370428925</c:v>
                </c:pt>
                <c:pt idx="428">
                  <c:v>-38.987129487526929</c:v>
                </c:pt>
                <c:pt idx="429">
                  <c:v>-39.192538669959795</c:v>
                </c:pt>
                <c:pt idx="430">
                  <c:v>-39.397951833468319</c:v>
                </c:pt>
                <c:pt idx="431">
                  <c:v>-39.603379909314789</c:v>
                </c:pt>
                <c:pt idx="432">
                  <c:v>-39.808833863026472</c:v>
                </c:pt>
                <c:pt idx="433">
                  <c:v>-40.014324713232114</c:v>
                </c:pt>
                <c:pt idx="434">
                  <c:v>-40.219863550596521</c:v>
                </c:pt>
                <c:pt idx="435">
                  <c:v>-40.425461556860625</c:v>
                </c:pt>
                <c:pt idx="436">
                  <c:v>-40.631130023993791</c:v>
                </c:pt>
                <c:pt idx="437">
                  <c:v>-40.836880373463899</c:v>
                </c:pt>
                <c:pt idx="438">
                  <c:v>-41.042724175631662</c:v>
                </c:pt>
                <c:pt idx="439">
                  <c:v>-41.248673169274461</c:v>
                </c:pt>
                <c:pt idx="440">
                  <c:v>-41.454739281243036</c:v>
                </c:pt>
                <c:pt idx="441">
                  <c:v>-41.660934646255797</c:v>
                </c:pt>
                <c:pt idx="442">
                  <c:v>-41.867271626830274</c:v>
                </c:pt>
                <c:pt idx="443">
                  <c:v>-42.073762833354174</c:v>
                </c:pt>
                <c:pt idx="444">
                  <c:v>-42.280421144292959</c:v>
                </c:pt>
                <c:pt idx="445">
                  <c:v>-42.487259726531448</c:v>
                </c:pt>
                <c:pt idx="446">
                  <c:v>-42.694292055842212</c:v>
                </c:pt>
                <c:pt idx="447">
                  <c:v>-42.901531937474388</c:v>
                </c:pt>
                <c:pt idx="448">
                  <c:v>-43.108993526849027</c:v>
                </c:pt>
                <c:pt idx="449">
                  <c:v>-43.316691350348322</c:v>
                </c:pt>
                <c:pt idx="450">
                  <c:v>-43.524640326181355</c:v>
                </c:pt>
                <c:pt idx="451">
                  <c:v>-43.732855785302959</c:v>
                </c:pt>
                <c:pt idx="452">
                  <c:v>-43.941353492361941</c:v>
                </c:pt>
                <c:pt idx="453">
                  <c:v>-44.150149666647295</c:v>
                </c:pt>
                <c:pt idx="454">
                  <c:v>-44.359261002999844</c:v>
                </c:pt>
                <c:pt idx="455">
                  <c:v>-44.56870469264728</c:v>
                </c:pt>
                <c:pt idx="456">
                  <c:v>-44.77849844391919</c:v>
                </c:pt>
                <c:pt idx="457">
                  <c:v>-44.988660502791681</c:v>
                </c:pt>
                <c:pt idx="458">
                  <c:v>-45.199209673203242</c:v>
                </c:pt>
                <c:pt idx="459">
                  <c:v>-45.410165337080699</c:v>
                </c:pt>
                <c:pt idx="460">
                  <c:v>-45.621547474003386</c:v>
                </c:pt>
                <c:pt idx="461">
                  <c:v>-45.833376680430831</c:v>
                </c:pt>
                <c:pt idx="462">
                  <c:v>-46.045674188406778</c:v>
                </c:pt>
                <c:pt idx="463">
                  <c:v>-46.258461883650696</c:v>
                </c:pt>
                <c:pt idx="464">
                  <c:v>-46.471762322934566</c:v>
                </c:pt>
                <c:pt idx="465">
                  <c:v>-46.685598750636885</c:v>
                </c:pt>
                <c:pt idx="466">
                  <c:v>-46.899995114359363</c:v>
                </c:pt>
                <c:pt idx="467">
                  <c:v>-47.114976079479433</c:v>
                </c:pt>
                <c:pt idx="468">
                  <c:v>-47.330567042504825</c:v>
                </c:pt>
                <c:pt idx="469">
                  <c:v>-47.546794143090253</c:v>
                </c:pt>
                <c:pt idx="470">
                  <c:v>-47.763684274563722</c:v>
                </c:pt>
                <c:pt idx="471">
                  <c:v>-47.98126509280435</c:v>
                </c:pt>
                <c:pt idx="472">
                  <c:v>-48.199565023303933</c:v>
                </c:pt>
                <c:pt idx="473">
                  <c:v>-48.41861326623922</c:v>
                </c:pt>
                <c:pt idx="474">
                  <c:v>-48.638439799372108</c:v>
                </c:pt>
                <c:pt idx="475">
                  <c:v>-48.859075378589125</c:v>
                </c:pt>
                <c:pt idx="476">
                  <c:v>-49.080551535888247</c:v>
                </c:pt>
                <c:pt idx="477">
                  <c:v>-49.302900574613147</c:v>
                </c:pt>
                <c:pt idx="478">
                  <c:v>-49.526155561733546</c:v>
                </c:pt>
                <c:pt idx="479">
                  <c:v>-49.750350316967513</c:v>
                </c:pt>
                <c:pt idx="480">
                  <c:v>-49.975519398542836</c:v>
                </c:pt>
                <c:pt idx="481">
                  <c:v>-50.201698085392351</c:v>
                </c:pt>
                <c:pt idx="482">
                  <c:v>-50.428922355584966</c:v>
                </c:pt>
                <c:pt idx="483">
                  <c:v>-50.657228860797183</c:v>
                </c:pt>
                <c:pt idx="484">
                  <c:v>-50.886654896639875</c:v>
                </c:pt>
                <c:pt idx="485">
                  <c:v>-51.11723836866355</c:v>
                </c:pt>
                <c:pt idx="486">
                  <c:v>-51.349017753879728</c:v>
                </c:pt>
                <c:pt idx="487">
                  <c:v>-51.582032057653812</c:v>
                </c:pt>
                <c:pt idx="488">
                  <c:v>-51.816320765840153</c:v>
                </c:pt>
                <c:pt idx="489">
                  <c:v>-52.051923792058538</c:v>
                </c:pt>
                <c:pt idx="490">
                  <c:v>-52.288881420032645</c:v>
                </c:pt>
                <c:pt idx="491">
                  <c:v>-52.52723424094296</c:v>
                </c:pt>
                <c:pt idx="492">
                  <c:v>-52.767023085779869</c:v>
                </c:pt>
                <c:pt idx="493">
                  <c:v>-53.008288952717059</c:v>
                </c:pt>
                <c:pt idx="494">
                  <c:v>-53.251072929567613</c:v>
                </c:pt>
                <c:pt idx="495">
                  <c:v>-53.495416111426422</c:v>
                </c:pt>
                <c:pt idx="496">
                  <c:v>-53.741359513647311</c:v>
                </c:pt>
                <c:pt idx="497">
                  <c:v>-53.988943980354236</c:v>
                </c:pt>
                <c:pt idx="498">
                  <c:v>-54.238210088732401</c:v>
                </c:pt>
                <c:pt idx="499">
                  <c:v>-54.489198049398915</c:v>
                </c:pt>
                <c:pt idx="500">
                  <c:v>-54.74194760320627</c:v>
                </c:pt>
                <c:pt idx="501">
                  <c:v>-54.996497914881203</c:v>
                </c:pt>
                <c:pt idx="502">
                  <c:v>-55.252887463958793</c:v>
                </c:pt>
                <c:pt idx="503">
                  <c:v>-55.511153933519928</c:v>
                </c:pt>
                <c:pt idx="504">
                  <c:v>-55.771334097289724</c:v>
                </c:pt>
                <c:pt idx="505">
                  <c:v>-56.03346370570469</c:v>
                </c:pt>
                <c:pt idx="506">
                  <c:v>-56.297577371593093</c:v>
                </c:pt>
                <c:pt idx="507">
                  <c:v>-56.563708456157698</c:v>
                </c:pt>
                <c:pt idx="508">
                  <c:v>-56.831888955977803</c:v>
                </c:pt>
                <c:pt idx="509">
                  <c:v>-57.102149391775484</c:v>
                </c:pt>
                <c:pt idx="510">
                  <c:v>-57.37451869970991</c:v>
                </c:pt>
                <c:pt idx="511">
                  <c:v>-57.649024125973689</c:v>
                </c:pt>
                <c:pt idx="512">
                  <c:v>-57.92569112546871</c:v>
                </c:pt>
                <c:pt idx="513">
                  <c:v>-58.204543265330599</c:v>
                </c:pt>
                <c:pt idx="514">
                  <c:v>-58.485602134056343</c:v>
                </c:pt>
                <c:pt idx="515">
                  <c:v>-58.768887256962536</c:v>
                </c:pt>
                <c:pt idx="516">
                  <c:v>-59.054416018668185</c:v>
                </c:pt>
                <c:pt idx="517">
                  <c:v>-59.342203593249579</c:v>
                </c:pt>
                <c:pt idx="518">
                  <c:v>-59.632262882661024</c:v>
                </c:pt>
                <c:pt idx="519">
                  <c:v>-59.924604463955447</c:v>
                </c:pt>
                <c:pt idx="520">
                  <c:v>-60.219236545765767</c:v>
                </c:pt>
                <c:pt idx="521">
                  <c:v>-60.516164934433334</c:v>
                </c:pt>
                <c:pt idx="522">
                  <c:v>-60.815393010085764</c:v>
                </c:pt>
                <c:pt idx="523">
                  <c:v>-61.116921712880341</c:v>
                </c:pt>
                <c:pt idx="524">
                  <c:v>-61.42074953953977</c:v>
                </c:pt>
                <c:pt idx="525">
                  <c:v>-61.726872550210388</c:v>
                </c:pt>
                <c:pt idx="526">
                  <c:v>-62.035284385585577</c:v>
                </c:pt>
                <c:pt idx="527">
                  <c:v>-62.345976294141686</c:v>
                </c:pt>
                <c:pt idx="528">
                  <c:v>-62.658937169244609</c:v>
                </c:pt>
                <c:pt idx="529">
                  <c:v>-62.97415359580188</c:v>
                </c:pt>
                <c:pt idx="530">
                  <c:v>-63.29160990604808</c:v>
                </c:pt>
                <c:pt idx="531">
                  <c:v>-63.611288243985399</c:v>
                </c:pt>
                <c:pt idx="532">
                  <c:v>-63.933168637923963</c:v>
                </c:pt>
                <c:pt idx="533">
                  <c:v>-64.257229080515131</c:v>
                </c:pt>
                <c:pt idx="534">
                  <c:v>-64.583445615613357</c:v>
                </c:pt>
                <c:pt idx="535">
                  <c:v>-64.911792431265042</c:v>
                </c:pt>
                <c:pt idx="536">
                  <c:v>-65.242241958086169</c:v>
                </c:pt>
                <c:pt idx="537">
                  <c:v>-65.574764972273428</c:v>
                </c:pt>
                <c:pt idx="538">
                  <c:v>-65.909330702472289</c:v>
                </c:pt>
                <c:pt idx="539">
                  <c:v>-66.245906939729821</c:v>
                </c:pt>
                <c:pt idx="540">
                  <c:v>-66.584460149757859</c:v>
                </c:pt>
                <c:pt idx="541">
                  <c:v>-66.924955586752091</c:v>
                </c:pt>
              </c:numCache>
            </c:numRef>
          </c:yVal>
          <c:smooth val="1"/>
          <c:extLst>
            <c:ext xmlns:c16="http://schemas.microsoft.com/office/drawing/2014/chart" uri="{C3380CC4-5D6E-409C-BE32-E72D297353CC}">
              <c16:uniqueId val="{00000000-08A4-45AE-BD5A-C2D048D75805}"/>
            </c:ext>
          </c:extLst>
        </c:ser>
        <c:dLbls>
          <c:showLegendKey val="0"/>
          <c:showVal val="0"/>
          <c:showCatName val="0"/>
          <c:showSerName val="0"/>
          <c:showPercent val="0"/>
          <c:showBubbleSize val="0"/>
        </c:dLbls>
        <c:axId val="555528192"/>
        <c:axId val="555530112"/>
      </c:scatterChart>
      <c:scatterChart>
        <c:scatterStyle val="smoothMarker"/>
        <c:varyColors val="0"/>
        <c:ser>
          <c:idx val="1"/>
          <c:order val="1"/>
          <c:spPr>
            <a:ln w="38100">
              <a:solidFill>
                <a:schemeClr val="tx1">
                  <a:lumMod val="95000"/>
                  <a:lumOff val="5000"/>
                </a:schemeClr>
              </a:solidFill>
              <a:prstDash val="sysDash"/>
            </a:ln>
          </c:spPr>
          <c:marker>
            <c:symbol val="none"/>
          </c:marker>
          <c:xVal>
            <c:numRef>
              <c:f>Control_Loop_Tables!$N$19:$N$560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Control_Loop_Tables!$BL$19:$BL$560</c:f>
              <c:numCache>
                <c:formatCode>General</c:formatCode>
                <c:ptCount val="542"/>
                <c:pt idx="0">
                  <c:v>91.470838711691101</c:v>
                </c:pt>
                <c:pt idx="1">
                  <c:v>91.504591547402327</c:v>
                </c:pt>
                <c:pt idx="2">
                  <c:v>91.539094671682236</c:v>
                </c:pt>
                <c:pt idx="3">
                  <c:v>91.574363037352242</c:v>
                </c:pt>
                <c:pt idx="4">
                  <c:v>91.610411770457546</c:v>
                </c:pt>
                <c:pt idx="5">
                  <c:v>91.647256162428206</c:v>
                </c:pt>
                <c:pt idx="6">
                  <c:v>91.684911661286051</c:v>
                </c:pt>
                <c:pt idx="7">
                  <c:v>91.72339386182631</c:v>
                </c:pt>
                <c:pt idx="8">
                  <c:v>91.762718494704814</c:v>
                </c:pt>
                <c:pt idx="9">
                  <c:v>91.802901414351652</c:v>
                </c:pt>
                <c:pt idx="10">
                  <c:v>91.843958585631739</c:v>
                </c:pt>
                <c:pt idx="11">
                  <c:v>91.885906069167959</c:v>
                </c:pt>
                <c:pt idx="12">
                  <c:v>91.928760005236711</c:v>
                </c:pt>
                <c:pt idx="13">
                  <c:v>91.972536596141936</c:v>
                </c:pt>
                <c:pt idx="14">
                  <c:v>92.017252086970345</c:v>
                </c:pt>
                <c:pt idx="15">
                  <c:v>92.062922744623691</c:v>
                </c:pt>
                <c:pt idx="16">
                  <c:v>92.109564835020663</c:v>
                </c:pt>
                <c:pt idx="17">
                  <c:v>92.157194598355588</c:v>
                </c:pt>
                <c:pt idx="18">
                  <c:v>92.205828222297427</c:v>
                </c:pt>
                <c:pt idx="19">
                  <c:v>92.255481813006057</c:v>
                </c:pt>
                <c:pt idx="20">
                  <c:v>92.30617136383934</c:v>
                </c:pt>
                <c:pt idx="21">
                  <c:v>92.357912721619982</c:v>
                </c:pt>
                <c:pt idx="22">
                  <c:v>92.410721550326727</c:v>
                </c:pt>
                <c:pt idx="23">
                  <c:v>92.464613292069757</c:v>
                </c:pt>
                <c:pt idx="24">
                  <c:v>92.519603125206217</c:v>
                </c:pt>
                <c:pt idx="25">
                  <c:v>92.575705919450982</c:v>
                </c:pt>
                <c:pt idx="26">
                  <c:v>92.6329361878295</c:v>
                </c:pt>
                <c:pt idx="27">
                  <c:v>92.691308035322592</c:v>
                </c:pt>
                <c:pt idx="28">
                  <c:v>92.750835104048193</c:v>
                </c:pt>
                <c:pt idx="29">
                  <c:v>92.811530514824028</c:v>
                </c:pt>
                <c:pt idx="30">
                  <c:v>92.873406804955948</c:v>
                </c:pt>
                <c:pt idx="31">
                  <c:v>92.936475862098703</c:v>
                </c:pt>
                <c:pt idx="32">
                  <c:v>93.000748854033716</c:v>
                </c:pt>
                <c:pt idx="33">
                  <c:v>93.066236154216995</c:v>
                </c:pt>
                <c:pt idx="34">
                  <c:v>93.132947262951717</c:v>
                </c:pt>
                <c:pt idx="35">
                  <c:v>93.200890724047525</c:v>
                </c:pt>
                <c:pt idx="36">
                  <c:v>93.270074036838594</c:v>
                </c:pt>
                <c:pt idx="37">
                  <c:v>93.340503563440535</c:v>
                </c:pt>
                <c:pt idx="38">
                  <c:v>93.412184431140531</c:v>
                </c:pt>
                <c:pt idx="39">
                  <c:v>93.485120429832534</c:v>
                </c:pt>
                <c:pt idx="40">
                  <c:v>93.559313904424059</c:v>
                </c:pt>
                <c:pt idx="41">
                  <c:v>93.634765642165149</c:v>
                </c:pt>
                <c:pt idx="42">
                  <c:v>93.711474754875709</c:v>
                </c:pt>
                <c:pt idx="43">
                  <c:v>93.789438556073719</c:v>
                </c:pt>
                <c:pt idx="44">
                  <c:v>93.868652433040879</c:v>
                </c:pt>
                <c:pt idx="45">
                  <c:v>93.949109713899517</c:v>
                </c:pt>
                <c:pt idx="46">
                  <c:v>94.030801529813687</c:v>
                </c:pt>
                <c:pt idx="47">
                  <c:v>94.113716672475533</c:v>
                </c:pt>
                <c:pt idx="48">
                  <c:v>94.197841447089246</c:v>
                </c:pt>
                <c:pt idx="49">
                  <c:v>94.283159521117057</c:v>
                </c:pt>
                <c:pt idx="50">
                  <c:v>94.369651769119173</c:v>
                </c:pt>
                <c:pt idx="51">
                  <c:v>94.457296114080265</c:v>
                </c:pt>
                <c:pt idx="52">
                  <c:v>94.546067365692949</c:v>
                </c:pt>
                <c:pt idx="53">
                  <c:v>94.635937056143746</c:v>
                </c:pt>
                <c:pt idx="54">
                  <c:v>94.726873274028108</c:v>
                </c:pt>
                <c:pt idx="55">
                  <c:v>94.818840497117932</c:v>
                </c:pt>
                <c:pt idx="56">
                  <c:v>94.91179942478766</c:v>
                </c:pt>
                <c:pt idx="57">
                  <c:v>95.005706811013823</c:v>
                </c:pt>
                <c:pt idx="58">
                  <c:v>95.100515298957831</c:v>
                </c:pt>
                <c:pt idx="59">
                  <c:v>95.196173258252941</c:v>
                </c:pt>
                <c:pt idx="60">
                  <c:v>95.292624626221269</c:v>
                </c:pt>
                <c:pt idx="61">
                  <c:v>95.389808754358157</c:v>
                </c:pt>
                <c:pt idx="62">
                  <c:v>95.487660261536902</c:v>
                </c:pt>
                <c:pt idx="63">
                  <c:v>95.586108895483306</c:v>
                </c:pt>
                <c:pt idx="64">
                  <c:v>95.685079404193829</c:v>
                </c:pt>
                <c:pt idx="65">
                  <c:v>95.784491419060018</c:v>
                </c:pt>
                <c:pt idx="66">
                  <c:v>95.884259351564893</c:v>
                </c:pt>
                <c:pt idx="67">
                  <c:v>95.984292305503686</c:v>
                </c:pt>
                <c:pt idx="68">
                  <c:v>96.084494006756344</c:v>
                </c:pt>
                <c:pt idx="69">
                  <c:v>96.184762752704032</c:v>
                </c:pt>
                <c:pt idx="70">
                  <c:v>96.284991383427965</c:v>
                </c:pt>
                <c:pt idx="71">
                  <c:v>96.385067276856205</c:v>
                </c:pt>
                <c:pt idx="72">
                  <c:v>96.484872370028214</c:v>
                </c:pt>
                <c:pt idx="73">
                  <c:v>96.584283208629813</c:v>
                </c:pt>
                <c:pt idx="74">
                  <c:v>96.68317102690223</c:v>
                </c:pt>
                <c:pt idx="75">
                  <c:v>96.781401859948318</c:v>
                </c:pt>
                <c:pt idx="76">
                  <c:v>96.878836690350568</c:v>
                </c:pt>
                <c:pt idx="77">
                  <c:v>96.975331630866435</c:v>
                </c:pt>
                <c:pt idx="78">
                  <c:v>97.070738144780023</c:v>
                </c:pt>
                <c:pt idx="79">
                  <c:v>97.164903305267785</c:v>
                </c:pt>
                <c:pt idx="80">
                  <c:v>97.257670094867706</c:v>
                </c:pt>
                <c:pt idx="81">
                  <c:v>97.348877745840454</c:v>
                </c:pt>
                <c:pt idx="82">
                  <c:v>97.438362121864103</c:v>
                </c:pt>
                <c:pt idx="83">
                  <c:v>97.525956141120986</c:v>
                </c:pt>
                <c:pt idx="84">
                  <c:v>97.611490240416259</c:v>
                </c:pt>
                <c:pt idx="85">
                  <c:v>97.694792879515049</c:v>
                </c:pt>
                <c:pt idx="86">
                  <c:v>97.775691084407939</c:v>
                </c:pt>
                <c:pt idx="87">
                  <c:v>97.854011027700224</c:v>
                </c:pt>
                <c:pt idx="88">
                  <c:v>97.929578643808966</c:v>
                </c:pt>
                <c:pt idx="89">
                  <c:v>98.002220276115537</c:v>
                </c:pt>
                <c:pt idx="90">
                  <c:v>98.071763352687725</c:v>
                </c:pt>
                <c:pt idx="91">
                  <c:v>98.138037086659523</c:v>
                </c:pt>
                <c:pt idx="92">
                  <c:v>98.200873196847354</c:v>
                </c:pt>
                <c:pt idx="93">
                  <c:v>98.260106643704304</c:v>
                </c:pt>
                <c:pt idx="94">
                  <c:v>98.315576375256327</c:v>
                </c:pt>
                <c:pt idx="95">
                  <c:v>98.367126077286088</c:v>
                </c:pt>
                <c:pt idx="96">
                  <c:v>98.414604921666594</c:v>
                </c:pt>
                <c:pt idx="97">
                  <c:v>98.457868306496749</c:v>
                </c:pt>
                <c:pt idx="98">
                  <c:v>98.496778581484278</c:v>
                </c:pt>
                <c:pt idx="99">
                  <c:v>98.531205751903329</c:v>
                </c:pt>
                <c:pt idx="100">
                  <c:v>98.561028154440422</c:v>
                </c:pt>
                <c:pt idx="101">
                  <c:v>98.586133098314519</c:v>
                </c:pt>
                <c:pt idx="102">
                  <c:v>98.606417465216026</c:v>
                </c:pt>
                <c:pt idx="103">
                  <c:v>98.621788261893172</c:v>
                </c:pt>
                <c:pt idx="104">
                  <c:v>98.632163119561653</c:v>
                </c:pt>
                <c:pt idx="105">
                  <c:v>98.637470734789048</c:v>
                </c:pt>
                <c:pt idx="106">
                  <c:v>98.637651247042754</c:v>
                </c:pt>
                <c:pt idx="107">
                  <c:v>98.632656548729599</c:v>
                </c:pt>
                <c:pt idx="108">
                  <c:v>98.622450524238531</c:v>
                </c:pt>
                <c:pt idx="109">
                  <c:v>98.607009215283455</c:v>
                </c:pt>
                <c:pt idx="110">
                  <c:v>98.586320910625744</c:v>
                </c:pt>
                <c:pt idx="111">
                  <c:v>98.560386159122686</c:v>
                </c:pt>
                <c:pt idx="112">
                  <c:v>98.529217705887334</c:v>
                </c:pt>
                <c:pt idx="113">
                  <c:v>98.492840352226978</c:v>
                </c:pt>
                <c:pt idx="114">
                  <c:v>98.451290740871542</c:v>
                </c:pt>
                <c:pt idx="115">
                  <c:v>98.404617068829111</c:v>
                </c:pt>
                <c:pt idx="116">
                  <c:v>98.352878730995513</c:v>
                </c:pt>
                <c:pt idx="117">
                  <c:v>98.296145898370924</c:v>
                </c:pt>
                <c:pt idx="118">
                  <c:v>98.234499035402138</c:v>
                </c:pt>
                <c:pt idx="119">
                  <c:v>98.168028361554235</c:v>
                </c:pt>
                <c:pt idx="120">
                  <c:v>98.096833262718278</c:v>
                </c:pt>
                <c:pt idx="121">
                  <c:v>98.021021658469365</c:v>
                </c:pt>
                <c:pt idx="122">
                  <c:v>97.940709331507179</c:v>
                </c:pt>
                <c:pt idx="123">
                  <c:v>97.856019225820532</c:v>
                </c:pt>
                <c:pt idx="124">
                  <c:v>97.767080720236734</c:v>
                </c:pt>
                <c:pt idx="125">
                  <c:v>97.674028884040723</c:v>
                </c:pt>
                <c:pt idx="126">
                  <c:v>97.57700372127016</c:v>
                </c:pt>
                <c:pt idx="127">
                  <c:v>97.476149410140522</c:v>
                </c:pt>
                <c:pt idx="128">
                  <c:v>97.371613543810767</c:v>
                </c:pt>
                <c:pt idx="129">
                  <c:v>97.263546378396327</c:v>
                </c:pt>
                <c:pt idx="130">
                  <c:v>97.152100093754754</c:v>
                </c:pt>
                <c:pt idx="131">
                  <c:v>97.037428072159244</c:v>
                </c:pt>
                <c:pt idx="132">
                  <c:v>96.919684199491513</c:v>
                </c:pt>
                <c:pt idx="133">
                  <c:v>96.799022193103696</c:v>
                </c:pt>
                <c:pt idx="134">
                  <c:v>96.675594959965167</c:v>
                </c:pt>
                <c:pt idx="135">
                  <c:v>96.549553988190809</c:v>
                </c:pt>
                <c:pt idx="136">
                  <c:v>96.421048774506204</c:v>
                </c:pt>
                <c:pt idx="137">
                  <c:v>96.29022628967445</c:v>
                </c:pt>
                <c:pt idx="138">
                  <c:v>96.157230483411368</c:v>
                </c:pt>
                <c:pt idx="139">
                  <c:v>96.022201829798519</c:v>
                </c:pt>
                <c:pt idx="140">
                  <c:v>95.885276913761544</c:v>
                </c:pt>
                <c:pt idx="141">
                  <c:v>95.746588058727752</c:v>
                </c:pt>
                <c:pt idx="142">
                  <c:v>95.606262995183414</c:v>
                </c:pt>
                <c:pt idx="143">
                  <c:v>95.464424569491598</c:v>
                </c:pt>
                <c:pt idx="144">
                  <c:v>95.321190491997839</c:v>
                </c:pt>
                <c:pt idx="145">
                  <c:v>95.176673123176798</c:v>
                </c:pt>
                <c:pt idx="146">
                  <c:v>95.030979296324674</c:v>
                </c:pt>
                <c:pt idx="147">
                  <c:v>94.884210175096911</c:v>
                </c:pt>
                <c:pt idx="148">
                  <c:v>94.736461144033257</c:v>
                </c:pt>
                <c:pt idx="149">
                  <c:v>94.587821730072292</c:v>
                </c:pt>
                <c:pt idx="150">
                  <c:v>94.438375552971266</c:v>
                </c:pt>
                <c:pt idx="151">
                  <c:v>94.288200302484071</c:v>
                </c:pt>
                <c:pt idx="152">
                  <c:v>94.137367740112211</c:v>
                </c:pt>
                <c:pt idx="153">
                  <c:v>93.985943723240808</c:v>
                </c:pt>
                <c:pt idx="154">
                  <c:v>93.833988249490517</c:v>
                </c:pt>
                <c:pt idx="155">
                  <c:v>93.681555519146201</c:v>
                </c:pt>
                <c:pt idx="156">
                  <c:v>93.528694013585834</c:v>
                </c:pt>
                <c:pt idx="157">
                  <c:v>93.375446587698903</c:v>
                </c:pt>
                <c:pt idx="158">
                  <c:v>93.221850574363771</c:v>
                </c:pt>
                <c:pt idx="159">
                  <c:v>93.067937899152184</c:v>
                </c:pt>
                <c:pt idx="160">
                  <c:v>92.913735203518499</c:v>
                </c:pt>
                <c:pt idx="161">
                  <c:v>92.759263974842966</c:v>
                </c:pt>
                <c:pt idx="162">
                  <c:v>92.604540681803201</c:v>
                </c:pt>
                <c:pt idx="163">
                  <c:v>92.449576913654951</c:v>
                </c:pt>
                <c:pt idx="164">
                  <c:v>92.294379522118248</c:v>
                </c:pt>
                <c:pt idx="165">
                  <c:v>92.138950764666873</c:v>
                </c:pt>
                <c:pt idx="166">
                  <c:v>91.983288448129443</c:v>
                </c:pt>
                <c:pt idx="167">
                  <c:v>91.827386071611116</c:v>
                </c:pt>
                <c:pt idx="168">
                  <c:v>91.67123296784537</c:v>
                </c:pt>
                <c:pt idx="169">
                  <c:v>91.514814442177865</c:v>
                </c:pt>
                <c:pt idx="170">
                  <c:v>91.35811190847555</c:v>
                </c:pt>
                <c:pt idx="171">
                  <c:v>91.201103021337488</c:v>
                </c:pt>
                <c:pt idx="172">
                  <c:v>91.043761804064218</c:v>
                </c:pt>
                <c:pt idx="173">
                  <c:v>90.886058771911308</c:v>
                </c:pt>
                <c:pt idx="174">
                  <c:v>90.727961050229538</c:v>
                </c:pt>
                <c:pt idx="175">
                  <c:v>90.569432487143516</c:v>
                </c:pt>
                <c:pt idx="176">
                  <c:v>90.410433760489695</c:v>
                </c:pt>
                <c:pt idx="177">
                  <c:v>90.250922478777525</c:v>
                </c:pt>
                <c:pt idx="178">
                  <c:v>90.090853275989488</c:v>
                </c:pt>
                <c:pt idx="179">
                  <c:v>89.930177900072167</c:v>
                </c:pt>
                <c:pt idx="180">
                  <c:v>89.768845295011772</c:v>
                </c:pt>
                <c:pt idx="181">
                  <c:v>89.606801676419622</c:v>
                </c:pt>
                <c:pt idx="182">
                  <c:v>89.443990600578061</c:v>
                </c:pt>
                <c:pt idx="183">
                  <c:v>89.28035302692787</c:v>
                </c:pt>
                <c:pt idx="184">
                  <c:v>89.115827373994648</c:v>
                </c:pt>
                <c:pt idx="185">
                  <c:v>88.950349568772992</c:v>
                </c:pt>
                <c:pt idx="186">
                  <c:v>88.783853089603582</c:v>
                </c:pt>
                <c:pt idx="187">
                  <c:v>88.616269002587003</c:v>
                </c:pt>
                <c:pt idx="188">
                  <c:v>88.447525991594958</c:v>
                </c:pt>
                <c:pt idx="189">
                  <c:v>88.277550381942802</c:v>
                </c:pt>
                <c:pt idx="190">
                  <c:v>88.106266157799382</c:v>
                </c:pt>
                <c:pt idx="191">
                  <c:v>87.933594973411275</c:v>
                </c:pt>
                <c:pt idx="192">
                  <c:v>87.759456158226598</c:v>
                </c:pt>
                <c:pt idx="193">
                  <c:v>87.583766716007233</c:v>
                </c:pt>
                <c:pt idx="194">
                  <c:v>87.406441318016576</c:v>
                </c:pt>
                <c:pt idx="195">
                  <c:v>87.22739229038028</c:v>
                </c:pt>
                <c:pt idx="196">
                  <c:v>87.046529595712869</c:v>
                </c:pt>
                <c:pt idx="197">
                  <c:v>86.863760809108584</c:v>
                </c:pt>
                <c:pt idx="198">
                  <c:v>86.678991088598792</c:v>
                </c:pt>
                <c:pt idx="199">
                  <c:v>86.49212314017889</c:v>
                </c:pt>
                <c:pt idx="200">
                  <c:v>86.303057177512216</c:v>
                </c:pt>
                <c:pt idx="201">
                  <c:v>86.111690876425257</c:v>
                </c:pt>
                <c:pt idx="202">
                  <c:v>85.917919324312862</c:v>
                </c:pt>
                <c:pt idx="203">
                  <c:v>85.72163496457955</c:v>
                </c:pt>
                <c:pt idx="204">
                  <c:v>85.522727536253782</c:v>
                </c:pt>
                <c:pt idx="205">
                  <c:v>85.321084008920621</c:v>
                </c:pt>
                <c:pt idx="206">
                  <c:v>85.116588513135895</c:v>
                </c:pt>
                <c:pt idx="207">
                  <c:v>84.909122266495942</c:v>
                </c:pt>
                <c:pt idx="208">
                  <c:v>84.698563495556343</c:v>
                </c:pt>
                <c:pt idx="209">
                  <c:v>84.484787353819755</c:v>
                </c:pt>
                <c:pt idx="210">
                  <c:v>84.267665836027618</c:v>
                </c:pt>
                <c:pt idx="211">
                  <c:v>84.047067689026804</c:v>
                </c:pt>
                <c:pt idx="212">
                  <c:v>83.822858319511084</c:v>
                </c:pt>
                <c:pt idx="213">
                  <c:v>83.594899698970949</c:v>
                </c:pt>
                <c:pt idx="214">
                  <c:v>83.363050266225684</c:v>
                </c:pt>
                <c:pt idx="215">
                  <c:v>83.127164827957714</c:v>
                </c:pt>
                <c:pt idx="216">
                  <c:v>82.88709445771552</c:v>
                </c:pt>
                <c:pt idx="217">
                  <c:v>82.642686393904526</c:v>
                </c:pt>
                <c:pt idx="218">
                  <c:v>82.393783937343855</c:v>
                </c:pt>
                <c:pt idx="219">
                  <c:v>82.140226349031991</c:v>
                </c:pt>
                <c:pt idx="220">
                  <c:v>81.881848748828304</c:v>
                </c:pt>
                <c:pt idx="221">
                  <c:v>81.618482015833038</c:v>
                </c:pt>
                <c:pt idx="222">
                  <c:v>81.34995269132915</c:v>
                </c:pt>
                <c:pt idx="223">
                  <c:v>81.076082885225318</c:v>
                </c:pt>
                <c:pt idx="224">
                  <c:v>80.796690187034415</c:v>
                </c:pt>
                <c:pt idx="225">
                  <c:v>80.511587582506721</c:v>
                </c:pt>
                <c:pt idx="226">
                  <c:v>80.220583377138169</c:v>
                </c:pt>
                <c:pt idx="227">
                  <c:v>79.923481127869977</c:v>
                </c:pt>
                <c:pt idx="228">
                  <c:v>79.620079584394844</c:v>
                </c:pt>
                <c:pt idx="229">
                  <c:v>79.31017264158902</c:v>
                </c:pt>
                <c:pt idx="230">
                  <c:v>78.993549304696373</c:v>
                </c:pt>
                <c:pt idx="231">
                  <c:v>78.66999366897879</c:v>
                </c:pt>
                <c:pt idx="232">
                  <c:v>78.339284915665615</c:v>
                </c:pt>
                <c:pt idx="233">
                  <c:v>78.001197326109562</c:v>
                </c:pt>
                <c:pt idx="234">
                  <c:v>77.655500316161934</c:v>
                </c:pt>
                <c:pt idx="235">
                  <c:v>77.301958492846154</c:v>
                </c:pt>
                <c:pt idx="236">
                  <c:v>76.940331735492123</c:v>
                </c:pt>
                <c:pt idx="237">
                  <c:v>76.570375303537702</c:v>
                </c:pt>
                <c:pt idx="238">
                  <c:v>76.191839973252996</c:v>
                </c:pt>
                <c:pt idx="239">
                  <c:v>75.804472205662961</c:v>
                </c:pt>
                <c:pt idx="240">
                  <c:v>75.408014347941204</c:v>
                </c:pt>
                <c:pt idx="241">
                  <c:v>75.002204870527351</c:v>
                </c:pt>
                <c:pt idx="242">
                  <c:v>74.586778642165982</c:v>
                </c:pt>
                <c:pt idx="243">
                  <c:v>74.161467244982092</c:v>
                </c:pt>
                <c:pt idx="244">
                  <c:v>73.725999331587374</c:v>
                </c:pt>
                <c:pt idx="245">
                  <c:v>73.280101026064017</c:v>
                </c:pt>
                <c:pt idx="246">
                  <c:v>72.823496370473109</c:v>
                </c:pt>
                <c:pt idx="247">
                  <c:v>72.355907818297709</c:v>
                </c:pt>
                <c:pt idx="248">
                  <c:v>71.877056775960696</c:v>
                </c:pt>
                <c:pt idx="249">
                  <c:v>71.386664193223254</c:v>
                </c:pt>
                <c:pt idx="250">
                  <c:v>70.884451202906746</c:v>
                </c:pt>
                <c:pt idx="251">
                  <c:v>70.370139809969118</c:v>
                </c:pt>
                <c:pt idx="252">
                  <c:v>69.843453629503571</c:v>
                </c:pt>
                <c:pt idx="253">
                  <c:v>69.30411867273618</c:v>
                </c:pt>
                <c:pt idx="254">
                  <c:v>68.751864179553465</c:v>
                </c:pt>
                <c:pt idx="255">
                  <c:v>68.186423495525275</c:v>
                </c:pt>
                <c:pt idx="256">
                  <c:v>67.607534990791279</c:v>
                </c:pt>
                <c:pt idx="257">
                  <c:v>67.014943017546003</c:v>
                </c:pt>
                <c:pt idx="258">
                  <c:v>66.40839890223026</c:v>
                </c:pt>
                <c:pt idx="259">
                  <c:v>65.787661967890756</c:v>
                </c:pt>
                <c:pt idx="260">
                  <c:v>65.152500581534056</c:v>
                </c:pt>
                <c:pt idx="261">
                  <c:v>64.502693220666913</c:v>
                </c:pt>
                <c:pt idx="262">
                  <c:v>63.838029552636236</c:v>
                </c:pt>
                <c:pt idx="263">
                  <c:v>63.158311519798971</c:v>
                </c:pt>
                <c:pt idx="264">
                  <c:v>62.463354423063926</c:v>
                </c:pt>
                <c:pt idx="265">
                  <c:v>61.752987995886372</c:v>
                </c:pt>
                <c:pt idx="266">
                  <c:v>61.027057460425773</c:v>
                </c:pt>
                <c:pt idx="267">
                  <c:v>60.285424557294412</c:v>
                </c:pt>
                <c:pt idx="268">
                  <c:v>59.527968540127333</c:v>
                </c:pt>
                <c:pt idx="269">
                  <c:v>58.754587126119951</c:v>
                </c:pt>
                <c:pt idx="270">
                  <c:v>57.965197393704223</c:v>
                </c:pt>
                <c:pt idx="271">
                  <c:v>57.159736618680874</c:v>
                </c:pt>
                <c:pt idx="272">
                  <c:v>56.338163040396957</c:v>
                </c:pt>
                <c:pt idx="273">
                  <c:v>55.500456549940836</c:v>
                </c:pt>
                <c:pt idx="274">
                  <c:v>54.646619292855533</c:v>
                </c:pt>
                <c:pt idx="275">
                  <c:v>53.77667617950047</c:v>
                </c:pt>
                <c:pt idx="276">
                  <c:v>52.890675296948473</c:v>
                </c:pt>
                <c:pt idx="277">
                  <c:v>51.988688217164771</c:v>
                </c:pt>
                <c:pt idx="278">
                  <c:v>51.07081019717134</c:v>
                </c:pt>
                <c:pt idx="279">
                  <c:v>50.137160267942612</c:v>
                </c:pt>
                <c:pt idx="280">
                  <c:v>49.187881209883052</c:v>
                </c:pt>
                <c:pt idx="281">
                  <c:v>48.223139413911184</c:v>
                </c:pt>
                <c:pt idx="282">
                  <c:v>47.243124628361926</c:v>
                </c:pt>
                <c:pt idx="283">
                  <c:v>46.248049593144259</c:v>
                </c:pt>
                <c:pt idx="284">
                  <c:v>45.238149563790515</c:v>
                </c:pt>
                <c:pt idx="285">
                  <c:v>44.213681729240086</c:v>
                </c:pt>
                <c:pt idx="286">
                  <c:v>43.174924528329036</c:v>
                </c:pt>
                <c:pt idx="287">
                  <c:v>42.12217687105769</c:v>
                </c:pt>
                <c:pt idx="288">
                  <c:v>41.055757271712068</c:v>
                </c:pt>
                <c:pt idx="289">
                  <c:v>39.976002901820983</c:v>
                </c:pt>
                <c:pt idx="290">
                  <c:v>38.883268571745603</c:v>
                </c:pt>
                <c:pt idx="291">
                  <c:v>37.777925650376453</c:v>
                </c:pt>
                <c:pt idx="292">
                  <c:v>36.660360932951214</c:v>
                </c:pt>
                <c:pt idx="293">
                  <c:v>35.530975467436967</c:v>
                </c:pt>
                <c:pt idx="294">
                  <c:v>34.390183350160683</c:v>
                </c:pt>
                <c:pt idx="295">
                  <c:v>33.238410501502806</c:v>
                </c:pt>
                <c:pt idx="296">
                  <c:v>32.07609343243022</c:v>
                </c:pt>
                <c:pt idx="297">
                  <c:v>30.903678012460173</c:v>
                </c:pt>
                <c:pt idx="298">
                  <c:v>29.721618249330426</c:v>
                </c:pt>
                <c:pt idx="299">
                  <c:v>28.530375090195658</c:v>
                </c:pt>
                <c:pt idx="300">
                  <c:v>27.330415253583954</c:v>
                </c:pt>
                <c:pt idx="301">
                  <c:v>26.122210100662301</c:v>
                </c:pt>
                <c:pt idx="302">
                  <c:v>24.906234553550433</c:v>
                </c:pt>
                <c:pt idx="303">
                  <c:v>23.682966067556332</c:v>
                </c:pt>
                <c:pt idx="304">
                  <c:v>22.452883663242179</c:v>
                </c:pt>
                <c:pt idx="305">
                  <c:v>21.216467023219984</c:v>
                </c:pt>
                <c:pt idx="306">
                  <c:v>19.974195657537617</c:v>
                </c:pt>
                <c:pt idx="307">
                  <c:v>18.726548140431927</c:v>
                </c:pt>
                <c:pt idx="308">
                  <c:v>17.474001420155258</c:v>
                </c:pt>
                <c:pt idx="309">
                  <c:v>16.217030202521499</c:v>
                </c:pt>
                <c:pt idx="310">
                  <c:v>14.95610640775916</c:v>
                </c:pt>
                <c:pt idx="311">
                  <c:v>13.691698699279019</c:v>
                </c:pt>
                <c:pt idx="312">
                  <c:v>12.424272082002524</c:v>
                </c:pt>
                <c:pt idx="313">
                  <c:v>11.154287567029288</c:v>
                </c:pt>
                <c:pt idx="314">
                  <c:v>9.8822018986082583</c:v>
                </c:pt>
                <c:pt idx="315">
                  <c:v>8.6084673386819794</c:v>
                </c:pt>
                <c:pt idx="316">
                  <c:v>7.333531503635081</c:v>
                </c:pt>
                <c:pt idx="317">
                  <c:v>6.0578372473816016</c:v>
                </c:pt>
                <c:pt idx="318">
                  <c:v>4.7818225845065294</c:v>
                </c:pt>
                <c:pt idx="319">
                  <c:v>3.5059206468897006</c:v>
                </c:pt>
                <c:pt idx="320">
                  <c:v>2.2305596670408012</c:v>
                </c:pt>
                <c:pt idx="321">
                  <c:v>0.9561629813265522</c:v>
                </c:pt>
                <c:pt idx="322">
                  <c:v>-0.3168509537211443</c:v>
                </c:pt>
                <c:pt idx="323">
                  <c:v>-1.5880685386569231</c:v>
                </c:pt>
                <c:pt idx="324">
                  <c:v>-2.857081008345383</c:v>
                </c:pt>
                <c:pt idx="325">
                  <c:v>-4.123484415211486</c:v>
                </c:pt>
                <c:pt idx="326">
                  <c:v>-5.3868796241576522</c:v>
                </c:pt>
                <c:pt idx="327">
                  <c:v>-6.6468723242656349</c:v>
                </c:pt>
                <c:pt idx="328">
                  <c:v>-7.9030730618266842</c:v>
                </c:pt>
                <c:pt idx="329">
                  <c:v>-9.1550972986138373</c:v>
                </c:pt>
                <c:pt idx="330">
                  <c:v>-10.402565498605757</c:v>
                </c:pt>
                <c:pt idx="331">
                  <c:v>-11.64510324568419</c:v>
                </c:pt>
                <c:pt idx="332">
                  <c:v>-12.882341394049398</c:v>
                </c:pt>
                <c:pt idx="333">
                  <c:v>-14.113916252384668</c:v>
                </c:pt>
                <c:pt idx="334">
                  <c:v>-15.339469802026542</c:v>
                </c:pt>
                <c:pt idx="335">
                  <c:v>-16.558649948678092</c:v>
                </c:pt>
                <c:pt idx="336">
                  <c:v>-17.771110806501891</c:v>
                </c:pt>
                <c:pt idx="337">
                  <c:v>-18.97651301275825</c:v>
                </c:pt>
                <c:pt idx="338">
                  <c:v>-20.17452407054158</c:v>
                </c:pt>
                <c:pt idx="339">
                  <c:v>-21.36481871661659</c:v>
                </c:pt>
                <c:pt idx="340">
                  <c:v>-22.547079310850723</c:v>
                </c:pt>
                <c:pt idx="341">
                  <c:v>-23.720996243340291</c:v>
                </c:pt>
                <c:pt idx="342">
                  <c:v>-24.886268354976437</c:v>
                </c:pt>
                <c:pt idx="343">
                  <c:v>-26.042603366934411</c:v>
                </c:pt>
                <c:pt idx="344">
                  <c:v>-27.189718314412033</c:v>
                </c:pt>
                <c:pt idx="345">
                  <c:v>-28.327339979827489</c:v>
                </c:pt>
                <c:pt idx="346">
                  <c:v>-29.455205320695587</c:v>
                </c:pt>
                <c:pt idx="347">
                  <c:v>-30.573061887455101</c:v>
                </c:pt>
                <c:pt idx="348">
                  <c:v>-31.680668226670846</c:v>
                </c:pt>
                <c:pt idx="349">
                  <c:v>-32.77779426524252</c:v>
                </c:pt>
                <c:pt idx="350">
                  <c:v>-33.864221671521186</c:v>
                </c:pt>
                <c:pt idx="351">
                  <c:v>-34.939744189564813</c:v>
                </c:pt>
                <c:pt idx="352">
                  <c:v>-36.004167943137595</c:v>
                </c:pt>
                <c:pt idx="353">
                  <c:v>-37.057311706466251</c:v>
                </c:pt>
                <c:pt idx="354">
                  <c:v>-38.099007139208688</c:v>
                </c:pt>
                <c:pt idx="355">
                  <c:v>-39.129098983536487</c:v>
                </c:pt>
                <c:pt idx="356">
                  <c:v>-40.147445221727303</c:v>
                </c:pt>
                <c:pt idx="357">
                  <c:v>-41.153917193097833</c:v>
                </c:pt>
                <c:pt idx="358">
                  <c:v>-42.148399669610207</c:v>
                </c:pt>
                <c:pt idx="359">
                  <c:v>-43.130790889906997</c:v>
                </c:pt>
                <c:pt idx="360">
                  <c:v>-44.101002551982077</c:v>
                </c:pt>
                <c:pt idx="361">
                  <c:v>-45.058959765090073</c:v>
                </c:pt>
                <c:pt idx="362">
                  <c:v>-46.004600961880882</c:v>
                </c:pt>
                <c:pt idx="363">
                  <c:v>-46.93787777208675</c:v>
                </c:pt>
                <c:pt idx="364">
                  <c:v>-47.858754859396122</c:v>
                </c:pt>
                <c:pt idx="365">
                  <c:v>-48.76720972341699</c:v>
                </c:pt>
                <c:pt idx="366">
                  <c:v>-49.663232468863022</c:v>
                </c:pt>
                <c:pt idx="367">
                  <c:v>-50.546825544279756</c:v>
                </c:pt>
                <c:pt idx="368">
                  <c:v>-51.418003452784696</c:v>
                </c:pt>
                <c:pt idx="369">
                  <c:v>-52.276792437392388</c:v>
                </c:pt>
                <c:pt idx="370">
                  <c:v>-53.123230143589367</c:v>
                </c:pt>
                <c:pt idx="371">
                  <c:v>-53.957365261841701</c:v>
                </c:pt>
                <c:pt idx="372">
                  <c:v>-54.779257152741231</c:v>
                </c:pt>
                <c:pt idx="373">
                  <c:v>-55.58897545746062</c:v>
                </c:pt>
                <c:pt idx="374">
                  <c:v>-56.386599696158349</c:v>
                </c:pt>
                <c:pt idx="375">
                  <c:v>-57.172218856869669</c:v>
                </c:pt>
                <c:pt idx="376">
                  <c:v>-57.945930977369002</c:v>
                </c:pt>
                <c:pt idx="377">
                  <c:v>-58.70784272234323</c:v>
                </c:pt>
                <c:pt idx="378">
                  <c:v>-59.458068958112541</c:v>
                </c:pt>
                <c:pt idx="379">
                  <c:v>-60.19673232699509</c:v>
                </c:pt>
                <c:pt idx="380">
                  <c:v>-60.923962823270607</c:v>
                </c:pt>
                <c:pt idx="381">
                  <c:v>-61.639897372545157</c:v>
                </c:pt>
                <c:pt idx="382">
                  <c:v>-62.344679416172355</c:v>
                </c:pt>
                <c:pt idx="383">
                  <c:v>-63.038458502234313</c:v>
                </c:pt>
                <c:pt idx="384">
                  <c:v>-63.7213898844224</c:v>
                </c:pt>
                <c:pt idx="385">
                  <c:v>-64.393634130023287</c:v>
                </c:pt>
                <c:pt idx="386">
                  <c:v>-65.055356738053931</c:v>
                </c:pt>
                <c:pt idx="387">
                  <c:v>-65.706727768459231</c:v>
                </c:pt>
                <c:pt idx="388">
                  <c:v>-66.347921483141377</c:v>
                </c:pt>
                <c:pt idx="389">
                  <c:v>-66.979115999466373</c:v>
                </c:pt>
                <c:pt idx="390">
                  <c:v>-67.600492956765706</c:v>
                </c:pt>
                <c:pt idx="391">
                  <c:v>-68.212237196243308</c:v>
                </c:pt>
                <c:pt idx="392">
                  <c:v>-68.814536454585067</c:v>
                </c:pt>
                <c:pt idx="393">
                  <c:v>-69.40758107147272</c:v>
                </c:pt>
                <c:pt idx="394">
                  <c:v>-69.991563711113102</c:v>
                </c:pt>
                <c:pt idx="395">
                  <c:v>-70.566679097812809</c:v>
                </c:pt>
                <c:pt idx="396">
                  <c:v>-71.133123765548191</c:v>
                </c:pt>
                <c:pt idx="397">
                  <c:v>-71.691095821422209</c:v>
                </c:pt>
                <c:pt idx="398">
                  <c:v>-72.240794722831339</c:v>
                </c:pt>
                <c:pt idx="399">
                  <c:v>-72.782421068120911</c:v>
                </c:pt>
                <c:pt idx="400">
                  <c:v>-73.316176400454538</c:v>
                </c:pt>
                <c:pt idx="401">
                  <c:v>-73.842263024586615</c:v>
                </c:pt>
                <c:pt idx="402">
                  <c:v>-74.360883836193381</c:v>
                </c:pt>
                <c:pt idx="403">
                  <c:v>-74.872242163388066</c:v>
                </c:pt>
                <c:pt idx="404">
                  <c:v>-75.376541620021783</c:v>
                </c:pt>
                <c:pt idx="405">
                  <c:v>-75.873985970351058</c:v>
                </c:pt>
                <c:pt idx="406">
                  <c:v>-76.364779004643268</c:v>
                </c:pt>
                <c:pt idx="407">
                  <c:v>-76.849124425270659</c:v>
                </c:pt>
                <c:pt idx="408">
                  <c:v>-77.327225742845044</c:v>
                </c:pt>
                <c:pt idx="409">
                  <c:v>-77.799286181931976</c:v>
                </c:pt>
                <c:pt idx="410">
                  <c:v>-78.265508595885137</c:v>
                </c:pt>
                <c:pt idx="411">
                  <c:v>-78.726095390340063</c:v>
                </c:pt>
                <c:pt idx="412">
                  <c:v>-79.181248454906637</c:v>
                </c:pt>
                <c:pt idx="413">
                  <c:v>-79.631169102603366</c:v>
                </c:pt>
                <c:pt idx="414">
                  <c:v>-80.076058016582493</c:v>
                </c:pt>
                <c:pt idx="415">
                  <c:v>-80.516115203698078</c:v>
                </c:pt>
                <c:pt idx="416">
                  <c:v>-80.951539954476885</c:v>
                </c:pt>
                <c:pt idx="417">
                  <c:v>-81.382530809059176</c:v>
                </c:pt>
                <c:pt idx="418">
                  <c:v>-81.809285528683617</c:v>
                </c:pt>
                <c:pt idx="419">
                  <c:v>-82.232001072298843</c:v>
                </c:pt>
                <c:pt idx="420">
                  <c:v>-82.650873577892241</c:v>
                </c:pt>
                <c:pt idx="421">
                  <c:v>-83.066098348134616</c:v>
                </c:pt>
                <c:pt idx="422">
                  <c:v>-83.477869839946337</c:v>
                </c:pt>
                <c:pt idx="423">
                  <c:v>-83.886381657602797</c:v>
                </c:pt>
                <c:pt idx="424">
                  <c:v>-84.291826548996269</c:v>
                </c:pt>
                <c:pt idx="425">
                  <c:v>-84.694396404687978</c:v>
                </c:pt>
                <c:pt idx="426">
                  <c:v>-85.094282259384329</c:v>
                </c:pt>
                <c:pt idx="427">
                  <c:v>-85.491674295478632</c:v>
                </c:pt>
                <c:pt idx="428">
                  <c:v>-85.886761848306421</c:v>
                </c:pt>
                <c:pt idx="429">
                  <c:v>-86.279733412769389</c:v>
                </c:pt>
                <c:pt idx="430">
                  <c:v>-86.670776650979434</c:v>
                </c:pt>
                <c:pt idx="431">
                  <c:v>-87.060078400588381</c:v>
                </c:pt>
                <c:pt idx="432">
                  <c:v>-87.447824683462343</c:v>
                </c:pt>
                <c:pt idx="433">
                  <c:v>-87.834200714369672</c:v>
                </c:pt>
                <c:pt idx="434">
                  <c:v>-88.219390909345222</c:v>
                </c:pt>
                <c:pt idx="435">
                  <c:v>-88.603578893400467</c:v>
                </c:pt>
                <c:pt idx="436">
                  <c:v>-88.986947507245986</c:v>
                </c:pt>
                <c:pt idx="437">
                  <c:v>-89.369678812691333</c:v>
                </c:pt>
                <c:pt idx="438">
                  <c:v>-89.751954096388033</c:v>
                </c:pt>
                <c:pt idx="439">
                  <c:v>-90.133953871576679</c:v>
                </c:pt>
                <c:pt idx="440">
                  <c:v>-90.515857877497865</c:v>
                </c:pt>
                <c:pt idx="441">
                  <c:v>-90.897845076122934</c:v>
                </c:pt>
                <c:pt idx="442">
                  <c:v>-91.280093645855757</c:v>
                </c:pt>
                <c:pt idx="443">
                  <c:v>-91.662780971852087</c:v>
                </c:pt>
                <c:pt idx="444">
                  <c:v>-92.046083632599462</c:v>
                </c:pt>
                <c:pt idx="445">
                  <c:v>-92.430177382394248</c:v>
                </c:pt>
                <c:pt idx="446">
                  <c:v>-92.815237129345547</c:v>
                </c:pt>
                <c:pt idx="447">
                  <c:v>-93.201436908533296</c:v>
                </c:pt>
                <c:pt idx="448">
                  <c:v>-93.588949849938388</c:v>
                </c:pt>
                <c:pt idx="449">
                  <c:v>-93.977948140760148</c:v>
                </c:pt>
                <c:pt idx="450">
                  <c:v>-94.368602981728387</c:v>
                </c:pt>
                <c:pt idx="451">
                  <c:v>-94.761084537014156</c:v>
                </c:pt>
                <c:pt idx="452">
                  <c:v>-95.155561877337746</c:v>
                </c:pt>
                <c:pt idx="453">
                  <c:v>-95.552202915870026</c:v>
                </c:pt>
                <c:pt idx="454">
                  <c:v>-95.951174336517951</c:v>
                </c:pt>
                <c:pt idx="455">
                  <c:v>-96.352641514187951</c:v>
                </c:pt>
                <c:pt idx="456">
                  <c:v>-96.756768426614414</c:v>
                </c:pt>
                <c:pt idx="457">
                  <c:v>-97.163717557350424</c:v>
                </c:pt>
                <c:pt idx="458">
                  <c:v>-97.573649789513837</c:v>
                </c:pt>
                <c:pt idx="459">
                  <c:v>-97.986724289892919</c:v>
                </c:pt>
                <c:pt idx="460">
                  <c:v>-98.40309838302278</c:v>
                </c:pt>
                <c:pt idx="461">
                  <c:v>-98.822927414854846</c:v>
                </c:pt>
                <c:pt idx="462">
                  <c:v>-99.24636460565965</c:v>
                </c:pt>
                <c:pt idx="463">
                  <c:v>-99.673560891819818</c:v>
                </c:pt>
                <c:pt idx="464">
                  <c:v>-100.10466475619306</c:v>
                </c:pt>
                <c:pt idx="465">
                  <c:v>-100.53982204675542</c:v>
                </c:pt>
                <c:pt idx="466">
                  <c:v>-100.97917578326694</c:v>
                </c:pt>
                <c:pt idx="467">
                  <c:v>-101.42286595173944</c:v>
                </c:pt>
                <c:pt idx="468">
                  <c:v>-101.87102928653138</c:v>
                </c:pt>
                <c:pt idx="469">
                  <c:v>-102.32379903994816</c:v>
                </c:pt>
                <c:pt idx="470">
                  <c:v>-102.781304739278</c:v>
                </c:pt>
                <c:pt idx="471">
                  <c:v>-103.2436719312668</c:v>
                </c:pt>
                <c:pt idx="472">
                  <c:v>-103.71102191409987</c:v>
                </c:pt>
                <c:pt idx="473">
                  <c:v>-104.18347145704547</c:v>
                </c:pt>
                <c:pt idx="474">
                  <c:v>-104.66113250799923</c:v>
                </c:pt>
                <c:pt idx="475">
                  <c:v>-105.1441118892706</c:v>
                </c:pt>
                <c:pt idx="476">
                  <c:v>-105.63251098205029</c:v>
                </c:pt>
                <c:pt idx="477">
                  <c:v>-106.1264254001243</c:v>
                </c:pt>
                <c:pt idx="478">
                  <c:v>-106.62594465350827</c:v>
                </c:pt>
                <c:pt idx="479">
                  <c:v>-107.13115180281898</c:v>
                </c:pt>
                <c:pt idx="480">
                  <c:v>-107.64212310533459</c:v>
                </c:pt>
                <c:pt idx="481">
                  <c:v>-108.1589276538366</c:v>
                </c:pt>
                <c:pt idx="482">
                  <c:v>-108.68162700948996</c:v>
                </c:pt>
                <c:pt idx="483">
                  <c:v>-109.21027483016681</c:v>
                </c:pt>
                <c:pt idx="484">
                  <c:v>-109.74491649578657</c:v>
                </c:pt>
                <c:pt idx="485">
                  <c:v>-110.28558873241381</c:v>
                </c:pt>
                <c:pt idx="486">
                  <c:v>-110.83231923701977</c:v>
                </c:pt>
                <c:pt idx="487">
                  <c:v>-111.38512630498354</c:v>
                </c:pt>
                <c:pt idx="488">
                  <c:v>-111.94401846257225</c:v>
                </c:pt>
                <c:pt idx="489">
                  <c:v>-112.50899410680799</c:v>
                </c:pt>
                <c:pt idx="490">
                  <c:v>-113.08004115527059</c:v>
                </c:pt>
                <c:pt idx="491">
                  <c:v>-113.65713670854329</c:v>
                </c:pt>
                <c:pt idx="492">
                  <c:v>-114.24024672812946</c:v>
                </c:pt>
                <c:pt idx="493">
                  <c:v>-114.82932573278767</c:v>
                </c:pt>
                <c:pt idx="494">
                  <c:v>-115.42431651632798</c:v>
                </c:pt>
                <c:pt idx="495">
                  <c:v>-116.0251498899857</c:v>
                </c:pt>
                <c:pt idx="496">
                  <c:v>-116.63174445253392</c:v>
                </c:pt>
                <c:pt idx="497">
                  <c:v>-117.24400639131827</c:v>
                </c:pt>
                <c:pt idx="498">
                  <c:v>-117.86182931737666</c:v>
                </c:pt>
                <c:pt idx="499">
                  <c:v>-118.48509413776473</c:v>
                </c:pt>
                <c:pt idx="500">
                  <c:v>-119.11366896811596</c:v>
                </c:pt>
                <c:pt idx="501">
                  <c:v>-119.74740908833361</c:v>
                </c:pt>
                <c:pt idx="502">
                  <c:v>-120.38615694415444</c:v>
                </c:pt>
                <c:pt idx="503">
                  <c:v>-121.02974219709877</c:v>
                </c:pt>
                <c:pt idx="504">
                  <c:v>-121.67798182507232</c:v>
                </c:pt>
                <c:pt idx="505">
                  <c:v>-122.33068027558663</c:v>
                </c:pt>
                <c:pt idx="506">
                  <c:v>-122.98762967322261</c:v>
                </c:pt>
                <c:pt idx="507">
                  <c:v>-123.64861008257841</c:v>
                </c:pt>
                <c:pt idx="508">
                  <c:v>-124.31338982752732</c:v>
                </c:pt>
                <c:pt idx="509">
                  <c:v>-124.9817258671624</c:v>
                </c:pt>
                <c:pt idx="510">
                  <c:v>-125.65336422831302</c:v>
                </c:pt>
                <c:pt idx="511">
                  <c:v>-126.32804049402817</c:v>
                </c:pt>
                <c:pt idx="512">
                  <c:v>-127.00548034689025</c:v>
                </c:pt>
                <c:pt idx="513">
                  <c:v>-127.68540016549812</c:v>
                </c:pt>
                <c:pt idx="514">
                  <c:v>-128.3675076719133</c:v>
                </c:pt>
                <c:pt idx="515">
                  <c:v>-129.05150262735827</c:v>
                </c:pt>
                <c:pt idx="516">
                  <c:v>-129.73707757291356</c:v>
                </c:pt>
                <c:pt idx="517">
                  <c:v>-130.42391861148903</c:v>
                </c:pt>
                <c:pt idx="518">
                  <c:v>-131.11170622687666</c:v>
                </c:pt>
                <c:pt idx="519">
                  <c:v>-131.80011613527006</c:v>
                </c:pt>
                <c:pt idx="520">
                  <c:v>-132.48882016426123</c:v>
                </c:pt>
                <c:pt idx="521">
                  <c:v>-133.17748715400126</c:v>
                </c:pt>
                <c:pt idx="522">
                  <c:v>-133.86578387494799</c:v>
                </c:pt>
                <c:pt idx="523">
                  <c:v>-134.55337595643013</c:v>
                </c:pt>
                <c:pt idx="524">
                  <c:v>-135.23992882011643</c:v>
                </c:pt>
                <c:pt idx="525">
                  <c:v>-135.92510861242093</c:v>
                </c:pt>
                <c:pt idx="526">
                  <c:v>-136.60858312989208</c:v>
                </c:pt>
                <c:pt idx="527">
                  <c:v>-137.29002273170948</c:v>
                </c:pt>
                <c:pt idx="528">
                  <c:v>-137.96910123355715</c:v>
                </c:pt>
                <c:pt idx="529">
                  <c:v>-138.6454967773829</c:v>
                </c:pt>
                <c:pt idx="530">
                  <c:v>-139.31889267180438</c:v>
                </c:pt>
                <c:pt idx="531">
                  <c:v>-139.98897819828767</c:v>
                </c:pt>
                <c:pt idx="532">
                  <c:v>-140.65544937860162</c:v>
                </c:pt>
                <c:pt idx="533">
                  <c:v>-141.31800969948685</c:v>
                </c:pt>
                <c:pt idx="534">
                  <c:v>-141.97637079094869</c:v>
                </c:pt>
                <c:pt idx="535">
                  <c:v>-142.63025305508603</c:v>
                </c:pt>
                <c:pt idx="536">
                  <c:v>-143.27938624288319</c:v>
                </c:pt>
                <c:pt idx="537">
                  <c:v>-143.92350997692458</c:v>
                </c:pt>
                <c:pt idx="538">
                  <c:v>-144.56237421852222</c:v>
                </c:pt>
                <c:pt idx="539">
                  <c:v>-145.19573967827901</c:v>
                </c:pt>
                <c:pt idx="540">
                  <c:v>-145.82337816962624</c:v>
                </c:pt>
                <c:pt idx="541">
                  <c:v>-146.44507290536808</c:v>
                </c:pt>
              </c:numCache>
            </c:numRef>
          </c:yVal>
          <c:smooth val="1"/>
          <c:extLst>
            <c:ext xmlns:c16="http://schemas.microsoft.com/office/drawing/2014/chart" uri="{C3380CC4-5D6E-409C-BE32-E72D297353CC}">
              <c16:uniqueId val="{00000001-08A4-45AE-BD5A-C2D048D75805}"/>
            </c:ext>
          </c:extLst>
        </c:ser>
        <c:dLbls>
          <c:showLegendKey val="0"/>
          <c:showVal val="0"/>
          <c:showCatName val="0"/>
          <c:showSerName val="0"/>
          <c:showPercent val="0"/>
          <c:showBubbleSize val="0"/>
        </c:dLbls>
        <c:axId val="555537920"/>
        <c:axId val="555536384"/>
      </c:scatterChart>
      <c:valAx>
        <c:axId val="555528192"/>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530112"/>
        <c:crosses val="autoZero"/>
        <c:crossBetween val="midCat"/>
      </c:valAx>
      <c:valAx>
        <c:axId val="555530112"/>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US"/>
          </a:p>
        </c:txPr>
        <c:crossAx val="555528192"/>
        <c:crosses val="autoZero"/>
        <c:crossBetween val="midCat"/>
        <c:majorUnit val="20"/>
        <c:minorUnit val="10"/>
      </c:valAx>
      <c:valAx>
        <c:axId val="555536384"/>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US"/>
          </a:p>
        </c:txPr>
        <c:crossAx val="555537920"/>
        <c:crosses val="max"/>
        <c:crossBetween val="midCat"/>
        <c:majorUnit val="90"/>
        <c:minorUnit val="45"/>
      </c:valAx>
      <c:valAx>
        <c:axId val="555537920"/>
        <c:scaling>
          <c:logBase val="10"/>
          <c:orientation val="minMax"/>
        </c:scaling>
        <c:delete val="1"/>
        <c:axPos val="b"/>
        <c:numFmt formatCode="0.00" sourceLinked="1"/>
        <c:majorTickMark val="out"/>
        <c:minorTickMark val="none"/>
        <c:tickLblPos val="nextTo"/>
        <c:crossAx val="555536384"/>
        <c:crosses val="autoZero"/>
        <c:crossBetween val="midCat"/>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Spin" dx="20" fmlaLink="$I$8" max="65" min="1" noThreeD="1" page="10" val="12"/>
</file>

<file path=xl/ctrlProps/ctrlProp2.xml><?xml version="1.0" encoding="utf-8"?>
<formControlPr xmlns="http://schemas.microsoft.com/office/spreadsheetml/2009/9/main" objectType="Drop" dropLines="2" dropStyle="combo" dx="16" fmlaLink="Calculations!B20" fmlaRange="Calculations!$K$20:$K$21" noThreeD="1" sel="1" val="0"/>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hyperlink" Target="http://www.ti.com/corp/docs/legal/copyright.shtml" TargetMode="External"/><Relationship Id="rId2" Type="http://schemas.openxmlformats.org/officeDocument/2006/relationships/image" Target="../media/image4.gif"/><Relationship Id="rId1" Type="http://schemas.openxmlformats.org/officeDocument/2006/relationships/hyperlink" Target="http://www.ti.com" TargetMode="Externa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7.png"/><Relationship Id="rId7" Type="http://schemas.openxmlformats.org/officeDocument/2006/relationships/chart" Target="../charts/chart11.xml"/><Relationship Id="rId2" Type="http://schemas.openxmlformats.org/officeDocument/2006/relationships/chart" Target="../charts/chart8.xml"/><Relationship Id="rId1" Type="http://schemas.openxmlformats.org/officeDocument/2006/relationships/image" Target="../media/image5.png"/><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chart" Target="../charts/chart13.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285750</xdr:colOff>
          <xdr:row>89</xdr:row>
          <xdr:rowOff>28575</xdr:rowOff>
        </xdr:from>
        <xdr:to>
          <xdr:col>27</xdr:col>
          <xdr:colOff>9525</xdr:colOff>
          <xdr:row>113</xdr:row>
          <xdr:rowOff>142875</xdr:rowOff>
        </xdr:to>
        <xdr:pic>
          <xdr:nvPicPr>
            <xdr:cNvPr id="28" name="Picture 27">
              <a:extLst>
                <a:ext uri="{FF2B5EF4-FFF2-40B4-BE49-F238E27FC236}">
                  <a16:creationId xmlns:a16="http://schemas.microsoft.com/office/drawing/2014/main" id="{00000000-0008-0000-0000-00001C000000}"/>
                </a:ext>
              </a:extLst>
            </xdr:cNvPr>
            <xdr:cNvPicPr>
              <a:picLocks noChangeAspect="1" noChangeArrowheads="1"/>
              <a:extLst>
                <a:ext uri="{84589F7E-364E-4C9E-8A38-B11213B215E9}">
                  <a14:cameraTool cellRange="Eff_Plot_image" spid="_x0000_s2156"/>
                </a:ext>
              </a:extLst>
            </xdr:cNvPicPr>
          </xdr:nvPicPr>
          <xdr:blipFill>
            <a:blip xmlns:r="http://schemas.openxmlformats.org/officeDocument/2006/relationships" r:embed="rId1"/>
            <a:srcRect/>
            <a:stretch>
              <a:fillRect/>
            </a:stretch>
          </xdr:blipFill>
          <xdr:spPr bwMode="auto">
            <a:xfrm>
              <a:off x="5772150" y="20154900"/>
              <a:ext cx="10287000" cy="4953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276225</xdr:colOff>
          <xdr:row>5</xdr:row>
          <xdr:rowOff>66675</xdr:rowOff>
        </xdr:from>
        <xdr:to>
          <xdr:col>25</xdr:col>
          <xdr:colOff>514350</xdr:colOff>
          <xdr:row>27</xdr:row>
          <xdr:rowOff>38100</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000-00000E0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11</xdr:col>
      <xdr:colOff>201704</xdr:colOff>
      <xdr:row>64</xdr:row>
      <xdr:rowOff>33619</xdr:rowOff>
    </xdr:from>
    <xdr:to>
      <xdr:col>25</xdr:col>
      <xdr:colOff>112059</xdr:colOff>
      <xdr:row>85</xdr:row>
      <xdr:rowOff>200886</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9</xdr:col>
          <xdr:colOff>133350</xdr:colOff>
          <xdr:row>80</xdr:row>
          <xdr:rowOff>152400</xdr:rowOff>
        </xdr:from>
        <xdr:to>
          <xdr:col>9</xdr:col>
          <xdr:colOff>304800</xdr:colOff>
          <xdr:row>82</xdr:row>
          <xdr:rowOff>66675</xdr:rowOff>
        </xdr:to>
        <xdr:sp macro="" textlink="">
          <xdr:nvSpPr>
            <xdr:cNvPr id="2075" name="Spinner 27" hidden="1">
              <a:extLst>
                <a:ext uri="{63B3BB69-23CF-44E3-9099-C40C66FF867C}">
                  <a14:compatExt spid="_x0000_s2075"/>
                </a:ext>
                <a:ext uri="{FF2B5EF4-FFF2-40B4-BE49-F238E27FC236}">
                  <a16:creationId xmlns:a16="http://schemas.microsoft.com/office/drawing/2014/main" id="{00000000-0008-0000-0000-00001B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12</xdr:col>
      <xdr:colOff>358588</xdr:colOff>
      <xdr:row>63</xdr:row>
      <xdr:rowOff>156882</xdr:rowOff>
    </xdr:from>
    <xdr:to>
      <xdr:col>14</xdr:col>
      <xdr:colOff>88526</xdr:colOff>
      <xdr:row>66</xdr:row>
      <xdr:rowOff>6723</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7620000" y="14287500"/>
          <a:ext cx="940173" cy="5558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r>
            <a:rPr lang="en-US" sz="2400" baseline="-25000"/>
            <a:t>IN</a:t>
          </a:r>
          <a:r>
            <a:rPr lang="en-US" sz="2400"/>
            <a:t> = </a:t>
          </a:r>
        </a:p>
      </xdr:txBody>
    </xdr:sp>
    <xdr:clientData/>
  </xdr:twoCellAnchor>
  <xdr:twoCellAnchor>
    <xdr:from>
      <xdr:col>13</xdr:col>
      <xdr:colOff>403413</xdr:colOff>
      <xdr:row>63</xdr:row>
      <xdr:rowOff>168088</xdr:rowOff>
    </xdr:from>
    <xdr:to>
      <xdr:col>15</xdr:col>
      <xdr:colOff>115421</xdr:colOff>
      <xdr:row>66</xdr:row>
      <xdr:rowOff>17930</xdr:rowOff>
    </xdr:to>
    <xdr:sp macro="" textlink="VIN_TYP">
      <xdr:nvSpPr>
        <xdr:cNvPr id="8" name="TextBox 7">
          <a:extLst>
            <a:ext uri="{FF2B5EF4-FFF2-40B4-BE49-F238E27FC236}">
              <a16:creationId xmlns:a16="http://schemas.microsoft.com/office/drawing/2014/main" id="{00000000-0008-0000-0000-000008000000}"/>
            </a:ext>
          </a:extLst>
        </xdr:cNvPr>
        <xdr:cNvSpPr txBox="1"/>
      </xdr:nvSpPr>
      <xdr:spPr>
        <a:xfrm>
          <a:off x="8269942" y="14298706"/>
          <a:ext cx="922244" cy="5558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6F7CC8-B545-46D8-BA50-9FA1A86CB6D2}" type="TxLink">
            <a:rPr lang="en-US" sz="2400" b="0" i="0" u="none" strike="noStrike">
              <a:solidFill>
                <a:srgbClr val="000000"/>
              </a:solidFill>
              <a:latin typeface="Calibri"/>
              <a:cs typeface="Calibri"/>
            </a:rPr>
            <a:pPr/>
            <a:t>12</a:t>
          </a:fld>
          <a:endParaRPr lang="en-US" sz="4800"/>
        </a:p>
      </xdr:txBody>
    </xdr:sp>
    <xdr:clientData/>
  </xdr:twoCellAnchor>
  <xdr:twoCellAnchor>
    <xdr:from>
      <xdr:col>14</xdr:col>
      <xdr:colOff>224118</xdr:colOff>
      <xdr:row>63</xdr:row>
      <xdr:rowOff>168087</xdr:rowOff>
    </xdr:from>
    <xdr:to>
      <xdr:col>15</xdr:col>
      <xdr:colOff>549648</xdr:colOff>
      <xdr:row>66</xdr:row>
      <xdr:rowOff>17928</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8695765" y="14298705"/>
          <a:ext cx="930648" cy="5558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p>
      </xdr:txBody>
    </xdr:sp>
    <xdr:clientData/>
  </xdr:twoCellAnchor>
  <xdr:twoCellAnchor>
    <xdr:from>
      <xdr:col>12</xdr:col>
      <xdr:colOff>470648</xdr:colOff>
      <xdr:row>89</xdr:row>
      <xdr:rowOff>185458</xdr:rowOff>
    </xdr:from>
    <xdr:to>
      <xdr:col>15</xdr:col>
      <xdr:colOff>76200</xdr:colOff>
      <xdr:row>92</xdr:row>
      <xdr:rowOff>19051</xdr:rowOff>
    </xdr:to>
    <xdr:sp macro="" textlink="Graph_Text">
      <xdr:nvSpPr>
        <xdr:cNvPr id="10" name="TextBox 9">
          <a:extLst>
            <a:ext uri="{FF2B5EF4-FFF2-40B4-BE49-F238E27FC236}">
              <a16:creationId xmlns:a16="http://schemas.microsoft.com/office/drawing/2014/main" id="{00000000-0008-0000-0000-00000A000000}"/>
            </a:ext>
          </a:extLst>
        </xdr:cNvPr>
        <xdr:cNvSpPr txBox="1"/>
      </xdr:nvSpPr>
      <xdr:spPr>
        <a:xfrm>
          <a:off x="7785848" y="20311783"/>
          <a:ext cx="1434352" cy="4146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F465C6-5A85-4449-8DCD-DE8E2D885B53}" type="TxLink">
            <a:rPr lang="en-US" sz="2000" b="0" i="0" u="none" strike="noStrike">
              <a:solidFill>
                <a:srgbClr val="000000"/>
              </a:solidFill>
              <a:latin typeface="Calibri"/>
              <a:cs typeface="Calibri"/>
            </a:rPr>
            <a:pPr/>
            <a:t>V   = 12V</a:t>
          </a:fld>
          <a:endParaRPr lang="en-US" sz="8000"/>
        </a:p>
      </xdr:txBody>
    </xdr:sp>
    <xdr:clientData/>
  </xdr:twoCellAnchor>
  <xdr:twoCellAnchor>
    <xdr:from>
      <xdr:col>24</xdr:col>
      <xdr:colOff>218514</xdr:colOff>
      <xdr:row>72</xdr:row>
      <xdr:rowOff>95249</xdr:rowOff>
    </xdr:from>
    <xdr:to>
      <xdr:col>25</xdr:col>
      <xdr:colOff>263338</xdr:colOff>
      <xdr:row>76</xdr:row>
      <xdr:rowOff>117662</xdr:rowOff>
    </xdr:to>
    <xdr:sp macro="" textlink="">
      <xdr:nvSpPr>
        <xdr:cNvPr id="15" name="TextBox 14">
          <a:extLst>
            <a:ext uri="{FF2B5EF4-FFF2-40B4-BE49-F238E27FC236}">
              <a16:creationId xmlns:a16="http://schemas.microsoft.com/office/drawing/2014/main" id="{00000000-0008-0000-0000-00000F000000}"/>
            </a:ext>
          </a:extLst>
        </xdr:cNvPr>
        <xdr:cNvSpPr txBox="1"/>
      </xdr:nvSpPr>
      <xdr:spPr>
        <a:xfrm rot="16200000">
          <a:off x="14399558" y="16640735"/>
          <a:ext cx="930089" cy="26894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Phase (deg)</a:t>
          </a:r>
        </a:p>
      </xdr:txBody>
    </xdr:sp>
    <xdr:clientData/>
  </xdr:twoCellAnchor>
  <xdr:twoCellAnchor>
    <xdr:from>
      <xdr:col>13</xdr:col>
      <xdr:colOff>13449</xdr:colOff>
      <xdr:row>90</xdr:row>
      <xdr:rowOff>156883</xdr:rowOff>
    </xdr:from>
    <xdr:to>
      <xdr:col>13</xdr:col>
      <xdr:colOff>409575</xdr:colOff>
      <xdr:row>92</xdr:row>
      <xdr:rowOff>0</xdr:rowOff>
    </xdr:to>
    <xdr:sp macro="" textlink="Calculations!C21">
      <xdr:nvSpPr>
        <xdr:cNvPr id="17" name="TextBox 16">
          <a:extLst>
            <a:ext uri="{FF2B5EF4-FFF2-40B4-BE49-F238E27FC236}">
              <a16:creationId xmlns:a16="http://schemas.microsoft.com/office/drawing/2014/main" id="{00000000-0008-0000-0000-000011000000}"/>
            </a:ext>
          </a:extLst>
        </xdr:cNvPr>
        <xdr:cNvSpPr txBox="1"/>
      </xdr:nvSpPr>
      <xdr:spPr>
        <a:xfrm>
          <a:off x="7938249" y="20473708"/>
          <a:ext cx="396126" cy="233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C724B0-9755-4710-BBA9-5D5782EBAC0D}" type="TxLink">
            <a:rPr lang="en-US" sz="1100" b="0" i="0" u="none" strike="noStrike">
              <a:solidFill>
                <a:srgbClr val="000000"/>
              </a:solidFill>
              <a:latin typeface="Calibri"/>
              <a:cs typeface="Calibri"/>
            </a:rPr>
            <a:pPr/>
            <a:t>IN</a:t>
          </a:fld>
          <a:endParaRPr lang="en-US" sz="4800"/>
        </a:p>
      </xdr:txBody>
    </xdr:sp>
    <xdr:clientData/>
  </xdr:twoCellAnchor>
  <mc:AlternateContent xmlns:mc="http://schemas.openxmlformats.org/markup-compatibility/2006">
    <mc:Choice xmlns:a14="http://schemas.microsoft.com/office/drawing/2010/main" Requires="a14">
      <xdr:twoCellAnchor editAs="absolute">
        <xdr:from>
          <xdr:col>12</xdr:col>
          <xdr:colOff>28575</xdr:colOff>
          <xdr:row>89</xdr:row>
          <xdr:rowOff>0</xdr:rowOff>
        </xdr:from>
        <xdr:to>
          <xdr:col>14</xdr:col>
          <xdr:colOff>190500</xdr:colOff>
          <xdr:row>90</xdr:row>
          <xdr:rowOff>9525</xdr:rowOff>
        </xdr:to>
        <xdr:sp macro="" textlink="">
          <xdr:nvSpPr>
            <xdr:cNvPr id="2091" name="Drop Down 43" hidden="1">
              <a:extLst>
                <a:ext uri="{63B3BB69-23CF-44E3-9099-C40C66FF867C}">
                  <a14:compatExt spid="_x0000_s2091"/>
                </a:ext>
                <a:ext uri="{FF2B5EF4-FFF2-40B4-BE49-F238E27FC236}">
                  <a16:creationId xmlns:a16="http://schemas.microsoft.com/office/drawing/2014/main" id="{00000000-0008-0000-0000-00002B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c:userShapes xmlns:c="http://schemas.openxmlformats.org/drawingml/2006/chart">
  <cdr:relSizeAnchor xmlns:cdr="http://schemas.openxmlformats.org/drawingml/2006/chartDrawing">
    <cdr:from>
      <cdr:x>0.09309</cdr:x>
      <cdr:y>0.75888</cdr:y>
    </cdr:from>
    <cdr:to>
      <cdr:x>0.45226</cdr:x>
      <cdr:y>0.80394</cdr:y>
    </cdr:to>
    <cdr:sp macro="" textlink="Control_Loop_Tables!$A$77">
      <cdr:nvSpPr>
        <cdr:cNvPr id="2" name="TextBox 14">
          <a:extLst xmlns:a="http://schemas.openxmlformats.org/drawingml/2006/main">
            <a:ext uri="{FF2B5EF4-FFF2-40B4-BE49-F238E27FC236}">
              <a16:creationId xmlns:a16="http://schemas.microsoft.com/office/drawing/2014/main" id="{4F0C2FF0-516A-4E0E-887E-19FA04431586}"/>
            </a:ext>
          </a:extLst>
        </cdr:cNvPr>
        <cdr:cNvSpPr txBox="1"/>
      </cdr:nvSpPr>
      <cdr:spPr>
        <a:xfrm xmlns:a="http://schemas.openxmlformats.org/drawingml/2006/main">
          <a:off x="644712" y="3434976"/>
          <a:ext cx="2487629" cy="203948"/>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60C36B91-8655-4CD8-AAFA-3EBF8BD138F0}" type="TxLink">
            <a:rPr lang="en-US" sz="1100" b="1" i="0" u="none" strike="noStrike">
              <a:solidFill>
                <a:srgbClr val="FF0000"/>
              </a:solidFill>
              <a:latin typeface="Calibri"/>
              <a:cs typeface="Calibri"/>
            </a:rPr>
            <a:pPr/>
            <a:t>Crossover Frequency = 4,5 kHz</a:t>
          </a:fld>
          <a:endParaRPr lang="en-US" sz="2400" b="1">
            <a:solidFill>
              <a:srgbClr val="FF0000"/>
            </a:solidFill>
            <a:latin typeface="+mn-lt"/>
            <a:cs typeface="Arial" panose="020B0604020202020204" pitchFamily="34" charset="0"/>
          </a:endParaRPr>
        </a:p>
      </cdr:txBody>
    </cdr:sp>
  </cdr:relSizeAnchor>
  <cdr:relSizeAnchor xmlns:cdr="http://schemas.openxmlformats.org/drawingml/2006/chartDrawing">
    <cdr:from>
      <cdr:x>0.09956</cdr:x>
      <cdr:y>0.81582</cdr:y>
    </cdr:from>
    <cdr:to>
      <cdr:x>0.45874</cdr:x>
      <cdr:y>0.86088</cdr:y>
    </cdr:to>
    <cdr:sp macro="" textlink="Control_Loop_Tables!$A$78">
      <cdr:nvSpPr>
        <cdr:cNvPr id="3" name="TextBox 14">
          <a:extLst xmlns:a="http://schemas.openxmlformats.org/drawingml/2006/main">
            <a:ext uri="{FF2B5EF4-FFF2-40B4-BE49-F238E27FC236}">
              <a16:creationId xmlns:a16="http://schemas.microsoft.com/office/drawing/2014/main" id="{EE5ABC53-DD0B-449B-BDE0-6C07A2ABF45B}"/>
            </a:ext>
          </a:extLst>
        </cdr:cNvPr>
        <cdr:cNvSpPr txBox="1"/>
      </cdr:nvSpPr>
      <cdr:spPr>
        <a:xfrm xmlns:a="http://schemas.openxmlformats.org/drawingml/2006/main">
          <a:off x="689536" y="3692712"/>
          <a:ext cx="2487722" cy="203948"/>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A2AF1E30-897F-4222-B4F3-A3A6FAC221A1}" type="TxLink">
            <a:rPr lang="en-US" sz="1100" b="1" i="0" u="none" strike="noStrike">
              <a:solidFill>
                <a:srgbClr val="0070C0"/>
              </a:solidFill>
              <a:latin typeface="Calibri"/>
              <a:cs typeface="Calibri"/>
            </a:rPr>
            <a:pPr/>
            <a:t>Phase Margin = 62°</a:t>
          </a:fld>
          <a:endParaRPr lang="en-US" sz="2400" b="1">
            <a:solidFill>
              <a:srgbClr val="0070C0"/>
            </a:solidFill>
            <a:latin typeface="+mn-lt"/>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152400</xdr:rowOff>
    </xdr:from>
    <xdr:to>
      <xdr:col>1</xdr:col>
      <xdr:colOff>592455</xdr:colOff>
      <xdr:row>2</xdr:row>
      <xdr:rowOff>83771</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52400"/>
          <a:ext cx="2306955" cy="302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200025</xdr:colOff>
      <xdr:row>0</xdr:row>
      <xdr:rowOff>114300</xdr:rowOff>
    </xdr:from>
    <xdr:ext cx="3752850" cy="381708"/>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914525" y="114300"/>
          <a:ext cx="375285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About this tool...</a:t>
          </a:r>
        </a:p>
      </xdr:txBody>
    </xdr:sp>
    <xdr:clientData/>
  </xdr:oneCellAnchor>
  <xdr:oneCellAnchor>
    <xdr:from>
      <xdr:col>3</xdr:col>
      <xdr:colOff>323850</xdr:colOff>
      <xdr:row>1</xdr:row>
      <xdr:rowOff>28575</xdr:rowOff>
    </xdr:from>
    <xdr:ext cx="4719497" cy="254557"/>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xdr:nvSpPr>
      <xdr:spPr>
        <a:xfrm>
          <a:off x="6419850" y="209550"/>
          <a:ext cx="4719497"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i="0" u="none" strike="noStrike">
              <a:solidFill>
                <a:schemeClr val="tx1"/>
              </a:solidFill>
              <a:effectLst/>
              <a:latin typeface="Arial" panose="020B0604020202020204" pitchFamily="34" charset="0"/>
              <a:ea typeface="+mn-ea"/>
              <a:cs typeface="Arial" panose="020B0604020202020204" pitchFamily="34" charset="0"/>
              <a:hlinkClick xmlns:r="http://schemas.openxmlformats.org/officeDocument/2006/relationships" r:id=""/>
            </a:rPr>
            <a:t>© Copyright 2024</a:t>
          </a:r>
          <a:r>
            <a:rPr lang="en-US" sz="1100" b="0" i="0">
              <a:solidFill>
                <a:schemeClr val="tx1"/>
              </a:solidFill>
              <a:effectLst/>
              <a:latin typeface="Arial" panose="020B0604020202020204" pitchFamily="34" charset="0"/>
              <a:ea typeface="+mn-ea"/>
              <a:cs typeface="Arial" panose="020B0604020202020204" pitchFamily="34" charset="0"/>
            </a:rPr>
            <a:t> Texas Instruments Incorporated. All rights reserved.</a:t>
          </a:r>
          <a:endParaRPr lang="en-US" sz="1100" b="0">
            <a:latin typeface="Arial" panose="020B0604020202020204" pitchFamily="34" charset="0"/>
            <a:cs typeface="Arial" panose="020B0604020202020204" pitchFamily="34" charset="0"/>
          </a:endParaRPr>
        </a:p>
      </xdr:txBody>
    </xdr:sp>
    <xdr:clientData/>
  </xdr:oneCellAnchor>
  <xdr:oneCellAnchor>
    <xdr:from>
      <xdr:col>0</xdr:col>
      <xdr:colOff>95247</xdr:colOff>
      <xdr:row>5</xdr:row>
      <xdr:rowOff>95251</xdr:rowOff>
    </xdr:from>
    <xdr:ext cx="11229977" cy="4457700"/>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95247" y="1000126"/>
          <a:ext cx="11229977" cy="44577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eaLnBrk="1" fontAlgn="auto" latinLnBrk="0" hangingPunct="1"/>
          <a:r>
            <a:rPr lang="en-US" sz="1100" b="1" i="0" baseline="0">
              <a:solidFill>
                <a:schemeClr val="tx1"/>
              </a:solidFill>
              <a:effectLst/>
              <a:latin typeface="+mn-lt"/>
              <a:ea typeface="+mn-ea"/>
              <a:cs typeface="+mn-cs"/>
            </a:rPr>
            <a:t>IMPORTANT NOTICE AND DISCLAIMER</a:t>
          </a:r>
          <a:endParaRPr lang="en-US" sz="1000">
            <a:effectLst/>
          </a:endParaRPr>
        </a:p>
        <a:p>
          <a:pPr eaLnBrk="1" fontAlgn="auto" latinLnBrk="0" hangingPunct="1"/>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TI PROVIDES TECHNICAL AND RELIABILITY DATA (INCLUDING DATA SHEETS), DESIGN RESOURCES (INCLUDING REFERENCE</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DESIGNS), APPLICATION OR OTHER DESIGN ADVICE, WEB TOOLS, SAFETY INFORMATION, AND OTHER RESOURCES “AS IS”</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AND WITH ALL FAULTS, AND DISCLAIMS ALL WARRANTIES, EXPRESS AND IMPLIED, INCLUDING WITHOUT LIMITATION ANY</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IMPLIED WARRANTIES OF MERCHANTABILITY, FITNESS FOR A PARTICULAR PURPOSE OR NON-INFRINGEMENT OF THIRD</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PARTY INTELLECTUAL PROPERTY RIGHTS.</a:t>
          </a:r>
          <a:endParaRPr lang="en-US" sz="1000">
            <a:effectLst/>
          </a:endParaRPr>
        </a:p>
        <a:p>
          <a:pPr eaLnBrk="1" fontAlgn="auto" latinLnBrk="0" hangingPunct="1"/>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These resources are intended for skilled developers designing with TI products. You are solely responsible for (1) selecting the appropriate</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TI products for your application, (2) designing, validating and testing your application, and (3) ensuring your application meets applicable</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standards, and any other safety, security, regulatory or other requirements.</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These resources are subject to change without notice. TI grants you permission to use these resources only for development of an</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application that uses the TI products described in the resource. Other reproduction and display of these resources is prohibited. No license</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is granted to any other TI intellectual property right or to any third party intellectual property right. TI disclaims responsibility for, and you</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will fully indemnify TI and its representatives against, any claims, damages, costs, losses, and liabilities arising out of your use of these</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resources.</a:t>
          </a:r>
          <a:endParaRPr lang="en-US" sz="1000">
            <a:effectLst/>
          </a:endParaRPr>
        </a:p>
        <a:p>
          <a:pPr eaLnBrk="1" fontAlgn="auto" latinLnBrk="0" hangingPunct="1"/>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TI’s products are provided subject to TI’s Terms of Sale or other applicable terms available either on ti.com or provided in conjunction with</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such TI products. TI’s provision of these resources does not expand or otherwise alter TI’s applicable warranties or warranty disclaimers for</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TI products.</a:t>
          </a:r>
          <a:endParaRPr lang="en-US" sz="1000">
            <a:effectLst/>
          </a:endParaRPr>
        </a:p>
        <a:p>
          <a:pPr eaLnBrk="1" fontAlgn="auto" latinLnBrk="0" hangingPunct="1"/>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TI objects to and rejects any additional or different terms you may have proposed. IMPORTANT NOTICE</a:t>
          </a:r>
          <a:endParaRPr lang="en-US" sz="1000">
            <a:effectLst/>
          </a:endParaRPr>
        </a:p>
        <a:p>
          <a:pPr algn="ctr" eaLnBrk="1" fontAlgn="auto" latinLnBrk="0" hangingPunct="1"/>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Mailing Address: Texas Instruments, Post Office Box 655303, Dallas, Texas 75265</a:t>
          </a:r>
          <a:br>
            <a:rPr lang="en-US" sz="1100" b="0" i="0" baseline="0">
              <a:solidFill>
                <a:schemeClr val="tx1"/>
              </a:solidFill>
              <a:effectLst/>
              <a:latin typeface="+mn-lt"/>
              <a:ea typeface="+mn-ea"/>
              <a:cs typeface="+mn-cs"/>
            </a:rPr>
          </a:br>
          <a:r>
            <a:rPr lang="en-US" sz="1100" b="0" i="0" baseline="0">
              <a:solidFill>
                <a:schemeClr val="tx1"/>
              </a:solidFill>
              <a:effectLst/>
              <a:latin typeface="+mn-lt"/>
              <a:ea typeface="+mn-ea"/>
              <a:cs typeface="+mn-cs"/>
            </a:rPr>
            <a:t>Copyright © 2024, Texas Instruments Incorporated</a:t>
          </a:r>
          <a:endParaRPr lang="en-US" sz="1000">
            <a:effectLst/>
          </a:endParaRPr>
        </a:p>
      </xdr:txBody>
    </xdr:sp>
    <xdr:clientData/>
  </xdr:oneCellAnchor>
  <xdr:oneCellAnchor>
    <xdr:from>
      <xdr:col>0</xdr:col>
      <xdr:colOff>95247</xdr:colOff>
      <xdr:row>30</xdr:row>
      <xdr:rowOff>28576</xdr:rowOff>
    </xdr:from>
    <xdr:ext cx="11229977" cy="685799"/>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95247" y="5457826"/>
          <a:ext cx="11229977" cy="685799"/>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IMPORTANT</a:t>
          </a:r>
          <a:r>
            <a:rPr lang="en-US" sz="1100" b="1" baseline="0">
              <a:solidFill>
                <a:schemeClr val="tx1"/>
              </a:solidFill>
              <a:effectLst/>
              <a:latin typeface="+mn-lt"/>
              <a:ea typeface="+mn-ea"/>
              <a:cs typeface="+mn-cs"/>
            </a:rPr>
            <a:t>:   </a:t>
          </a:r>
          <a:endParaRPr lang="en-US" sz="800">
            <a:effectLst/>
          </a:endParaRPr>
        </a:p>
        <a:p>
          <a:r>
            <a:rPr lang="en-US" sz="1100" baseline="0">
              <a:solidFill>
                <a:schemeClr val="tx1"/>
              </a:solidFill>
              <a:effectLst/>
              <a:latin typeface="+mn-lt"/>
              <a:ea typeface="+mn-ea"/>
              <a:cs typeface="+mn-cs"/>
            </a:rPr>
            <a:t>1.  Do not delete this worksheet!</a:t>
          </a:r>
          <a:endParaRPr lang="en-US" sz="800">
            <a:effectLst/>
          </a:endParaRPr>
        </a:p>
        <a:p>
          <a:pPr eaLnBrk="1" fontAlgn="auto" latinLnBrk="0" hangingPunct="1"/>
          <a:r>
            <a:rPr lang="en-US" sz="1100" baseline="0">
              <a:solidFill>
                <a:schemeClr val="tx1"/>
              </a:solidFill>
              <a:effectLst/>
              <a:latin typeface="+mn-lt"/>
              <a:ea typeface="+mn-ea"/>
              <a:cs typeface="+mn-cs"/>
            </a:rPr>
            <a:t>2.  Redistributions must retain the above copyright and the following disclaimer.</a:t>
          </a:r>
          <a:endParaRPr lang="en-US" sz="800">
            <a:effectLst/>
          </a:endParaRPr>
        </a:p>
        <a:p>
          <a:endParaRPr lang="en-US" sz="800" baseline="0">
            <a:latin typeface="Arial" panose="020B0604020202020204" pitchFamily="34" charset="0"/>
            <a:cs typeface="Arial" panose="020B0604020202020204" pitchFamily="34" charset="0"/>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76</xdr:col>
      <xdr:colOff>197810</xdr:colOff>
      <xdr:row>6</xdr:row>
      <xdr:rowOff>107149</xdr:rowOff>
    </xdr:from>
    <xdr:to>
      <xdr:col>85</xdr:col>
      <xdr:colOff>2406</xdr:colOff>
      <xdr:row>25</xdr:row>
      <xdr:rowOff>110908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228022</xdr:colOff>
      <xdr:row>12</xdr:row>
      <xdr:rowOff>102466</xdr:rowOff>
    </xdr:from>
    <xdr:to>
      <xdr:col>66</xdr:col>
      <xdr:colOff>96573</xdr:colOff>
      <xdr:row>37</xdr:row>
      <xdr:rowOff>156894</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76</xdr:col>
      <xdr:colOff>197810</xdr:colOff>
      <xdr:row>6</xdr:row>
      <xdr:rowOff>107149</xdr:rowOff>
    </xdr:from>
    <xdr:to>
      <xdr:col>85</xdr:col>
      <xdr:colOff>2406</xdr:colOff>
      <xdr:row>25</xdr:row>
      <xdr:rowOff>110908</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228022</xdr:colOff>
      <xdr:row>12</xdr:row>
      <xdr:rowOff>102466</xdr:rowOff>
    </xdr:from>
    <xdr:to>
      <xdr:col>66</xdr:col>
      <xdr:colOff>96573</xdr:colOff>
      <xdr:row>37</xdr:row>
      <xdr:rowOff>156894</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2</xdr:row>
      <xdr:rowOff>0</xdr:rowOff>
    </xdr:from>
    <xdr:to>
      <xdr:col>1</xdr:col>
      <xdr:colOff>10231751</xdr:colOff>
      <xdr:row>2</xdr:row>
      <xdr:rowOff>4816928</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4</xdr:row>
      <xdr:rowOff>0</xdr:rowOff>
    </xdr:from>
    <xdr:to>
      <xdr:col>1</xdr:col>
      <xdr:colOff>10231751</xdr:colOff>
      <xdr:row>4</xdr:row>
      <xdr:rowOff>4816928</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59634</xdr:colOff>
      <xdr:row>105</xdr:row>
      <xdr:rowOff>49693</xdr:rowOff>
    </xdr:from>
    <xdr:to>
      <xdr:col>23</xdr:col>
      <xdr:colOff>119714</xdr:colOff>
      <xdr:row>119</xdr:row>
      <xdr:rowOff>291127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9468677" y="16416128"/>
          <a:ext cx="10479601" cy="3021205"/>
        </a:xfrm>
        <a:prstGeom prst="rect">
          <a:avLst/>
        </a:prstGeom>
      </xdr:spPr>
    </xdr:pic>
    <xdr:clientData/>
  </xdr:twoCellAnchor>
  <xdr:twoCellAnchor editAs="oneCell">
    <xdr:from>
      <xdr:col>3</xdr:col>
      <xdr:colOff>2194891</xdr:colOff>
      <xdr:row>100</xdr:row>
      <xdr:rowOff>182217</xdr:rowOff>
    </xdr:from>
    <xdr:to>
      <xdr:col>5</xdr:col>
      <xdr:colOff>539184</xdr:colOff>
      <xdr:row>103</xdr:row>
      <xdr:rowOff>172770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7354956" y="15215152"/>
          <a:ext cx="2638793" cy="56205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308511</xdr:colOff>
      <xdr:row>64</xdr:row>
      <xdr:rowOff>26319</xdr:rowOff>
    </xdr:from>
    <xdr:to>
      <xdr:col>13</xdr:col>
      <xdr:colOff>100535</xdr:colOff>
      <xdr:row>73</xdr:row>
      <xdr:rowOff>174209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3860776" y="12352790"/>
          <a:ext cx="6414700" cy="1862390"/>
        </a:xfrm>
        <a:prstGeom prst="rect">
          <a:avLst/>
        </a:prstGeom>
      </xdr:spPr>
    </xdr:pic>
    <xdr:clientData/>
  </xdr:twoCellAnchor>
  <xdr:twoCellAnchor>
    <xdr:from>
      <xdr:col>13</xdr:col>
      <xdr:colOff>1051560</xdr:colOff>
      <xdr:row>49</xdr:row>
      <xdr:rowOff>45720</xdr:rowOff>
    </xdr:from>
    <xdr:to>
      <xdr:col>24</xdr:col>
      <xdr:colOff>563880</xdr:colOff>
      <xdr:row>73</xdr:row>
      <xdr:rowOff>19050</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44</xdr:col>
      <xdr:colOff>186690</xdr:colOff>
      <xdr:row>39</xdr:row>
      <xdr:rowOff>167640</xdr:rowOff>
    </xdr:from>
    <xdr:to>
      <xdr:col>47</xdr:col>
      <xdr:colOff>162823</xdr:colOff>
      <xdr:row>45</xdr:row>
      <xdr:rowOff>69931</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31171515" y="7901940"/>
          <a:ext cx="1804933" cy="1045291"/>
        </a:xfrm>
        <a:prstGeom prst="rect">
          <a:avLst/>
        </a:prstGeom>
      </xdr:spPr>
    </xdr:pic>
    <xdr:clientData/>
  </xdr:twoCellAnchor>
  <xdr:twoCellAnchor editAs="oneCell">
    <xdr:from>
      <xdr:col>46</xdr:col>
      <xdr:colOff>247650</xdr:colOff>
      <xdr:row>40</xdr:row>
      <xdr:rowOff>60960</xdr:rowOff>
    </xdr:from>
    <xdr:to>
      <xdr:col>50</xdr:col>
      <xdr:colOff>567929</xdr:colOff>
      <xdr:row>44</xdr:row>
      <xdr:rowOff>129611</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32708850" y="7985760"/>
          <a:ext cx="2758679" cy="830651"/>
        </a:xfrm>
        <a:prstGeom prst="rect">
          <a:avLst/>
        </a:prstGeom>
      </xdr:spPr>
    </xdr:pic>
    <xdr:clientData/>
  </xdr:twoCellAnchor>
  <xdr:twoCellAnchor>
    <xdr:from>
      <xdr:col>43</xdr:col>
      <xdr:colOff>30480</xdr:colOff>
      <xdr:row>49</xdr:row>
      <xdr:rowOff>64770</xdr:rowOff>
    </xdr:from>
    <xdr:to>
      <xdr:col>54</xdr:col>
      <xdr:colOff>144780</xdr:colOff>
      <xdr:row>73</xdr:row>
      <xdr:rowOff>38100</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7620</xdr:colOff>
      <xdr:row>21</xdr:row>
      <xdr:rowOff>121920</xdr:rowOff>
    </xdr:from>
    <xdr:to>
      <xdr:col>25</xdr:col>
      <xdr:colOff>45720</xdr:colOff>
      <xdr:row>45</xdr:row>
      <xdr:rowOff>80010</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313764</xdr:colOff>
      <xdr:row>48</xdr:row>
      <xdr:rowOff>179295</xdr:rowOff>
    </xdr:from>
    <xdr:to>
      <xdr:col>41</xdr:col>
      <xdr:colOff>438673</xdr:colOff>
      <xdr:row>72</xdr:row>
      <xdr:rowOff>152625</xdr:rowOff>
    </xdr:to>
    <xdr:graphicFrame macro="">
      <xdr:nvGraphicFramePr>
        <xdr:cNvPr id="8" name="Chart 7">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22</xdr:row>
      <xdr:rowOff>0</xdr:rowOff>
    </xdr:from>
    <xdr:to>
      <xdr:col>41</xdr:col>
      <xdr:colOff>97865</xdr:colOff>
      <xdr:row>45</xdr:row>
      <xdr:rowOff>144855</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0</xdr:colOff>
      <xdr:row>22</xdr:row>
      <xdr:rowOff>0</xdr:rowOff>
    </xdr:from>
    <xdr:to>
      <xdr:col>54</xdr:col>
      <xdr:colOff>269688</xdr:colOff>
      <xdr:row>45</xdr:row>
      <xdr:rowOff>144855</xdr:rowOff>
    </xdr:to>
    <xdr:graphicFrame macro="">
      <xdr:nvGraphicFramePr>
        <xdr:cNvPr id="10" name="Chart 9">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952501</xdr:colOff>
      <xdr:row>89</xdr:row>
      <xdr:rowOff>89647</xdr:rowOff>
    </xdr:from>
    <xdr:to>
      <xdr:col>11</xdr:col>
      <xdr:colOff>100446</xdr:colOff>
      <xdr:row>110</xdr:row>
      <xdr:rowOff>98671</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0"/>
        <a:stretch>
          <a:fillRect/>
        </a:stretch>
      </xdr:blipFill>
      <xdr:spPr>
        <a:xfrm>
          <a:off x="952501" y="17212235"/>
          <a:ext cx="7742857" cy="400952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0490699/Desktop/My%20devices/Excelsheet%20needs%20work/calculator%20project/LM5123_Excel_Quickstart_Calculator_for_Boost_Controller_Desig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Converter"/>
      <sheetName val="Variable_Management"/>
      <sheetName val="Eff_vs_IOUT"/>
      <sheetName val="Loop_Modeling"/>
      <sheetName val="Constants"/>
      <sheetName val="Plot_Management_Eff"/>
      <sheetName val="Plot_Management_Sch"/>
      <sheetName val="Lists"/>
      <sheetName val="Sheet1"/>
    </sheetNames>
    <sheetDataSet>
      <sheetData sheetId="0"/>
      <sheetData sheetId="1">
        <row r="127">
          <cell r="B127">
            <v>81818.181818181751</v>
          </cell>
        </row>
      </sheetData>
      <sheetData sheetId="2">
        <row r="7">
          <cell r="S7">
            <v>0</v>
          </cell>
          <cell r="AI7">
            <v>1.13161834494674E-3</v>
          </cell>
          <cell r="AO7">
            <v>0.63790833399516844</v>
          </cell>
          <cell r="AP7">
            <v>2.5461412761301648E-3</v>
          </cell>
          <cell r="AW7">
            <v>0</v>
          </cell>
        </row>
        <row r="8">
          <cell r="S8">
            <v>9.3333333333333338E-2</v>
          </cell>
          <cell r="AI8">
            <v>5.3029569450771509E-2</v>
          </cell>
          <cell r="AO8">
            <v>0.63990566732850174</v>
          </cell>
          <cell r="AP8">
            <v>2.663741276130165E-3</v>
          </cell>
          <cell r="AW8">
            <v>72.074743546197936</v>
          </cell>
        </row>
        <row r="9">
          <cell r="S9">
            <v>0.18666666666666668</v>
          </cell>
          <cell r="AI9">
            <v>0.10503205388992962</v>
          </cell>
          <cell r="AO9">
            <v>0.64195526732850172</v>
          </cell>
          <cell r="AP9">
            <v>3.0165412761301649E-3</v>
          </cell>
          <cell r="AW9">
            <v>83.278946320422875</v>
          </cell>
        </row>
        <row r="10">
          <cell r="S10">
            <v>0.28000000000000003</v>
          </cell>
          <cell r="AI10">
            <v>0.15713907166242103</v>
          </cell>
          <cell r="AO10">
            <v>0.6440571339951684</v>
          </cell>
          <cell r="AP10">
            <v>3.6045412761301645E-3</v>
          </cell>
          <cell r="AW10">
            <v>87.823398093854962</v>
          </cell>
        </row>
        <row r="11">
          <cell r="S11">
            <v>0.37333333333333335</v>
          </cell>
          <cell r="AI11">
            <v>0.20935062276824581</v>
          </cell>
          <cell r="AO11">
            <v>0.64621126732850176</v>
          </cell>
          <cell r="AP11">
            <v>4.4277412761301654E-3</v>
          </cell>
          <cell r="AW11">
            <v>90.281532425115813</v>
          </cell>
        </row>
        <row r="12">
          <cell r="S12">
            <v>0.46666666666666667</v>
          </cell>
          <cell r="AI12">
            <v>0.26166670720740393</v>
          </cell>
          <cell r="AO12">
            <v>0.6484176673285017</v>
          </cell>
          <cell r="AP12">
            <v>5.4861412761301655E-3</v>
          </cell>
          <cell r="AW12">
            <v>91.819206893500748</v>
          </cell>
        </row>
        <row r="13">
          <cell r="S13">
            <v>0.56000000000000005</v>
          </cell>
          <cell r="AI13">
            <v>0.31408732497989528</v>
          </cell>
          <cell r="AO13">
            <v>0.65067633399516844</v>
          </cell>
          <cell r="AP13">
            <v>6.7797412761301645E-3</v>
          </cell>
          <cell r="AW13">
            <v>92.870019459561121</v>
          </cell>
        </row>
        <row r="14">
          <cell r="S14">
            <v>0.65333333333333332</v>
          </cell>
          <cell r="AI14">
            <v>0.36661247608572006</v>
          </cell>
          <cell r="AO14">
            <v>0.65298726732850176</v>
          </cell>
          <cell r="AP14">
            <v>8.308541276130163E-3</v>
          </cell>
          <cell r="AW14">
            <v>93.632190379295068</v>
          </cell>
        </row>
        <row r="15">
          <cell r="S15">
            <v>0.7466666666666667</v>
          </cell>
          <cell r="AI15">
            <v>0.41924216052487823</v>
          </cell>
          <cell r="AO15">
            <v>0.65535046732850177</v>
          </cell>
          <cell r="AP15">
            <v>1.0072541276130166E-2</v>
          </cell>
          <cell r="AW15">
            <v>94.209194553124718</v>
          </cell>
        </row>
        <row r="16">
          <cell r="S16">
            <v>0.84000000000000008</v>
          </cell>
          <cell r="AI16">
            <v>0.4719763782973696</v>
          </cell>
          <cell r="AO16">
            <v>0.65776593399516836</v>
          </cell>
          <cell r="AP16">
            <v>1.2071741276130166E-2</v>
          </cell>
          <cell r="AW16">
            <v>94.660327183697774</v>
          </cell>
        </row>
        <row r="17">
          <cell r="S17">
            <v>0.93333333333333335</v>
          </cell>
          <cell r="AI17">
            <v>0.52481512940319441</v>
          </cell>
          <cell r="AO17">
            <v>0.66023366732850175</v>
          </cell>
          <cell r="AP17">
            <v>1.4306141276130167E-2</v>
          </cell>
          <cell r="AW17">
            <v>95.022008446023904</v>
          </cell>
        </row>
        <row r="18">
          <cell r="S18">
            <v>1.0266666666666666</v>
          </cell>
          <cell r="AI18">
            <v>0.57775841384235238</v>
          </cell>
          <cell r="AO18">
            <v>0.66275366732850172</v>
          </cell>
          <cell r="AP18">
            <v>1.6775741276130161E-2</v>
          </cell>
          <cell r="AW18">
            <v>95.317844151427352</v>
          </cell>
        </row>
        <row r="19">
          <cell r="S19">
            <v>1.1200000000000001</v>
          </cell>
          <cell r="AI19">
            <v>0.63080623161484384</v>
          </cell>
          <cell r="AO19">
            <v>0.66532593399516837</v>
          </cell>
          <cell r="AP19">
            <v>1.9480541276130164E-2</v>
          </cell>
          <cell r="AW19">
            <v>95.563805969178546</v>
          </cell>
        </row>
        <row r="20">
          <cell r="S20">
            <v>1.2133333333333334</v>
          </cell>
          <cell r="AI20">
            <v>0.68395858272066867</v>
          </cell>
          <cell r="AO20">
            <v>0.66795046732850172</v>
          </cell>
          <cell r="AP20">
            <v>2.242054127613017E-2</v>
          </cell>
          <cell r="AW20">
            <v>95.771086688792309</v>
          </cell>
        </row>
        <row r="21">
          <cell r="S21">
            <v>1.3066666666666666</v>
          </cell>
          <cell r="AI21">
            <v>0.73721546715982667</v>
          </cell>
          <cell r="AO21">
            <v>0.67062726732850175</v>
          </cell>
          <cell r="AP21">
            <v>2.5595741276130162E-2</v>
          </cell>
          <cell r="AW21">
            <v>95.947763185503092</v>
          </cell>
        </row>
        <row r="22">
          <cell r="S22">
            <v>1.4000000000000001</v>
          </cell>
          <cell r="AI22">
            <v>0.79057688493231826</v>
          </cell>
          <cell r="AO22">
            <v>0.67335633399516848</v>
          </cell>
          <cell r="AP22">
            <v>2.9006141276130167E-2</v>
          </cell>
          <cell r="AW22">
            <v>96.099810151145334</v>
          </cell>
        </row>
        <row r="23">
          <cell r="S23">
            <v>1.4933333333333334</v>
          </cell>
          <cell r="AI23">
            <v>0.84404283603814301</v>
          </cell>
          <cell r="AO23">
            <v>0.67613766732850178</v>
          </cell>
          <cell r="AP23">
            <v>3.2651741276130172E-2</v>
          </cell>
          <cell r="AW23">
            <v>96.231742235239238</v>
          </cell>
        </row>
        <row r="24">
          <cell r="S24">
            <v>1.5866666666666667</v>
          </cell>
          <cell r="AI24">
            <v>0.89761332047730091</v>
          </cell>
          <cell r="AO24">
            <v>0.67897126732850177</v>
          </cell>
          <cell r="AP24">
            <v>3.6532541276130169E-2</v>
          </cell>
          <cell r="AW24">
            <v>96.347034357137446</v>
          </cell>
        </row>
        <row r="25">
          <cell r="S25">
            <v>1.6800000000000002</v>
          </cell>
          <cell r="AI25">
            <v>0.95128833824979242</v>
          </cell>
          <cell r="AO25">
            <v>0.68185713399516845</v>
          </cell>
          <cell r="AP25">
            <v>4.0648541276130171E-2</v>
          </cell>
          <cell r="AW25">
            <v>96.448404725179344</v>
          </cell>
        </row>
        <row r="26">
          <cell r="S26">
            <v>1.7733333333333334</v>
          </cell>
          <cell r="AI26">
            <v>1.0050678893556171</v>
          </cell>
          <cell r="AO26">
            <v>0.68479526732850171</v>
          </cell>
          <cell r="AP26">
            <v>4.4999741276130177E-2</v>
          </cell>
          <cell r="AW26">
            <v>96.538010182006872</v>
          </cell>
        </row>
        <row r="27">
          <cell r="S27">
            <v>1.8666666666666667</v>
          </cell>
          <cell r="AI27">
            <v>1.0589519737947755</v>
          </cell>
          <cell r="AO27">
            <v>0.68778566732850177</v>
          </cell>
          <cell r="AP27">
            <v>4.9586141276130175E-2</v>
          </cell>
          <cell r="AW27">
            <v>96.617584006656713</v>
          </cell>
        </row>
        <row r="28">
          <cell r="S28">
            <v>1.9600000000000002</v>
          </cell>
          <cell r="AI28">
            <v>1.112940591567267</v>
          </cell>
          <cell r="AO28">
            <v>0.69082833399516841</v>
          </cell>
          <cell r="AP28">
            <v>5.4407741276130184E-2</v>
          </cell>
          <cell r="AW28">
            <v>96.688535023683485</v>
          </cell>
        </row>
        <row r="29">
          <cell r="S29">
            <v>2.0533333333333332</v>
          </cell>
          <cell r="AI29">
            <v>1.1670337426730912</v>
          </cell>
          <cell r="AO29">
            <v>0.69392326732850174</v>
          </cell>
          <cell r="AP29">
            <v>5.9464541276130156E-2</v>
          </cell>
          <cell r="AW29">
            <v>96.752020127868875</v>
          </cell>
        </row>
        <row r="30">
          <cell r="S30">
            <v>2.1466666666666669</v>
          </cell>
          <cell r="AI30">
            <v>1.2212314271122497</v>
          </cell>
          <cell r="AO30">
            <v>0.69707046732850175</v>
          </cell>
          <cell r="AP30">
            <v>6.4756541276130161E-2</v>
          </cell>
          <cell r="AW30">
            <v>96.808998187822311</v>
          </cell>
        </row>
        <row r="31">
          <cell r="S31">
            <v>2.2400000000000002</v>
          </cell>
          <cell r="AI31">
            <v>1.275533644884741</v>
          </cell>
          <cell r="AO31">
            <v>0.70026993399516846</v>
          </cell>
          <cell r="AP31">
            <v>7.0283741276130171E-2</v>
          </cell>
          <cell r="AW31">
            <v>96.860270677489993</v>
          </cell>
        </row>
        <row r="32">
          <cell r="S32">
            <v>2.3333333333333335</v>
          </cell>
          <cell r="AI32">
            <v>1.3299403959905658</v>
          </cell>
          <cell r="AO32">
            <v>0.70352166732850174</v>
          </cell>
          <cell r="AP32">
            <v>7.6046141276130172E-2</v>
          </cell>
          <cell r="AW32">
            <v>96.906512697769813</v>
          </cell>
        </row>
        <row r="33">
          <cell r="S33">
            <v>2.4266666666666667</v>
          </cell>
          <cell r="AI33">
            <v>1.384451680429724</v>
          </cell>
          <cell r="AO33">
            <v>0.70682566732850183</v>
          </cell>
          <cell r="AP33">
            <v>8.2043741276130178E-2</v>
          </cell>
          <cell r="AW33">
            <v>96.948296939349646</v>
          </cell>
        </row>
        <row r="34">
          <cell r="S34">
            <v>2.52</v>
          </cell>
          <cell r="AI34">
            <v>1.4390674982022156</v>
          </cell>
          <cell r="AO34">
            <v>0.71018193399516838</v>
          </cell>
          <cell r="AP34">
            <v>8.827654127613016E-2</v>
          </cell>
          <cell r="AW34">
            <v>96.986112392178498</v>
          </cell>
        </row>
        <row r="35">
          <cell r="S35">
            <v>2.6133333333333333</v>
          </cell>
          <cell r="AI35">
            <v>1.4937878493080401</v>
          </cell>
          <cell r="AO35">
            <v>0.71359046732850173</v>
          </cell>
          <cell r="AP35">
            <v>9.4744541276130148E-2</v>
          </cell>
          <cell r="AW35">
            <v>97.020379097850068</v>
          </cell>
        </row>
        <row r="36">
          <cell r="S36">
            <v>2.706666666666667</v>
          </cell>
          <cell r="AI36">
            <v>1.5486127337471982</v>
          </cell>
          <cell r="AO36">
            <v>0.71705126732850177</v>
          </cell>
          <cell r="AP36">
            <v>0.10144774127613021</v>
          </cell>
          <cell r="AW36">
            <v>97.051459888071491</v>
          </cell>
        </row>
        <row r="37">
          <cell r="S37">
            <v>2.8000000000000003</v>
          </cell>
          <cell r="AI37">
            <v>1.6035421515196897</v>
          </cell>
          <cell r="AO37">
            <v>0.72056433399516839</v>
          </cell>
          <cell r="AP37">
            <v>0.10838614127613017</v>
          </cell>
          <cell r="AW37">
            <v>97.079669803929562</v>
          </cell>
        </row>
        <row r="38">
          <cell r="S38">
            <v>2.8933333333333335</v>
          </cell>
          <cell r="AI38">
            <v>1.6585761026255148</v>
          </cell>
          <cell r="AO38">
            <v>0.72412966732850181</v>
          </cell>
          <cell r="AP38">
            <v>0.11555974127613018</v>
          </cell>
          <cell r="AW38">
            <v>97.10528371349254</v>
          </cell>
        </row>
        <row r="39">
          <cell r="S39">
            <v>2.9866666666666668</v>
          </cell>
          <cell r="AI39">
            <v>1.7137145870646726</v>
          </cell>
          <cell r="AO39">
            <v>0.7277472673285017</v>
          </cell>
          <cell r="AP39">
            <v>0.12296854127613016</v>
          </cell>
          <cell r="AW39">
            <v>97.1285425173742</v>
          </cell>
        </row>
        <row r="40">
          <cell r="S40">
            <v>3.08</v>
          </cell>
          <cell r="AI40">
            <v>1.768957604837164</v>
          </cell>
          <cell r="AO40">
            <v>0.7314171339951685</v>
          </cell>
          <cell r="AP40">
            <v>0.13061254127613015</v>
          </cell>
          <cell r="AW40">
            <v>97.149658238475084</v>
          </cell>
        </row>
        <row r="41">
          <cell r="S41">
            <v>3.1733333333333333</v>
          </cell>
          <cell r="AI41">
            <v>1.8243051559429886</v>
          </cell>
          <cell r="AO41">
            <v>0.73513926732850177</v>
          </cell>
          <cell r="AP41">
            <v>0.13849174127613015</v>
          </cell>
          <cell r="AW41">
            <v>97.168818223165886</v>
          </cell>
        </row>
        <row r="42">
          <cell r="S42">
            <v>3.2666666666666666</v>
          </cell>
          <cell r="AI42">
            <v>1.8797572403821465</v>
          </cell>
          <cell r="AO42">
            <v>0.73891366732850172</v>
          </cell>
          <cell r="AP42">
            <v>0.14660614127613011</v>
          </cell>
          <cell r="AW42">
            <v>97.18618862977246</v>
          </cell>
        </row>
        <row r="43">
          <cell r="S43">
            <v>3.3600000000000003</v>
          </cell>
          <cell r="AI43">
            <v>1.9353138581546381</v>
          </cell>
          <cell r="AO43">
            <v>0.74274033399516837</v>
          </cell>
          <cell r="AP43">
            <v>0.15495574127613018</v>
          </cell>
          <cell r="AW43">
            <v>97.201917341538817</v>
          </cell>
        </row>
        <row r="44">
          <cell r="S44">
            <v>3.4533333333333336</v>
          </cell>
          <cell r="AI44">
            <v>1.9909750092604632</v>
          </cell>
          <cell r="AO44">
            <v>0.7466192673285017</v>
          </cell>
          <cell r="AP44">
            <v>0.16354054127613019</v>
          </cell>
          <cell r="AW44">
            <v>97.216136411876164</v>
          </cell>
        </row>
        <row r="45">
          <cell r="S45">
            <v>3.5466666666666669</v>
          </cell>
          <cell r="AI45">
            <v>2.0467406936996211</v>
          </cell>
          <cell r="AO45">
            <v>0.75055046732850172</v>
          </cell>
          <cell r="AP45">
            <v>0.17236054127613018</v>
          </cell>
          <cell r="AW45">
            <v>97.228964127228892</v>
          </cell>
        </row>
        <row r="46">
          <cell r="S46">
            <v>3.64</v>
          </cell>
          <cell r="AI46">
            <v>2.1026109114721123</v>
          </cell>
          <cell r="AO46">
            <v>0.75453393399516833</v>
          </cell>
          <cell r="AP46">
            <v>0.18141574127613017</v>
          </cell>
          <cell r="AW46">
            <v>97.240506755547358</v>
          </cell>
        </row>
        <row r="47">
          <cell r="S47">
            <v>3.7333333333333334</v>
          </cell>
          <cell r="AI47">
            <v>2.1585856625779374</v>
          </cell>
          <cell r="AO47">
            <v>0.75856966732850173</v>
          </cell>
          <cell r="AP47">
            <v>0.1907061412761302</v>
          </cell>
          <cell r="AW47">
            <v>97.250860034884298</v>
          </cell>
        </row>
        <row r="48">
          <cell r="S48">
            <v>3.8266666666666667</v>
          </cell>
          <cell r="AI48">
            <v>2.2146649470170954</v>
          </cell>
          <cell r="AO48">
            <v>0.76265766732850171</v>
          </cell>
          <cell r="AP48">
            <v>0.20023174127613019</v>
          </cell>
          <cell r="AW48">
            <v>97.260110446088532</v>
          </cell>
        </row>
        <row r="49">
          <cell r="S49">
            <v>3.9200000000000004</v>
          </cell>
          <cell r="AI49">
            <v>2.2708487647895872</v>
          </cell>
          <cell r="AO49">
            <v>0.76679793399516849</v>
          </cell>
          <cell r="AP49">
            <v>0.20999254127613026</v>
          </cell>
          <cell r="AW49">
            <v>97.268336305266828</v>
          </cell>
        </row>
        <row r="50">
          <cell r="S50">
            <v>4.0133333333333336</v>
          </cell>
          <cell r="AI50">
            <v>2.3271371158954119</v>
          </cell>
          <cell r="AO50">
            <v>0.77099046732850174</v>
          </cell>
          <cell r="AP50">
            <v>0.21998854127613024</v>
          </cell>
          <cell r="AW50">
            <v>97.275608705104659</v>
          </cell>
        </row>
        <row r="51">
          <cell r="S51">
            <v>4.1066666666666665</v>
          </cell>
          <cell r="AI51">
            <v>2.3835300003345692</v>
          </cell>
          <cell r="AO51">
            <v>0.77523526732850168</v>
          </cell>
          <cell r="AP51">
            <v>0.2302197412761301</v>
          </cell>
          <cell r="AW51">
            <v>97.281992328891221</v>
          </cell>
        </row>
        <row r="52">
          <cell r="S52">
            <v>4.2</v>
          </cell>
          <cell r="AI52">
            <v>2.4400274181070611</v>
          </cell>
          <cell r="AO52">
            <v>0.77953233399516841</v>
          </cell>
          <cell r="AP52">
            <v>0.24068614127613017</v>
          </cell>
          <cell r="AW52">
            <v>97.287546156889562</v>
          </cell>
        </row>
        <row r="53">
          <cell r="S53">
            <v>4.2933333333333339</v>
          </cell>
          <cell r="AI53">
            <v>2.496629369212886</v>
          </cell>
          <cell r="AO53">
            <v>0.78388166732850184</v>
          </cell>
          <cell r="AP53">
            <v>0.25138774127613023</v>
          </cell>
          <cell r="AW53">
            <v>97.29232408130369</v>
          </cell>
        </row>
        <row r="54">
          <cell r="S54">
            <v>4.3866666666666667</v>
          </cell>
          <cell r="AI54">
            <v>2.5533358536520439</v>
          </cell>
          <cell r="AO54">
            <v>0.78828326732850174</v>
          </cell>
          <cell r="AP54">
            <v>0.26232454127613014</v>
          </cell>
          <cell r="AW54">
            <v>97.296375443350129</v>
          </cell>
        </row>
        <row r="55">
          <cell r="S55">
            <v>4.4800000000000004</v>
          </cell>
          <cell r="AI55">
            <v>2.6101468714245351</v>
          </cell>
          <cell r="AO55">
            <v>0.79273713399516832</v>
          </cell>
          <cell r="AP55">
            <v>0.27349654127613016</v>
          </cell>
          <cell r="AW55">
            <v>97.299745503707015</v>
          </cell>
        </row>
        <row r="56">
          <cell r="S56">
            <v>4.5733333333333333</v>
          </cell>
          <cell r="AI56">
            <v>2.6670624225303601</v>
          </cell>
          <cell r="AO56">
            <v>0.7972432673285017</v>
          </cell>
          <cell r="AP56">
            <v>0.28490374127613011</v>
          </cell>
          <cell r="AW56">
            <v>97.302475855787279</v>
          </cell>
        </row>
        <row r="57">
          <cell r="S57">
            <v>4.666666666666667</v>
          </cell>
          <cell r="AI57">
            <v>2.724082506969518</v>
          </cell>
          <cell r="AO57">
            <v>0.80180166732850178</v>
          </cell>
          <cell r="AP57">
            <v>0.29654614127613022</v>
          </cell>
          <cell r="AW57">
            <v>97.304604789781806</v>
          </cell>
        </row>
        <row r="58">
          <cell r="S58">
            <v>4.76</v>
          </cell>
          <cell r="AI58">
            <v>2.7812071247420094</v>
          </cell>
          <cell r="AO58">
            <v>0.80641233399516843</v>
          </cell>
          <cell r="AP58">
            <v>0.3084237412761302</v>
          </cell>
          <cell r="AW58">
            <v>97.306167614181433</v>
          </cell>
        </row>
        <row r="59">
          <cell r="S59">
            <v>4.8533333333333335</v>
          </cell>
          <cell r="AI59">
            <v>2.8384362758478345</v>
          </cell>
          <cell r="AO59">
            <v>0.81107526732850177</v>
          </cell>
          <cell r="AP59">
            <v>0.32053654127613024</v>
          </cell>
          <cell r="AW59">
            <v>97.30719694046121</v>
          </cell>
        </row>
        <row r="60">
          <cell r="S60">
            <v>4.9466666666666672</v>
          </cell>
          <cell r="AI60">
            <v>2.8957699602869931</v>
          </cell>
          <cell r="AO60">
            <v>0.8157904673285018</v>
          </cell>
          <cell r="AP60">
            <v>0.33288454127613021</v>
          </cell>
          <cell r="AW60">
            <v>97.307722935758818</v>
          </cell>
        </row>
        <row r="61">
          <cell r="S61">
            <v>5.04</v>
          </cell>
          <cell r="AI61">
            <v>2.9532081780594845</v>
          </cell>
          <cell r="AO61">
            <v>0.82055793399516841</v>
          </cell>
          <cell r="AP61">
            <v>0.34546774127613017</v>
          </cell>
          <cell r="AW61">
            <v>97.307773547667992</v>
          </cell>
        </row>
        <row r="62">
          <cell r="S62">
            <v>5.1333333333333337</v>
          </cell>
          <cell r="AI62">
            <v>3.0107509291653094</v>
          </cell>
          <cell r="AO62">
            <v>0.82537766732850182</v>
          </cell>
          <cell r="AP62">
            <v>0.35828614127613029</v>
          </cell>
          <cell r="AW62">
            <v>97.307374704672227</v>
          </cell>
        </row>
        <row r="63">
          <cell r="S63">
            <v>5.2266666666666666</v>
          </cell>
          <cell r="AI63">
            <v>3.0683982136044667</v>
          </cell>
          <cell r="AO63">
            <v>0.83024966732850169</v>
          </cell>
          <cell r="AP63">
            <v>0.37133974127613001</v>
          </cell>
          <cell r="AW63">
            <v>97.306550495243812</v>
          </cell>
        </row>
        <row r="64">
          <cell r="S64">
            <v>5.32</v>
          </cell>
          <cell r="AI64">
            <v>3.1261500313769579</v>
          </cell>
          <cell r="AO64">
            <v>0.83517393399516837</v>
          </cell>
          <cell r="AP64">
            <v>0.38462854127613016</v>
          </cell>
          <cell r="AW64">
            <v>97.305323328211514</v>
          </cell>
        </row>
        <row r="65">
          <cell r="S65">
            <v>5.413333333333334</v>
          </cell>
          <cell r="AI65">
            <v>3.1840063824827829</v>
          </cell>
          <cell r="AO65">
            <v>0.84015046732850174</v>
          </cell>
          <cell r="AP65">
            <v>0.3981525412761302</v>
          </cell>
          <cell r="AW65">
            <v>97.303714076643189</v>
          </cell>
        </row>
        <row r="66">
          <cell r="S66">
            <v>5.5066666666666668</v>
          </cell>
          <cell r="AI66">
            <v>3.2419672669219408</v>
          </cell>
          <cell r="AO66">
            <v>0.84517926732850168</v>
          </cell>
          <cell r="AP66">
            <v>0.41191174127613006</v>
          </cell>
          <cell r="AW66">
            <v>97.301742207187147</v>
          </cell>
        </row>
        <row r="67">
          <cell r="S67">
            <v>5.6000000000000005</v>
          </cell>
          <cell r="AI67">
            <v>3.3000326846944326</v>
          </cell>
          <cell r="AO67">
            <v>0.85026033399516843</v>
          </cell>
          <cell r="AP67">
            <v>0.42590614127613013</v>
          </cell>
          <cell r="AW67">
            <v>97.299425896558276</v>
          </cell>
        </row>
        <row r="68">
          <cell r="S68">
            <v>5.6933333333333334</v>
          </cell>
          <cell r="AI68">
            <v>3.3582026358002577</v>
          </cell>
          <cell r="AO68">
            <v>0.85539366732850175</v>
          </cell>
          <cell r="AP68">
            <v>0.44013574127613031</v>
          </cell>
          <cell r="AW68">
            <v>97.296782136635429</v>
          </cell>
        </row>
        <row r="69">
          <cell r="S69">
            <v>5.7866666666666671</v>
          </cell>
          <cell r="AI69">
            <v>3.4164771202394162</v>
          </cell>
          <cell r="AO69">
            <v>0.86057926732850187</v>
          </cell>
          <cell r="AP69">
            <v>0.45460054127613025</v>
          </cell>
          <cell r="AW69">
            <v>97.293826829448079</v>
          </cell>
        </row>
        <row r="70">
          <cell r="S70">
            <v>5.88</v>
          </cell>
          <cell r="AI70">
            <v>3.4748561380119067</v>
          </cell>
          <cell r="AO70">
            <v>0.86581713399516835</v>
          </cell>
          <cell r="AP70">
            <v>0.46930054127613019</v>
          </cell>
          <cell r="AW70">
            <v>97.290574873169362</v>
          </cell>
        </row>
        <row r="71">
          <cell r="S71">
            <v>5.9733333333333336</v>
          </cell>
          <cell r="AI71">
            <v>3.533339689117732</v>
          </cell>
          <cell r="AO71">
            <v>0.87110726732850186</v>
          </cell>
          <cell r="AP71">
            <v>0.48423574127613017</v>
          </cell>
          <cell r="AW71">
            <v>97.287040240093262</v>
          </cell>
        </row>
        <row r="72">
          <cell r="S72">
            <v>6.0666666666666673</v>
          </cell>
          <cell r="AI72">
            <v>3.5919277735568906</v>
          </cell>
          <cell r="AO72">
            <v>0.87644966732850182</v>
          </cell>
          <cell r="AP72">
            <v>0.49940614127613037</v>
          </cell>
          <cell r="AW72">
            <v>97.283236047454679</v>
          </cell>
        </row>
        <row r="73">
          <cell r="S73">
            <v>6.16</v>
          </cell>
          <cell r="AI73">
            <v>3.6506203913293813</v>
          </cell>
          <cell r="AO73">
            <v>0.88184433399516837</v>
          </cell>
          <cell r="AP73">
            <v>0.51481174127613027</v>
          </cell>
          <cell r="AW73">
            <v>97.279174621846934</v>
          </cell>
        </row>
        <row r="74">
          <cell r="S74">
            <v>6.2533333333333339</v>
          </cell>
          <cell r="AI74">
            <v>3.7094175424352063</v>
          </cell>
          <cell r="AO74">
            <v>0.88729126732850183</v>
          </cell>
          <cell r="AP74">
            <v>0.53045254127613017</v>
          </cell>
          <cell r="AW74">
            <v>97.274867557902127</v>
          </cell>
        </row>
        <row r="75">
          <cell r="S75">
            <v>6.3466666666666667</v>
          </cell>
          <cell r="AI75">
            <v>3.7683192268743637</v>
          </cell>
          <cell r="AO75">
            <v>0.89279046732850165</v>
          </cell>
          <cell r="AP75">
            <v>0.54632854127613006</v>
          </cell>
          <cell r="AW75">
            <v>97.270325771821732</v>
          </cell>
        </row>
        <row r="76">
          <cell r="S76">
            <v>6.44</v>
          </cell>
          <cell r="AI76">
            <v>3.8273254446468554</v>
          </cell>
          <cell r="AO76">
            <v>0.89834193399516837</v>
          </cell>
          <cell r="AP76">
            <v>0.56243974127613017</v>
          </cell>
          <cell r="AW76">
            <v>97.265559550277132</v>
          </cell>
        </row>
        <row r="77">
          <cell r="S77">
            <v>6.5333333333333332</v>
          </cell>
          <cell r="AI77">
            <v>3.8864361957526796</v>
          </cell>
          <cell r="AO77">
            <v>0.90394566732850168</v>
          </cell>
          <cell r="AP77">
            <v>0.57878614127612993</v>
          </cell>
          <cell r="AW77">
            <v>97.260578595140458</v>
          </cell>
        </row>
        <row r="78">
          <cell r="S78">
            <v>6.6266666666666669</v>
          </cell>
          <cell r="AI78">
            <v>3.9456514801918376</v>
          </cell>
          <cell r="AO78">
            <v>0.90960166732850167</v>
          </cell>
          <cell r="AP78">
            <v>0.59536774127613012</v>
          </cell>
          <cell r="AW78">
            <v>97.255392064455208</v>
          </cell>
        </row>
        <row r="79">
          <cell r="S79">
            <v>6.7200000000000006</v>
          </cell>
          <cell r="AI79">
            <v>4.0049712979643299</v>
          </cell>
          <cell r="AO79">
            <v>0.91530993399516836</v>
          </cell>
          <cell r="AP79">
            <v>0.6121845412761302</v>
          </cell>
          <cell r="AW79">
            <v>97.250008610009715</v>
          </cell>
        </row>
        <row r="80">
          <cell r="S80">
            <v>6.8133333333333335</v>
          </cell>
          <cell r="AI80">
            <v>4.0643956490701543</v>
          </cell>
          <cell r="AO80">
            <v>0.92107046732850173</v>
          </cell>
          <cell r="AP80">
            <v>0.62923654127613027</v>
          </cell>
          <cell r="AW80">
            <v>97.244436411838009</v>
          </cell>
        </row>
        <row r="81">
          <cell r="S81">
            <v>6.9066666666666672</v>
          </cell>
          <cell r="AI81">
            <v>4.1239245335093129</v>
          </cell>
          <cell r="AO81">
            <v>0.92688326732850179</v>
          </cell>
          <cell r="AP81">
            <v>0.64652374127613033</v>
          </cell>
          <cell r="AW81">
            <v>97.238683209937207</v>
          </cell>
        </row>
        <row r="82">
          <cell r="S82">
            <v>7</v>
          </cell>
          <cell r="AI82">
            <v>4.183557951281804</v>
          </cell>
          <cell r="AO82">
            <v>0.93274833399516832</v>
          </cell>
          <cell r="AP82">
            <v>0.66404614127613015</v>
          </cell>
          <cell r="AW82">
            <v>97.232756333459918</v>
          </cell>
        </row>
        <row r="83">
          <cell r="S83">
            <v>7.0933333333333337</v>
          </cell>
          <cell r="AI83">
            <v>4.2432959023876284</v>
          </cell>
          <cell r="AO83">
            <v>0.93866566732850176</v>
          </cell>
          <cell r="AP83">
            <v>0.68180374127613019</v>
          </cell>
          <cell r="AW83">
            <v>97.226662727613117</v>
          </cell>
        </row>
        <row r="84">
          <cell r="S84">
            <v>7.1866666666666674</v>
          </cell>
          <cell r="AI84">
            <v>4.3031383868267872</v>
          </cell>
          <cell r="AO84">
            <v>0.94463526732850167</v>
          </cell>
          <cell r="AP84">
            <v>0.69979654127613033</v>
          </cell>
          <cell r="AW84">
            <v>97.220408978470843</v>
          </cell>
        </row>
        <row r="85">
          <cell r="S85">
            <v>7.28</v>
          </cell>
          <cell r="AI85">
            <v>4.3630854045992784</v>
          </cell>
          <cell r="AO85">
            <v>0.95065713399516838</v>
          </cell>
          <cell r="AP85">
            <v>0.71802454127613013</v>
          </cell>
          <cell r="AW85">
            <v>97.214001335887403</v>
          </cell>
        </row>
        <row r="86">
          <cell r="S86">
            <v>7.373333333333334</v>
          </cell>
          <cell r="AI86">
            <v>4.4231369557051039</v>
          </cell>
          <cell r="AO86">
            <v>0.95673126732850167</v>
          </cell>
          <cell r="AP86">
            <v>0.73648774127613015</v>
          </cell>
          <cell r="AW86">
            <v>97.20744573467833</v>
          </cell>
        </row>
        <row r="87">
          <cell r="S87">
            <v>7.4666666666666668</v>
          </cell>
          <cell r="AI87">
            <v>4.4832930401442619</v>
          </cell>
          <cell r="AO87">
            <v>0.96285766732850175</v>
          </cell>
          <cell r="AP87">
            <v>0.75518614127613026</v>
          </cell>
          <cell r="AW87">
            <v>97.200747814220009</v>
          </cell>
        </row>
        <row r="88">
          <cell r="S88">
            <v>7.5600000000000005</v>
          </cell>
          <cell r="AI88">
            <v>4.5435536579167533</v>
          </cell>
          <cell r="AO88">
            <v>0.96903633399516842</v>
          </cell>
          <cell r="AP88">
            <v>0.77411974127613048</v>
          </cell>
          <cell r="AW88">
            <v>97.19391293660415</v>
          </cell>
        </row>
        <row r="89">
          <cell r="S89">
            <v>7.6533333333333333</v>
          </cell>
          <cell r="AI89">
            <v>4.6039188090225771</v>
          </cell>
          <cell r="AO89">
            <v>0.97526726732850166</v>
          </cell>
          <cell r="AP89">
            <v>0.79328854127613024</v>
          </cell>
          <cell r="AW89">
            <v>97.186946203469688</v>
          </cell>
        </row>
        <row r="90">
          <cell r="S90">
            <v>7.746666666666667</v>
          </cell>
          <cell r="AI90">
            <v>4.6643884934617352</v>
          </cell>
          <cell r="AO90">
            <v>0.98155046732850182</v>
          </cell>
          <cell r="AP90">
            <v>0.81269254127613033</v>
          </cell>
          <cell r="AW90">
            <v>97.179852471623491</v>
          </cell>
        </row>
        <row r="91">
          <cell r="S91">
            <v>7.8400000000000007</v>
          </cell>
          <cell r="AI91">
            <v>4.7249627112342276</v>
          </cell>
          <cell r="AO91">
            <v>0.98788593399516844</v>
          </cell>
          <cell r="AP91">
            <v>0.83233174127613052</v>
          </cell>
          <cell r="AW91">
            <v>97.172636367549998</v>
          </cell>
        </row>
        <row r="92">
          <cell r="S92">
            <v>7.9333333333333336</v>
          </cell>
          <cell r="AI92">
            <v>4.7856414623400516</v>
          </cell>
          <cell r="AO92">
            <v>0.99427366732850175</v>
          </cell>
          <cell r="AP92">
            <v>0.85220614127613015</v>
          </cell>
          <cell r="AW92">
            <v>97.165302300901175</v>
          </cell>
        </row>
        <row r="93">
          <cell r="S93">
            <v>8.0266666666666673</v>
          </cell>
          <cell r="AI93">
            <v>4.8464247467792099</v>
          </cell>
          <cell r="AO93">
            <v>1.0007136673285018</v>
          </cell>
          <cell r="AP93">
            <v>0.87231574127613043</v>
          </cell>
          <cell r="AW93">
            <v>97.157854477049284</v>
          </cell>
        </row>
        <row r="94">
          <cell r="S94">
            <v>8.120000000000001</v>
          </cell>
          <cell r="AI94">
            <v>4.9073125645517015</v>
          </cell>
          <cell r="AO94">
            <v>1.0072059339951684</v>
          </cell>
          <cell r="AP94">
            <v>0.89266054127613048</v>
          </cell>
          <cell r="AW94">
            <v>97.150296908777591</v>
          </cell>
        </row>
        <row r="95">
          <cell r="S95">
            <v>8.2133333333333329</v>
          </cell>
          <cell r="AI95">
            <v>4.9683049156575247</v>
          </cell>
          <cell r="AO95">
            <v>1.0137504673285016</v>
          </cell>
          <cell r="AP95">
            <v>0.91324054127612997</v>
          </cell>
          <cell r="AW95">
            <v>97.142633427177358</v>
          </cell>
        </row>
        <row r="96">
          <cell r="S96">
            <v>8.3066666666666666</v>
          </cell>
          <cell r="AI96">
            <v>5.0294018000966831</v>
          </cell>
          <cell r="AO96">
            <v>1.0203472673285017</v>
          </cell>
          <cell r="AP96">
            <v>0.93405574127613</v>
          </cell>
          <cell r="AW96">
            <v>97.13486769181317</v>
          </cell>
        </row>
        <row r="97">
          <cell r="S97">
            <v>8.4</v>
          </cell>
          <cell r="AI97">
            <v>5.0906032178691749</v>
          </cell>
          <cell r="AO97">
            <v>1.0269963339951684</v>
          </cell>
          <cell r="AP97">
            <v>0.95510614127613036</v>
          </cell>
          <cell r="AW97">
            <v>97.127003200213366</v>
          </cell>
        </row>
        <row r="98">
          <cell r="S98">
            <v>8.4933333333333341</v>
          </cell>
          <cell r="AI98">
            <v>5.151909168975001</v>
          </cell>
          <cell r="AO98">
            <v>1.0336976673285017</v>
          </cell>
          <cell r="AP98">
            <v>0.97639174127613004</v>
          </cell>
          <cell r="AW98">
            <v>97.119043296737274</v>
          </cell>
        </row>
        <row r="99">
          <cell r="S99">
            <v>8.5866666666666678</v>
          </cell>
          <cell r="AI99">
            <v>5.2133196534141586</v>
          </cell>
          <cell r="AO99">
            <v>1.0404512673285016</v>
          </cell>
          <cell r="AP99">
            <v>0.99791254127613027</v>
          </cell>
          <cell r="AW99">
            <v>97.110991180866407</v>
          </cell>
        </row>
        <row r="100">
          <cell r="S100">
            <v>8.68</v>
          </cell>
          <cell r="AI100">
            <v>5.2748346711866496</v>
          </cell>
          <cell r="AO100">
            <v>1.0472571339951684</v>
          </cell>
          <cell r="AP100">
            <v>1.0196685412761304</v>
          </cell>
          <cell r="AW100">
            <v>97.102849914962846</v>
          </cell>
        </row>
        <row r="101">
          <cell r="S101">
            <v>8.7733333333333334</v>
          </cell>
          <cell r="AI101">
            <v>5.336454222292474</v>
          </cell>
          <cell r="AO101">
            <v>1.0541152673285017</v>
          </cell>
          <cell r="AP101">
            <v>1.0416597412761301</v>
          </cell>
          <cell r="AW101">
            <v>97.094622431534489</v>
          </cell>
        </row>
        <row r="102">
          <cell r="S102">
            <v>8.8666666666666671</v>
          </cell>
          <cell r="AI102">
            <v>5.3981783067316327</v>
          </cell>
          <cell r="AO102">
            <v>1.0610256673285017</v>
          </cell>
          <cell r="AP102">
            <v>1.06388614127613</v>
          </cell>
          <cell r="AW102">
            <v>97.086311540042971</v>
          </cell>
        </row>
        <row r="103">
          <cell r="S103">
            <v>8.9600000000000009</v>
          </cell>
          <cell r="AI103">
            <v>5.4600069245041238</v>
          </cell>
          <cell r="AO103">
            <v>1.0679883339951683</v>
          </cell>
          <cell r="AP103">
            <v>1.0863477412761304</v>
          </cell>
          <cell r="AW103">
            <v>97.07791993328793</v>
          </cell>
        </row>
        <row r="104">
          <cell r="S104">
            <v>9.0533333333333346</v>
          </cell>
          <cell r="AI104">
            <v>5.5219400756099501</v>
          </cell>
          <cell r="AO104">
            <v>1.0750032673285017</v>
          </cell>
          <cell r="AP104">
            <v>1.1090445412761303</v>
          </cell>
          <cell r="AW104">
            <v>97.069450193397714</v>
          </cell>
        </row>
        <row r="105">
          <cell r="S105">
            <v>9.1466666666666665</v>
          </cell>
          <cell r="AI105">
            <v>5.5839777600491072</v>
          </cell>
          <cell r="AO105">
            <v>1.0820704673285015</v>
          </cell>
          <cell r="AP105">
            <v>1.13197654127613</v>
          </cell>
          <cell r="AW105">
            <v>97.060904797454839</v>
          </cell>
        </row>
        <row r="106">
          <cell r="S106">
            <v>9.24</v>
          </cell>
          <cell r="AI106">
            <v>5.6461199778215985</v>
          </cell>
          <cell r="AO106">
            <v>1.0891899339951683</v>
          </cell>
          <cell r="AP106">
            <v>1.1551437412761303</v>
          </cell>
          <cell r="AW106">
            <v>97.052286122781609</v>
          </cell>
        </row>
        <row r="107">
          <cell r="S107">
            <v>9.3333333333333339</v>
          </cell>
          <cell r="AI107">
            <v>5.7083667289274231</v>
          </cell>
          <cell r="AO107">
            <v>1.0963616673285017</v>
          </cell>
          <cell r="AP107">
            <v>1.1785461412761302</v>
          </cell>
          <cell r="AW107">
            <v>97.043596451909877</v>
          </cell>
        </row>
        <row r="108">
          <cell r="S108">
            <v>9.4266666666666676</v>
          </cell>
          <cell r="AI108">
            <v>5.7707180133665812</v>
          </cell>
          <cell r="AO108">
            <v>1.1035856673285016</v>
          </cell>
          <cell r="AP108">
            <v>1.2021837412761303</v>
          </cell>
          <cell r="AW108">
            <v>97.034837977256586</v>
          </cell>
        </row>
        <row r="109">
          <cell r="S109">
            <v>9.52</v>
          </cell>
          <cell r="AI109">
            <v>5.8331738311390726</v>
          </cell>
          <cell r="AO109">
            <v>1.1108619339951684</v>
          </cell>
          <cell r="AP109">
            <v>1.22605654127613</v>
          </cell>
          <cell r="AW109">
            <v>97.02601280552534</v>
          </cell>
        </row>
        <row r="110">
          <cell r="S110">
            <v>9.6133333333333333</v>
          </cell>
          <cell r="AI110">
            <v>5.8957341822448974</v>
          </cell>
          <cell r="AO110">
            <v>1.1181904673285017</v>
          </cell>
          <cell r="AP110">
            <v>1.2501645412761302</v>
          </cell>
          <cell r="AW110">
            <v>97.01712296185238</v>
          </cell>
        </row>
        <row r="111">
          <cell r="S111">
            <v>9.706666666666667</v>
          </cell>
          <cell r="AI111">
            <v>5.9583990666840556</v>
          </cell>
          <cell r="AO111">
            <v>1.1255712673285017</v>
          </cell>
          <cell r="AP111">
            <v>1.2745077412761305</v>
          </cell>
          <cell r="AW111">
            <v>97.008170393714295</v>
          </cell>
        </row>
        <row r="112">
          <cell r="S112">
            <v>9.8000000000000007</v>
          </cell>
          <cell r="AI112">
            <v>6.0211684844565481</v>
          </cell>
          <cell r="AO112">
            <v>1.1330043339951683</v>
          </cell>
          <cell r="AP112">
            <v>1.2990861412761303</v>
          </cell>
          <cell r="AW112">
            <v>96.999156974613214</v>
          </cell>
        </row>
        <row r="113">
          <cell r="S113">
            <v>9.8933333333333344</v>
          </cell>
          <cell r="AI113">
            <v>6.084042435562373</v>
          </cell>
          <cell r="AO113">
            <v>1.1404896673285019</v>
          </cell>
          <cell r="AP113">
            <v>1.3238997412761304</v>
          </cell>
          <cell r="AW113">
            <v>96.990084507554101</v>
          </cell>
        </row>
        <row r="114">
          <cell r="S114">
            <v>9.9866666666666664</v>
          </cell>
          <cell r="AI114">
            <v>6.1470209200015296</v>
          </cell>
          <cell r="AO114">
            <v>1.1480272673285017</v>
          </cell>
          <cell r="AP114">
            <v>1.3489485412761304</v>
          </cell>
          <cell r="AW114">
            <v>96.980954728327688</v>
          </cell>
        </row>
        <row r="115">
          <cell r="S115">
            <v>10.08</v>
          </cell>
          <cell r="AI115">
            <v>6.2101039377740221</v>
          </cell>
          <cell r="AO115">
            <v>1.1556171339951684</v>
          </cell>
          <cell r="AP115">
            <v>1.3742325412761303</v>
          </cell>
          <cell r="AW115">
            <v>96.971769308611755</v>
          </cell>
        </row>
        <row r="116">
          <cell r="S116">
            <v>10.173333333333334</v>
          </cell>
          <cell r="AI116">
            <v>6.2732914888798472</v>
          </cell>
          <cell r="AO116">
            <v>1.1632592673285016</v>
          </cell>
          <cell r="AP116">
            <v>1.3997517412761304</v>
          </cell>
          <cell r="AW116">
            <v>96.962529858902172</v>
          </cell>
        </row>
        <row r="117">
          <cell r="S117">
            <v>10.266666666666667</v>
          </cell>
          <cell r="AI117">
            <v>6.3365835733190048</v>
          </cell>
          <cell r="AO117">
            <v>1.1709536673285019</v>
          </cell>
          <cell r="AP117">
            <v>1.4255061412761303</v>
          </cell>
          <cell r="AW117">
            <v>96.953237931284619</v>
          </cell>
        </row>
        <row r="118">
          <cell r="S118">
            <v>10.360000000000001</v>
          </cell>
          <cell r="AI118">
            <v>6.3999801910914957</v>
          </cell>
          <cell r="AO118">
            <v>1.1787003339951685</v>
          </cell>
          <cell r="AP118">
            <v>1.4514957412761309</v>
          </cell>
          <cell r="AW118">
            <v>96.943895022057049</v>
          </cell>
        </row>
        <row r="119">
          <cell r="S119">
            <v>10.453333333333333</v>
          </cell>
          <cell r="AI119">
            <v>6.4634813421973201</v>
          </cell>
          <cell r="AO119">
            <v>1.1864992673285015</v>
          </cell>
          <cell r="AP119">
            <v>1.4777205412761296</v>
          </cell>
          <cell r="AW119">
            <v>96.934502574212033</v>
          </cell>
        </row>
        <row r="120">
          <cell r="S120">
            <v>10.546666666666667</v>
          </cell>
          <cell r="AI120">
            <v>6.5270870266364778</v>
          </cell>
          <cell r="AO120">
            <v>1.1943504673285019</v>
          </cell>
          <cell r="AP120">
            <v>1.5041805412761304</v>
          </cell>
          <cell r="AW120">
            <v>96.925061979787714</v>
          </cell>
        </row>
        <row r="121">
          <cell r="S121">
            <v>10.64</v>
          </cell>
          <cell r="AI121">
            <v>6.5907972444089697</v>
          </cell>
          <cell r="AO121">
            <v>1.2022539339951683</v>
          </cell>
          <cell r="AP121">
            <v>1.5308757412761302</v>
          </cell>
          <cell r="AW121">
            <v>96.91557458209563</v>
          </cell>
        </row>
        <row r="122">
          <cell r="S122">
            <v>10.733333333333334</v>
          </cell>
          <cell r="AI122">
            <v>6.6546119955147951</v>
          </cell>
          <cell r="AO122">
            <v>1.2102096673285019</v>
          </cell>
          <cell r="AP122">
            <v>1.5578061412761306</v>
          </cell>
          <cell r="AW122">
            <v>96.90604167783232</v>
          </cell>
        </row>
        <row r="123">
          <cell r="S123">
            <v>10.826666666666668</v>
          </cell>
          <cell r="AI123">
            <v>6.7185312799539529</v>
          </cell>
          <cell r="AO123">
            <v>1.2182176673285019</v>
          </cell>
          <cell r="AP123">
            <v>1.5849717412761304</v>
          </cell>
          <cell r="AW123">
            <v>96.896464519082414</v>
          </cell>
        </row>
        <row r="124">
          <cell r="S124">
            <v>10.92</v>
          </cell>
          <cell r="AI124">
            <v>6.7825550977264433</v>
          </cell>
          <cell r="AO124">
            <v>1.2262779339951684</v>
          </cell>
          <cell r="AP124">
            <v>1.6123725412761301</v>
          </cell>
          <cell r="AW124">
            <v>96.886844315219065</v>
          </cell>
        </row>
        <row r="125">
          <cell r="S125">
            <v>11.013333333333334</v>
          </cell>
          <cell r="AI125">
            <v>6.8466834488322688</v>
          </cell>
          <cell r="AO125">
            <v>1.2343904673285018</v>
          </cell>
          <cell r="AP125">
            <v>1.6400085412761298</v>
          </cell>
          <cell r="AW125">
            <v>96.877182234708187</v>
          </cell>
        </row>
        <row r="126">
          <cell r="S126">
            <v>11.106666666666667</v>
          </cell>
          <cell r="AI126">
            <v>6.9109163332714267</v>
          </cell>
          <cell r="AO126">
            <v>1.2425552673285019</v>
          </cell>
          <cell r="AP126">
            <v>1.6678797412761301</v>
          </cell>
          <cell r="AW126">
            <v>96.867479406821971</v>
          </cell>
        </row>
        <row r="127">
          <cell r="S127">
            <v>11.200000000000001</v>
          </cell>
          <cell r="AI127">
            <v>6.975253751043919</v>
          </cell>
          <cell r="AO127">
            <v>1.2507723339951684</v>
          </cell>
          <cell r="AP127">
            <v>1.6959861412761297</v>
          </cell>
          <cell r="AW127">
            <v>96.857736923266984</v>
          </cell>
        </row>
        <row r="128">
          <cell r="S128">
            <v>11.293333333333333</v>
          </cell>
          <cell r="AI128">
            <v>7.0396957021497428</v>
          </cell>
          <cell r="AO128">
            <v>1.2590416673285016</v>
          </cell>
          <cell r="AP128">
            <v>1.7243277412761302</v>
          </cell>
          <cell r="AW128">
            <v>96.847955839731725</v>
          </cell>
        </row>
        <row r="129">
          <cell r="S129">
            <v>11.386666666666667</v>
          </cell>
          <cell r="AI129">
            <v>7.1042421865889018</v>
          </cell>
          <cell r="AO129">
            <v>1.2673632673285018</v>
          </cell>
          <cell r="AP129">
            <v>1.7529045412761304</v>
          </cell>
          <cell r="AW129">
            <v>96.838137177358405</v>
          </cell>
        </row>
        <row r="130">
          <cell r="S130">
            <v>11.48</v>
          </cell>
          <cell r="AI130">
            <v>7.1688932043613933</v>
          </cell>
          <cell r="AO130">
            <v>1.2757371339951682</v>
          </cell>
          <cell r="AP130">
            <v>1.7817165412761307</v>
          </cell>
          <cell r="AW130">
            <v>96.828281924143127</v>
          </cell>
        </row>
        <row r="131">
          <cell r="S131">
            <v>11.573333333333334</v>
          </cell>
          <cell r="AI131">
            <v>7.2336487554672191</v>
          </cell>
          <cell r="AO131">
            <v>1.2841632673285017</v>
          </cell>
          <cell r="AP131">
            <v>1.8107637412761304</v>
          </cell>
          <cell r="AW131">
            <v>96.818391036268366</v>
          </cell>
        </row>
        <row r="132">
          <cell r="S132">
            <v>11.666666666666668</v>
          </cell>
          <cell r="AI132">
            <v>7.2985088399063773</v>
          </cell>
          <cell r="AO132">
            <v>1.2926416673285019</v>
          </cell>
          <cell r="AP132">
            <v>1.8400461412761306</v>
          </cell>
          <cell r="AW132">
            <v>96.808465439371929</v>
          </cell>
        </row>
        <row r="133">
          <cell r="S133">
            <v>11.76</v>
          </cell>
          <cell r="AI133">
            <v>7.3634734576788672</v>
          </cell>
          <cell r="AO133">
            <v>1.3011723339951682</v>
          </cell>
          <cell r="AP133">
            <v>1.8695637412761303</v>
          </cell>
          <cell r="AW133">
            <v>96.798506029755458</v>
          </cell>
        </row>
        <row r="134">
          <cell r="S134">
            <v>11.853333333333333</v>
          </cell>
          <cell r="AI134">
            <v>7.4285426087846922</v>
          </cell>
          <cell r="AO134">
            <v>1.3097552673285018</v>
          </cell>
          <cell r="AP134">
            <v>1.8993165412761301</v>
          </cell>
          <cell r="AW134">
            <v>96.78851367553608</v>
          </cell>
        </row>
        <row r="135">
          <cell r="S135">
            <v>11.946666666666667</v>
          </cell>
          <cell r="AI135">
            <v>7.4937162932238506</v>
          </cell>
          <cell r="AO135">
            <v>1.3183904673285016</v>
          </cell>
          <cell r="AP135">
            <v>1.92930454127613</v>
          </cell>
          <cell r="AW135">
            <v>96.778489217744266</v>
          </cell>
        </row>
        <row r="136">
          <cell r="S136">
            <v>12.040000000000001</v>
          </cell>
          <cell r="AI136">
            <v>7.5589945109963432</v>
          </cell>
          <cell r="AO136">
            <v>1.3270779339951686</v>
          </cell>
          <cell r="AP136">
            <v>1.9595277412761303</v>
          </cell>
          <cell r="AW136">
            <v>96.768433471370713</v>
          </cell>
        </row>
        <row r="137">
          <cell r="S137">
            <v>12.133333333333335</v>
          </cell>
          <cell r="AI137">
            <v>7.6243772621021675</v>
          </cell>
          <cell r="AO137">
            <v>1.3358176673285018</v>
          </cell>
          <cell r="AP137">
            <v>1.9899861412761308</v>
          </cell>
          <cell r="AW137">
            <v>96.758347226365046</v>
          </cell>
        </row>
        <row r="138">
          <cell r="S138">
            <v>12.226666666666667</v>
          </cell>
          <cell r="AI138">
            <v>7.6898645465413242</v>
          </cell>
          <cell r="AO138">
            <v>1.3446096673285015</v>
          </cell>
          <cell r="AP138">
            <v>2.0206797412761301</v>
          </cell>
          <cell r="AW138">
            <v>96.748231248588937</v>
          </cell>
        </row>
        <row r="139">
          <cell r="S139">
            <v>12.32</v>
          </cell>
          <cell r="AI139">
            <v>7.7554563643138161</v>
          </cell>
          <cell r="AO139">
            <v>1.3534539339951683</v>
          </cell>
          <cell r="AP139">
            <v>2.0516085412761305</v>
          </cell>
          <cell r="AW139">
            <v>96.738086280726023</v>
          </cell>
        </row>
        <row r="140">
          <cell r="S140">
            <v>12.413333333333334</v>
          </cell>
          <cell r="AI140">
            <v>7.8211527154196414</v>
          </cell>
          <cell r="AO140">
            <v>1.3623504673285018</v>
          </cell>
          <cell r="AP140">
            <v>2.08277254127613</v>
          </cell>
          <cell r="AW140">
            <v>96.727913043150849</v>
          </cell>
        </row>
        <row r="141">
          <cell r="S141">
            <v>12.506666666666668</v>
          </cell>
          <cell r="AI141">
            <v>7.8869535998587992</v>
          </cell>
          <cell r="AO141">
            <v>1.3712992673285016</v>
          </cell>
          <cell r="AP141">
            <v>2.1141717412761301</v>
          </cell>
          <cell r="AW141">
            <v>96.717712234759063</v>
          </cell>
        </row>
        <row r="142">
          <cell r="S142">
            <v>12.600000000000001</v>
          </cell>
          <cell r="AI142">
            <v>7.9528590176312912</v>
          </cell>
          <cell r="AO142">
            <v>1.3803003339951685</v>
          </cell>
          <cell r="AP142">
            <v>2.1458061412761307</v>
          </cell>
          <cell r="AW142">
            <v>96.707484533760763</v>
          </cell>
        </row>
        <row r="143">
          <cell r="S143">
            <v>12.693333333333333</v>
          </cell>
          <cell r="AI143">
            <v>8.0188689687371149</v>
          </cell>
          <cell r="AO143">
            <v>1.3893536673285016</v>
          </cell>
          <cell r="AP143">
            <v>2.1776757412761296</v>
          </cell>
          <cell r="AW143">
            <v>96.697230598438992</v>
          </cell>
        </row>
        <row r="144">
          <cell r="S144">
            <v>12.786666666666667</v>
          </cell>
          <cell r="AI144">
            <v>8.0849834531762728</v>
          </cell>
          <cell r="AO144">
            <v>1.3984592673285019</v>
          </cell>
          <cell r="AP144">
            <v>2.20978054127613</v>
          </cell>
          <cell r="AW144">
            <v>96.686951067875043</v>
          </cell>
        </row>
        <row r="145">
          <cell r="S145">
            <v>12.88</v>
          </cell>
          <cell r="AI145">
            <v>8.151202470948764</v>
          </cell>
          <cell r="AO145">
            <v>1.4076171339951684</v>
          </cell>
          <cell r="AP145">
            <v>2.2421205412761296</v>
          </cell>
          <cell r="AW145">
            <v>96.676646562642304</v>
          </cell>
        </row>
        <row r="146">
          <cell r="S146">
            <v>12.973333333333334</v>
          </cell>
          <cell r="AI146">
            <v>8.2175260220545887</v>
          </cell>
          <cell r="AO146">
            <v>1.4168272673285018</v>
          </cell>
          <cell r="AP146">
            <v>2.2746957412761306</v>
          </cell>
          <cell r="AW146">
            <v>96.666317685470432</v>
          </cell>
        </row>
        <row r="147">
          <cell r="S147">
            <v>13.066666666666666</v>
          </cell>
          <cell r="AI147">
            <v>8.283954106493745</v>
          </cell>
          <cell r="AO147">
            <v>1.4260896673285015</v>
          </cell>
          <cell r="AP147">
            <v>2.3075061412761295</v>
          </cell>
          <cell r="AW147">
            <v>96.655965021880732</v>
          </cell>
        </row>
        <row r="148">
          <cell r="S148">
            <v>13.16</v>
          </cell>
          <cell r="AI148">
            <v>8.3504867242662382</v>
          </cell>
          <cell r="AO148">
            <v>1.4354043339951685</v>
          </cell>
          <cell r="AP148">
            <v>2.3405517412761307</v>
          </cell>
          <cell r="AW148">
            <v>96.645589140794996</v>
          </cell>
        </row>
        <row r="149">
          <cell r="S149">
            <v>13.253333333333334</v>
          </cell>
          <cell r="AI149">
            <v>8.4171238753720612</v>
          </cell>
          <cell r="AO149">
            <v>1.4447712673285016</v>
          </cell>
          <cell r="AP149">
            <v>2.3738325412761303</v>
          </cell>
          <cell r="AW149">
            <v>96.635190595118459</v>
          </cell>
        </row>
        <row r="150">
          <cell r="S150">
            <v>13.346666666666668</v>
          </cell>
          <cell r="AI150">
            <v>8.4838655598112229</v>
          </cell>
          <cell r="AO150">
            <v>1.454190467328502</v>
          </cell>
          <cell r="AP150">
            <v>2.4073485412761304</v>
          </cell>
          <cell r="AW150">
            <v>96.624769922298384</v>
          </cell>
        </row>
        <row r="151">
          <cell r="S151">
            <v>13.440000000000001</v>
          </cell>
          <cell r="AI151">
            <v>8.5507117775837127</v>
          </cell>
          <cell r="AO151">
            <v>1.4636619339951684</v>
          </cell>
          <cell r="AP151">
            <v>2.4410997412761302</v>
          </cell>
          <cell r="AW151">
            <v>96.614327644859429</v>
          </cell>
        </row>
        <row r="152">
          <cell r="S152">
            <v>13.533333333333333</v>
          </cell>
          <cell r="AI152">
            <v>8.6176625286895376</v>
          </cell>
          <cell r="AO152">
            <v>1.4731856673285018</v>
          </cell>
          <cell r="AP152">
            <v>2.4750861412761305</v>
          </cell>
          <cell r="AW152">
            <v>96.603864270916958</v>
          </cell>
        </row>
        <row r="153">
          <cell r="S153">
            <v>13.626666666666667</v>
          </cell>
          <cell r="AI153">
            <v>8.684717813128696</v>
          </cell>
          <cell r="AO153">
            <v>1.4827616673285018</v>
          </cell>
          <cell r="AP153">
            <v>2.50930774127613</v>
          </cell>
          <cell r="AW153">
            <v>96.593380294669288</v>
          </cell>
        </row>
        <row r="154">
          <cell r="S154">
            <v>13.72</v>
          </cell>
          <cell r="AI154">
            <v>8.7518776309011876</v>
          </cell>
          <cell r="AO154">
            <v>1.4923899339951685</v>
          </cell>
          <cell r="AP154">
            <v>2.5437645412761301</v>
          </cell>
          <cell r="AW154">
            <v>96.582876196869904</v>
          </cell>
        </row>
        <row r="155">
          <cell r="S155">
            <v>13.813333333333334</v>
          </cell>
          <cell r="AI155">
            <v>8.8191419820070127</v>
          </cell>
          <cell r="AO155">
            <v>1.5020704673285015</v>
          </cell>
          <cell r="AP155">
            <v>2.5784565412761302</v>
          </cell>
          <cell r="AW155">
            <v>96.572352445280515</v>
          </cell>
        </row>
        <row r="156">
          <cell r="S156">
            <v>13.906666666666668</v>
          </cell>
          <cell r="AI156">
            <v>8.8865108664461712</v>
          </cell>
          <cell r="AO156">
            <v>1.5118032673285018</v>
          </cell>
          <cell r="AP156">
            <v>2.6133837412761314</v>
          </cell>
          <cell r="AW156">
            <v>96.561809495106033</v>
          </cell>
        </row>
        <row r="157">
          <cell r="S157">
            <v>14</v>
          </cell>
          <cell r="AI157">
            <v>8.9539842842186612</v>
          </cell>
          <cell r="AO157">
            <v>1.5215883339951684</v>
          </cell>
          <cell r="AP157">
            <v>2.6485461412761295</v>
          </cell>
          <cell r="AW157">
            <v>96.551247789412059</v>
          </cell>
        </row>
      </sheetData>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2.xml"/><Relationship Id="rId3" Type="http://schemas.openxmlformats.org/officeDocument/2006/relationships/drawing" Target="../drawings/drawing1.xml"/><Relationship Id="rId7" Type="http://schemas.openxmlformats.org/officeDocument/2006/relationships/ctrlProp" Target="../ctrlProps/ctrlProp1.xml"/><Relationship Id="rId2" Type="http://schemas.openxmlformats.org/officeDocument/2006/relationships/printerSettings" Target="../printerSettings/printerSettings1.bin"/><Relationship Id="rId1" Type="http://schemas.openxmlformats.org/officeDocument/2006/relationships/hyperlink" Target="http://www.ti.com/product/lm5122" TargetMode="External"/><Relationship Id="rId6" Type="http://schemas.openxmlformats.org/officeDocument/2006/relationships/image" Target="../media/image1.emf"/><Relationship Id="rId5" Type="http://schemas.openxmlformats.org/officeDocument/2006/relationships/package" Target="../embeddings/Microsoft_Visio_Drawing.vsdx"/><Relationship Id="rId4" Type="http://schemas.openxmlformats.org/officeDocument/2006/relationships/vmlDrawing" Target="../drawings/vmlDrawing1.vml"/><Relationship Id="rId9"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B115"/>
  <sheetViews>
    <sheetView tabSelected="1" zoomScaleNormal="100" workbookViewId="0">
      <selection activeCell="I11" sqref="I11"/>
    </sheetView>
  </sheetViews>
  <sheetFormatPr baseColWidth="10" defaultColWidth="9.140625" defaultRowHeight="15" x14ac:dyDescent="0.25"/>
  <cols>
    <col min="1" max="7" width="9.140625" style="188"/>
    <col min="8" max="8" width="9.140625" style="189"/>
    <col min="9" max="23" width="9.140625" style="188"/>
    <col min="24" max="24" width="8.85546875" style="188" customWidth="1"/>
    <col min="25" max="25" width="3.28515625" style="188" customWidth="1"/>
    <col min="26" max="27" width="9.140625" style="188"/>
    <col min="28" max="28" width="2.140625" style="188" customWidth="1"/>
    <col min="29" max="16384" width="9.140625" style="188"/>
  </cols>
  <sheetData>
    <row r="1" spans="1:28" ht="36" x14ac:dyDescent="0.25">
      <c r="A1" s="182"/>
      <c r="B1" s="183"/>
      <c r="C1" s="183"/>
      <c r="D1" s="185"/>
      <c r="E1" s="185" t="s">
        <v>178</v>
      </c>
      <c r="F1" s="183"/>
      <c r="G1" s="183"/>
      <c r="H1" s="183"/>
      <c r="I1" s="183"/>
      <c r="J1" s="183"/>
      <c r="K1" s="183"/>
      <c r="L1" s="183"/>
      <c r="M1" s="183"/>
      <c r="N1" s="183"/>
      <c r="O1" s="183"/>
      <c r="P1" s="183"/>
      <c r="Q1" s="183"/>
      <c r="R1" s="184"/>
      <c r="S1" s="184"/>
      <c r="T1" s="184"/>
      <c r="U1" s="184"/>
      <c r="V1" s="184"/>
      <c r="W1" s="184"/>
      <c r="X1" s="184"/>
      <c r="Y1" s="184"/>
      <c r="Z1" s="184"/>
      <c r="AA1" s="184"/>
      <c r="AB1" s="186"/>
    </row>
    <row r="2" spans="1:28" x14ac:dyDescent="0.25">
      <c r="A2" s="3"/>
      <c r="B2" s="4"/>
      <c r="C2" s="4"/>
      <c r="D2" s="4"/>
      <c r="E2" s="4"/>
      <c r="F2" s="4"/>
      <c r="G2" s="5"/>
      <c r="H2" s="30"/>
      <c r="I2" s="6"/>
      <c r="J2" s="4"/>
      <c r="K2" s="4"/>
      <c r="L2" s="4"/>
      <c r="M2" s="4"/>
      <c r="N2" s="4"/>
      <c r="O2" s="4"/>
      <c r="P2" s="4"/>
      <c r="Q2" s="4"/>
      <c r="R2" s="186"/>
      <c r="S2" s="186"/>
      <c r="T2" s="186"/>
      <c r="U2" s="186"/>
      <c r="V2" s="186"/>
      <c r="W2" s="186"/>
      <c r="X2" s="186"/>
      <c r="Y2" s="186"/>
      <c r="Z2" s="186"/>
      <c r="AA2" s="186"/>
      <c r="AB2" s="186"/>
    </row>
    <row r="3" spans="1:28" ht="15.75" x14ac:dyDescent="0.25">
      <c r="A3" s="7" t="s">
        <v>175</v>
      </c>
      <c r="B3" s="4"/>
      <c r="C3" s="4"/>
      <c r="D3" s="8"/>
      <c r="E3" s="9"/>
      <c r="F3" s="10" t="s">
        <v>176</v>
      </c>
      <c r="G3" s="5"/>
      <c r="H3" s="30"/>
      <c r="I3" s="6"/>
      <c r="J3" s="235" t="s">
        <v>717</v>
      </c>
      <c r="K3" s="235"/>
      <c r="L3" s="235"/>
      <c r="M3" s="235"/>
      <c r="N3" s="4"/>
      <c r="O3" s="230" t="s">
        <v>177</v>
      </c>
      <c r="P3" s="230"/>
      <c r="Q3" s="4"/>
      <c r="R3" s="186"/>
      <c r="S3" s="186"/>
      <c r="T3" s="186"/>
      <c r="U3" s="186"/>
      <c r="V3" s="186"/>
      <c r="W3" s="186"/>
      <c r="X3" s="186"/>
      <c r="Y3" s="186"/>
      <c r="Z3" s="186"/>
      <c r="AA3" s="186"/>
      <c r="AB3" s="186"/>
    </row>
    <row r="4" spans="1:28" ht="15.75" thickBot="1" x14ac:dyDescent="0.3">
      <c r="A4" s="11"/>
      <c r="B4" s="12"/>
      <c r="C4" s="12"/>
      <c r="D4" s="12"/>
      <c r="E4" s="12"/>
      <c r="F4" s="12"/>
      <c r="G4" s="13"/>
      <c r="H4" s="31"/>
      <c r="I4" s="14"/>
      <c r="J4" s="12"/>
      <c r="K4" s="12"/>
      <c r="L4" s="12"/>
      <c r="M4" s="12"/>
      <c r="N4" s="12"/>
      <c r="O4" s="12"/>
      <c r="P4" s="12"/>
      <c r="Q4" s="12"/>
      <c r="R4" s="223"/>
      <c r="S4" s="223"/>
      <c r="T4" s="223"/>
      <c r="U4" s="223"/>
      <c r="V4" s="223"/>
      <c r="W4" s="223"/>
      <c r="X4" s="223"/>
      <c r="Y4" s="223"/>
      <c r="Z4" s="223"/>
      <c r="AA4" s="223"/>
      <c r="AB4" s="186"/>
    </row>
    <row r="5" spans="1:28" x14ac:dyDescent="0.25">
      <c r="A5" s="158"/>
      <c r="B5" s="158"/>
      <c r="C5" s="158"/>
      <c r="D5" s="158"/>
      <c r="E5" s="158"/>
      <c r="F5" s="158"/>
      <c r="G5" s="158"/>
      <c r="H5" s="159"/>
      <c r="I5" s="158"/>
      <c r="J5" s="158"/>
      <c r="K5" s="158"/>
      <c r="L5" s="158"/>
      <c r="M5" s="158"/>
      <c r="N5" s="158"/>
      <c r="O5" s="158"/>
      <c r="P5" s="158"/>
      <c r="Q5" s="158"/>
      <c r="R5" s="158"/>
      <c r="S5" s="158"/>
      <c r="T5" s="158"/>
      <c r="U5" s="158"/>
      <c r="V5" s="158"/>
      <c r="W5" s="158"/>
      <c r="X5" s="158"/>
      <c r="Y5" s="158"/>
      <c r="Z5" s="158"/>
      <c r="AA5" s="158"/>
      <c r="AB5" s="186"/>
    </row>
    <row r="6" spans="1:28" ht="21.75" thickBot="1" x14ac:dyDescent="0.4">
      <c r="A6" s="177" t="s">
        <v>348</v>
      </c>
      <c r="B6" s="158"/>
      <c r="C6" s="158"/>
      <c r="D6" s="158"/>
      <c r="E6" s="158"/>
      <c r="F6" s="158"/>
      <c r="G6" s="158"/>
      <c r="H6" s="159"/>
      <c r="I6" s="158"/>
      <c r="J6" s="158"/>
      <c r="K6" s="158"/>
      <c r="L6" s="158"/>
      <c r="M6" s="158"/>
      <c r="N6" s="158"/>
      <c r="O6" s="158"/>
      <c r="P6" s="158"/>
      <c r="Q6" s="158"/>
      <c r="R6" s="158"/>
      <c r="S6" s="158"/>
      <c r="T6" s="158"/>
      <c r="U6" s="158"/>
      <c r="V6" s="158"/>
      <c r="W6" s="158"/>
      <c r="X6" s="158"/>
      <c r="Y6" s="158"/>
      <c r="Z6" s="158"/>
      <c r="AA6" s="158"/>
      <c r="AB6" s="186"/>
    </row>
    <row r="7" spans="1:28" ht="18" x14ac:dyDescent="0.35">
      <c r="A7" s="153"/>
      <c r="B7" s="154"/>
      <c r="C7" s="154"/>
      <c r="D7" s="154"/>
      <c r="E7" s="154"/>
      <c r="F7" s="154"/>
      <c r="G7" s="154"/>
      <c r="H7" s="155" t="s">
        <v>181</v>
      </c>
      <c r="I7" s="210">
        <v>11</v>
      </c>
      <c r="J7" s="156" t="s">
        <v>34</v>
      </c>
      <c r="K7" s="158"/>
      <c r="L7" s="158"/>
      <c r="M7" s="158"/>
      <c r="N7" s="158"/>
      <c r="O7" s="158"/>
      <c r="P7" s="158"/>
      <c r="Q7" s="158"/>
      <c r="R7" s="158"/>
      <c r="S7" s="158"/>
      <c r="T7" s="158"/>
      <c r="U7" s="158"/>
      <c r="V7" s="158"/>
      <c r="W7" s="158"/>
      <c r="X7" s="158"/>
      <c r="Y7" s="158"/>
      <c r="Z7" s="158"/>
      <c r="AA7" s="158"/>
      <c r="AB7" s="186"/>
    </row>
    <row r="8" spans="1:28" ht="18" x14ac:dyDescent="0.35">
      <c r="A8" s="157"/>
      <c r="B8" s="158"/>
      <c r="C8" s="158"/>
      <c r="D8" s="158"/>
      <c r="E8" s="158"/>
      <c r="F8" s="158"/>
      <c r="G8" s="158"/>
      <c r="H8" s="159" t="s">
        <v>708</v>
      </c>
      <c r="I8" s="211">
        <v>12</v>
      </c>
      <c r="J8" s="160" t="s">
        <v>34</v>
      </c>
      <c r="K8" s="158"/>
      <c r="L8" s="158"/>
      <c r="M8" s="158"/>
      <c r="N8" s="158"/>
      <c r="O8" s="158"/>
      <c r="P8" s="158"/>
      <c r="Q8" s="158"/>
      <c r="R8" s="158"/>
      <c r="S8" s="158"/>
      <c r="T8" s="158"/>
      <c r="U8" s="158"/>
      <c r="V8" s="158"/>
      <c r="W8" s="158"/>
      <c r="X8" s="158"/>
      <c r="Y8" s="158"/>
      <c r="Z8" s="158"/>
      <c r="AA8" s="158"/>
      <c r="AB8" s="186"/>
    </row>
    <row r="9" spans="1:28" ht="18" x14ac:dyDescent="0.35">
      <c r="A9" s="157"/>
      <c r="B9" s="158"/>
      <c r="C9" s="158"/>
      <c r="D9" s="158"/>
      <c r="E9" s="158"/>
      <c r="F9" s="158"/>
      <c r="G9" s="158"/>
      <c r="H9" s="159" t="s">
        <v>179</v>
      </c>
      <c r="I9" s="211">
        <v>12.5</v>
      </c>
      <c r="J9" s="160" t="s">
        <v>34</v>
      </c>
      <c r="K9" s="158"/>
      <c r="L9" s="158"/>
      <c r="M9" s="158"/>
      <c r="N9" s="158"/>
      <c r="O9" s="158"/>
      <c r="P9" s="158"/>
      <c r="Q9" s="158"/>
      <c r="R9" s="158"/>
      <c r="S9" s="158"/>
      <c r="T9" s="158"/>
      <c r="U9" s="158"/>
      <c r="V9" s="158"/>
      <c r="W9" s="158"/>
      <c r="X9" s="158"/>
      <c r="Y9" s="158"/>
      <c r="Z9" s="158"/>
      <c r="AA9" s="158"/>
      <c r="AB9" s="186"/>
    </row>
    <row r="10" spans="1:28" ht="18" x14ac:dyDescent="0.35">
      <c r="A10" s="157"/>
      <c r="B10" s="158"/>
      <c r="C10" s="158"/>
      <c r="D10" s="158"/>
      <c r="E10" s="158"/>
      <c r="F10" s="158"/>
      <c r="G10" s="158"/>
      <c r="H10" s="159" t="s">
        <v>182</v>
      </c>
      <c r="I10" s="211">
        <v>18</v>
      </c>
      <c r="J10" s="160" t="s">
        <v>34</v>
      </c>
      <c r="K10" s="158"/>
      <c r="L10" s="158"/>
      <c r="M10" s="158"/>
      <c r="N10" s="158"/>
      <c r="O10" s="158"/>
      <c r="P10" s="158"/>
      <c r="Q10" s="158"/>
      <c r="R10" s="158"/>
      <c r="S10" s="158"/>
      <c r="T10" s="158"/>
      <c r="U10" s="158"/>
      <c r="V10" s="158"/>
      <c r="W10" s="158"/>
      <c r="X10" s="158"/>
      <c r="Y10" s="158"/>
      <c r="Z10" s="158"/>
      <c r="AA10" s="158"/>
      <c r="AB10" s="186"/>
    </row>
    <row r="11" spans="1:28" ht="18" x14ac:dyDescent="0.35">
      <c r="A11" s="157"/>
      <c r="B11" s="158"/>
      <c r="C11" s="158"/>
      <c r="D11" s="158"/>
      <c r="E11" s="158"/>
      <c r="F11" s="158"/>
      <c r="G11" s="158"/>
      <c r="H11" s="159" t="s">
        <v>186</v>
      </c>
      <c r="I11" s="211">
        <v>5</v>
      </c>
      <c r="J11" s="160" t="s">
        <v>33</v>
      </c>
      <c r="K11" s="158"/>
      <c r="L11" s="158"/>
      <c r="M11" s="158"/>
      <c r="N11" s="158"/>
      <c r="O11" s="231"/>
      <c r="P11" s="231"/>
      <c r="Q11" s="231"/>
      <c r="R11" s="158"/>
      <c r="S11" s="158"/>
      <c r="T11" s="158"/>
      <c r="U11" s="158"/>
      <c r="V11" s="158"/>
      <c r="W11" s="158"/>
      <c r="X11" s="158"/>
      <c r="Y11" s="158"/>
      <c r="Z11" s="158"/>
      <c r="AA11" s="158"/>
      <c r="AB11" s="186"/>
    </row>
    <row r="12" spans="1:28" ht="18" x14ac:dyDescent="0.35">
      <c r="A12" s="157"/>
      <c r="B12" s="158"/>
      <c r="C12" s="158"/>
      <c r="D12" s="158"/>
      <c r="E12" s="158"/>
      <c r="F12" s="158"/>
      <c r="G12" s="158"/>
      <c r="H12" s="159" t="s">
        <v>183</v>
      </c>
      <c r="I12" s="211">
        <v>1</v>
      </c>
      <c r="J12" s="160"/>
      <c r="K12" s="158"/>
      <c r="L12" s="158"/>
      <c r="M12" s="158"/>
      <c r="N12" s="158"/>
      <c r="O12" s="231"/>
      <c r="P12" s="231"/>
      <c r="Q12" s="231"/>
      <c r="R12" s="158"/>
      <c r="S12" s="158"/>
      <c r="T12" s="158"/>
      <c r="U12" s="158"/>
      <c r="V12" s="158"/>
      <c r="W12" s="158"/>
      <c r="X12" s="158"/>
      <c r="Y12" s="158"/>
      <c r="Z12" s="158"/>
      <c r="AA12" s="158"/>
      <c r="AB12" s="186"/>
    </row>
    <row r="13" spans="1:28" x14ac:dyDescent="0.25">
      <c r="A13" s="157"/>
      <c r="B13" s="158"/>
      <c r="C13" s="158"/>
      <c r="D13" s="158"/>
      <c r="E13" s="158"/>
      <c r="F13" s="158"/>
      <c r="G13" s="158"/>
      <c r="H13" s="159" t="s">
        <v>559</v>
      </c>
      <c r="I13" s="150" t="s">
        <v>567</v>
      </c>
      <c r="J13" s="160"/>
      <c r="K13" s="158"/>
      <c r="L13" s="158"/>
      <c r="M13" s="158"/>
      <c r="N13" s="158"/>
      <c r="O13" s="181"/>
      <c r="P13" s="181"/>
      <c r="Q13" s="181"/>
      <c r="R13" s="158"/>
      <c r="S13" s="158"/>
      <c r="T13" s="158"/>
      <c r="U13" s="158"/>
      <c r="V13" s="158"/>
      <c r="W13" s="158"/>
      <c r="X13" s="158"/>
      <c r="Y13" s="158"/>
      <c r="Z13" s="158"/>
      <c r="AA13" s="158"/>
      <c r="AB13" s="186"/>
    </row>
    <row r="14" spans="1:28" x14ac:dyDescent="0.25">
      <c r="A14" s="157"/>
      <c r="B14" s="158"/>
      <c r="C14" s="158"/>
      <c r="D14" s="158"/>
      <c r="E14" s="158"/>
      <c r="F14" s="158"/>
      <c r="G14" s="158"/>
      <c r="H14" s="104" t="s">
        <v>560</v>
      </c>
      <c r="I14" s="192">
        <f>I10*I15</f>
        <v>90</v>
      </c>
      <c r="J14" s="160" t="s">
        <v>563</v>
      </c>
      <c r="K14" s="158"/>
      <c r="L14" s="158"/>
      <c r="M14" s="158"/>
      <c r="N14" s="158"/>
      <c r="O14" s="181"/>
      <c r="P14" s="181"/>
      <c r="Q14" s="181"/>
      <c r="R14" s="158"/>
      <c r="S14" s="158"/>
      <c r="T14" s="158"/>
      <c r="U14" s="158"/>
      <c r="V14" s="158"/>
      <c r="W14" s="158"/>
      <c r="X14" s="158"/>
      <c r="Y14" s="158"/>
      <c r="Z14" s="158"/>
      <c r="AA14" s="158"/>
      <c r="AB14" s="186"/>
    </row>
    <row r="15" spans="1:28" ht="18" x14ac:dyDescent="0.35">
      <c r="A15" s="157"/>
      <c r="B15" s="158"/>
      <c r="C15" s="158"/>
      <c r="D15" s="158"/>
      <c r="E15" s="158"/>
      <c r="F15" s="158"/>
      <c r="G15" s="158"/>
      <c r="H15" s="159" t="s">
        <v>187</v>
      </c>
      <c r="I15" s="192">
        <f>Calculations!B12</f>
        <v>5</v>
      </c>
      <c r="J15" s="160" t="s">
        <v>33</v>
      </c>
      <c r="K15" s="158"/>
      <c r="L15" s="158"/>
      <c r="M15" s="158"/>
      <c r="N15" s="158"/>
      <c r="O15" s="158"/>
      <c r="P15" s="158"/>
      <c r="Q15" s="158"/>
      <c r="R15" s="158"/>
      <c r="S15" s="158"/>
      <c r="T15" s="158"/>
      <c r="U15" s="158"/>
      <c r="V15" s="158"/>
      <c r="W15" s="158"/>
      <c r="X15" s="158"/>
      <c r="Y15" s="158"/>
      <c r="Z15" s="158"/>
      <c r="AA15" s="158"/>
      <c r="AB15" s="186"/>
    </row>
    <row r="16" spans="1:28" x14ac:dyDescent="0.25">
      <c r="A16" s="157"/>
      <c r="B16" s="158"/>
      <c r="C16" s="158"/>
      <c r="D16" s="158"/>
      <c r="E16" s="158"/>
      <c r="F16" s="158"/>
      <c r="G16" s="158"/>
      <c r="H16" s="104" t="s">
        <v>561</v>
      </c>
      <c r="I16" s="192">
        <f>I15*I12*I10</f>
        <v>90</v>
      </c>
      <c r="J16" s="160" t="s">
        <v>563</v>
      </c>
      <c r="K16" s="158"/>
      <c r="L16" s="158"/>
      <c r="M16" s="158"/>
      <c r="N16" s="158"/>
      <c r="O16" s="158"/>
      <c r="P16" s="158"/>
      <c r="Q16" s="158"/>
      <c r="R16" s="158"/>
      <c r="S16" s="158"/>
      <c r="T16" s="158"/>
      <c r="U16" s="158"/>
      <c r="V16" s="158"/>
      <c r="W16" s="158"/>
      <c r="X16" s="158"/>
      <c r="Y16" s="158"/>
      <c r="Z16" s="158"/>
      <c r="AA16" s="158"/>
      <c r="AB16" s="186"/>
    </row>
    <row r="17" spans="1:28" ht="15.75" thickBot="1" x14ac:dyDescent="0.3">
      <c r="A17" s="161"/>
      <c r="B17" s="162"/>
      <c r="C17" s="162"/>
      <c r="D17" s="162"/>
      <c r="E17" s="162"/>
      <c r="F17" s="162"/>
      <c r="G17" s="162"/>
      <c r="H17" s="164" t="s">
        <v>184</v>
      </c>
      <c r="I17" s="212">
        <v>250</v>
      </c>
      <c r="J17" s="163" t="s">
        <v>185</v>
      </c>
      <c r="K17" s="158"/>
      <c r="L17" s="158"/>
      <c r="M17" s="158"/>
      <c r="N17" s="158"/>
      <c r="O17" s="158"/>
      <c r="P17" s="158"/>
      <c r="Q17" s="158"/>
      <c r="R17" s="158"/>
      <c r="S17" s="158"/>
      <c r="T17" s="158"/>
      <c r="U17" s="158"/>
      <c r="V17" s="158"/>
      <c r="W17" s="158"/>
      <c r="X17" s="158"/>
      <c r="Y17" s="158"/>
      <c r="Z17" s="158"/>
      <c r="AA17" s="158"/>
      <c r="AB17" s="186"/>
    </row>
    <row r="18" spans="1:28" x14ac:dyDescent="0.25">
      <c r="A18" s="158"/>
      <c r="B18" s="158"/>
      <c r="C18" s="158"/>
      <c r="D18" s="158"/>
      <c r="E18" s="158"/>
      <c r="F18" s="158"/>
      <c r="G18" s="158"/>
      <c r="H18" s="159"/>
      <c r="I18" s="158"/>
      <c r="J18" s="158"/>
      <c r="K18" s="158"/>
      <c r="L18" s="158"/>
      <c r="M18" s="158"/>
      <c r="N18" s="158"/>
      <c r="O18" s="158"/>
      <c r="P18" s="158"/>
      <c r="Q18" s="158"/>
      <c r="R18" s="158"/>
      <c r="S18" s="158"/>
      <c r="T18" s="158"/>
      <c r="U18" s="158"/>
      <c r="V18" s="158"/>
      <c r="W18" s="158"/>
      <c r="X18" s="158"/>
      <c r="Y18" s="158"/>
      <c r="Z18" s="158"/>
      <c r="AA18" s="158"/>
      <c r="AB18" s="186"/>
    </row>
    <row r="19" spans="1:28" ht="21.75" thickBot="1" x14ac:dyDescent="0.4">
      <c r="A19" s="177" t="s">
        <v>349</v>
      </c>
      <c r="B19" s="158"/>
      <c r="C19" s="158"/>
      <c r="D19" s="158"/>
      <c r="E19" s="158"/>
      <c r="F19" s="158"/>
      <c r="G19" s="158"/>
      <c r="H19" s="159"/>
      <c r="I19" s="158"/>
      <c r="J19" s="158"/>
      <c r="K19" s="158"/>
      <c r="L19" s="158"/>
      <c r="M19" s="158"/>
      <c r="N19" s="158"/>
      <c r="O19" s="158"/>
      <c r="P19" s="158"/>
      <c r="Q19" s="158"/>
      <c r="R19" s="158"/>
      <c r="S19" s="158"/>
      <c r="T19" s="158"/>
      <c r="U19" s="158"/>
      <c r="V19" s="158"/>
      <c r="W19" s="158"/>
      <c r="X19" s="158"/>
      <c r="Y19" s="158"/>
      <c r="Z19" s="158"/>
      <c r="AA19" s="158"/>
      <c r="AB19" s="186"/>
    </row>
    <row r="20" spans="1:28" ht="18" x14ac:dyDescent="0.25">
      <c r="A20" s="153"/>
      <c r="B20" s="154"/>
      <c r="C20" s="154"/>
      <c r="D20" s="154"/>
      <c r="E20" s="154"/>
      <c r="F20" s="154"/>
      <c r="G20" s="179"/>
      <c r="H20" s="180" t="s">
        <v>189</v>
      </c>
      <c r="I20" s="193">
        <f>Calculations!B24/1000</f>
        <v>36</v>
      </c>
      <c r="J20" s="178" t="s">
        <v>190</v>
      </c>
      <c r="K20" s="158"/>
      <c r="L20" s="158"/>
      <c r="M20" s="158"/>
      <c r="N20" s="158"/>
      <c r="O20" s="158"/>
      <c r="P20" s="158"/>
      <c r="Q20" s="158"/>
      <c r="R20" s="158"/>
      <c r="S20" s="158"/>
      <c r="T20" s="158"/>
      <c r="U20" s="158"/>
      <c r="V20" s="158"/>
      <c r="W20" s="158"/>
      <c r="X20" s="158"/>
      <c r="Y20" s="158"/>
      <c r="Z20" s="158"/>
      <c r="AA20" s="158"/>
      <c r="AB20" s="186"/>
    </row>
    <row r="21" spans="1:28" x14ac:dyDescent="0.25">
      <c r="A21" s="157"/>
      <c r="B21" s="158"/>
      <c r="C21" s="158"/>
      <c r="D21" s="158"/>
      <c r="E21" s="158"/>
      <c r="F21" s="158"/>
      <c r="G21" s="158"/>
      <c r="H21" s="159" t="s">
        <v>191</v>
      </c>
      <c r="I21" s="192">
        <f>Calculations!B26/1000</f>
        <v>350</v>
      </c>
      <c r="J21" s="160" t="s">
        <v>185</v>
      </c>
      <c r="K21" s="158"/>
      <c r="L21" s="158"/>
      <c r="M21" s="158"/>
      <c r="N21" s="158"/>
      <c r="O21" s="158"/>
      <c r="P21" s="158"/>
      <c r="Q21" s="158"/>
      <c r="R21" s="158"/>
      <c r="S21" s="158"/>
      <c r="T21" s="158"/>
      <c r="U21" s="158"/>
      <c r="V21" s="158"/>
      <c r="W21" s="158"/>
      <c r="X21" s="158"/>
      <c r="Y21" s="158"/>
      <c r="Z21" s="158"/>
      <c r="AA21" s="158"/>
      <c r="AB21" s="186"/>
    </row>
    <row r="22" spans="1:28" ht="15.75" thickBot="1" x14ac:dyDescent="0.3">
      <c r="A22" s="161"/>
      <c r="B22" s="162"/>
      <c r="C22" s="162"/>
      <c r="D22" s="162"/>
      <c r="E22" s="162"/>
      <c r="F22" s="162"/>
      <c r="G22" s="162"/>
      <c r="H22" s="164" t="s">
        <v>192</v>
      </c>
      <c r="I22" s="194">
        <f>Calculations!B27/1000</f>
        <v>200</v>
      </c>
      <c r="J22" s="163" t="s">
        <v>185</v>
      </c>
      <c r="K22" s="158"/>
      <c r="L22" s="158"/>
      <c r="M22" s="158"/>
      <c r="N22" s="158"/>
      <c r="O22" s="158"/>
      <c r="P22" s="158"/>
      <c r="Q22" s="158"/>
      <c r="R22" s="158"/>
      <c r="S22" s="158"/>
      <c r="T22" s="158"/>
      <c r="U22" s="158"/>
      <c r="V22" s="158"/>
      <c r="W22" s="158"/>
      <c r="X22" s="158"/>
      <c r="Y22" s="158"/>
      <c r="Z22" s="158"/>
      <c r="AA22" s="158"/>
      <c r="AB22" s="186"/>
    </row>
    <row r="23" spans="1:28" x14ac:dyDescent="0.25">
      <c r="A23" s="158"/>
      <c r="B23" s="158"/>
      <c r="C23" s="158"/>
      <c r="D23" s="158"/>
      <c r="E23" s="158"/>
      <c r="F23" s="158"/>
      <c r="G23" s="158"/>
      <c r="H23" s="159"/>
      <c r="I23" s="158"/>
      <c r="J23" s="158"/>
      <c r="K23" s="158"/>
      <c r="L23" s="158"/>
      <c r="M23" s="158"/>
      <c r="N23" s="158"/>
      <c r="O23" s="158"/>
      <c r="P23" s="158"/>
      <c r="Q23" s="158"/>
      <c r="R23" s="158"/>
      <c r="S23" s="158"/>
      <c r="T23" s="158"/>
      <c r="U23" s="158"/>
      <c r="V23" s="158"/>
      <c r="W23" s="158"/>
      <c r="X23" s="158"/>
      <c r="Y23" s="158"/>
      <c r="Z23" s="158"/>
      <c r="AA23" s="158"/>
      <c r="AB23" s="186"/>
    </row>
    <row r="24" spans="1:28" ht="21.75" thickBot="1" x14ac:dyDescent="0.4">
      <c r="A24" s="177" t="s">
        <v>240</v>
      </c>
      <c r="B24" s="158"/>
      <c r="C24" s="158"/>
      <c r="D24" s="158"/>
      <c r="E24" s="158"/>
      <c r="F24" s="158"/>
      <c r="G24" s="158"/>
      <c r="H24" s="159"/>
      <c r="I24" s="158"/>
      <c r="J24" s="158"/>
      <c r="K24" s="158"/>
      <c r="L24" s="158"/>
      <c r="M24" s="158"/>
      <c r="N24" s="158"/>
      <c r="O24" s="158"/>
      <c r="P24" s="158"/>
      <c r="Q24" s="158"/>
      <c r="R24" s="158"/>
      <c r="S24" s="158"/>
      <c r="T24" s="158"/>
      <c r="U24" s="158"/>
      <c r="V24" s="158"/>
      <c r="W24" s="158"/>
      <c r="X24" s="158"/>
      <c r="Y24" s="158"/>
      <c r="Z24" s="158"/>
      <c r="AA24" s="158"/>
      <c r="AB24" s="186"/>
    </row>
    <row r="25" spans="1:28" x14ac:dyDescent="0.25">
      <c r="A25" s="153"/>
      <c r="B25" s="154"/>
      <c r="C25" s="154"/>
      <c r="D25" s="154"/>
      <c r="E25" s="154"/>
      <c r="F25" s="154"/>
      <c r="G25" s="154"/>
      <c r="H25" s="155" t="s">
        <v>292</v>
      </c>
      <c r="I25" s="210">
        <v>30</v>
      </c>
      <c r="J25" s="156" t="s">
        <v>188</v>
      </c>
      <c r="K25" s="158"/>
      <c r="L25" s="158"/>
      <c r="M25" s="158"/>
      <c r="N25" s="158"/>
      <c r="O25" s="158"/>
      <c r="P25" s="158"/>
      <c r="Q25" s="158"/>
      <c r="R25" s="158"/>
      <c r="S25" s="158"/>
      <c r="T25" s="158"/>
      <c r="U25" s="158"/>
      <c r="V25" s="158"/>
      <c r="W25" s="158"/>
      <c r="X25" s="158"/>
      <c r="Y25" s="158"/>
      <c r="Z25" s="158"/>
      <c r="AA25" s="158"/>
      <c r="AB25" s="186"/>
    </row>
    <row r="26" spans="1:28" ht="18" x14ac:dyDescent="0.35">
      <c r="A26" s="157"/>
      <c r="B26" s="158"/>
      <c r="C26" s="158"/>
      <c r="D26" s="158"/>
      <c r="E26" s="158"/>
      <c r="F26" s="158"/>
      <c r="G26" s="158"/>
      <c r="H26" s="159" t="s">
        <v>291</v>
      </c>
      <c r="I26" s="221">
        <f>Calculations!B41*(10^6)</f>
        <v>6.684444444444444</v>
      </c>
      <c r="J26" s="160" t="s">
        <v>249</v>
      </c>
      <c r="K26" s="158"/>
      <c r="L26" s="158"/>
      <c r="M26" s="158"/>
      <c r="N26" s="158"/>
      <c r="O26" s="158"/>
      <c r="P26" s="158"/>
      <c r="Q26" s="158"/>
      <c r="R26" s="158"/>
      <c r="S26" s="158"/>
      <c r="T26" s="158"/>
      <c r="U26" s="158"/>
      <c r="V26" s="158"/>
      <c r="W26" s="158"/>
      <c r="X26" s="158"/>
      <c r="Y26" s="158"/>
      <c r="Z26" s="158"/>
      <c r="AA26" s="158"/>
      <c r="AB26" s="186"/>
    </row>
    <row r="27" spans="1:28" ht="18" x14ac:dyDescent="0.35">
      <c r="A27" s="157"/>
      <c r="B27" s="158"/>
      <c r="C27" s="158"/>
      <c r="D27" s="158"/>
      <c r="E27" s="158"/>
      <c r="F27" s="158"/>
      <c r="G27" s="158"/>
      <c r="H27" s="159" t="s">
        <v>290</v>
      </c>
      <c r="I27" s="211">
        <v>10</v>
      </c>
      <c r="J27" s="160" t="s">
        <v>249</v>
      </c>
      <c r="K27" s="158"/>
      <c r="L27" s="158"/>
      <c r="M27" s="158"/>
      <c r="N27" s="158"/>
      <c r="O27" s="158"/>
      <c r="P27" s="158"/>
      <c r="Q27" s="158"/>
      <c r="R27" s="158"/>
      <c r="S27" s="158"/>
      <c r="T27" s="158"/>
      <c r="U27" s="158"/>
      <c r="V27" s="158"/>
      <c r="W27" s="158"/>
      <c r="X27" s="158"/>
      <c r="Y27" s="158"/>
      <c r="Z27" s="158"/>
      <c r="AA27" s="158"/>
      <c r="AB27" s="186"/>
    </row>
    <row r="28" spans="1:28" ht="18" x14ac:dyDescent="0.35">
      <c r="A28" s="157"/>
      <c r="B28" s="158"/>
      <c r="C28" s="158"/>
      <c r="D28" s="158"/>
      <c r="E28" s="158"/>
      <c r="F28" s="158"/>
      <c r="G28" s="158"/>
      <c r="H28" s="159" t="s">
        <v>683</v>
      </c>
      <c r="I28" s="211">
        <v>83</v>
      </c>
      <c r="J28" s="160" t="s">
        <v>307</v>
      </c>
      <c r="K28" s="158"/>
      <c r="L28" s="158"/>
      <c r="M28" s="158"/>
      <c r="N28" s="158"/>
      <c r="O28" s="158"/>
      <c r="P28" s="158"/>
      <c r="Q28" s="158"/>
      <c r="R28" s="158"/>
      <c r="S28" s="158"/>
      <c r="T28" s="158"/>
      <c r="U28" s="158"/>
      <c r="V28" s="158"/>
      <c r="W28" s="158"/>
      <c r="X28" s="158"/>
      <c r="Y28" s="158"/>
      <c r="Z28" s="158"/>
      <c r="AA28" s="158"/>
      <c r="AB28" s="186"/>
    </row>
    <row r="29" spans="1:28" ht="18" x14ac:dyDescent="0.35">
      <c r="A29" s="157"/>
      <c r="B29" s="158"/>
      <c r="C29" s="158"/>
      <c r="D29" s="158"/>
      <c r="E29" s="158"/>
      <c r="F29" s="158"/>
      <c r="G29" s="158"/>
      <c r="H29" s="159" t="s">
        <v>285</v>
      </c>
      <c r="I29" s="217">
        <f>Calculations!B45</f>
        <v>8.7040618955512574</v>
      </c>
      <c r="J29" s="160" t="s">
        <v>33</v>
      </c>
      <c r="K29" s="158"/>
      <c r="L29" s="158"/>
      <c r="M29" s="158"/>
      <c r="N29" s="158"/>
      <c r="O29" s="158"/>
      <c r="P29" s="158"/>
      <c r="Q29" s="158"/>
      <c r="R29" s="158"/>
      <c r="S29" s="158"/>
      <c r="T29" s="158"/>
      <c r="U29" s="158"/>
      <c r="V29" s="158"/>
      <c r="W29" s="158"/>
      <c r="X29" s="158"/>
      <c r="Y29" s="158"/>
      <c r="Z29" s="158"/>
      <c r="AA29" s="158"/>
      <c r="AB29" s="186"/>
    </row>
    <row r="30" spans="1:28" ht="18" x14ac:dyDescent="0.35">
      <c r="A30" s="157"/>
      <c r="B30" s="158"/>
      <c r="C30" s="158"/>
      <c r="D30" s="158"/>
      <c r="E30" s="158"/>
      <c r="F30" s="158"/>
      <c r="G30" s="158"/>
      <c r="H30" s="159" t="s">
        <v>282</v>
      </c>
      <c r="I30" s="217">
        <f>Calculations!B57</f>
        <v>9.5596174511068135</v>
      </c>
      <c r="J30" s="160" t="s">
        <v>33</v>
      </c>
      <c r="K30" s="158"/>
      <c r="L30" s="158"/>
      <c r="M30" s="158"/>
      <c r="N30" s="158"/>
      <c r="O30" s="158"/>
      <c r="P30" s="158"/>
      <c r="Q30" s="158"/>
      <c r="R30" s="158"/>
      <c r="S30" s="158"/>
      <c r="T30" s="158"/>
      <c r="U30" s="158"/>
      <c r="V30" s="158"/>
      <c r="W30" s="158"/>
      <c r="X30" s="158"/>
      <c r="Y30" s="158"/>
      <c r="Z30" s="158"/>
      <c r="AA30" s="158"/>
      <c r="AB30" s="186"/>
    </row>
    <row r="31" spans="1:28" x14ac:dyDescent="0.25">
      <c r="A31" s="157"/>
      <c r="B31" s="158"/>
      <c r="C31" s="158"/>
      <c r="D31" s="158"/>
      <c r="E31" s="158"/>
      <c r="F31" s="158"/>
      <c r="G31" s="158"/>
      <c r="H31" s="159"/>
      <c r="I31" s="217"/>
      <c r="J31" s="160"/>
      <c r="K31" s="158"/>
      <c r="L31" s="158"/>
      <c r="M31" s="158"/>
      <c r="N31" s="158"/>
      <c r="O31" s="158"/>
      <c r="P31" s="158"/>
      <c r="Q31" s="158"/>
      <c r="R31" s="158"/>
      <c r="S31" s="158"/>
      <c r="T31" s="158"/>
      <c r="U31" s="158"/>
      <c r="V31" s="158"/>
      <c r="W31" s="158"/>
      <c r="X31" s="158"/>
      <c r="Y31" s="158"/>
      <c r="Z31" s="158"/>
      <c r="AA31" s="158"/>
      <c r="AB31" s="186"/>
    </row>
    <row r="32" spans="1:28" ht="18" x14ac:dyDescent="0.35">
      <c r="A32" s="157"/>
      <c r="B32" s="158"/>
      <c r="C32" s="158"/>
      <c r="D32" s="158"/>
      <c r="E32" s="158"/>
      <c r="F32" s="158"/>
      <c r="G32" s="158"/>
      <c r="H32" s="159" t="s">
        <v>286</v>
      </c>
      <c r="I32" s="217">
        <f>Calculations!B46</f>
        <v>7.9787234042553195</v>
      </c>
      <c r="J32" s="160" t="s">
        <v>33</v>
      </c>
      <c r="K32" s="158"/>
      <c r="L32" s="158"/>
      <c r="M32" s="158"/>
      <c r="N32" s="158"/>
      <c r="O32" s="158"/>
      <c r="P32" s="158"/>
      <c r="Q32" s="158"/>
      <c r="R32" s="158"/>
      <c r="S32" s="158"/>
      <c r="T32" s="158"/>
      <c r="U32" s="158"/>
      <c r="V32" s="158"/>
      <c r="W32" s="158"/>
      <c r="X32" s="158"/>
      <c r="Y32" s="158"/>
      <c r="Z32" s="158"/>
      <c r="AA32" s="158"/>
      <c r="AB32" s="186"/>
    </row>
    <row r="33" spans="1:28" ht="18" x14ac:dyDescent="0.35">
      <c r="A33" s="157"/>
      <c r="B33" s="158"/>
      <c r="C33" s="158"/>
      <c r="D33" s="158"/>
      <c r="E33" s="158"/>
      <c r="F33" s="158"/>
      <c r="G33" s="158"/>
      <c r="H33" s="159" t="s">
        <v>284</v>
      </c>
      <c r="I33" s="217">
        <f>Calculations!B58</f>
        <v>8.7787234042553202</v>
      </c>
      <c r="J33" s="160" t="s">
        <v>33</v>
      </c>
      <c r="K33" s="158"/>
      <c r="L33" s="158"/>
      <c r="M33" s="158"/>
      <c r="N33" s="158"/>
      <c r="O33" s="158"/>
      <c r="P33" s="158"/>
      <c r="Q33" s="158"/>
      <c r="R33" s="158"/>
      <c r="S33" s="158"/>
      <c r="T33" s="158"/>
      <c r="U33" s="158"/>
      <c r="V33" s="158"/>
      <c r="W33" s="158"/>
      <c r="X33" s="158"/>
      <c r="Y33" s="158"/>
      <c r="Z33" s="158"/>
      <c r="AA33" s="158"/>
      <c r="AB33" s="186"/>
    </row>
    <row r="34" spans="1:28" x14ac:dyDescent="0.25">
      <c r="A34" s="157"/>
      <c r="B34" s="158"/>
      <c r="C34" s="158"/>
      <c r="D34" s="158"/>
      <c r="E34" s="158"/>
      <c r="F34" s="158"/>
      <c r="G34" s="158"/>
      <c r="H34" s="159"/>
      <c r="I34" s="217"/>
      <c r="J34" s="160"/>
      <c r="K34" s="158"/>
      <c r="L34" s="158"/>
      <c r="M34" s="158"/>
      <c r="N34" s="158"/>
      <c r="O34" s="158"/>
      <c r="P34" s="158"/>
      <c r="Q34" s="158"/>
      <c r="R34" s="158"/>
      <c r="S34" s="158"/>
      <c r="T34" s="158"/>
      <c r="U34" s="158"/>
      <c r="V34" s="158"/>
      <c r="W34" s="158"/>
      <c r="X34" s="158"/>
      <c r="Y34" s="158"/>
      <c r="Z34" s="158"/>
      <c r="AA34" s="158"/>
      <c r="AB34" s="186"/>
    </row>
    <row r="35" spans="1:28" ht="18" x14ac:dyDescent="0.35">
      <c r="A35" s="157"/>
      <c r="B35" s="158"/>
      <c r="C35" s="158"/>
      <c r="D35" s="158"/>
      <c r="E35" s="158"/>
      <c r="F35" s="158"/>
      <c r="G35" s="158"/>
      <c r="H35" s="159" t="s">
        <v>287</v>
      </c>
      <c r="I35" s="217">
        <f>Calculations!B47</f>
        <v>7.6595744680851068</v>
      </c>
      <c r="J35" s="160" t="s">
        <v>33</v>
      </c>
      <c r="K35" s="158"/>
      <c r="L35" s="158"/>
      <c r="M35" s="158"/>
      <c r="N35" s="158"/>
      <c r="O35" s="158"/>
      <c r="P35" s="158"/>
      <c r="Q35" s="158"/>
      <c r="R35" s="158"/>
      <c r="S35" s="158"/>
      <c r="T35" s="158"/>
      <c r="U35" s="158"/>
      <c r="V35" s="158"/>
      <c r="W35" s="158"/>
      <c r="X35" s="158"/>
      <c r="Y35" s="158"/>
      <c r="Z35" s="158"/>
      <c r="AA35" s="158"/>
      <c r="AB35" s="186"/>
    </row>
    <row r="36" spans="1:28" ht="18.75" thickBot="1" x14ac:dyDescent="0.4">
      <c r="A36" s="161"/>
      <c r="B36" s="162"/>
      <c r="C36" s="162"/>
      <c r="D36" s="162"/>
      <c r="E36" s="162"/>
      <c r="F36" s="162"/>
      <c r="G36" s="162"/>
      <c r="H36" s="164" t="s">
        <v>283</v>
      </c>
      <c r="I36" s="219">
        <f>Calculations!B59</f>
        <v>8.4234633569739952</v>
      </c>
      <c r="J36" s="163" t="s">
        <v>33</v>
      </c>
      <c r="K36" s="158"/>
      <c r="L36" s="158"/>
      <c r="M36" s="158"/>
      <c r="N36" s="158"/>
      <c r="O36" s="158"/>
      <c r="P36" s="158"/>
      <c r="Q36" s="158"/>
      <c r="R36" s="158"/>
      <c r="S36" s="158"/>
      <c r="T36" s="158"/>
      <c r="U36" s="158"/>
      <c r="V36" s="158"/>
      <c r="W36" s="158"/>
      <c r="X36" s="158"/>
      <c r="Y36" s="158"/>
      <c r="Z36" s="158"/>
      <c r="AA36" s="158"/>
      <c r="AB36" s="186"/>
    </row>
    <row r="37" spans="1:28" x14ac:dyDescent="0.25">
      <c r="A37" s="158"/>
      <c r="B37" s="158"/>
      <c r="C37" s="158"/>
      <c r="D37" s="158"/>
      <c r="E37" s="158"/>
      <c r="F37" s="158"/>
      <c r="G37" s="158"/>
      <c r="H37" s="159"/>
      <c r="I37" s="158"/>
      <c r="J37" s="158"/>
      <c r="K37" s="158"/>
      <c r="L37" s="158"/>
      <c r="M37" s="158"/>
      <c r="N37" s="158"/>
      <c r="O37" s="158"/>
      <c r="P37" s="158"/>
      <c r="Q37" s="158"/>
      <c r="R37" s="158"/>
      <c r="S37" s="158"/>
      <c r="T37" s="158"/>
      <c r="U37" s="158"/>
      <c r="V37" s="158"/>
      <c r="W37" s="158"/>
      <c r="X37" s="158"/>
      <c r="Y37" s="158"/>
      <c r="Z37" s="158"/>
      <c r="AA37" s="158"/>
      <c r="AB37" s="186"/>
    </row>
    <row r="38" spans="1:28" ht="21.75" thickBot="1" x14ac:dyDescent="0.4">
      <c r="A38" s="177" t="s">
        <v>289</v>
      </c>
      <c r="B38" s="158"/>
      <c r="C38" s="158"/>
      <c r="D38" s="158"/>
      <c r="E38" s="158"/>
      <c r="F38" s="158"/>
      <c r="G38" s="158"/>
      <c r="H38" s="159"/>
      <c r="I38" s="158"/>
      <c r="J38" s="158"/>
      <c r="K38" s="158"/>
      <c r="L38" s="158"/>
      <c r="M38" s="158"/>
      <c r="N38" s="158"/>
      <c r="O38" s="158"/>
      <c r="P38" s="158"/>
      <c r="Q38" s="158"/>
      <c r="R38" s="158"/>
      <c r="S38" s="158"/>
      <c r="T38" s="158"/>
      <c r="U38" s="158"/>
      <c r="V38" s="158"/>
      <c r="W38" s="158"/>
      <c r="X38" s="158"/>
      <c r="Y38" s="158"/>
      <c r="Z38" s="158"/>
      <c r="AA38" s="158"/>
      <c r="AB38" s="186"/>
    </row>
    <row r="39" spans="1:28" ht="18" x14ac:dyDescent="0.35">
      <c r="A39" s="153"/>
      <c r="B39" s="154"/>
      <c r="C39" s="154"/>
      <c r="D39" s="154"/>
      <c r="E39" s="154"/>
      <c r="F39" s="154"/>
      <c r="G39" s="154"/>
      <c r="H39" s="155" t="s">
        <v>293</v>
      </c>
      <c r="I39" s="210">
        <v>25</v>
      </c>
      <c r="J39" s="156" t="s">
        <v>188</v>
      </c>
      <c r="K39" s="158"/>
      <c r="L39" s="158"/>
      <c r="M39" s="158"/>
      <c r="N39" s="158"/>
      <c r="O39" s="158"/>
      <c r="P39" s="158"/>
      <c r="Q39" s="158"/>
      <c r="R39" s="158"/>
      <c r="S39" s="158"/>
      <c r="T39" s="158"/>
      <c r="U39" s="158"/>
      <c r="V39" s="158"/>
      <c r="W39" s="158"/>
      <c r="X39" s="158"/>
      <c r="Y39" s="158"/>
      <c r="Z39" s="158"/>
      <c r="AA39" s="158"/>
      <c r="AB39" s="186"/>
    </row>
    <row r="40" spans="1:28" ht="18" x14ac:dyDescent="0.35">
      <c r="A40" s="157"/>
      <c r="B40" s="158"/>
      <c r="C40" s="158"/>
      <c r="D40" s="158"/>
      <c r="E40" s="158"/>
      <c r="F40" s="158"/>
      <c r="G40" s="158"/>
      <c r="H40" s="159" t="s">
        <v>303</v>
      </c>
      <c r="I40" s="217">
        <f>Calculations!B83</f>
        <v>11.949521813883518</v>
      </c>
      <c r="J40" s="160" t="s">
        <v>33</v>
      </c>
      <c r="K40" s="158"/>
      <c r="L40" s="158"/>
      <c r="M40" s="158"/>
      <c r="N40" s="158"/>
      <c r="O40" s="158"/>
      <c r="P40" s="158"/>
      <c r="Q40" s="158"/>
      <c r="R40" s="158"/>
      <c r="S40" s="158"/>
      <c r="T40" s="158"/>
      <c r="U40" s="158"/>
      <c r="V40" s="158"/>
      <c r="W40" s="158"/>
      <c r="X40" s="158"/>
      <c r="Y40" s="158"/>
      <c r="Z40" s="158"/>
      <c r="AA40" s="158"/>
      <c r="AB40" s="186"/>
    </row>
    <row r="41" spans="1:28" ht="18" x14ac:dyDescent="0.35">
      <c r="A41" s="157"/>
      <c r="B41" s="158"/>
      <c r="C41" s="158"/>
      <c r="D41" s="158"/>
      <c r="E41" s="158"/>
      <c r="F41" s="158"/>
      <c r="G41" s="158"/>
      <c r="H41" s="159" t="s">
        <v>304</v>
      </c>
      <c r="I41" s="217">
        <f>Calculations!B86*1000</f>
        <v>6.276401781438774</v>
      </c>
      <c r="J41" s="160" t="s">
        <v>305</v>
      </c>
      <c r="K41" s="158"/>
      <c r="L41" s="158"/>
      <c r="M41" s="158"/>
      <c r="N41" s="158"/>
      <c r="O41" s="158"/>
      <c r="P41" s="158"/>
      <c r="Q41" s="158"/>
      <c r="R41" s="158"/>
      <c r="S41" s="158"/>
      <c r="T41" s="158"/>
      <c r="U41" s="158"/>
      <c r="V41" s="158"/>
      <c r="W41" s="158"/>
      <c r="X41" s="158"/>
      <c r="Y41" s="158"/>
      <c r="Z41" s="158"/>
      <c r="AA41" s="158"/>
      <c r="AB41" s="186"/>
    </row>
    <row r="42" spans="1:28" ht="18" x14ac:dyDescent="0.35">
      <c r="A42" s="157"/>
      <c r="B42" s="158"/>
      <c r="C42" s="158"/>
      <c r="D42" s="158"/>
      <c r="E42" s="158"/>
      <c r="F42" s="158"/>
      <c r="G42" s="158"/>
      <c r="H42" s="159" t="s">
        <v>306</v>
      </c>
      <c r="I42" s="211">
        <v>4</v>
      </c>
      <c r="J42" s="160" t="s">
        <v>307</v>
      </c>
      <c r="K42" s="158"/>
      <c r="L42" s="158"/>
      <c r="M42" s="158"/>
      <c r="N42" s="158"/>
      <c r="O42" s="158"/>
      <c r="P42" s="158"/>
      <c r="Q42" s="158"/>
      <c r="R42" s="158"/>
      <c r="S42" s="158"/>
      <c r="T42" s="158"/>
      <c r="U42" s="158"/>
      <c r="V42" s="158"/>
      <c r="W42" s="158"/>
      <c r="X42" s="158"/>
      <c r="Y42" s="158"/>
      <c r="Z42" s="158"/>
      <c r="AA42" s="158"/>
      <c r="AB42" s="186"/>
    </row>
    <row r="43" spans="1:28" ht="18" x14ac:dyDescent="0.35">
      <c r="A43" s="157"/>
      <c r="B43" s="158"/>
      <c r="C43" s="158"/>
      <c r="D43" s="158"/>
      <c r="E43" s="158"/>
      <c r="F43" s="158"/>
      <c r="G43" s="158"/>
      <c r="H43" s="159" t="s">
        <v>311</v>
      </c>
      <c r="I43" s="192">
        <f>Calculations!B89</f>
        <v>18.75</v>
      </c>
      <c r="J43" s="160" t="s">
        <v>33</v>
      </c>
      <c r="K43" s="158"/>
      <c r="L43" s="158"/>
      <c r="M43" s="158"/>
      <c r="N43" s="158"/>
      <c r="O43" s="158"/>
      <c r="P43" s="158"/>
      <c r="Q43" s="158"/>
      <c r="R43" s="158"/>
      <c r="S43" s="158"/>
      <c r="T43" s="158"/>
      <c r="U43" s="158"/>
      <c r="V43" s="158"/>
      <c r="W43" s="158"/>
      <c r="X43" s="158"/>
      <c r="Y43" s="158"/>
      <c r="Z43" s="158"/>
      <c r="AA43" s="158"/>
      <c r="AB43" s="186"/>
    </row>
    <row r="44" spans="1:28" x14ac:dyDescent="0.25">
      <c r="A44" s="157"/>
      <c r="B44" s="158"/>
      <c r="C44" s="158"/>
      <c r="D44" s="158"/>
      <c r="E44" s="158"/>
      <c r="F44" s="158"/>
      <c r="G44" s="158"/>
      <c r="H44" s="159"/>
      <c r="I44" s="192"/>
      <c r="J44" s="160"/>
      <c r="K44" s="158"/>
      <c r="L44" s="158"/>
      <c r="M44" s="158"/>
      <c r="N44" s="158"/>
      <c r="O44" s="158"/>
      <c r="P44" s="158"/>
      <c r="Q44" s="158"/>
      <c r="R44" s="158"/>
      <c r="S44" s="158"/>
      <c r="T44" s="158"/>
      <c r="U44" s="158"/>
      <c r="V44" s="158"/>
      <c r="W44" s="158"/>
      <c r="X44" s="158"/>
      <c r="Y44" s="158"/>
      <c r="Z44" s="158"/>
      <c r="AA44" s="158"/>
      <c r="AB44" s="186"/>
    </row>
    <row r="45" spans="1:28" ht="18" x14ac:dyDescent="0.35">
      <c r="A45" s="157"/>
      <c r="B45" s="158"/>
      <c r="C45" s="158"/>
      <c r="D45" s="158"/>
      <c r="E45" s="158"/>
      <c r="F45" s="158"/>
      <c r="G45" s="158"/>
      <c r="H45" s="159" t="s">
        <v>319</v>
      </c>
      <c r="I45" s="217">
        <f>Calculations!B93</f>
        <v>10.935493827160494</v>
      </c>
      <c r="J45" s="160" t="s">
        <v>33</v>
      </c>
      <c r="K45" s="158"/>
      <c r="L45" s="158"/>
      <c r="M45" s="158"/>
      <c r="N45" s="158"/>
      <c r="O45" s="158"/>
      <c r="P45" s="158"/>
      <c r="Q45" s="158"/>
      <c r="R45" s="158"/>
      <c r="S45" s="158"/>
      <c r="T45" s="158"/>
      <c r="U45" s="158"/>
      <c r="V45" s="158"/>
      <c r="W45" s="158"/>
      <c r="X45" s="158"/>
      <c r="Y45" s="158"/>
      <c r="Z45" s="158"/>
      <c r="AA45" s="158"/>
      <c r="AB45" s="186"/>
    </row>
    <row r="46" spans="1:28" ht="18" x14ac:dyDescent="0.35">
      <c r="A46" s="157"/>
      <c r="B46" s="158"/>
      <c r="C46" s="158"/>
      <c r="D46" s="158"/>
      <c r="E46" s="158"/>
      <c r="F46" s="158"/>
      <c r="G46" s="158"/>
      <c r="H46" s="159" t="s">
        <v>318</v>
      </c>
      <c r="I46" s="217">
        <f>Calculations!B94</f>
        <v>11.966666666666665</v>
      </c>
      <c r="J46" s="160" t="s">
        <v>33</v>
      </c>
      <c r="K46" s="158"/>
      <c r="L46" s="158"/>
      <c r="M46" s="158"/>
      <c r="N46" s="158"/>
      <c r="O46" s="158"/>
      <c r="P46" s="158"/>
      <c r="Q46" s="158"/>
      <c r="R46" s="158"/>
      <c r="S46" s="158"/>
      <c r="T46" s="158"/>
      <c r="U46" s="158"/>
      <c r="V46" s="158"/>
      <c r="W46" s="158"/>
      <c r="X46" s="158"/>
      <c r="Y46" s="158"/>
      <c r="Z46" s="158"/>
      <c r="AA46" s="158"/>
      <c r="AB46" s="186"/>
    </row>
    <row r="47" spans="1:28" ht="18.75" thickBot="1" x14ac:dyDescent="0.4">
      <c r="A47" s="161"/>
      <c r="B47" s="162"/>
      <c r="C47" s="162"/>
      <c r="D47" s="162"/>
      <c r="E47" s="162"/>
      <c r="F47" s="162"/>
      <c r="G47" s="162"/>
      <c r="H47" s="164" t="s">
        <v>320</v>
      </c>
      <c r="I47" s="219">
        <f>Calculations!B95</f>
        <v>12.490354938271604</v>
      </c>
      <c r="J47" s="163" t="s">
        <v>33</v>
      </c>
      <c r="K47" s="158"/>
      <c r="L47" s="158"/>
      <c r="M47" s="158"/>
      <c r="N47" s="158"/>
      <c r="O47" s="158"/>
      <c r="P47" s="158"/>
      <c r="Q47" s="158"/>
      <c r="R47" s="158"/>
      <c r="S47" s="158"/>
      <c r="T47" s="158"/>
      <c r="U47" s="158"/>
      <c r="V47" s="158"/>
      <c r="W47" s="158"/>
      <c r="X47" s="158"/>
      <c r="Y47" s="158"/>
      <c r="Z47" s="158"/>
      <c r="AA47" s="158"/>
      <c r="AB47" s="186"/>
    </row>
    <row r="48" spans="1:28" x14ac:dyDescent="0.25">
      <c r="A48" s="158"/>
      <c r="B48" s="158"/>
      <c r="C48" s="158"/>
      <c r="D48" s="158"/>
      <c r="E48" s="158"/>
      <c r="F48" s="158"/>
      <c r="G48" s="158"/>
      <c r="H48" s="159"/>
      <c r="I48" s="158"/>
      <c r="J48" s="158"/>
      <c r="K48" s="158"/>
      <c r="L48" s="158"/>
      <c r="M48" s="158"/>
      <c r="N48" s="158"/>
      <c r="O48" s="158"/>
      <c r="P48" s="158"/>
      <c r="Q48" s="158"/>
      <c r="R48" s="158"/>
      <c r="S48" s="158"/>
      <c r="T48" s="158"/>
      <c r="U48" s="158"/>
      <c r="V48" s="158"/>
      <c r="W48" s="158"/>
      <c r="X48" s="158"/>
      <c r="Y48" s="158"/>
      <c r="Z48" s="158"/>
      <c r="AA48" s="158"/>
      <c r="AB48" s="186"/>
    </row>
    <row r="49" spans="1:28" ht="21.75" thickBot="1" x14ac:dyDescent="0.4">
      <c r="A49" s="177" t="s">
        <v>323</v>
      </c>
      <c r="B49" s="158"/>
      <c r="C49" s="158"/>
      <c r="D49" s="158"/>
      <c r="E49" s="158"/>
      <c r="F49" s="158"/>
      <c r="G49" s="158"/>
      <c r="H49" s="159"/>
      <c r="I49" s="158"/>
      <c r="J49" s="158"/>
      <c r="K49" s="158"/>
      <c r="L49" s="158"/>
      <c r="M49" s="158"/>
      <c r="N49" s="158"/>
      <c r="O49" s="158"/>
      <c r="P49" s="158"/>
      <c r="Q49" s="158"/>
      <c r="R49" s="158"/>
      <c r="S49" s="158"/>
      <c r="T49" s="158"/>
      <c r="U49" s="158"/>
      <c r="V49" s="158"/>
      <c r="W49" s="158"/>
      <c r="X49" s="158"/>
      <c r="Y49" s="158"/>
      <c r="Z49" s="158"/>
      <c r="AA49" s="158"/>
      <c r="AB49" s="186"/>
    </row>
    <row r="50" spans="1:28" ht="18" x14ac:dyDescent="0.35">
      <c r="A50" s="153"/>
      <c r="B50" s="154"/>
      <c r="C50" s="154"/>
      <c r="D50" s="154"/>
      <c r="E50" s="154"/>
      <c r="F50" s="154"/>
      <c r="G50" s="154"/>
      <c r="H50" s="155" t="s">
        <v>324</v>
      </c>
      <c r="I50" s="210">
        <v>1</v>
      </c>
      <c r="J50" s="156"/>
      <c r="K50" s="158"/>
      <c r="L50" s="158"/>
      <c r="M50" s="158"/>
      <c r="N50" s="158"/>
      <c r="O50" s="158"/>
      <c r="P50" s="158"/>
      <c r="Q50" s="158"/>
      <c r="R50" s="158"/>
      <c r="S50" s="158"/>
      <c r="T50" s="158"/>
      <c r="U50" s="158"/>
      <c r="V50" s="158"/>
      <c r="W50" s="158"/>
      <c r="X50" s="158"/>
      <c r="Y50" s="158"/>
      <c r="Z50" s="158"/>
      <c r="AA50" s="158"/>
      <c r="AB50" s="186"/>
    </row>
    <row r="51" spans="1:28" ht="18" x14ac:dyDescent="0.35">
      <c r="A51" s="157"/>
      <c r="B51" s="158"/>
      <c r="C51" s="158"/>
      <c r="D51" s="158"/>
      <c r="E51" s="158"/>
      <c r="F51" s="158"/>
      <c r="G51" s="158"/>
      <c r="H51" s="159" t="s">
        <v>674</v>
      </c>
      <c r="I51" s="217">
        <f>Calculations!B99/1000</f>
        <v>13.426666666666664</v>
      </c>
      <c r="J51" s="160" t="s">
        <v>330</v>
      </c>
      <c r="K51" s="158"/>
      <c r="L51" s="158"/>
      <c r="M51" s="158"/>
      <c r="N51" s="158"/>
      <c r="O51" s="158"/>
      <c r="P51" s="158"/>
      <c r="Q51" s="158"/>
      <c r="R51" s="158"/>
      <c r="S51" s="158"/>
      <c r="T51" s="158"/>
      <c r="U51" s="158"/>
      <c r="V51" s="158"/>
      <c r="W51" s="158"/>
      <c r="X51" s="158"/>
      <c r="Y51" s="158"/>
      <c r="Z51" s="158"/>
      <c r="AA51" s="158"/>
      <c r="AB51" s="186"/>
    </row>
    <row r="52" spans="1:28" ht="18" x14ac:dyDescent="0.35">
      <c r="A52" s="157"/>
      <c r="B52" s="158"/>
      <c r="C52" s="158"/>
      <c r="D52" s="158"/>
      <c r="E52" s="158"/>
      <c r="F52" s="158"/>
      <c r="G52" s="158"/>
      <c r="H52" s="159" t="s">
        <v>673</v>
      </c>
      <c r="I52" s="217">
        <f>Calculations!B100/1000</f>
        <v>214.28571428571428</v>
      </c>
      <c r="J52" s="160" t="s">
        <v>330</v>
      </c>
      <c r="K52" s="158"/>
      <c r="L52" s="158"/>
      <c r="M52" s="158"/>
      <c r="N52" s="158"/>
      <c r="O52" s="158"/>
      <c r="P52" s="158"/>
      <c r="Q52" s="158"/>
      <c r="R52" s="158"/>
      <c r="S52" s="158"/>
      <c r="T52" s="158"/>
      <c r="U52" s="158"/>
      <c r="V52" s="158"/>
      <c r="W52" s="158"/>
      <c r="X52" s="158"/>
      <c r="Y52" s="158"/>
      <c r="Z52" s="158"/>
      <c r="AA52" s="158"/>
      <c r="AB52" s="186"/>
    </row>
    <row r="53" spans="1:28" ht="18.75" thickBot="1" x14ac:dyDescent="0.4">
      <c r="A53" s="161"/>
      <c r="B53" s="162"/>
      <c r="C53" s="162"/>
      <c r="D53" s="162"/>
      <c r="E53" s="162"/>
      <c r="F53" s="162"/>
      <c r="G53" s="162"/>
      <c r="H53" s="164" t="s">
        <v>672</v>
      </c>
      <c r="I53" s="212">
        <v>100</v>
      </c>
      <c r="J53" s="163" t="s">
        <v>330</v>
      </c>
      <c r="K53" s="158"/>
      <c r="L53" s="158"/>
      <c r="M53" s="158"/>
      <c r="N53" s="158"/>
      <c r="O53" s="158"/>
      <c r="P53" s="158"/>
      <c r="Q53" s="158"/>
      <c r="R53" s="158"/>
      <c r="S53" s="158"/>
      <c r="T53" s="158"/>
      <c r="U53" s="158"/>
      <c r="V53" s="158"/>
      <c r="W53" s="158"/>
      <c r="X53" s="158"/>
      <c r="Y53" s="158"/>
      <c r="Z53" s="158"/>
      <c r="AA53" s="158"/>
      <c r="AB53" s="186"/>
    </row>
    <row r="54" spans="1:28" x14ac:dyDescent="0.25">
      <c r="A54" s="158"/>
      <c r="B54" s="158"/>
      <c r="C54" s="158"/>
      <c r="D54" s="158"/>
      <c r="E54" s="158"/>
      <c r="F54" s="158"/>
      <c r="G54" s="158"/>
      <c r="H54" s="159"/>
      <c r="I54" s="158"/>
      <c r="J54" s="158"/>
      <c r="K54" s="158"/>
      <c r="L54" s="158"/>
      <c r="M54" s="158"/>
      <c r="N54" s="158"/>
      <c r="O54" s="158"/>
      <c r="P54" s="158"/>
      <c r="Q54" s="158"/>
      <c r="R54" s="158"/>
      <c r="S54" s="158"/>
      <c r="T54" s="158"/>
      <c r="U54" s="158"/>
      <c r="V54" s="158"/>
      <c r="W54" s="158"/>
      <c r="X54" s="158"/>
      <c r="Y54" s="158"/>
      <c r="Z54" s="158"/>
      <c r="AA54" s="158"/>
      <c r="AB54" s="186"/>
    </row>
    <row r="55" spans="1:28" ht="24.75" thickBot="1" x14ac:dyDescent="0.5">
      <c r="A55" s="177" t="s">
        <v>552</v>
      </c>
      <c r="B55" s="158"/>
      <c r="C55" s="158"/>
      <c r="D55" s="158"/>
      <c r="E55" s="158"/>
      <c r="F55" s="158"/>
      <c r="G55" s="158"/>
      <c r="H55" s="159"/>
      <c r="I55" s="158"/>
      <c r="J55" s="158"/>
      <c r="K55" s="158"/>
      <c r="L55" s="158"/>
      <c r="M55" s="158"/>
      <c r="N55" s="158"/>
      <c r="O55" s="158"/>
      <c r="P55" s="158"/>
      <c r="Q55" s="158"/>
      <c r="R55" s="158"/>
      <c r="S55" s="158"/>
      <c r="T55" s="158"/>
      <c r="U55" s="158"/>
      <c r="V55" s="158"/>
      <c r="W55" s="158"/>
      <c r="X55" s="158"/>
      <c r="Y55" s="158"/>
      <c r="Z55" s="158"/>
      <c r="AA55" s="158"/>
      <c r="AB55" s="186"/>
    </row>
    <row r="56" spans="1:28" x14ac:dyDescent="0.25">
      <c r="A56" s="153"/>
      <c r="B56" s="154"/>
      <c r="C56" s="154"/>
      <c r="D56" s="154"/>
      <c r="E56" s="154"/>
      <c r="F56" s="154"/>
      <c r="G56" s="154"/>
      <c r="H56" s="155" t="s">
        <v>351</v>
      </c>
      <c r="I56" s="210">
        <v>30</v>
      </c>
      <c r="J56" s="156" t="s">
        <v>352</v>
      </c>
      <c r="K56" s="158"/>
      <c r="L56" s="158"/>
      <c r="M56" s="158"/>
      <c r="N56" s="158"/>
      <c r="O56" s="158"/>
      <c r="P56" s="158"/>
      <c r="Q56" s="158"/>
      <c r="R56" s="158"/>
      <c r="S56" s="158"/>
      <c r="T56" s="158"/>
      <c r="U56" s="158"/>
      <c r="V56" s="158"/>
      <c r="W56" s="158"/>
      <c r="X56" s="158"/>
      <c r="Y56" s="158"/>
      <c r="Z56" s="158"/>
      <c r="AA56" s="158"/>
      <c r="AB56" s="186"/>
    </row>
    <row r="57" spans="1:28" x14ac:dyDescent="0.25">
      <c r="A57" s="157"/>
      <c r="B57" s="158"/>
      <c r="C57" s="158"/>
      <c r="D57" s="158"/>
      <c r="E57" s="158"/>
      <c r="F57" s="158"/>
      <c r="G57" s="158"/>
      <c r="H57" s="159" t="s">
        <v>685</v>
      </c>
      <c r="I57" s="195">
        <f>Calculations!B112*(10^6)</f>
        <v>585.18518518518522</v>
      </c>
      <c r="J57" s="160" t="s">
        <v>355</v>
      </c>
      <c r="K57" s="158"/>
      <c r="L57" s="158"/>
      <c r="M57" s="158"/>
      <c r="N57" s="158"/>
      <c r="O57" s="158"/>
      <c r="P57" s="158"/>
      <c r="Q57" s="158"/>
      <c r="R57" s="158"/>
      <c r="S57" s="158"/>
      <c r="T57" s="158"/>
      <c r="U57" s="158"/>
      <c r="V57" s="158"/>
      <c r="W57" s="158"/>
      <c r="X57" s="158"/>
      <c r="Y57" s="158"/>
      <c r="Z57" s="158"/>
      <c r="AA57" s="158"/>
      <c r="AB57" s="186"/>
    </row>
    <row r="58" spans="1:28" ht="18" x14ac:dyDescent="0.35">
      <c r="A58" s="157"/>
      <c r="B58" s="158"/>
      <c r="C58" s="158"/>
      <c r="D58" s="158"/>
      <c r="E58" s="158"/>
      <c r="F58" s="158"/>
      <c r="G58" s="158"/>
      <c r="H58" s="159" t="s">
        <v>361</v>
      </c>
      <c r="I58" s="211">
        <v>600</v>
      </c>
      <c r="J58" s="160" t="s">
        <v>355</v>
      </c>
      <c r="K58" s="158"/>
      <c r="L58" s="158"/>
      <c r="M58" s="158"/>
      <c r="N58" s="158"/>
      <c r="O58" s="158"/>
      <c r="P58" s="158"/>
      <c r="Q58" s="158"/>
      <c r="R58" s="158"/>
      <c r="S58" s="158"/>
      <c r="T58" s="158"/>
      <c r="U58" s="158"/>
      <c r="V58" s="158"/>
      <c r="W58" s="158"/>
      <c r="X58" s="158"/>
      <c r="Y58" s="158"/>
      <c r="Z58" s="158"/>
      <c r="AA58" s="158"/>
      <c r="AB58" s="186"/>
    </row>
    <row r="59" spans="1:28" ht="18.75" thickBot="1" x14ac:dyDescent="0.4">
      <c r="A59" s="161"/>
      <c r="B59" s="162"/>
      <c r="C59" s="162"/>
      <c r="D59" s="162"/>
      <c r="E59" s="162"/>
      <c r="F59" s="162"/>
      <c r="G59" s="162"/>
      <c r="H59" s="164" t="s">
        <v>360</v>
      </c>
      <c r="I59" s="212">
        <v>50</v>
      </c>
      <c r="J59" s="163" t="s">
        <v>307</v>
      </c>
      <c r="K59" s="158"/>
      <c r="L59" s="158"/>
      <c r="M59" s="158"/>
      <c r="N59" s="158"/>
      <c r="O59" s="158"/>
      <c r="P59" s="158"/>
      <c r="Q59" s="158"/>
      <c r="R59" s="158"/>
      <c r="S59" s="158"/>
      <c r="T59" s="158"/>
      <c r="U59" s="158"/>
      <c r="V59" s="158"/>
      <c r="W59" s="158"/>
      <c r="X59" s="158"/>
      <c r="Y59" s="158"/>
      <c r="Z59" s="158"/>
      <c r="AA59" s="158"/>
      <c r="AB59" s="186"/>
    </row>
    <row r="60" spans="1:28" x14ac:dyDescent="0.25">
      <c r="A60" s="158"/>
      <c r="B60" s="158"/>
      <c r="C60" s="158"/>
      <c r="D60" s="158"/>
      <c r="E60" s="158"/>
      <c r="F60" s="158"/>
      <c r="G60" s="158"/>
      <c r="H60" s="159"/>
      <c r="I60" s="158"/>
      <c r="J60" s="158"/>
      <c r="K60" s="158"/>
      <c r="L60" s="158"/>
      <c r="M60" s="158"/>
      <c r="N60" s="158"/>
      <c r="O60" s="158"/>
      <c r="P60" s="158"/>
      <c r="Q60" s="158"/>
      <c r="R60" s="158"/>
      <c r="S60" s="158"/>
      <c r="T60" s="158"/>
      <c r="U60" s="158"/>
      <c r="V60" s="158"/>
      <c r="W60" s="158"/>
      <c r="X60" s="158"/>
      <c r="Y60" s="158"/>
      <c r="Z60" s="158"/>
      <c r="AA60" s="158"/>
      <c r="AB60" s="186"/>
    </row>
    <row r="61" spans="1:28" ht="21.75" thickBot="1" x14ac:dyDescent="0.4">
      <c r="A61" s="177" t="s">
        <v>556</v>
      </c>
      <c r="B61" s="158"/>
      <c r="C61" s="158"/>
      <c r="D61" s="158"/>
      <c r="E61" s="158"/>
      <c r="F61" s="158"/>
      <c r="G61" s="158"/>
      <c r="H61" s="159"/>
      <c r="I61" s="158"/>
      <c r="J61" s="158"/>
      <c r="K61" s="158"/>
      <c r="L61" s="158"/>
      <c r="M61" s="158"/>
      <c r="N61" s="158"/>
      <c r="O61" s="158"/>
      <c r="P61" s="158"/>
      <c r="Q61" s="158"/>
      <c r="R61" s="158"/>
      <c r="S61" s="158"/>
      <c r="T61" s="158"/>
      <c r="U61" s="158"/>
      <c r="V61" s="158"/>
      <c r="W61" s="158"/>
      <c r="X61" s="158"/>
      <c r="Y61" s="158"/>
      <c r="Z61" s="158"/>
      <c r="AA61" s="158"/>
      <c r="AB61" s="186"/>
    </row>
    <row r="62" spans="1:28" ht="18" x14ac:dyDescent="0.35">
      <c r="A62" s="153"/>
      <c r="B62" s="154"/>
      <c r="C62" s="154"/>
      <c r="D62" s="154"/>
      <c r="E62" s="154"/>
      <c r="F62" s="154"/>
      <c r="G62" s="154"/>
      <c r="H62" s="155" t="s">
        <v>373</v>
      </c>
      <c r="I62" s="210">
        <v>49.9</v>
      </c>
      <c r="J62" s="156" t="s">
        <v>330</v>
      </c>
      <c r="K62" s="158"/>
      <c r="L62" s="158"/>
      <c r="M62" s="158"/>
      <c r="N62" s="158"/>
      <c r="O62" s="158"/>
      <c r="P62" s="158"/>
      <c r="Q62" s="158"/>
      <c r="R62" s="158"/>
      <c r="S62" s="158"/>
      <c r="T62" s="158"/>
      <c r="U62" s="158"/>
      <c r="V62" s="158"/>
      <c r="W62" s="158"/>
      <c r="X62" s="158"/>
      <c r="Y62" s="158"/>
      <c r="Z62" s="158"/>
      <c r="AA62" s="158"/>
      <c r="AB62" s="186"/>
    </row>
    <row r="63" spans="1:28" ht="18" x14ac:dyDescent="0.35">
      <c r="A63" s="157"/>
      <c r="B63" s="158"/>
      <c r="C63" s="158"/>
      <c r="D63" s="158"/>
      <c r="E63" s="158"/>
      <c r="F63" s="158"/>
      <c r="G63" s="158"/>
      <c r="H63" s="159" t="s">
        <v>374</v>
      </c>
      <c r="I63" s="217">
        <f>Calculations!B161/1000</f>
        <v>3.5642857142857141</v>
      </c>
      <c r="J63" s="160" t="s">
        <v>330</v>
      </c>
      <c r="K63" s="158"/>
      <c r="L63" s="158"/>
      <c r="M63" s="158"/>
      <c r="N63" s="158"/>
      <c r="O63" s="158"/>
      <c r="P63" s="158"/>
      <c r="Q63" s="158"/>
      <c r="R63" s="158"/>
      <c r="S63" s="158"/>
      <c r="T63" s="158"/>
      <c r="U63" s="158"/>
      <c r="V63" s="158"/>
      <c r="W63" s="158"/>
      <c r="X63" s="158"/>
      <c r="Y63" s="158"/>
      <c r="Z63" s="158"/>
      <c r="AA63" s="158"/>
      <c r="AB63" s="186"/>
    </row>
    <row r="64" spans="1:28" ht="18.75" thickBot="1" x14ac:dyDescent="0.4">
      <c r="A64" s="161"/>
      <c r="B64" s="162"/>
      <c r="C64" s="162"/>
      <c r="D64" s="162"/>
      <c r="E64" s="162"/>
      <c r="F64" s="162"/>
      <c r="G64" s="162"/>
      <c r="H64" s="164" t="s">
        <v>375</v>
      </c>
      <c r="I64" s="212">
        <v>2.67</v>
      </c>
      <c r="J64" s="163" t="s">
        <v>330</v>
      </c>
      <c r="K64" s="158"/>
      <c r="L64" s="158"/>
      <c r="M64" s="158"/>
      <c r="N64" s="158"/>
      <c r="O64" s="158"/>
      <c r="P64" s="158"/>
      <c r="Q64" s="158"/>
      <c r="R64" s="158"/>
      <c r="S64" s="158"/>
      <c r="T64" s="158"/>
      <c r="U64" s="158"/>
      <c r="V64" s="158"/>
      <c r="W64" s="158"/>
      <c r="X64" s="158"/>
      <c r="Y64" s="158"/>
      <c r="Z64" s="158"/>
      <c r="AA64" s="158"/>
      <c r="AB64" s="186"/>
    </row>
    <row r="65" spans="1:28" x14ac:dyDescent="0.25">
      <c r="A65" s="158"/>
      <c r="B65" s="158"/>
      <c r="C65" s="158"/>
      <c r="D65" s="158"/>
      <c r="E65" s="158"/>
      <c r="F65" s="158"/>
      <c r="G65" s="158"/>
      <c r="H65" s="159"/>
      <c r="I65" s="158"/>
      <c r="J65" s="158"/>
      <c r="K65" s="158"/>
      <c r="L65" s="158"/>
      <c r="M65" s="158"/>
      <c r="N65" s="158"/>
      <c r="O65" s="158"/>
      <c r="P65" s="158"/>
      <c r="Q65" s="158"/>
      <c r="R65" s="158"/>
      <c r="S65" s="158"/>
      <c r="T65" s="158"/>
      <c r="U65" s="158"/>
      <c r="V65" s="158"/>
      <c r="W65" s="158"/>
      <c r="X65" s="158"/>
      <c r="Y65" s="158"/>
      <c r="Z65" s="158"/>
      <c r="AA65" s="158"/>
      <c r="AB65" s="186"/>
    </row>
    <row r="66" spans="1:28" ht="21.75" thickBot="1" x14ac:dyDescent="0.4">
      <c r="A66" s="177" t="s">
        <v>555</v>
      </c>
      <c r="B66" s="158"/>
      <c r="C66" s="158"/>
      <c r="D66" s="158"/>
      <c r="E66" s="158"/>
      <c r="F66" s="158"/>
      <c r="G66" s="158"/>
      <c r="H66" s="159"/>
      <c r="I66" s="158"/>
      <c r="J66" s="158"/>
      <c r="K66" s="158"/>
      <c r="L66" s="158"/>
      <c r="M66" s="158"/>
      <c r="N66" s="158"/>
      <c r="O66" s="158"/>
      <c r="P66" s="158"/>
      <c r="Q66" s="158"/>
      <c r="R66" s="158"/>
      <c r="S66" s="158"/>
      <c r="T66" s="158"/>
      <c r="U66" s="158"/>
      <c r="V66" s="158"/>
      <c r="W66" s="158"/>
      <c r="X66" s="158"/>
      <c r="Y66" s="158"/>
      <c r="Z66" s="158"/>
      <c r="AA66" s="158"/>
      <c r="AB66" s="186"/>
    </row>
    <row r="67" spans="1:28" ht="18" x14ac:dyDescent="0.35">
      <c r="A67" s="153"/>
      <c r="B67" s="154"/>
      <c r="C67" s="154"/>
      <c r="D67" s="154"/>
      <c r="E67" s="154"/>
      <c r="F67" s="154"/>
      <c r="G67" s="154"/>
      <c r="H67" s="155" t="s">
        <v>557</v>
      </c>
      <c r="I67" s="210">
        <v>50</v>
      </c>
      <c r="J67" s="156" t="s">
        <v>553</v>
      </c>
      <c r="K67" s="158"/>
      <c r="L67" s="158"/>
      <c r="M67" s="158"/>
      <c r="N67" s="158"/>
      <c r="O67" s="158"/>
      <c r="P67" s="158"/>
      <c r="Q67" s="158"/>
      <c r="R67" s="158"/>
      <c r="S67" s="158"/>
      <c r="T67" s="158"/>
      <c r="U67" s="158"/>
      <c r="V67" s="158"/>
      <c r="W67" s="158"/>
      <c r="X67" s="158"/>
      <c r="Y67" s="158"/>
      <c r="Z67" s="158"/>
      <c r="AA67" s="158"/>
      <c r="AB67" s="186"/>
    </row>
    <row r="68" spans="1:28" ht="18" x14ac:dyDescent="0.35">
      <c r="A68" s="157"/>
      <c r="B68" s="158"/>
      <c r="C68" s="158"/>
      <c r="D68" s="158"/>
      <c r="E68" s="158"/>
      <c r="F68" s="158"/>
      <c r="G68" s="158"/>
      <c r="H68" s="159" t="s">
        <v>558</v>
      </c>
      <c r="I68" s="192">
        <f>aTSSmax</f>
        <v>63.636363636363633</v>
      </c>
      <c r="J68" s="160" t="s">
        <v>553</v>
      </c>
      <c r="K68" s="158"/>
      <c r="L68" s="158"/>
      <c r="M68" s="158"/>
      <c r="N68" s="158"/>
      <c r="O68" s="158"/>
      <c r="P68" s="158"/>
      <c r="Q68" s="158"/>
      <c r="R68" s="158"/>
      <c r="S68" s="158"/>
      <c r="T68" s="158"/>
      <c r="U68" s="158"/>
      <c r="V68" s="158"/>
      <c r="W68" s="158"/>
      <c r="X68" s="158"/>
      <c r="Y68" s="158"/>
      <c r="Z68" s="158"/>
      <c r="AA68" s="158"/>
      <c r="AB68" s="186"/>
    </row>
    <row r="69" spans="1:28" ht="18.75" thickBot="1" x14ac:dyDescent="0.4">
      <c r="A69" s="161"/>
      <c r="B69" s="162"/>
      <c r="C69" s="162"/>
      <c r="D69" s="162"/>
      <c r="E69" s="162"/>
      <c r="F69" s="162"/>
      <c r="G69" s="162"/>
      <c r="H69" s="173" t="s">
        <v>554</v>
      </c>
      <c r="I69" s="194">
        <f>arCss</f>
        <v>1363.6363636363635</v>
      </c>
      <c r="J69" s="163" t="s">
        <v>394</v>
      </c>
      <c r="K69" s="158"/>
      <c r="L69" s="158"/>
      <c r="M69" s="158"/>
      <c r="N69" s="158"/>
      <c r="O69" s="158"/>
      <c r="P69" s="158"/>
      <c r="Q69" s="158"/>
      <c r="R69" s="158"/>
      <c r="S69" s="158"/>
      <c r="T69" s="158"/>
      <c r="U69" s="158"/>
      <c r="V69" s="158"/>
      <c r="W69" s="158"/>
      <c r="X69" s="158"/>
      <c r="Y69" s="158"/>
      <c r="Z69" s="158"/>
      <c r="AA69" s="158"/>
      <c r="AB69" s="186"/>
    </row>
    <row r="70" spans="1:28" x14ac:dyDescent="0.25">
      <c r="A70" s="158"/>
      <c r="B70" s="158"/>
      <c r="C70" s="158"/>
      <c r="D70" s="158"/>
      <c r="E70" s="158"/>
      <c r="F70" s="158"/>
      <c r="G70" s="158"/>
      <c r="H70" s="171"/>
      <c r="I70" s="158"/>
      <c r="J70" s="158"/>
      <c r="K70" s="158"/>
      <c r="L70" s="158"/>
      <c r="M70" s="158"/>
      <c r="N70" s="158"/>
      <c r="O70" s="158"/>
      <c r="P70" s="158"/>
      <c r="Q70" s="158"/>
      <c r="R70" s="158"/>
      <c r="S70" s="158"/>
      <c r="T70" s="158"/>
      <c r="U70" s="158"/>
      <c r="V70" s="158"/>
      <c r="W70" s="158"/>
      <c r="X70" s="158"/>
      <c r="Y70" s="158"/>
      <c r="Z70" s="158"/>
      <c r="AA70" s="158"/>
      <c r="AB70" s="186"/>
    </row>
    <row r="71" spans="1:28" ht="21.75" thickBot="1" x14ac:dyDescent="0.4">
      <c r="A71" s="177" t="s">
        <v>680</v>
      </c>
      <c r="B71" s="158"/>
      <c r="C71" s="158"/>
      <c r="D71" s="158"/>
      <c r="E71" s="158"/>
      <c r="F71" s="158"/>
      <c r="G71" s="158"/>
      <c r="H71" s="171"/>
      <c r="I71" s="158"/>
      <c r="J71" s="158"/>
      <c r="K71" s="158"/>
      <c r="L71" s="158"/>
      <c r="M71" s="158"/>
      <c r="N71" s="158"/>
      <c r="O71" s="158"/>
      <c r="P71" s="158"/>
      <c r="Q71" s="158"/>
      <c r="R71" s="158"/>
      <c r="S71" s="158"/>
      <c r="T71" s="158"/>
      <c r="U71" s="158"/>
      <c r="V71" s="158"/>
      <c r="W71" s="158"/>
      <c r="X71" s="158"/>
      <c r="Y71" s="158"/>
      <c r="Z71" s="158"/>
      <c r="AA71" s="158"/>
      <c r="AB71" s="186"/>
    </row>
    <row r="72" spans="1:28" ht="18" x14ac:dyDescent="0.35">
      <c r="A72" s="232" t="s">
        <v>675</v>
      </c>
      <c r="B72" s="233"/>
      <c r="C72" s="233"/>
      <c r="D72" s="233"/>
      <c r="E72" s="233"/>
      <c r="F72" s="233"/>
      <c r="G72" s="233"/>
      <c r="H72" s="234"/>
      <c r="I72" s="210">
        <v>11.8</v>
      </c>
      <c r="J72" s="149" t="s">
        <v>34</v>
      </c>
      <c r="K72" s="158"/>
      <c r="L72" s="158"/>
      <c r="M72" s="158"/>
      <c r="N72" s="158"/>
      <c r="O72" s="158"/>
      <c r="P72" s="158"/>
      <c r="Q72" s="158"/>
      <c r="R72" s="158"/>
      <c r="S72" s="158"/>
      <c r="T72" s="158"/>
      <c r="U72" s="158"/>
      <c r="V72" s="158"/>
      <c r="W72" s="158"/>
      <c r="X72" s="158"/>
      <c r="Y72" s="158"/>
      <c r="Z72" s="158"/>
      <c r="AA72" s="158"/>
      <c r="AB72" s="186"/>
    </row>
    <row r="73" spans="1:28" ht="18" x14ac:dyDescent="0.35">
      <c r="A73" s="224" t="s">
        <v>676</v>
      </c>
      <c r="B73" s="225"/>
      <c r="C73" s="225"/>
      <c r="D73" s="225"/>
      <c r="E73" s="225"/>
      <c r="F73" s="225"/>
      <c r="G73" s="225"/>
      <c r="H73" s="226"/>
      <c r="I73" s="211">
        <v>11.5</v>
      </c>
      <c r="J73" s="47" t="s">
        <v>34</v>
      </c>
      <c r="K73" s="158"/>
      <c r="L73" s="158"/>
      <c r="M73" s="158"/>
      <c r="N73" s="158"/>
      <c r="O73" s="158"/>
      <c r="P73" s="158"/>
      <c r="Q73" s="158"/>
      <c r="R73" s="158"/>
      <c r="S73" s="158"/>
      <c r="T73" s="158"/>
      <c r="U73" s="158"/>
      <c r="V73" s="158"/>
      <c r="W73" s="158"/>
      <c r="X73" s="158"/>
      <c r="Y73" s="158"/>
      <c r="Z73" s="158"/>
      <c r="AA73" s="158"/>
      <c r="AB73" s="186"/>
    </row>
    <row r="74" spans="1:28" ht="18" x14ac:dyDescent="0.35">
      <c r="A74" s="224" t="s">
        <v>677</v>
      </c>
      <c r="B74" s="225"/>
      <c r="C74" s="225"/>
      <c r="D74" s="225"/>
      <c r="E74" s="225"/>
      <c r="F74" s="225"/>
      <c r="G74" s="225"/>
      <c r="H74" s="226"/>
      <c r="I74" s="151">
        <f>aRUV_upper</f>
        <v>30.000000000000068</v>
      </c>
      <c r="J74" s="46" t="s">
        <v>330</v>
      </c>
      <c r="K74" s="158"/>
      <c r="L74" s="158"/>
      <c r="M74" s="158"/>
      <c r="N74" s="158"/>
      <c r="O74" s="158"/>
      <c r="P74" s="158"/>
      <c r="Q74" s="158"/>
      <c r="R74" s="158"/>
      <c r="S74" s="158"/>
      <c r="T74" s="158"/>
      <c r="U74" s="158"/>
      <c r="V74" s="158"/>
      <c r="W74" s="158"/>
      <c r="X74" s="158"/>
      <c r="Y74" s="158"/>
      <c r="Z74" s="158"/>
      <c r="AA74" s="158"/>
      <c r="AB74" s="186"/>
    </row>
    <row r="75" spans="1:28" ht="18" x14ac:dyDescent="0.35">
      <c r="A75" s="224" t="s">
        <v>678</v>
      </c>
      <c r="B75" s="225"/>
      <c r="C75" s="225"/>
      <c r="D75" s="225"/>
      <c r="E75" s="225"/>
      <c r="F75" s="225"/>
      <c r="G75" s="225"/>
      <c r="H75" s="226"/>
      <c r="I75" s="211">
        <v>49.9</v>
      </c>
      <c r="J75" s="46" t="s">
        <v>330</v>
      </c>
      <c r="K75" s="158"/>
      <c r="L75" s="158"/>
      <c r="M75" s="158"/>
      <c r="N75" s="158"/>
      <c r="O75" s="158"/>
      <c r="P75" s="158"/>
      <c r="Q75" s="158"/>
      <c r="R75" s="158"/>
      <c r="S75" s="158"/>
      <c r="T75" s="158"/>
      <c r="U75" s="158"/>
      <c r="V75" s="158"/>
      <c r="W75" s="158"/>
      <c r="X75" s="158"/>
      <c r="Y75" s="158"/>
      <c r="Z75" s="158"/>
      <c r="AA75" s="158"/>
      <c r="AB75" s="186"/>
    </row>
    <row r="76" spans="1:28" ht="18.75" thickBot="1" x14ac:dyDescent="0.4">
      <c r="A76" s="227" t="s">
        <v>679</v>
      </c>
      <c r="B76" s="228"/>
      <c r="C76" s="228"/>
      <c r="D76" s="228"/>
      <c r="E76" s="228"/>
      <c r="F76" s="228"/>
      <c r="G76" s="228"/>
      <c r="H76" s="229"/>
      <c r="I76" s="222">
        <f>aRUV_lower</f>
        <v>5.6490566037735848</v>
      </c>
      <c r="J76" s="152" t="s">
        <v>330</v>
      </c>
      <c r="K76" s="158"/>
      <c r="L76" s="158"/>
      <c r="M76" s="158"/>
      <c r="N76" s="158"/>
      <c r="O76" s="158"/>
      <c r="P76" s="158"/>
      <c r="Q76" s="158"/>
      <c r="R76" s="158"/>
      <c r="S76" s="158"/>
      <c r="T76" s="158"/>
      <c r="U76" s="158"/>
      <c r="V76" s="158"/>
      <c r="W76" s="158"/>
      <c r="X76" s="158"/>
      <c r="Y76" s="158"/>
      <c r="Z76" s="158"/>
      <c r="AA76" s="158"/>
      <c r="AB76" s="186"/>
    </row>
    <row r="77" spans="1:28" x14ac:dyDescent="0.25">
      <c r="A77" s="158"/>
      <c r="B77" s="158"/>
      <c r="C77" s="158"/>
      <c r="D77" s="158"/>
      <c r="E77" s="158"/>
      <c r="F77" s="158"/>
      <c r="G77" s="158"/>
      <c r="H77" s="159"/>
      <c r="I77" s="158"/>
      <c r="J77" s="158"/>
      <c r="K77" s="158"/>
      <c r="L77" s="158"/>
      <c r="M77" s="158"/>
      <c r="N77" s="158"/>
      <c r="O77" s="158"/>
      <c r="P77" s="158"/>
      <c r="Q77" s="158"/>
      <c r="R77" s="158"/>
      <c r="S77" s="158"/>
      <c r="T77" s="158"/>
      <c r="U77" s="158"/>
      <c r="V77" s="158"/>
      <c r="W77" s="158"/>
      <c r="X77" s="158"/>
      <c r="Y77" s="158"/>
      <c r="Z77" s="158"/>
      <c r="AA77" s="158"/>
      <c r="AB77" s="186"/>
    </row>
    <row r="78" spans="1:28" ht="21.75" thickBot="1" x14ac:dyDescent="0.4">
      <c r="A78" s="177" t="s">
        <v>372</v>
      </c>
      <c r="B78" s="158"/>
      <c r="C78" s="158"/>
      <c r="D78" s="158"/>
      <c r="E78" s="158"/>
      <c r="F78" s="158"/>
      <c r="G78" s="158"/>
      <c r="H78" s="159"/>
      <c r="I78" s="158"/>
      <c r="J78" s="158"/>
      <c r="K78" s="158"/>
      <c r="L78" s="158"/>
      <c r="M78" s="158"/>
      <c r="N78" s="158"/>
      <c r="O78" s="158"/>
      <c r="P78" s="158"/>
      <c r="Q78" s="158"/>
      <c r="R78" s="158"/>
      <c r="S78" s="158"/>
      <c r="T78" s="158"/>
      <c r="U78" s="158"/>
      <c r="V78" s="158"/>
      <c r="W78" s="158"/>
      <c r="X78" s="158"/>
      <c r="Y78" s="158"/>
      <c r="Z78" s="158"/>
      <c r="AA78" s="158"/>
      <c r="AB78" s="186"/>
    </row>
    <row r="79" spans="1:28" x14ac:dyDescent="0.25">
      <c r="A79" s="153"/>
      <c r="B79" s="154"/>
      <c r="C79" s="154"/>
      <c r="D79" s="154"/>
      <c r="E79" s="154"/>
      <c r="F79" s="154"/>
      <c r="G79" s="154"/>
      <c r="H79" s="155" t="s">
        <v>430</v>
      </c>
      <c r="I79" s="220">
        <f>Calculations!B167/1000</f>
        <v>4.2794995809154077</v>
      </c>
      <c r="J79" s="156" t="s">
        <v>185</v>
      </c>
      <c r="K79" s="158"/>
      <c r="L79" s="158"/>
      <c r="M79" s="158"/>
      <c r="N79" s="158"/>
      <c r="O79" s="158"/>
      <c r="P79" s="158"/>
      <c r="Q79" s="158"/>
      <c r="R79" s="158"/>
      <c r="S79" s="158"/>
      <c r="T79" s="158"/>
      <c r="U79" s="158"/>
      <c r="V79" s="158"/>
      <c r="W79" s="158"/>
      <c r="X79" s="158"/>
      <c r="Y79" s="158"/>
      <c r="Z79" s="158"/>
      <c r="AA79" s="158"/>
      <c r="AB79" s="186"/>
    </row>
    <row r="80" spans="1:28" x14ac:dyDescent="0.25">
      <c r="A80" s="157"/>
      <c r="B80" s="158"/>
      <c r="C80" s="158"/>
      <c r="D80" s="158"/>
      <c r="E80" s="158"/>
      <c r="F80" s="158"/>
      <c r="G80" s="158"/>
      <c r="H80" s="159" t="s">
        <v>429</v>
      </c>
      <c r="I80" s="211">
        <v>2.4</v>
      </c>
      <c r="J80" s="160" t="s">
        <v>185</v>
      </c>
      <c r="K80" s="158"/>
      <c r="L80" s="158"/>
      <c r="M80" s="158"/>
      <c r="N80" s="158"/>
      <c r="O80" s="158"/>
      <c r="P80" s="158"/>
      <c r="Q80" s="158"/>
      <c r="R80" s="158"/>
      <c r="S80" s="158"/>
      <c r="T80" s="158"/>
      <c r="U80" s="158"/>
      <c r="V80" s="158"/>
      <c r="W80" s="158"/>
      <c r="X80" s="158"/>
      <c r="Y80" s="158"/>
      <c r="Z80" s="158"/>
      <c r="AA80" s="158"/>
      <c r="AB80" s="186"/>
    </row>
    <row r="81" spans="1:28" x14ac:dyDescent="0.25">
      <c r="A81" s="157"/>
      <c r="B81" s="158"/>
      <c r="C81" s="158"/>
      <c r="D81" s="158"/>
      <c r="E81" s="158"/>
      <c r="F81" s="158"/>
      <c r="G81" s="158"/>
      <c r="H81" s="159"/>
      <c r="I81" s="192"/>
      <c r="J81" s="160"/>
      <c r="K81" s="158"/>
      <c r="L81" s="158"/>
      <c r="M81" s="158"/>
      <c r="N81" s="158"/>
      <c r="O81" s="158"/>
      <c r="P81" s="158"/>
      <c r="Q81" s="158"/>
      <c r="R81" s="158"/>
      <c r="S81" s="158"/>
      <c r="T81" s="158"/>
      <c r="U81" s="158"/>
      <c r="V81" s="158"/>
      <c r="W81" s="158"/>
      <c r="X81" s="158"/>
      <c r="Y81" s="158"/>
      <c r="Z81" s="158"/>
      <c r="AA81" s="158"/>
      <c r="AB81" s="186"/>
    </row>
    <row r="82" spans="1:28" ht="18" x14ac:dyDescent="0.35">
      <c r="A82" s="157"/>
      <c r="B82" s="158"/>
      <c r="C82" s="158"/>
      <c r="D82" s="158"/>
      <c r="E82" s="158"/>
      <c r="F82" s="158"/>
      <c r="G82" s="158" t="s">
        <v>472</v>
      </c>
      <c r="H82" s="159"/>
      <c r="I82" s="150">
        <f>VIN_TYP</f>
        <v>12</v>
      </c>
      <c r="J82" s="160" t="s">
        <v>34</v>
      </c>
      <c r="K82" s="158"/>
      <c r="L82" s="158"/>
      <c r="M82" s="158"/>
      <c r="N82" s="158"/>
      <c r="O82" s="158"/>
      <c r="P82" s="158"/>
      <c r="Q82" s="158"/>
      <c r="R82" s="158"/>
      <c r="S82" s="158"/>
      <c r="T82" s="158"/>
      <c r="U82" s="158"/>
      <c r="V82" s="158"/>
      <c r="W82" s="158"/>
      <c r="X82" s="158"/>
      <c r="Y82" s="158"/>
      <c r="Z82" s="158"/>
      <c r="AA82" s="158"/>
      <c r="AB82" s="186"/>
    </row>
    <row r="83" spans="1:28" ht="15.75" thickBot="1" x14ac:dyDescent="0.3">
      <c r="A83" s="157"/>
      <c r="B83" s="158"/>
      <c r="C83" s="158"/>
      <c r="D83" s="158"/>
      <c r="E83" s="158"/>
      <c r="F83" s="158"/>
      <c r="G83" s="158"/>
      <c r="H83" s="159"/>
      <c r="I83" s="194"/>
      <c r="J83" s="160"/>
      <c r="K83" s="158"/>
      <c r="L83" s="158"/>
      <c r="M83" s="158"/>
      <c r="N83" s="158"/>
      <c r="O83" s="158"/>
      <c r="P83" s="158"/>
      <c r="Q83" s="158"/>
      <c r="R83" s="158"/>
      <c r="S83" s="158"/>
      <c r="T83" s="158"/>
      <c r="U83" s="158"/>
      <c r="V83" s="158"/>
      <c r="W83" s="158"/>
      <c r="X83" s="158"/>
      <c r="Y83" s="158"/>
      <c r="Z83" s="158"/>
      <c r="AA83" s="158"/>
      <c r="AB83" s="186"/>
    </row>
    <row r="84" spans="1:28" ht="15.75" thickBot="1" x14ac:dyDescent="0.3">
      <c r="A84" s="157"/>
      <c r="B84" s="158"/>
      <c r="C84" s="158"/>
      <c r="D84" s="158"/>
      <c r="E84" s="158"/>
      <c r="F84" s="51"/>
      <c r="G84" s="52" t="s">
        <v>431</v>
      </c>
      <c r="H84" s="52"/>
      <c r="I84" s="53" t="s">
        <v>432</v>
      </c>
      <c r="J84" s="54"/>
      <c r="K84" s="158"/>
      <c r="L84" s="158"/>
      <c r="M84" s="158"/>
      <c r="N84" s="158"/>
      <c r="O84" s="158"/>
      <c r="P84" s="158"/>
      <c r="Q84" s="158"/>
      <c r="R84" s="158"/>
      <c r="S84" s="158"/>
      <c r="T84" s="158"/>
      <c r="U84" s="158"/>
      <c r="V84" s="158"/>
      <c r="W84" s="158"/>
      <c r="X84" s="158"/>
      <c r="Y84" s="158"/>
      <c r="Z84" s="158"/>
      <c r="AA84" s="158"/>
      <c r="AB84" s="186"/>
    </row>
    <row r="85" spans="1:28" ht="18.75" thickBot="1" x14ac:dyDescent="0.4">
      <c r="A85" s="157"/>
      <c r="B85" s="158"/>
      <c r="C85" s="158"/>
      <c r="D85" s="158"/>
      <c r="E85" s="158"/>
      <c r="F85" s="170" t="s">
        <v>433</v>
      </c>
      <c r="G85" s="44">
        <f>Calculations!B169/1000</f>
        <v>27.088274879999997</v>
      </c>
      <c r="H85" s="45" t="s">
        <v>330</v>
      </c>
      <c r="I85" s="213">
        <v>68.099999999999994</v>
      </c>
      <c r="J85" s="46" t="s">
        <v>330</v>
      </c>
      <c r="K85" s="158"/>
      <c r="L85" s="158"/>
      <c r="M85" s="158"/>
      <c r="N85" s="158"/>
      <c r="O85" s="158"/>
      <c r="P85" s="158"/>
      <c r="Q85" s="158"/>
      <c r="R85" s="158"/>
      <c r="S85" s="158"/>
      <c r="T85" s="158"/>
      <c r="U85" s="158"/>
      <c r="V85" s="158"/>
      <c r="W85" s="158"/>
      <c r="X85" s="158"/>
      <c r="Y85" s="158"/>
      <c r="Z85" s="158"/>
      <c r="AA85" s="158"/>
      <c r="AB85" s="186"/>
    </row>
    <row r="86" spans="1:28" ht="18.75" thickBot="1" x14ac:dyDescent="0.4">
      <c r="A86" s="157"/>
      <c r="B86" s="158"/>
      <c r="C86" s="158"/>
      <c r="D86" s="158"/>
      <c r="E86" s="158"/>
      <c r="F86" s="170" t="s">
        <v>434</v>
      </c>
      <c r="G86" s="44">
        <f>Calculations!B170*10^9</f>
        <v>39.869648576159172</v>
      </c>
      <c r="H86" s="45" t="s">
        <v>394</v>
      </c>
      <c r="I86" s="213">
        <v>22</v>
      </c>
      <c r="J86" s="47" t="s">
        <v>394</v>
      </c>
      <c r="K86" s="158"/>
      <c r="L86" s="158"/>
      <c r="M86" s="158"/>
      <c r="N86" s="158"/>
      <c r="O86" s="158"/>
      <c r="P86" s="158"/>
      <c r="Q86" s="158"/>
      <c r="R86" s="158"/>
      <c r="S86" s="158"/>
      <c r="T86" s="158"/>
      <c r="U86" s="158"/>
      <c r="V86" s="158"/>
      <c r="W86" s="158"/>
      <c r="X86" s="158"/>
      <c r="Y86" s="158"/>
      <c r="Z86" s="158"/>
      <c r="AA86" s="158"/>
      <c r="AB86" s="186"/>
    </row>
    <row r="87" spans="1:28" ht="18.75" thickBot="1" x14ac:dyDescent="0.4">
      <c r="A87" s="161"/>
      <c r="B87" s="162"/>
      <c r="C87" s="162"/>
      <c r="D87" s="162"/>
      <c r="E87" s="162"/>
      <c r="F87" s="172" t="s">
        <v>435</v>
      </c>
      <c r="G87" s="48">
        <f>Calculations!B171*10^12</f>
        <v>1139.1328164616907</v>
      </c>
      <c r="H87" s="49" t="s">
        <v>395</v>
      </c>
      <c r="I87" s="212">
        <v>330</v>
      </c>
      <c r="J87" s="50" t="s">
        <v>395</v>
      </c>
      <c r="K87" s="158"/>
      <c r="L87" s="158"/>
      <c r="M87" s="158"/>
      <c r="N87" s="158"/>
      <c r="O87" s="158"/>
      <c r="P87" s="158"/>
      <c r="Q87" s="158"/>
      <c r="R87" s="158"/>
      <c r="S87" s="158"/>
      <c r="T87" s="158"/>
      <c r="U87" s="158"/>
      <c r="V87" s="158"/>
      <c r="W87" s="158"/>
      <c r="X87" s="158"/>
      <c r="Y87" s="158"/>
      <c r="Z87" s="158"/>
      <c r="AA87" s="158"/>
      <c r="AB87" s="186"/>
    </row>
    <row r="88" spans="1:28" x14ac:dyDescent="0.25">
      <c r="A88" s="158"/>
      <c r="B88" s="158"/>
      <c r="C88" s="158"/>
      <c r="D88" s="158"/>
      <c r="E88" s="158"/>
      <c r="F88" s="158"/>
      <c r="G88" s="158"/>
      <c r="H88" s="159"/>
      <c r="I88" s="158"/>
      <c r="J88" s="158"/>
      <c r="K88" s="158"/>
      <c r="L88" s="158"/>
      <c r="M88" s="158"/>
      <c r="N88" s="158"/>
      <c r="O88" s="158"/>
      <c r="P88" s="158"/>
      <c r="Q88" s="158"/>
      <c r="R88" s="158"/>
      <c r="S88" s="158"/>
      <c r="T88" s="158"/>
      <c r="U88" s="158"/>
      <c r="V88" s="158"/>
      <c r="W88" s="158"/>
      <c r="X88" s="158"/>
      <c r="Y88" s="158"/>
      <c r="Z88" s="158"/>
      <c r="AA88" s="158"/>
      <c r="AB88" s="186"/>
    </row>
    <row r="89" spans="1:28" ht="23.25" x14ac:dyDescent="0.35">
      <c r="A89" s="191" t="s">
        <v>436</v>
      </c>
      <c r="B89" s="190"/>
      <c r="C89" s="190"/>
    </row>
    <row r="90" spans="1:28" x14ac:dyDescent="0.25">
      <c r="A90" s="158"/>
      <c r="B90" s="158"/>
      <c r="C90" s="158"/>
      <c r="D90" s="158"/>
      <c r="E90" s="158"/>
      <c r="F90" s="158"/>
      <c r="G90" s="158"/>
      <c r="H90" s="159"/>
      <c r="I90" s="159"/>
      <c r="J90" s="158"/>
      <c r="K90" s="159"/>
      <c r="L90" s="159"/>
      <c r="M90" s="158"/>
      <c r="N90" s="158"/>
      <c r="O90" s="158"/>
      <c r="P90" s="158"/>
      <c r="Q90" s="158"/>
      <c r="R90" s="158"/>
      <c r="S90" s="158"/>
      <c r="T90" s="158"/>
      <c r="U90" s="158"/>
      <c r="V90" s="158"/>
      <c r="W90" s="158"/>
      <c r="X90" s="158"/>
      <c r="Y90" s="158"/>
      <c r="Z90" s="158"/>
      <c r="AA90" s="158"/>
      <c r="AB90" s="186"/>
    </row>
    <row r="91" spans="1:28" x14ac:dyDescent="0.25">
      <c r="A91" s="158"/>
      <c r="B91" s="158"/>
      <c r="C91" s="158"/>
      <c r="D91" s="158"/>
      <c r="E91" s="158"/>
      <c r="F91" s="158"/>
      <c r="G91" s="158"/>
      <c r="H91" s="159"/>
      <c r="I91" s="158"/>
      <c r="J91" s="158"/>
      <c r="K91" s="158"/>
      <c r="L91" s="158"/>
      <c r="M91" s="158"/>
      <c r="N91" s="158"/>
      <c r="O91" s="158"/>
      <c r="P91" s="158"/>
      <c r="Q91" s="158"/>
      <c r="R91" s="158"/>
      <c r="S91" s="158"/>
      <c r="T91" s="158"/>
      <c r="U91" s="158"/>
      <c r="V91" s="158"/>
      <c r="W91" s="158"/>
      <c r="X91" s="158"/>
      <c r="Y91" s="158"/>
      <c r="Z91" s="158"/>
      <c r="AA91" s="158"/>
      <c r="AB91" s="186"/>
    </row>
    <row r="92" spans="1:28" ht="15.75" thickBot="1" x14ac:dyDescent="0.3">
      <c r="A92" s="176" t="s">
        <v>437</v>
      </c>
      <c r="B92" s="158"/>
      <c r="C92" s="158"/>
      <c r="D92" s="158"/>
      <c r="E92" s="158"/>
      <c r="F92" s="158"/>
      <c r="G92" s="158"/>
      <c r="H92" s="159"/>
      <c r="I92" s="158"/>
      <c r="J92" s="158"/>
      <c r="K92" s="158"/>
      <c r="L92" s="158"/>
      <c r="M92" s="158"/>
      <c r="N92" s="158"/>
      <c r="O92" s="158"/>
      <c r="P92" s="158"/>
      <c r="Q92" s="158"/>
      <c r="R92" s="158"/>
      <c r="S92" s="158"/>
      <c r="T92" s="158"/>
      <c r="U92" s="158"/>
      <c r="V92" s="158"/>
      <c r="W92" s="158"/>
      <c r="X92" s="158"/>
      <c r="Y92" s="158"/>
      <c r="Z92" s="158"/>
      <c r="AA92" s="158"/>
      <c r="AB92" s="186"/>
    </row>
    <row r="93" spans="1:28" ht="15.75" x14ac:dyDescent="0.3">
      <c r="A93" s="111"/>
      <c r="B93" s="112"/>
      <c r="C93" s="112"/>
      <c r="D93" s="112"/>
      <c r="E93" s="112"/>
      <c r="F93" s="112"/>
      <c r="G93" s="113" t="s">
        <v>582</v>
      </c>
      <c r="H93" s="214">
        <v>1</v>
      </c>
      <c r="I93" s="114" t="s">
        <v>583</v>
      </c>
      <c r="J93" s="158"/>
      <c r="K93" s="158"/>
      <c r="L93" s="158"/>
      <c r="M93" s="158"/>
      <c r="N93" s="158"/>
      <c r="O93" s="158"/>
      <c r="P93" s="158"/>
      <c r="Q93" s="158"/>
      <c r="R93" s="158"/>
      <c r="S93" s="158"/>
      <c r="T93" s="158"/>
      <c r="U93" s="158"/>
      <c r="V93" s="158"/>
      <c r="W93" s="158"/>
      <c r="X93" s="158"/>
      <c r="Y93" s="158"/>
      <c r="Z93" s="158"/>
      <c r="AA93" s="158"/>
      <c r="AB93" s="186"/>
    </row>
    <row r="94" spans="1:28" ht="15.75" x14ac:dyDescent="0.3">
      <c r="A94" s="115"/>
      <c r="B94" s="116"/>
      <c r="C94" s="116"/>
      <c r="D94" s="116"/>
      <c r="E94" s="116"/>
      <c r="F94" s="116"/>
      <c r="G94" s="117" t="s">
        <v>584</v>
      </c>
      <c r="H94" s="215">
        <v>10</v>
      </c>
      <c r="I94" s="118" t="s">
        <v>585</v>
      </c>
      <c r="J94" s="158"/>
      <c r="K94" s="158"/>
      <c r="L94" s="158"/>
      <c r="M94" s="158"/>
      <c r="N94" s="158"/>
      <c r="O94" s="158"/>
      <c r="P94" s="158"/>
      <c r="Q94" s="158"/>
      <c r="R94" s="158"/>
      <c r="S94" s="158"/>
      <c r="T94" s="158"/>
      <c r="U94" s="158"/>
      <c r="V94" s="158"/>
      <c r="W94" s="158"/>
      <c r="X94" s="158"/>
      <c r="Y94" s="158"/>
      <c r="Z94" s="158"/>
      <c r="AA94" s="158"/>
      <c r="AB94" s="186"/>
    </row>
    <row r="95" spans="1:28" ht="15.75" x14ac:dyDescent="0.3">
      <c r="A95" s="115"/>
      <c r="B95" s="116"/>
      <c r="C95" s="116"/>
      <c r="D95" s="116"/>
      <c r="E95" s="116"/>
      <c r="F95" s="116"/>
      <c r="G95" s="117" t="s">
        <v>586</v>
      </c>
      <c r="H95" s="215">
        <v>2.4</v>
      </c>
      <c r="I95" s="118" t="s">
        <v>585</v>
      </c>
      <c r="J95" s="158"/>
      <c r="K95" s="158"/>
      <c r="L95" s="158"/>
      <c r="M95" s="158"/>
      <c r="N95" s="158"/>
      <c r="O95" s="158"/>
      <c r="P95" s="158"/>
      <c r="Q95" s="158"/>
      <c r="R95" s="158"/>
      <c r="S95" s="158"/>
      <c r="T95" s="158"/>
      <c r="U95" s="158"/>
      <c r="V95" s="158"/>
      <c r="W95" s="158"/>
      <c r="X95" s="158"/>
      <c r="Y95" s="158"/>
      <c r="Z95" s="158"/>
      <c r="AA95" s="158"/>
      <c r="AB95" s="186"/>
    </row>
    <row r="96" spans="1:28" ht="15.75" x14ac:dyDescent="0.3">
      <c r="A96" s="119"/>
      <c r="B96" s="116"/>
      <c r="C96" s="116"/>
      <c r="D96" s="116"/>
      <c r="E96" s="116"/>
      <c r="F96" s="116"/>
      <c r="G96" s="117" t="s">
        <v>587</v>
      </c>
      <c r="H96" s="215">
        <v>4.5</v>
      </c>
      <c r="I96" s="118" t="s">
        <v>585</v>
      </c>
      <c r="J96" s="158"/>
      <c r="K96" s="158"/>
      <c r="L96" s="158"/>
      <c r="M96" s="158"/>
      <c r="N96" s="158"/>
      <c r="O96" s="158"/>
      <c r="P96" s="158"/>
      <c r="Q96" s="158"/>
      <c r="R96" s="158"/>
      <c r="S96" s="158"/>
      <c r="T96" s="158"/>
      <c r="U96" s="158"/>
      <c r="V96" s="158"/>
      <c r="W96" s="158"/>
      <c r="X96" s="158"/>
      <c r="Y96" s="158"/>
      <c r="Z96" s="158"/>
      <c r="AA96" s="158"/>
      <c r="AB96" s="186"/>
    </row>
    <row r="97" spans="1:28" ht="15.75" x14ac:dyDescent="0.3">
      <c r="A97" s="119"/>
      <c r="B97" s="116"/>
      <c r="C97" s="116"/>
      <c r="D97" s="116"/>
      <c r="E97" s="116"/>
      <c r="F97" s="116"/>
      <c r="G97" s="117" t="s">
        <v>588</v>
      </c>
      <c r="H97" s="215">
        <v>0</v>
      </c>
      <c r="I97" s="118" t="s">
        <v>589</v>
      </c>
      <c r="J97" s="158"/>
      <c r="K97" s="158"/>
      <c r="L97" s="158"/>
      <c r="M97" s="158"/>
      <c r="N97" s="158"/>
      <c r="O97" s="158"/>
      <c r="P97" s="158"/>
      <c r="Q97" s="158"/>
      <c r="R97" s="158"/>
      <c r="S97" s="158"/>
      <c r="T97" s="158"/>
      <c r="U97" s="158"/>
      <c r="V97" s="158"/>
      <c r="W97" s="158"/>
      <c r="X97" s="158"/>
      <c r="Y97" s="158"/>
      <c r="Z97" s="158"/>
      <c r="AA97" s="158"/>
      <c r="AB97" s="186"/>
    </row>
    <row r="98" spans="1:28" ht="16.5" thickBot="1" x14ac:dyDescent="0.35">
      <c r="A98" s="120"/>
      <c r="B98" s="121"/>
      <c r="C98" s="121"/>
      <c r="D98" s="121"/>
      <c r="E98" s="121"/>
      <c r="F98" s="121"/>
      <c r="G98" s="122" t="s">
        <v>590</v>
      </c>
      <c r="H98" s="216">
        <v>1.7</v>
      </c>
      <c r="I98" s="123" t="s">
        <v>34</v>
      </c>
      <c r="J98" s="158"/>
      <c r="K98" s="158"/>
      <c r="L98" s="158"/>
      <c r="M98" s="158"/>
      <c r="N98" s="158"/>
      <c r="O98" s="158"/>
      <c r="P98" s="158"/>
      <c r="Q98" s="158"/>
      <c r="R98" s="158"/>
      <c r="S98" s="158"/>
      <c r="T98" s="158"/>
      <c r="U98" s="158"/>
      <c r="V98" s="158"/>
      <c r="W98" s="158"/>
      <c r="X98" s="158"/>
      <c r="Y98" s="158"/>
      <c r="Z98" s="158"/>
      <c r="AA98" s="158"/>
      <c r="AB98" s="186"/>
    </row>
    <row r="99" spans="1:28" x14ac:dyDescent="0.25">
      <c r="A99" s="158"/>
      <c r="B99" s="158"/>
      <c r="C99" s="158"/>
      <c r="D99" s="158"/>
      <c r="E99" s="158"/>
      <c r="F99" s="158"/>
      <c r="G99" s="158"/>
      <c r="H99" s="159"/>
      <c r="I99" s="158"/>
      <c r="J99" s="158"/>
      <c r="K99" s="158"/>
      <c r="L99" s="158"/>
      <c r="M99" s="158"/>
      <c r="N99" s="158"/>
      <c r="O99" s="158"/>
      <c r="P99" s="158"/>
      <c r="Q99" s="158"/>
      <c r="R99" s="158"/>
      <c r="S99" s="158"/>
      <c r="T99" s="158"/>
      <c r="U99" s="158"/>
      <c r="V99" s="158"/>
      <c r="W99" s="158"/>
      <c r="X99" s="158"/>
      <c r="Y99" s="158"/>
      <c r="Z99" s="158"/>
      <c r="AA99" s="158"/>
      <c r="AB99" s="186"/>
    </row>
    <row r="100" spans="1:28" ht="18.75" thickBot="1" x14ac:dyDescent="0.4">
      <c r="A100" s="65" t="s">
        <v>438</v>
      </c>
      <c r="B100" s="158"/>
      <c r="C100" s="158"/>
      <c r="D100" s="158"/>
      <c r="E100" s="158"/>
      <c r="F100" s="158"/>
      <c r="G100" s="158"/>
      <c r="H100" s="159"/>
      <c r="I100" s="158"/>
      <c r="J100" s="158"/>
      <c r="K100" s="158"/>
      <c r="L100" s="158"/>
      <c r="M100" s="158"/>
      <c r="N100" s="158"/>
      <c r="O100" s="158"/>
      <c r="P100" s="158"/>
      <c r="Q100" s="158"/>
      <c r="R100" s="158"/>
      <c r="S100" s="158"/>
      <c r="T100" s="158"/>
      <c r="U100" s="158"/>
      <c r="V100" s="158"/>
      <c r="W100" s="158"/>
      <c r="X100" s="158"/>
      <c r="Y100" s="158"/>
      <c r="Z100" s="158"/>
      <c r="AA100" s="158"/>
      <c r="AB100" s="186"/>
    </row>
    <row r="101" spans="1:28" ht="15.75" x14ac:dyDescent="0.3">
      <c r="A101" s="111"/>
      <c r="B101" s="112"/>
      <c r="C101" s="112"/>
      <c r="D101" s="112"/>
      <c r="E101" s="112"/>
      <c r="F101" s="112"/>
      <c r="G101" s="113" t="s">
        <v>591</v>
      </c>
      <c r="H101" s="214">
        <v>1</v>
      </c>
      <c r="I101" s="114" t="s">
        <v>583</v>
      </c>
      <c r="J101" s="158"/>
      <c r="K101" s="158"/>
      <c r="L101" s="158"/>
      <c r="M101" s="158"/>
      <c r="N101" s="158"/>
      <c r="O101" s="158"/>
      <c r="P101" s="158"/>
      <c r="Q101" s="158"/>
      <c r="R101" s="158"/>
      <c r="S101" s="158"/>
      <c r="T101" s="158"/>
      <c r="U101" s="158"/>
      <c r="V101" s="158"/>
      <c r="W101" s="158"/>
      <c r="X101" s="158"/>
      <c r="Y101" s="158"/>
      <c r="Z101" s="158"/>
      <c r="AA101" s="158"/>
      <c r="AB101" s="186"/>
    </row>
    <row r="102" spans="1:28" ht="15.75" x14ac:dyDescent="0.3">
      <c r="A102" s="119"/>
      <c r="B102" s="116"/>
      <c r="C102" s="116"/>
      <c r="D102" s="116"/>
      <c r="E102" s="116"/>
      <c r="F102" s="116"/>
      <c r="G102" s="117" t="s">
        <v>592</v>
      </c>
      <c r="H102" s="215">
        <v>10</v>
      </c>
      <c r="I102" s="118" t="s">
        <v>585</v>
      </c>
      <c r="J102" s="158"/>
      <c r="K102" s="158"/>
      <c r="L102" s="158"/>
      <c r="M102" s="158"/>
      <c r="N102" s="158"/>
      <c r="O102" s="158"/>
      <c r="P102" s="158"/>
      <c r="Q102" s="158"/>
      <c r="R102" s="158"/>
      <c r="S102" s="158"/>
      <c r="T102" s="158"/>
      <c r="U102" s="158"/>
      <c r="V102" s="158"/>
      <c r="W102" s="158"/>
      <c r="X102" s="158"/>
      <c r="Y102" s="158"/>
      <c r="Z102" s="158"/>
      <c r="AA102" s="158"/>
      <c r="AB102" s="186"/>
    </row>
    <row r="103" spans="1:28" ht="15.75" x14ac:dyDescent="0.3">
      <c r="A103" s="119"/>
      <c r="B103" s="116"/>
      <c r="C103" s="116"/>
      <c r="D103" s="116"/>
      <c r="E103" s="116"/>
      <c r="F103" s="116"/>
      <c r="G103" s="117" t="s">
        <v>593</v>
      </c>
      <c r="H103" s="215">
        <v>2.4</v>
      </c>
      <c r="I103" s="118" t="s">
        <v>585</v>
      </c>
      <c r="J103" s="158"/>
      <c r="K103" s="158"/>
      <c r="L103" s="158"/>
      <c r="M103" s="158"/>
      <c r="N103" s="158"/>
      <c r="O103" s="158"/>
      <c r="P103" s="158"/>
      <c r="Q103" s="158"/>
      <c r="R103" s="158"/>
      <c r="S103" s="158"/>
      <c r="T103" s="158"/>
      <c r="U103" s="158"/>
      <c r="V103" s="158"/>
      <c r="W103" s="158"/>
      <c r="X103" s="158"/>
      <c r="Y103" s="158"/>
      <c r="Z103" s="158"/>
      <c r="AA103" s="158"/>
      <c r="AB103" s="186"/>
    </row>
    <row r="104" spans="1:28" ht="15.75" x14ac:dyDescent="0.3">
      <c r="A104" s="119"/>
      <c r="B104" s="116"/>
      <c r="C104" s="116"/>
      <c r="D104" s="116"/>
      <c r="E104" s="116"/>
      <c r="F104" s="116"/>
      <c r="G104" s="117" t="s">
        <v>594</v>
      </c>
      <c r="H104" s="215">
        <v>4.5</v>
      </c>
      <c r="I104" s="118" t="s">
        <v>585</v>
      </c>
      <c r="J104" s="158"/>
      <c r="K104" s="158"/>
      <c r="L104" s="158"/>
      <c r="M104" s="158"/>
      <c r="N104" s="158"/>
      <c r="O104" s="158"/>
      <c r="P104" s="158"/>
      <c r="Q104" s="158"/>
      <c r="R104" s="158"/>
      <c r="S104" s="158"/>
      <c r="T104" s="158"/>
      <c r="U104" s="158"/>
      <c r="V104" s="158"/>
      <c r="W104" s="158"/>
      <c r="X104" s="158"/>
      <c r="Y104" s="158"/>
      <c r="Z104" s="158"/>
      <c r="AA104" s="158"/>
      <c r="AB104" s="186"/>
    </row>
    <row r="105" spans="1:28" ht="15.75" x14ac:dyDescent="0.3">
      <c r="A105" s="119"/>
      <c r="B105" s="116"/>
      <c r="C105" s="116"/>
      <c r="D105" s="116"/>
      <c r="E105" s="116"/>
      <c r="F105" s="116"/>
      <c r="G105" s="117" t="s">
        <v>595</v>
      </c>
      <c r="H105" s="215">
        <v>0</v>
      </c>
      <c r="I105" s="118" t="s">
        <v>589</v>
      </c>
      <c r="J105" s="158"/>
      <c r="K105" s="158"/>
      <c r="L105" s="158"/>
      <c r="M105" s="158"/>
      <c r="N105" s="158"/>
      <c r="O105" s="158"/>
      <c r="P105" s="158"/>
      <c r="Q105" s="158"/>
      <c r="R105" s="158"/>
      <c r="S105" s="158"/>
      <c r="T105" s="158"/>
      <c r="U105" s="158"/>
      <c r="V105" s="158"/>
      <c r="W105" s="158"/>
      <c r="X105" s="158"/>
      <c r="Y105" s="158"/>
      <c r="Z105" s="158"/>
      <c r="AA105" s="158"/>
      <c r="AB105" s="186"/>
    </row>
    <row r="106" spans="1:28" ht="15.75" x14ac:dyDescent="0.3">
      <c r="A106" s="119"/>
      <c r="B106" s="116"/>
      <c r="C106" s="116"/>
      <c r="D106" s="116"/>
      <c r="E106" s="116"/>
      <c r="F106" s="116"/>
      <c r="G106" s="117" t="s">
        <v>596</v>
      </c>
      <c r="H106" s="215">
        <v>1.7</v>
      </c>
      <c r="I106" s="118" t="s">
        <v>34</v>
      </c>
      <c r="J106" s="158"/>
      <c r="K106" s="158"/>
      <c r="L106" s="158"/>
      <c r="M106" s="158"/>
      <c r="N106" s="158"/>
      <c r="O106" s="158"/>
      <c r="P106" s="158"/>
      <c r="Q106" s="158"/>
      <c r="R106" s="158"/>
      <c r="S106" s="158"/>
      <c r="T106" s="158"/>
      <c r="U106" s="158"/>
      <c r="V106" s="158"/>
      <c r="W106" s="158"/>
      <c r="X106" s="158"/>
      <c r="Y106" s="158"/>
      <c r="Z106" s="158"/>
      <c r="AA106" s="158"/>
      <c r="AB106" s="186"/>
    </row>
    <row r="107" spans="1:28" ht="18" x14ac:dyDescent="0.35">
      <c r="A107" s="119"/>
      <c r="B107" s="116"/>
      <c r="C107" s="116"/>
      <c r="D107" s="116"/>
      <c r="E107" s="116"/>
      <c r="F107" s="116"/>
      <c r="G107" s="124" t="s">
        <v>597</v>
      </c>
      <c r="H107" s="215">
        <v>33</v>
      </c>
      <c r="I107" s="125" t="s">
        <v>585</v>
      </c>
      <c r="J107" s="158"/>
      <c r="K107" s="158"/>
      <c r="L107" s="158"/>
      <c r="M107" s="158"/>
      <c r="N107" s="158"/>
      <c r="O107" s="158"/>
      <c r="P107" s="158"/>
      <c r="Q107" s="158"/>
      <c r="R107" s="158"/>
      <c r="S107" s="158"/>
      <c r="T107" s="158"/>
      <c r="U107" s="158"/>
      <c r="V107" s="158"/>
      <c r="W107" s="158"/>
      <c r="X107" s="158"/>
      <c r="Y107" s="158"/>
      <c r="Z107" s="158"/>
      <c r="AA107" s="158"/>
      <c r="AB107" s="186"/>
    </row>
    <row r="108" spans="1:28" ht="18.75" thickBot="1" x14ac:dyDescent="0.4">
      <c r="A108" s="120"/>
      <c r="B108" s="121"/>
      <c r="C108" s="121"/>
      <c r="D108" s="121"/>
      <c r="E108" s="121"/>
      <c r="F108" s="121"/>
      <c r="G108" s="126" t="s">
        <v>598</v>
      </c>
      <c r="H108" s="216">
        <v>0.8</v>
      </c>
      <c r="I108" s="127" t="s">
        <v>34</v>
      </c>
      <c r="J108" s="158"/>
      <c r="K108" s="158"/>
      <c r="L108" s="158"/>
      <c r="M108" s="158"/>
      <c r="N108" s="158"/>
      <c r="O108" s="158"/>
      <c r="P108" s="158"/>
      <c r="Q108" s="158"/>
      <c r="R108" s="158"/>
      <c r="S108" s="158"/>
      <c r="T108" s="158"/>
      <c r="U108" s="158"/>
      <c r="V108" s="158"/>
      <c r="W108" s="158"/>
      <c r="X108" s="158"/>
      <c r="Y108" s="158"/>
      <c r="Z108" s="158"/>
      <c r="AA108" s="158"/>
      <c r="AB108" s="186"/>
    </row>
    <row r="109" spans="1:28" x14ac:dyDescent="0.25">
      <c r="A109" s="158"/>
      <c r="B109" s="158"/>
      <c r="C109" s="158"/>
      <c r="D109" s="158"/>
      <c r="E109" s="158"/>
      <c r="F109" s="158"/>
      <c r="G109" s="158"/>
      <c r="H109" s="159"/>
      <c r="I109" s="158"/>
      <c r="J109" s="158"/>
      <c r="K109" s="158"/>
      <c r="L109" s="158"/>
      <c r="M109" s="158"/>
      <c r="N109" s="158"/>
      <c r="O109" s="158"/>
      <c r="P109" s="158"/>
      <c r="Q109" s="158"/>
      <c r="R109" s="158"/>
      <c r="S109" s="158"/>
      <c r="T109" s="158"/>
      <c r="U109" s="158"/>
      <c r="V109" s="158"/>
      <c r="W109" s="158"/>
      <c r="X109" s="158"/>
      <c r="Y109" s="158"/>
      <c r="Z109" s="158"/>
      <c r="AA109" s="158"/>
      <c r="AB109" s="186"/>
    </row>
    <row r="110" spans="1:28" x14ac:dyDescent="0.25">
      <c r="A110" s="158"/>
      <c r="B110" s="158"/>
      <c r="C110" s="158"/>
      <c r="D110" s="158"/>
      <c r="E110" s="158"/>
      <c r="F110" s="158"/>
      <c r="G110" s="158"/>
      <c r="H110" s="159"/>
      <c r="I110" s="158"/>
      <c r="J110" s="158"/>
      <c r="K110" s="158"/>
      <c r="L110" s="158"/>
      <c r="M110" s="158"/>
      <c r="N110" s="158"/>
      <c r="O110" s="158"/>
      <c r="P110" s="158"/>
      <c r="Q110" s="158"/>
      <c r="R110" s="158"/>
      <c r="S110" s="158"/>
      <c r="T110" s="158"/>
      <c r="U110" s="158"/>
      <c r="V110" s="158"/>
      <c r="W110" s="158"/>
      <c r="X110" s="158"/>
      <c r="Y110" s="158"/>
      <c r="Z110" s="158"/>
      <c r="AA110" s="158"/>
      <c r="AB110" s="186"/>
    </row>
    <row r="111" spans="1:28" x14ac:dyDescent="0.25">
      <c r="A111" s="158"/>
      <c r="B111" s="158"/>
      <c r="C111" s="158"/>
      <c r="D111" s="158"/>
      <c r="E111" s="158"/>
      <c r="F111" s="158"/>
      <c r="G111" s="158"/>
      <c r="H111" s="159"/>
      <c r="I111" s="158"/>
      <c r="J111" s="158"/>
      <c r="K111" s="158"/>
      <c r="L111" s="158"/>
      <c r="M111" s="158"/>
      <c r="N111" s="158"/>
      <c r="O111" s="158"/>
      <c r="P111" s="158"/>
      <c r="Q111" s="158"/>
      <c r="R111" s="158"/>
      <c r="S111" s="158"/>
      <c r="T111" s="158"/>
      <c r="U111" s="158"/>
      <c r="V111" s="158"/>
      <c r="W111" s="158"/>
      <c r="X111" s="158"/>
      <c r="Y111" s="158"/>
      <c r="Z111" s="158"/>
      <c r="AA111" s="158"/>
      <c r="AB111" s="186"/>
    </row>
    <row r="112" spans="1:28" x14ac:dyDescent="0.25">
      <c r="A112" s="158"/>
      <c r="B112" s="158"/>
      <c r="C112" s="158"/>
      <c r="D112" s="158"/>
      <c r="E112" s="158"/>
      <c r="F112" s="158"/>
      <c r="G112" s="158"/>
      <c r="H112" s="159"/>
      <c r="I112" s="158"/>
      <c r="J112" s="158"/>
      <c r="K112" s="158"/>
      <c r="L112" s="158"/>
      <c r="M112" s="158"/>
      <c r="N112" s="158"/>
      <c r="O112" s="158"/>
      <c r="P112" s="158"/>
      <c r="Q112" s="158"/>
      <c r="R112" s="158"/>
      <c r="S112" s="158"/>
      <c r="T112" s="158"/>
      <c r="U112" s="158"/>
      <c r="V112" s="158"/>
      <c r="W112" s="158"/>
      <c r="X112" s="158"/>
      <c r="Y112" s="158"/>
      <c r="Z112" s="158"/>
      <c r="AA112" s="158"/>
      <c r="AB112" s="186"/>
    </row>
    <row r="113" spans="1:28" x14ac:dyDescent="0.25">
      <c r="A113" s="158"/>
      <c r="B113" s="158"/>
      <c r="C113" s="158"/>
      <c r="D113" s="158"/>
      <c r="E113" s="158"/>
      <c r="F113" s="158"/>
      <c r="G113" s="158"/>
      <c r="H113" s="159"/>
      <c r="I113" s="158"/>
      <c r="J113" s="158"/>
      <c r="K113" s="158"/>
      <c r="L113" s="158"/>
      <c r="M113" s="158"/>
      <c r="N113" s="158"/>
      <c r="O113" s="158"/>
      <c r="P113" s="158"/>
      <c r="Q113" s="158"/>
      <c r="R113" s="158"/>
      <c r="S113" s="158"/>
      <c r="T113" s="158"/>
      <c r="U113" s="158"/>
      <c r="V113" s="158"/>
      <c r="W113" s="158"/>
      <c r="X113" s="158"/>
      <c r="Y113" s="158"/>
      <c r="Z113" s="158"/>
      <c r="AA113" s="158"/>
      <c r="AB113" s="186"/>
    </row>
    <row r="114" spans="1:28" x14ac:dyDescent="0.25">
      <c r="A114" s="158"/>
      <c r="B114" s="158"/>
      <c r="C114" s="158"/>
      <c r="D114" s="158"/>
      <c r="E114" s="158"/>
      <c r="F114" s="158"/>
      <c r="G114" s="158"/>
      <c r="H114" s="159"/>
      <c r="I114" s="158"/>
      <c r="J114" s="158"/>
      <c r="K114" s="158"/>
      <c r="L114" s="158"/>
      <c r="M114" s="158"/>
      <c r="N114" s="158"/>
      <c r="O114" s="158"/>
      <c r="P114" s="158"/>
      <c r="Q114" s="158"/>
      <c r="R114" s="158"/>
      <c r="S114" s="158"/>
      <c r="T114" s="158"/>
      <c r="U114" s="158"/>
      <c r="V114" s="158"/>
      <c r="W114" s="158"/>
      <c r="X114" s="158"/>
      <c r="Y114" s="158"/>
      <c r="Z114" s="158"/>
      <c r="AA114" s="158"/>
      <c r="AB114" s="186"/>
    </row>
    <row r="115" spans="1:28" x14ac:dyDescent="0.25">
      <c r="A115" s="186"/>
      <c r="B115" s="186"/>
      <c r="C115" s="186"/>
      <c r="D115" s="186"/>
      <c r="E115" s="186"/>
      <c r="F115" s="186"/>
      <c r="G115" s="186"/>
      <c r="H115" s="187"/>
      <c r="I115" s="186"/>
      <c r="J115" s="186"/>
      <c r="K115" s="186"/>
      <c r="L115" s="186"/>
      <c r="M115" s="186"/>
      <c r="N115" s="186"/>
      <c r="O115" s="186"/>
      <c r="P115" s="186"/>
      <c r="Q115" s="186"/>
      <c r="R115" s="186"/>
      <c r="S115" s="186"/>
      <c r="T115" s="186"/>
      <c r="U115" s="186"/>
      <c r="V115" s="186"/>
      <c r="W115" s="186"/>
      <c r="X115" s="186"/>
      <c r="Y115" s="186"/>
      <c r="Z115" s="186"/>
      <c r="AA115" s="186"/>
      <c r="AB115" s="186"/>
    </row>
  </sheetData>
  <sheetProtection algorithmName="SHA-512" hashValue="Ka6Afmuadv2X8bVSE4ZhoeITaTc8gf1/z94imKNtjlk2WMv002oPdUAKYLBOMCdzV0jmInS2E7DxYH/qRsDWRw==" saltValue="l7TacuIv/VaA/5vNsy5b4Q==" spinCount="100000" sheet="1" objects="1" scenarios="1" selectLockedCells="1"/>
  <mergeCells count="8">
    <mergeCell ref="A74:H74"/>
    <mergeCell ref="A75:H75"/>
    <mergeCell ref="A76:H76"/>
    <mergeCell ref="O3:P3"/>
    <mergeCell ref="O11:Q12"/>
    <mergeCell ref="A72:H72"/>
    <mergeCell ref="A73:H73"/>
    <mergeCell ref="J3:M3"/>
  </mergeCells>
  <conditionalFormatting sqref="I7:I9">
    <cfRule type="cellIs" dxfId="6" priority="5" operator="lessThan">
      <formula>3</formula>
    </cfRule>
    <cfRule type="cellIs" dxfId="5" priority="6" operator="greaterThan">
      <formula>65</formula>
    </cfRule>
    <cfRule type="cellIs" dxfId="4" priority="7" operator="lessThan">
      <formula>4.5</formula>
    </cfRule>
  </conditionalFormatting>
  <conditionalFormatting sqref="I8">
    <cfRule type="cellIs" dxfId="3" priority="1" operator="notBetween">
      <formula>$I$7</formula>
      <formula>$I$9</formula>
    </cfRule>
  </conditionalFormatting>
  <conditionalFormatting sqref="I17">
    <cfRule type="cellIs" dxfId="2" priority="4" operator="notBetween">
      <formula>50</formula>
      <formula>1000</formula>
    </cfRule>
  </conditionalFormatting>
  <conditionalFormatting sqref="I50">
    <cfRule type="cellIs" dxfId="1" priority="3" operator="notBetween">
      <formula>0.5</formula>
      <formula>3</formula>
    </cfRule>
  </conditionalFormatting>
  <conditionalFormatting sqref="I82">
    <cfRule type="cellIs" dxfId="0" priority="2" operator="notBetween">
      <formula>$I$7</formula>
      <formula>$I$9</formula>
    </cfRule>
  </conditionalFormatting>
  <hyperlinks>
    <hyperlink ref="J3" r:id="rId1" xr:uid="{40D41915-AD4F-4E7B-91A1-2F85CA026379}"/>
    <hyperlink ref="O3:P3" location="Licenses!A1" display="TERMS OF USE" xr:uid="{F00D3575-3104-4C63-B094-9F08012F0DB7}"/>
  </hyperlinks>
  <pageMargins left="0.7" right="0.7" top="0.75" bottom="0.75" header="0.3" footer="0.3"/>
  <pageSetup orientation="portrait" r:id="rId2"/>
  <drawing r:id="rId3"/>
  <legacyDrawing r:id="rId4"/>
  <oleObjects>
    <mc:AlternateContent xmlns:mc="http://schemas.openxmlformats.org/markup-compatibility/2006">
      <mc:Choice Requires="x14">
        <oleObject progId="Visio.Drawing.15" shapeId="2062" r:id="rId5">
          <objectPr defaultSize="0" autoPict="0" r:id="rId6">
            <anchor moveWithCells="1">
              <from>
                <xdr:col>10</xdr:col>
                <xdr:colOff>276225</xdr:colOff>
                <xdr:row>5</xdr:row>
                <xdr:rowOff>66675</xdr:rowOff>
              </from>
              <to>
                <xdr:col>25</xdr:col>
                <xdr:colOff>514350</xdr:colOff>
                <xdr:row>27</xdr:row>
                <xdr:rowOff>38100</xdr:rowOff>
              </to>
            </anchor>
          </objectPr>
        </oleObject>
      </mc:Choice>
      <mc:Fallback>
        <oleObject progId="Visio.Drawing.15" shapeId="2062" r:id="rId5"/>
      </mc:Fallback>
    </mc:AlternateContent>
  </oleObjects>
  <mc:AlternateContent xmlns:mc="http://schemas.openxmlformats.org/markup-compatibility/2006">
    <mc:Choice Requires="x14">
      <controls>
        <mc:AlternateContent xmlns:mc="http://schemas.openxmlformats.org/markup-compatibility/2006">
          <mc:Choice Requires="x14">
            <control shapeId="2075" r:id="rId7" name="Spinner 27">
              <controlPr defaultSize="0" autoPict="0">
                <anchor moveWithCells="1" sizeWithCells="1">
                  <from>
                    <xdr:col>9</xdr:col>
                    <xdr:colOff>133350</xdr:colOff>
                    <xdr:row>80</xdr:row>
                    <xdr:rowOff>152400</xdr:rowOff>
                  </from>
                  <to>
                    <xdr:col>9</xdr:col>
                    <xdr:colOff>304800</xdr:colOff>
                    <xdr:row>82</xdr:row>
                    <xdr:rowOff>66675</xdr:rowOff>
                  </to>
                </anchor>
              </controlPr>
            </control>
          </mc:Choice>
        </mc:AlternateContent>
        <mc:AlternateContent xmlns:mc="http://schemas.openxmlformats.org/markup-compatibility/2006">
          <mc:Choice Requires="x14">
            <control shapeId="2091" r:id="rId8" name="Drop Down 43">
              <controlPr defaultSize="0" autoLine="0" autoPict="0">
                <anchor>
                  <from>
                    <xdr:col>12</xdr:col>
                    <xdr:colOff>28575</xdr:colOff>
                    <xdr:row>89</xdr:row>
                    <xdr:rowOff>0</xdr:rowOff>
                  </from>
                  <to>
                    <xdr:col>14</xdr:col>
                    <xdr:colOff>190500</xdr:colOff>
                    <xdr:row>90</xdr:row>
                    <xdr:rowOff>9525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F3D447B-A757-4EB2-AA47-816583436E12}">
          <x14:formula1>
            <xm:f>Calculations!$K$17:$K$19</xm:f>
          </x14:formula1>
          <xm:sqref>I13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23481-6ED4-4AF3-8CF3-D53A39A884D0}">
  <sheetPr codeName="Sheet6"/>
  <dimension ref="A1:AM47"/>
  <sheetViews>
    <sheetView workbookViewId="0">
      <selection activeCell="A126" sqref="A126"/>
    </sheetView>
  </sheetViews>
  <sheetFormatPr baseColWidth="10" defaultColWidth="9.140625" defaultRowHeight="14.25" x14ac:dyDescent="0.2"/>
  <cols>
    <col min="1" max="1" width="25.7109375" style="201" bestFit="1" customWidth="1"/>
    <col min="2" max="2" width="56.5703125" style="202" customWidth="1"/>
    <col min="3" max="11" width="9.140625" style="197"/>
    <col min="12" max="12" width="20.42578125" style="197" customWidth="1"/>
    <col min="13" max="16384" width="9.140625" style="197"/>
  </cols>
  <sheetData>
    <row r="1" spans="1:12" x14ac:dyDescent="0.2">
      <c r="A1" s="236"/>
      <c r="B1" s="236"/>
      <c r="C1" s="236"/>
      <c r="D1" s="236"/>
      <c r="E1" s="236"/>
      <c r="F1" s="236"/>
      <c r="G1" s="236"/>
      <c r="H1" s="236"/>
      <c r="I1" s="236"/>
      <c r="J1" s="236"/>
      <c r="K1" s="236"/>
      <c r="L1" s="236"/>
    </row>
    <row r="2" spans="1:12" x14ac:dyDescent="0.2">
      <c r="A2" s="236"/>
      <c r="B2" s="236"/>
      <c r="C2" s="236"/>
      <c r="D2" s="236"/>
      <c r="E2" s="236"/>
      <c r="F2" s="236"/>
      <c r="G2" s="236"/>
      <c r="H2" s="236"/>
      <c r="I2" s="236"/>
      <c r="J2" s="236"/>
      <c r="K2" s="236"/>
      <c r="L2" s="236"/>
    </row>
    <row r="3" spans="1:12" x14ac:dyDescent="0.2">
      <c r="A3" s="236"/>
      <c r="B3" s="236"/>
      <c r="C3" s="236"/>
      <c r="D3" s="236"/>
      <c r="E3" s="236"/>
      <c r="F3" s="236"/>
      <c r="G3" s="236"/>
      <c r="H3" s="236"/>
      <c r="I3" s="236"/>
      <c r="J3" s="236"/>
      <c r="K3" s="236"/>
      <c r="L3" s="236"/>
    </row>
    <row r="4" spans="1:12" x14ac:dyDescent="0.2">
      <c r="A4" s="237"/>
      <c r="B4" s="237"/>
      <c r="C4" s="237"/>
      <c r="D4" s="237"/>
      <c r="E4" s="237"/>
      <c r="F4" s="237"/>
      <c r="G4" s="237"/>
      <c r="H4" s="237"/>
      <c r="I4" s="237"/>
      <c r="J4" s="237"/>
      <c r="K4" s="237"/>
      <c r="L4" s="237"/>
    </row>
    <row r="5" spans="1:12" x14ac:dyDescent="0.2">
      <c r="A5" s="203" t="s">
        <v>709</v>
      </c>
      <c r="B5" s="204" t="s">
        <v>720</v>
      </c>
      <c r="C5" s="205"/>
      <c r="D5" s="205"/>
      <c r="E5" s="205"/>
      <c r="F5" s="205"/>
      <c r="G5" s="205"/>
      <c r="H5" s="205"/>
      <c r="I5" s="205"/>
      <c r="J5" s="205"/>
      <c r="K5" s="206"/>
      <c r="L5" s="207"/>
    </row>
    <row r="6" spans="1:12" x14ac:dyDescent="0.2">
      <c r="A6" s="203"/>
      <c r="B6" s="208"/>
      <c r="C6" s="205"/>
      <c r="D6" s="205"/>
      <c r="E6" s="205"/>
      <c r="F6" s="205"/>
      <c r="G6" s="205"/>
      <c r="H6" s="205"/>
      <c r="I6" s="205"/>
      <c r="J6" s="207"/>
      <c r="K6" s="207"/>
      <c r="L6" s="207"/>
    </row>
    <row r="35" spans="1:39" x14ac:dyDescent="0.2">
      <c r="A35" s="196" t="s">
        <v>710</v>
      </c>
      <c r="B35" s="209"/>
      <c r="C35" s="205"/>
      <c r="D35" s="205"/>
      <c r="E35" s="205"/>
      <c r="F35" s="205"/>
      <c r="G35" s="205"/>
      <c r="H35" s="205"/>
      <c r="I35" s="205"/>
      <c r="J35" s="205"/>
      <c r="K35" s="205"/>
    </row>
    <row r="36" spans="1:39" x14ac:dyDescent="0.2">
      <c r="A36" s="175" t="s">
        <v>711</v>
      </c>
      <c r="B36" s="238" t="s">
        <v>712</v>
      </c>
      <c r="C36" s="238"/>
      <c r="D36" s="238"/>
      <c r="E36" s="238"/>
      <c r="F36" s="238"/>
      <c r="G36" s="238"/>
      <c r="H36" s="238"/>
      <c r="I36" s="238"/>
      <c r="J36" s="238"/>
      <c r="K36" s="238"/>
    </row>
    <row r="37" spans="1:39" x14ac:dyDescent="0.2">
      <c r="A37" s="196" t="s">
        <v>713</v>
      </c>
      <c r="B37" s="239" t="s">
        <v>714</v>
      </c>
      <c r="C37" s="239"/>
      <c r="D37" s="239"/>
      <c r="E37" s="239"/>
      <c r="F37" s="239"/>
      <c r="G37" s="239"/>
      <c r="H37" s="239"/>
      <c r="I37" s="239"/>
      <c r="J37" s="239"/>
      <c r="K37" s="239"/>
    </row>
    <row r="38" spans="1:39" x14ac:dyDescent="0.2">
      <c r="A38" s="198" t="s">
        <v>720</v>
      </c>
      <c r="B38" s="240" t="s">
        <v>721</v>
      </c>
      <c r="C38" s="240"/>
      <c r="D38" s="240"/>
      <c r="E38" s="240"/>
      <c r="F38" s="240"/>
      <c r="G38" s="240"/>
      <c r="H38" s="240"/>
      <c r="I38" s="240"/>
      <c r="J38" s="240"/>
      <c r="K38" s="240"/>
    </row>
    <row r="39" spans="1:39" x14ac:dyDescent="0.2">
      <c r="A39" s="198"/>
      <c r="B39" s="199"/>
      <c r="C39" s="199"/>
      <c r="D39" s="199"/>
      <c r="E39" s="199"/>
      <c r="F39" s="199"/>
      <c r="G39" s="199"/>
      <c r="H39" s="199"/>
      <c r="I39" s="199"/>
      <c r="J39" s="199"/>
      <c r="K39" s="199"/>
    </row>
    <row r="40" spans="1:39" x14ac:dyDescent="0.2">
      <c r="A40" s="198"/>
      <c r="B40" s="199"/>
      <c r="C40" s="199"/>
      <c r="D40" s="199"/>
      <c r="E40" s="199"/>
      <c r="F40" s="199"/>
      <c r="G40" s="199"/>
      <c r="H40" s="199"/>
      <c r="I40" s="199"/>
      <c r="J40" s="199"/>
      <c r="K40" s="199"/>
    </row>
    <row r="41" spans="1:39" x14ac:dyDescent="0.2">
      <c r="A41" s="198"/>
      <c r="B41" s="199"/>
      <c r="C41" s="199"/>
      <c r="D41" s="199"/>
      <c r="E41" s="199"/>
      <c r="F41" s="199"/>
      <c r="G41" s="199"/>
      <c r="H41" s="199"/>
      <c r="I41" s="199"/>
      <c r="J41" s="199"/>
      <c r="K41" s="199"/>
    </row>
    <row r="42" spans="1:39" x14ac:dyDescent="0.2">
      <c r="A42" s="198"/>
      <c r="B42" s="199"/>
      <c r="C42" s="199"/>
      <c r="D42" s="199"/>
      <c r="E42" s="199"/>
      <c r="F42" s="199"/>
      <c r="G42" s="199"/>
      <c r="H42" s="199"/>
      <c r="I42" s="199"/>
      <c r="J42" s="199"/>
      <c r="K42" s="199"/>
    </row>
    <row r="43" spans="1:39" x14ac:dyDescent="0.2">
      <c r="A43" s="198"/>
      <c r="B43" s="199"/>
      <c r="C43" s="199"/>
      <c r="D43" s="199"/>
      <c r="E43" s="199"/>
      <c r="F43" s="199"/>
      <c r="G43" s="199"/>
      <c r="H43" s="199"/>
      <c r="I43" s="199"/>
      <c r="J43" s="199"/>
      <c r="K43" s="199"/>
    </row>
    <row r="44" spans="1:39" ht="15" x14ac:dyDescent="0.2">
      <c r="A44" s="198"/>
      <c r="B44" s="199"/>
      <c r="C44" s="199"/>
      <c r="D44" s="199"/>
      <c r="E44" s="199"/>
      <c r="F44" s="199"/>
      <c r="G44" s="199"/>
      <c r="H44" s="199"/>
      <c r="I44" s="199"/>
      <c r="J44" s="199"/>
      <c r="K44" s="199"/>
      <c r="L44" s="200"/>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c r="AK44" s="200"/>
      <c r="AL44" s="200"/>
      <c r="AM44" s="200"/>
    </row>
    <row r="45" spans="1:39" x14ac:dyDescent="0.2">
      <c r="A45" s="198"/>
      <c r="B45" s="199"/>
      <c r="C45" s="199"/>
      <c r="D45" s="199"/>
      <c r="E45" s="199"/>
      <c r="F45" s="199"/>
      <c r="G45" s="199"/>
      <c r="H45" s="199"/>
      <c r="I45" s="199"/>
      <c r="J45" s="199"/>
      <c r="K45" s="199"/>
    </row>
    <row r="46" spans="1:39" x14ac:dyDescent="0.2">
      <c r="A46" s="198"/>
      <c r="B46" s="199"/>
      <c r="C46" s="199"/>
      <c r="D46" s="199"/>
      <c r="E46" s="199"/>
      <c r="F46" s="199"/>
      <c r="G46" s="199"/>
      <c r="H46" s="199"/>
      <c r="I46" s="199"/>
      <c r="J46" s="199"/>
      <c r="K46" s="199"/>
    </row>
    <row r="47" spans="1:39" x14ac:dyDescent="0.2">
      <c r="A47" s="198"/>
      <c r="B47" s="199"/>
    </row>
  </sheetData>
  <sheetProtection algorithmName="SHA-512" hashValue="3gDwocgaDJWvZOua/gjEKjja+EzoarY1CuxpWEYUHMH6jrFjL3lgewiiiMYRa0kuGNKIZ/SXBxch41MMcDlagg==" saltValue="a98cEv7C8JfjLmtawczAag==" spinCount="100000" sheet="1" objects="1" scenarios="1" selectLockedCells="1"/>
  <mergeCells count="5">
    <mergeCell ref="A1:L3"/>
    <mergeCell ref="A4:L4"/>
    <mergeCell ref="B36:K36"/>
    <mergeCell ref="B37:K37"/>
    <mergeCell ref="B38:K3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F80F0-21FE-4C29-A0A5-88E17C3F171F}">
  <sheetPr codeName="Sheet7"/>
  <dimension ref="A1:AW157"/>
  <sheetViews>
    <sheetView topLeftCell="AW7" workbookViewId="0">
      <selection activeCell="BF41" sqref="BF41"/>
    </sheetView>
  </sheetViews>
  <sheetFormatPr baseColWidth="10" defaultColWidth="9.140625" defaultRowHeight="15" x14ac:dyDescent="0.25"/>
  <cols>
    <col min="10" max="10" width="10" bestFit="1" customWidth="1"/>
    <col min="25" max="25" width="12" bestFit="1" customWidth="1"/>
    <col min="39" max="39" width="11" bestFit="1" customWidth="1"/>
    <col min="40" max="40" width="16.28515625" customWidth="1"/>
    <col min="41" max="41" width="11.7109375" customWidth="1"/>
    <col min="47" max="47" width="11.7109375" customWidth="1"/>
  </cols>
  <sheetData>
    <row r="1" spans="1:49" ht="27.75" x14ac:dyDescent="0.4">
      <c r="A1" s="245" t="s">
        <v>599</v>
      </c>
      <c r="B1" s="245"/>
      <c r="C1" s="245"/>
      <c r="D1" s="245"/>
      <c r="E1" s="245"/>
      <c r="F1" s="245"/>
      <c r="G1" s="245"/>
      <c r="H1" s="245"/>
      <c r="I1" s="245"/>
      <c r="J1" s="245"/>
      <c r="K1" s="245"/>
      <c r="L1" s="245"/>
      <c r="M1" s="245"/>
    </row>
    <row r="4" spans="1:49" ht="15.75" thickBot="1" x14ac:dyDescent="0.3">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row>
    <row r="5" spans="1:49" x14ac:dyDescent="0.25">
      <c r="R5" s="246" t="s">
        <v>600</v>
      </c>
      <c r="S5" s="247"/>
      <c r="T5" s="247"/>
      <c r="U5" s="248"/>
      <c r="V5" s="246" t="s">
        <v>262</v>
      </c>
      <c r="W5" s="247"/>
      <c r="X5" s="248"/>
      <c r="Y5" s="246" t="s">
        <v>601</v>
      </c>
      <c r="Z5" s="247"/>
      <c r="AA5" s="247"/>
      <c r="AB5" s="247"/>
      <c r="AC5" s="247"/>
      <c r="AD5" s="248"/>
      <c r="AE5" s="246" t="s">
        <v>602</v>
      </c>
      <c r="AF5" s="247"/>
      <c r="AG5" s="247"/>
      <c r="AH5" s="247"/>
      <c r="AI5" s="248"/>
      <c r="AJ5" s="246" t="s">
        <v>603</v>
      </c>
      <c r="AK5" s="247"/>
      <c r="AL5" s="247"/>
      <c r="AM5" s="247"/>
      <c r="AN5" s="249"/>
      <c r="AO5" s="248"/>
      <c r="AP5" s="241" t="s">
        <v>604</v>
      </c>
      <c r="AQ5" s="242"/>
      <c r="AR5" s="242"/>
      <c r="AS5" s="243"/>
      <c r="AT5" s="244"/>
      <c r="AU5" s="129" t="s">
        <v>605</v>
      </c>
      <c r="AV5" s="130"/>
      <c r="AW5" s="131"/>
    </row>
    <row r="6" spans="1:49" ht="18" x14ac:dyDescent="0.35">
      <c r="R6" s="132" t="s">
        <v>222</v>
      </c>
      <c r="S6" s="1" t="s">
        <v>223</v>
      </c>
      <c r="T6" s="1" t="s">
        <v>606</v>
      </c>
      <c r="U6" s="133" t="s">
        <v>607</v>
      </c>
      <c r="V6" s="132" t="s">
        <v>608</v>
      </c>
      <c r="W6" s="1" t="s">
        <v>609</v>
      </c>
      <c r="X6" s="133" t="s">
        <v>610</v>
      </c>
      <c r="Y6" s="132" t="s">
        <v>611</v>
      </c>
      <c r="Z6" s="1" t="s">
        <v>612</v>
      </c>
      <c r="AA6" s="1" t="s">
        <v>613</v>
      </c>
      <c r="AB6" s="134" t="s">
        <v>614</v>
      </c>
      <c r="AC6" s="134" t="s">
        <v>615</v>
      </c>
      <c r="AD6" s="135" t="s">
        <v>616</v>
      </c>
      <c r="AE6" s="132" t="s">
        <v>617</v>
      </c>
      <c r="AF6" s="1" t="s">
        <v>618</v>
      </c>
      <c r="AG6" s="134" t="s">
        <v>619</v>
      </c>
      <c r="AH6" s="134" t="s">
        <v>620</v>
      </c>
      <c r="AI6" s="135" t="s">
        <v>621</v>
      </c>
      <c r="AJ6" s="132" t="s">
        <v>622</v>
      </c>
      <c r="AK6" s="1" t="s">
        <v>623</v>
      </c>
      <c r="AL6" s="1" t="s">
        <v>624</v>
      </c>
      <c r="AM6" s="1" t="s">
        <v>625</v>
      </c>
      <c r="AN6" s="136" t="s">
        <v>626</v>
      </c>
      <c r="AO6" s="133" t="s">
        <v>627</v>
      </c>
      <c r="AP6" s="132" t="s">
        <v>628</v>
      </c>
      <c r="AQ6" s="137" t="s">
        <v>615</v>
      </c>
      <c r="AR6" s="137" t="s">
        <v>629</v>
      </c>
      <c r="AS6" s="1" t="s">
        <v>630</v>
      </c>
      <c r="AT6" s="133" t="s">
        <v>631</v>
      </c>
      <c r="AU6" s="132" t="s">
        <v>632</v>
      </c>
      <c r="AV6" s="1" t="s">
        <v>633</v>
      </c>
      <c r="AW6" s="133" t="s">
        <v>634</v>
      </c>
    </row>
    <row r="7" spans="1:49" x14ac:dyDescent="0.25">
      <c r="Q7">
        <v>0</v>
      </c>
      <c r="R7" s="132">
        <f t="shared" ref="R7:R70" si="0">VOUT</f>
        <v>18</v>
      </c>
      <c r="S7" s="1">
        <f t="shared" ref="S7:S70" si="1">Q7*$O$12</f>
        <v>0</v>
      </c>
      <c r="T7" s="1">
        <f t="shared" ref="T7:T38" si="2">Vin_vari</f>
        <v>12</v>
      </c>
      <c r="U7" s="133">
        <f>(R7*S7)/(T7*EFF_est)</f>
        <v>0</v>
      </c>
      <c r="V7" s="132">
        <f>IF(Calculations!$B$17=3,2,IF((S7*R7/T7)&lt;((T7*(1-(T7/R7)))/(2*Lm*fsw)),1,2))</f>
        <v>2</v>
      </c>
      <c r="W7" s="1">
        <f>CHOOSE(V7,SQRT((2*S7*Lm*fsw*(R7-T7))/((T7)^2)),1-(T7/R7))</f>
        <v>0.33333333333333337</v>
      </c>
      <c r="X7" s="133">
        <f t="shared" ref="X7:X38" si="3">CHOOSE(V7,(Lm*Z7*fsw)/(R7-T7),1-W7)</f>
        <v>0.66666666666666663</v>
      </c>
      <c r="Y7" s="132">
        <f t="shared" ref="Y7:Y38" si="4">(T7*W7)/(Lm*fsw)</f>
        <v>1.6</v>
      </c>
      <c r="Z7" s="1">
        <f>CHOOSE(V7,Y7,U7+(0.5*Y7))</f>
        <v>0.8</v>
      </c>
      <c r="AA7" s="1">
        <f>CHOOSE(V7,Z7*SQRT((W7+X7)/3),SQRT((U7^2)+((Y7^2)/12)))</f>
        <v>0.46188021535170065</v>
      </c>
      <c r="AB7" s="1">
        <v>0</v>
      </c>
      <c r="AC7" s="1">
        <f>(AA7^2)*Rdcr</f>
        <v>1.7706666666666673E-2</v>
      </c>
      <c r="AD7" s="133">
        <f>AB7+AC7</f>
        <v>1.7706666666666673E-2</v>
      </c>
      <c r="AE7" s="132">
        <f>U7*W7</f>
        <v>0</v>
      </c>
      <c r="AF7" s="1">
        <f>CHOOSE(V7,Z7*SQRT(W7/3),SQRT(W7*((Z7^2)+((Y7^2)/3)-(Z7*Y7))))</f>
        <v>0.26666666666666672</v>
      </c>
      <c r="AG7" s="1">
        <f t="shared" ref="AG7:AG38" si="5">(AF7^2)*RDS_on</f>
        <v>7.1111111111111147E-5</v>
      </c>
      <c r="AH7" s="1">
        <f>((R7*U7)/2)*fsw*(tr_sw+tf_sw)</f>
        <v>0</v>
      </c>
      <c r="AI7" s="133">
        <f>AG7+AH7</f>
        <v>7.1111111111111147E-5</v>
      </c>
      <c r="AJ7" s="132">
        <f>X7*U7</f>
        <v>0</v>
      </c>
      <c r="AK7" s="1">
        <f>CHOOSE(V7,Z7*SQRT(X7/3),SQRT(X7*((Z7^2)+((Y7^2)/3)-(Y7*Z7))))</f>
        <v>0.3771236166328254</v>
      </c>
      <c r="AL7" s="1">
        <f t="shared" ref="AL7:AL38" si="6">(AK7^2)*RDS_on_HS</f>
        <v>1.4222222222222224E-4</v>
      </c>
      <c r="AM7" s="1">
        <f>CHOOSE(V7,0,(R7+Vd_rect)*Qrr*fsw)</f>
        <v>0.15510000000000004</v>
      </c>
      <c r="AN7" s="136">
        <f>Vd_rect*t_dead*fsw*Z7</f>
        <v>1.2800000000000001E-2</v>
      </c>
      <c r="AO7" s="133">
        <f>AL7+AM7+AN7</f>
        <v>0.16804222222222226</v>
      </c>
      <c r="AP7" s="132">
        <f t="shared" ref="AP7:AP38" si="7">(AA7^2)*Rcs</f>
        <v>8.5333333333333355E-4</v>
      </c>
      <c r="AQ7" s="137">
        <f t="shared" ref="AQ7:AQ38" si="8">Rdcr*AA7^2</f>
        <v>1.7706666666666673E-2</v>
      </c>
      <c r="AR7" s="137">
        <f t="shared" ref="AR7:AR38" si="9">ABS(7.759*10^-3*fsw^0.9458*(0.00787*Y7)^2.304)</f>
        <v>4.147588250013759E-2</v>
      </c>
      <c r="AS7" s="1">
        <f t="shared" ref="AS7:AS38" si="10">(Qg_tot+Qg_tot_HS)*VCC*fsw</f>
        <v>3.7999999999999999E-2</v>
      </c>
      <c r="AT7" s="133">
        <f>IQ*T7</f>
        <v>4.8000000000000001E-2</v>
      </c>
      <c r="AU7" s="132">
        <f>AP7+AO7+AI7+AD7+AS7+AT7+AQ7+AR7</f>
        <v>0.33185588250013764</v>
      </c>
      <c r="AV7" s="1">
        <f>R7*S7</f>
        <v>0</v>
      </c>
      <c r="AW7" s="133">
        <f>(AV7/(AV7+AU7))*100</f>
        <v>0</v>
      </c>
    </row>
    <row r="8" spans="1:49" x14ac:dyDescent="0.25">
      <c r="M8">
        <f>fsw</f>
        <v>250000</v>
      </c>
      <c r="Q8">
        <v>1</v>
      </c>
      <c r="R8" s="132">
        <f t="shared" si="0"/>
        <v>18</v>
      </c>
      <c r="S8" s="1">
        <f t="shared" si="1"/>
        <v>3.3333333333333333E-2</v>
      </c>
      <c r="T8" s="1">
        <f t="shared" si="2"/>
        <v>12</v>
      </c>
      <c r="U8" s="133">
        <f t="shared" ref="U8:U38" si="11">(R8*S8)/(T8*EFF_est)</f>
        <v>4.9999999999999996E-2</v>
      </c>
      <c r="V8" s="132">
        <f>IF(Calculations!$B$17=3,2,IF((S8*R8/T8)&lt;((T8*(1-(T8/R8)))/(2*Lm*fsw)),1,2))</f>
        <v>2</v>
      </c>
      <c r="W8" s="1">
        <f t="shared" ref="W8:W38" si="12">CHOOSE(V8,SQRT((2*S8*Lm*fsw*(R8-T8))/((T8)^2)),1-(T8/R8))</f>
        <v>0.33333333333333337</v>
      </c>
      <c r="X8" s="133">
        <f t="shared" si="3"/>
        <v>0.66666666666666663</v>
      </c>
      <c r="Y8" s="132">
        <f t="shared" si="4"/>
        <v>1.6</v>
      </c>
      <c r="Z8" s="1">
        <f t="shared" ref="Z8:Z71" si="13">CHOOSE(V8,Y8,U8+(0.5*Y8))</f>
        <v>0.85000000000000009</v>
      </c>
      <c r="AA8" s="1">
        <f t="shared" ref="AA8:AA71" si="14">CHOOSE(V8,Z8*SQRT((W8+X8)/3),SQRT((U8^2)+((Y8^2)/12)))</f>
        <v>0.4645786621588785</v>
      </c>
      <c r="AB8" s="1">
        <v>0</v>
      </c>
      <c r="AC8" s="1">
        <f t="shared" ref="AC8:AC38" si="15">(AA8^2)*Rdcr</f>
        <v>1.7914166666666672E-2</v>
      </c>
      <c r="AD8" s="133">
        <f t="shared" ref="AD8:AD71" si="16">AB8+AC8</f>
        <v>1.7914166666666672E-2</v>
      </c>
      <c r="AE8" s="132">
        <f>U8*W8</f>
        <v>1.6666666666666666E-2</v>
      </c>
      <c r="AF8" s="1">
        <f t="shared" ref="AF8:AF71" si="17">CHOOSE(V8,Z8*SQRT(W8/3),SQRT(W8*((Z8^2)+((Y8^2)/3)-(Z8*Y8))))</f>
        <v>0.2682246156571847</v>
      </c>
      <c r="AG8" s="1">
        <f t="shared" si="5"/>
        <v>7.1944444444444451E-5</v>
      </c>
      <c r="AH8" s="1">
        <f t="shared" ref="AH8:AH38" si="18">((R8*U8)/2)*fsw*(tr_sw+tf_sw)</f>
        <v>1.8594787600015462E-3</v>
      </c>
      <c r="AI8" s="133">
        <f t="shared" ref="AI8:AI71" si="19">AG8+AH8</f>
        <v>1.9314232044459906E-3</v>
      </c>
      <c r="AJ8" s="132">
        <f t="shared" ref="AJ8:AJ71" si="20">X8*U8</f>
        <v>3.3333333333333326E-2</v>
      </c>
      <c r="AK8" s="1">
        <f t="shared" ref="AK8:AK71" si="21">CHOOSE(V8,Z8*SQRT(X8/3),SQRT(X8*((Z8^2)+((Y8^2)/3)-(Y8*Z8))))</f>
        <v>0.37932688922470137</v>
      </c>
      <c r="AL8" s="1">
        <f t="shared" si="6"/>
        <v>1.4388888888888887E-4</v>
      </c>
      <c r="AM8" s="1">
        <f t="shared" ref="AM8:AM39" si="22">CHOOSE(V8,(R8+Vd_rect)*Qrr*fsw,(R8+Vd_rect)*Qrr*fsw)</f>
        <v>0.15510000000000004</v>
      </c>
      <c r="AN8" s="136">
        <f>Vd_rect*t_dead*fsw*Z8</f>
        <v>1.3600000000000001E-2</v>
      </c>
      <c r="AO8" s="133">
        <f t="shared" ref="AO8:AO71" si="23">AL8+AM8+AN8</f>
        <v>0.16884388888888893</v>
      </c>
      <c r="AP8" s="132">
        <f t="shared" si="7"/>
        <v>8.6333333333333357E-4</v>
      </c>
      <c r="AQ8" s="137">
        <f t="shared" si="8"/>
        <v>1.7914166666666672E-2</v>
      </c>
      <c r="AR8" s="137">
        <f t="shared" si="9"/>
        <v>4.147588250013759E-2</v>
      </c>
      <c r="AS8" s="1">
        <f t="shared" si="10"/>
        <v>3.7999999999999999E-2</v>
      </c>
      <c r="AT8" s="133">
        <f t="shared" ref="AT8:AT38" si="24">IQ*T8</f>
        <v>4.8000000000000001E-2</v>
      </c>
      <c r="AU8" s="132">
        <f t="shared" ref="AU8:AU71" si="25">AP8+AO8+AI8+AD8+AS8+AT8+AQ8+AR8</f>
        <v>0.33494286126013917</v>
      </c>
      <c r="AV8" s="1">
        <f t="shared" ref="AV8:AV71" si="26">R8*S8</f>
        <v>0.6</v>
      </c>
      <c r="AW8" s="133">
        <f t="shared" ref="AW8:AW71" si="27">(AV8/(AV8+AU8))*100</f>
        <v>64.175044792716534</v>
      </c>
    </row>
    <row r="9" spans="1:49" x14ac:dyDescent="0.25">
      <c r="N9" s="1" t="s">
        <v>451</v>
      </c>
      <c r="O9" s="1">
        <f>Vin_vari</f>
        <v>12</v>
      </c>
      <c r="P9" t="s">
        <v>34</v>
      </c>
      <c r="Q9">
        <v>2</v>
      </c>
      <c r="R9" s="132">
        <f t="shared" si="0"/>
        <v>18</v>
      </c>
      <c r="S9" s="1">
        <f t="shared" si="1"/>
        <v>6.6666666666666666E-2</v>
      </c>
      <c r="T9" s="1">
        <f t="shared" si="2"/>
        <v>12</v>
      </c>
      <c r="U9" s="133">
        <f t="shared" si="11"/>
        <v>9.9999999999999992E-2</v>
      </c>
      <c r="V9" s="132">
        <f>IF(Calculations!$B$17=3,2,IF((S9*R9/T9)&lt;((T9*(1-(T9/R9)))/(2*Lm*fsw)),1,2))</f>
        <v>2</v>
      </c>
      <c r="W9" s="1">
        <f t="shared" si="12"/>
        <v>0.33333333333333337</v>
      </c>
      <c r="X9" s="133">
        <f t="shared" si="3"/>
        <v>0.66666666666666663</v>
      </c>
      <c r="Y9" s="132">
        <f t="shared" si="4"/>
        <v>1.6</v>
      </c>
      <c r="Z9" s="1">
        <f t="shared" si="13"/>
        <v>0.9</v>
      </c>
      <c r="AA9" s="1">
        <f t="shared" si="14"/>
        <v>0.47258156262526091</v>
      </c>
      <c r="AB9" s="1">
        <v>0</v>
      </c>
      <c r="AC9" s="1">
        <f t="shared" si="15"/>
        <v>1.8536666666666674E-2</v>
      </c>
      <c r="AD9" s="133">
        <f t="shared" si="16"/>
        <v>1.8536666666666674E-2</v>
      </c>
      <c r="AE9" s="132">
        <f t="shared" ref="AE9:AE72" si="28">U9*W9</f>
        <v>3.3333333333333333E-2</v>
      </c>
      <c r="AF9" s="1">
        <f t="shared" si="17"/>
        <v>0.27284509239574839</v>
      </c>
      <c r="AG9" s="1">
        <f t="shared" si="5"/>
        <v>7.4444444444444485E-5</v>
      </c>
      <c r="AH9" s="1">
        <f t="shared" si="18"/>
        <v>3.7189575200030924E-3</v>
      </c>
      <c r="AI9" s="133">
        <f t="shared" si="19"/>
        <v>3.7934019644475371E-3</v>
      </c>
      <c r="AJ9" s="132">
        <f t="shared" si="20"/>
        <v>6.6666666666666652E-2</v>
      </c>
      <c r="AK9" s="1">
        <f t="shared" si="21"/>
        <v>0.38586123009300755</v>
      </c>
      <c r="AL9" s="1">
        <f t="shared" si="6"/>
        <v>1.4888888888888891E-4</v>
      </c>
      <c r="AM9" s="1">
        <f t="shared" si="22"/>
        <v>0.15510000000000004</v>
      </c>
      <c r="AN9" s="136">
        <f t="shared" ref="AN9:AN38" si="29">Vd_rect*t_dead*fsw*Z9</f>
        <v>1.4400000000000001E-2</v>
      </c>
      <c r="AO9" s="133">
        <f t="shared" si="23"/>
        <v>0.16964888888888893</v>
      </c>
      <c r="AP9" s="132">
        <f t="shared" si="7"/>
        <v>8.9333333333333365E-4</v>
      </c>
      <c r="AQ9" s="137">
        <f t="shared" si="8"/>
        <v>1.8536666666666674E-2</v>
      </c>
      <c r="AR9" s="137">
        <f t="shared" si="9"/>
        <v>4.147588250013759E-2</v>
      </c>
      <c r="AS9" s="1">
        <f t="shared" si="10"/>
        <v>3.7999999999999999E-2</v>
      </c>
      <c r="AT9" s="133">
        <f t="shared" si="24"/>
        <v>4.8000000000000001E-2</v>
      </c>
      <c r="AU9" s="132">
        <f t="shared" si="25"/>
        <v>0.33888484002014074</v>
      </c>
      <c r="AV9" s="1">
        <f t="shared" si="26"/>
        <v>1.2</v>
      </c>
      <c r="AW9" s="133">
        <f t="shared" si="27"/>
        <v>77.978544514370199</v>
      </c>
    </row>
    <row r="10" spans="1:49" x14ac:dyDescent="0.25">
      <c r="N10" s="1"/>
      <c r="O10" s="1"/>
      <c r="Q10">
        <v>3</v>
      </c>
      <c r="R10" s="132">
        <f t="shared" si="0"/>
        <v>18</v>
      </c>
      <c r="S10" s="1">
        <f t="shared" si="1"/>
        <v>0.1</v>
      </c>
      <c r="T10" s="1">
        <f t="shared" si="2"/>
        <v>12</v>
      </c>
      <c r="U10" s="133">
        <f t="shared" si="11"/>
        <v>0.15</v>
      </c>
      <c r="V10" s="132">
        <f>IF(Calculations!$B$17=3,2,IF((S10*R10/T10)&lt;((T10*(1-(T10/R10)))/(2*Lm*fsw)),1,2))</f>
        <v>2</v>
      </c>
      <c r="W10" s="1">
        <f t="shared" si="12"/>
        <v>0.33333333333333337</v>
      </c>
      <c r="X10" s="133">
        <f t="shared" si="3"/>
        <v>0.66666666666666663</v>
      </c>
      <c r="Y10" s="132">
        <f t="shared" si="4"/>
        <v>1.6</v>
      </c>
      <c r="Z10" s="1">
        <f t="shared" si="13"/>
        <v>0.95000000000000007</v>
      </c>
      <c r="AA10" s="1">
        <f t="shared" si="14"/>
        <v>0.48562674281111556</v>
      </c>
      <c r="AB10" s="1">
        <v>0</v>
      </c>
      <c r="AC10" s="1">
        <f t="shared" si="15"/>
        <v>1.9574166666666674E-2</v>
      </c>
      <c r="AD10" s="133">
        <f t="shared" si="16"/>
        <v>1.9574166666666674E-2</v>
      </c>
      <c r="AE10" s="132">
        <f t="shared" si="28"/>
        <v>0.05</v>
      </c>
      <c r="AF10" s="1">
        <f t="shared" si="17"/>
        <v>0.28037673068767871</v>
      </c>
      <c r="AG10" s="1">
        <f t="shared" si="5"/>
        <v>7.8611111111111126E-5</v>
      </c>
      <c r="AH10" s="1">
        <f t="shared" si="18"/>
        <v>5.5784362800046384E-3</v>
      </c>
      <c r="AI10" s="133">
        <f t="shared" si="19"/>
        <v>5.6570473911157493E-3</v>
      </c>
      <c r="AJ10" s="132">
        <f t="shared" si="20"/>
        <v>9.9999999999999992E-2</v>
      </c>
      <c r="AK10" s="1">
        <f t="shared" si="21"/>
        <v>0.39651257511234395</v>
      </c>
      <c r="AL10" s="1">
        <f t="shared" si="6"/>
        <v>1.572222222222222E-4</v>
      </c>
      <c r="AM10" s="1">
        <f t="shared" si="22"/>
        <v>0.15510000000000004</v>
      </c>
      <c r="AN10" s="136">
        <f t="shared" si="29"/>
        <v>1.5200000000000002E-2</v>
      </c>
      <c r="AO10" s="133">
        <f t="shared" si="23"/>
        <v>0.17045722222222226</v>
      </c>
      <c r="AP10" s="132">
        <f t="shared" si="7"/>
        <v>9.4333333333333357E-4</v>
      </c>
      <c r="AQ10" s="137">
        <f t="shared" si="8"/>
        <v>1.9574166666666674E-2</v>
      </c>
      <c r="AR10" s="137">
        <f t="shared" si="9"/>
        <v>4.147588250013759E-2</v>
      </c>
      <c r="AS10" s="1">
        <f t="shared" si="10"/>
        <v>3.7999999999999999E-2</v>
      </c>
      <c r="AT10" s="133">
        <f t="shared" si="24"/>
        <v>4.8000000000000001E-2</v>
      </c>
      <c r="AU10" s="132">
        <f t="shared" si="25"/>
        <v>0.34368181878014226</v>
      </c>
      <c r="AV10" s="1">
        <f t="shared" si="26"/>
        <v>1.8</v>
      </c>
      <c r="AW10" s="133">
        <f t="shared" si="27"/>
        <v>83.967685140152298</v>
      </c>
    </row>
    <row r="11" spans="1:49" x14ac:dyDescent="0.25">
      <c r="N11" s="1" t="s">
        <v>258</v>
      </c>
      <c r="O11" s="1">
        <v>150</v>
      </c>
      <c r="Q11">
        <v>4</v>
      </c>
      <c r="R11" s="132">
        <f t="shared" si="0"/>
        <v>18</v>
      </c>
      <c r="S11" s="1">
        <f t="shared" si="1"/>
        <v>0.13333333333333333</v>
      </c>
      <c r="T11" s="1">
        <f t="shared" si="2"/>
        <v>12</v>
      </c>
      <c r="U11" s="133">
        <f t="shared" si="11"/>
        <v>0.19999999999999998</v>
      </c>
      <c r="V11" s="132">
        <f>IF(Calculations!$B$17=3,2,IF((S11*R11/T11)&lt;((T11*(1-(T11/R11)))/(2*Lm*fsw)),1,2))</f>
        <v>2</v>
      </c>
      <c r="W11" s="1">
        <f t="shared" si="12"/>
        <v>0.33333333333333337</v>
      </c>
      <c r="X11" s="133">
        <f t="shared" si="3"/>
        <v>0.66666666666666663</v>
      </c>
      <c r="Y11" s="132">
        <f t="shared" si="4"/>
        <v>1.6</v>
      </c>
      <c r="Z11" s="1">
        <f t="shared" si="13"/>
        <v>1</v>
      </c>
      <c r="AA11" s="1">
        <f t="shared" si="14"/>
        <v>0.50332229568471665</v>
      </c>
      <c r="AB11" s="1">
        <v>0</v>
      </c>
      <c r="AC11" s="1">
        <f t="shared" si="15"/>
        <v>2.1026666666666669E-2</v>
      </c>
      <c r="AD11" s="133">
        <f t="shared" si="16"/>
        <v>2.1026666666666669E-2</v>
      </c>
      <c r="AE11" s="132">
        <f t="shared" si="28"/>
        <v>6.6666666666666666E-2</v>
      </c>
      <c r="AF11" s="1">
        <f t="shared" si="17"/>
        <v>0.29059326290271165</v>
      </c>
      <c r="AG11" s="1">
        <f t="shared" si="5"/>
        <v>8.4444444444444484E-5</v>
      </c>
      <c r="AH11" s="1">
        <f t="shared" si="18"/>
        <v>7.4379150400061848E-3</v>
      </c>
      <c r="AI11" s="133">
        <f t="shared" si="19"/>
        <v>7.5223594844506291E-3</v>
      </c>
      <c r="AJ11" s="132">
        <f t="shared" si="20"/>
        <v>0.1333333333333333</v>
      </c>
      <c r="AK11" s="1">
        <f t="shared" si="21"/>
        <v>0.41096093353126512</v>
      </c>
      <c r="AL11" s="1">
        <f t="shared" si="6"/>
        <v>1.6888888888888889E-4</v>
      </c>
      <c r="AM11" s="1">
        <f t="shared" si="22"/>
        <v>0.15510000000000004</v>
      </c>
      <c r="AN11" s="136">
        <f t="shared" si="29"/>
        <v>1.6E-2</v>
      </c>
      <c r="AO11" s="133">
        <f t="shared" si="23"/>
        <v>0.17126888888888891</v>
      </c>
      <c r="AP11" s="132">
        <f t="shared" si="7"/>
        <v>1.0133333333333335E-3</v>
      </c>
      <c r="AQ11" s="137">
        <f t="shared" si="8"/>
        <v>2.1026666666666669E-2</v>
      </c>
      <c r="AR11" s="137">
        <f t="shared" si="9"/>
        <v>4.147588250013759E-2</v>
      </c>
      <c r="AS11" s="1">
        <f t="shared" si="10"/>
        <v>3.7999999999999999E-2</v>
      </c>
      <c r="AT11" s="133">
        <f t="shared" si="24"/>
        <v>4.8000000000000001E-2</v>
      </c>
      <c r="AU11" s="132">
        <f t="shared" si="25"/>
        <v>0.34933379754014382</v>
      </c>
      <c r="AV11" s="1">
        <f t="shared" si="26"/>
        <v>2.4</v>
      </c>
      <c r="AW11" s="133">
        <f t="shared" si="27"/>
        <v>87.293874688744737</v>
      </c>
    </row>
    <row r="12" spans="1:49" x14ac:dyDescent="0.25">
      <c r="N12" s="1" t="s">
        <v>635</v>
      </c>
      <c r="O12" s="1">
        <f>IOUT/(O11)</f>
        <v>3.3333333333333333E-2</v>
      </c>
      <c r="Q12">
        <v>5</v>
      </c>
      <c r="R12" s="132">
        <f t="shared" si="0"/>
        <v>18</v>
      </c>
      <c r="S12" s="1">
        <f t="shared" si="1"/>
        <v>0.16666666666666666</v>
      </c>
      <c r="T12" s="1">
        <f t="shared" si="2"/>
        <v>12</v>
      </c>
      <c r="U12" s="133">
        <f t="shared" si="11"/>
        <v>0.25</v>
      </c>
      <c r="V12" s="132">
        <f>IF(Calculations!$B$17=3,2,IF((S12*R12/T12)&lt;((T12*(1-(T12/R12)))/(2*Lm*fsw)),1,2))</f>
        <v>2</v>
      </c>
      <c r="W12" s="1">
        <f t="shared" si="12"/>
        <v>0.33333333333333337</v>
      </c>
      <c r="X12" s="133">
        <f t="shared" si="3"/>
        <v>0.66666666666666663</v>
      </c>
      <c r="Y12" s="132">
        <f t="shared" si="4"/>
        <v>1.6</v>
      </c>
      <c r="Z12" s="1">
        <f t="shared" si="13"/>
        <v>1.05</v>
      </c>
      <c r="AA12" s="1">
        <f t="shared" si="14"/>
        <v>0.52519837521962442</v>
      </c>
      <c r="AB12" s="1">
        <v>0</v>
      </c>
      <c r="AC12" s="1">
        <f t="shared" si="15"/>
        <v>2.2894166666666677E-2</v>
      </c>
      <c r="AD12" s="133">
        <f t="shared" si="16"/>
        <v>2.2894166666666677E-2</v>
      </c>
      <c r="AE12" s="132">
        <f t="shared" si="28"/>
        <v>8.3333333333333343E-2</v>
      </c>
      <c r="AF12" s="1">
        <f t="shared" si="17"/>
        <v>0.30322342331100421</v>
      </c>
      <c r="AG12" s="1">
        <f t="shared" si="5"/>
        <v>9.1944444444444449E-5</v>
      </c>
      <c r="AH12" s="1">
        <f t="shared" si="18"/>
        <v>9.297393800007733E-3</v>
      </c>
      <c r="AI12" s="133">
        <f t="shared" si="19"/>
        <v>9.3893382444521778E-3</v>
      </c>
      <c r="AJ12" s="132">
        <f t="shared" si="20"/>
        <v>0.16666666666666666</v>
      </c>
      <c r="AK12" s="1">
        <f t="shared" si="21"/>
        <v>0.42882267767562027</v>
      </c>
      <c r="AL12" s="1">
        <f t="shared" si="6"/>
        <v>1.838888888888889E-4</v>
      </c>
      <c r="AM12" s="1">
        <f t="shared" si="22"/>
        <v>0.15510000000000004</v>
      </c>
      <c r="AN12" s="136">
        <f t="shared" si="29"/>
        <v>1.6800000000000002E-2</v>
      </c>
      <c r="AO12" s="133">
        <f t="shared" si="23"/>
        <v>0.17208388888888895</v>
      </c>
      <c r="AP12" s="132">
        <f t="shared" si="7"/>
        <v>1.1033333333333338E-3</v>
      </c>
      <c r="AQ12" s="137">
        <f t="shared" si="8"/>
        <v>2.2894166666666677E-2</v>
      </c>
      <c r="AR12" s="137">
        <f t="shared" si="9"/>
        <v>4.147588250013759E-2</v>
      </c>
      <c r="AS12" s="1">
        <f t="shared" si="10"/>
        <v>3.7999999999999999E-2</v>
      </c>
      <c r="AT12" s="133">
        <f t="shared" si="24"/>
        <v>4.8000000000000001E-2</v>
      </c>
      <c r="AU12" s="132">
        <f t="shared" si="25"/>
        <v>0.35584077630014543</v>
      </c>
      <c r="AV12" s="1">
        <f t="shared" si="26"/>
        <v>3</v>
      </c>
      <c r="AW12" s="133">
        <f t="shared" si="27"/>
        <v>89.396374857436939</v>
      </c>
    </row>
    <row r="13" spans="1:49" x14ac:dyDescent="0.25">
      <c r="Q13">
        <v>6</v>
      </c>
      <c r="R13" s="132">
        <f t="shared" si="0"/>
        <v>18</v>
      </c>
      <c r="S13" s="1">
        <f t="shared" si="1"/>
        <v>0.2</v>
      </c>
      <c r="T13" s="1">
        <f t="shared" si="2"/>
        <v>12</v>
      </c>
      <c r="U13" s="133">
        <f t="shared" si="11"/>
        <v>0.3</v>
      </c>
      <c r="V13" s="132">
        <f>IF(Calculations!$B$17=3,2,IF((S13*R13/T13)&lt;((T13*(1-(T13/R13)))/(2*Lm*fsw)),1,2))</f>
        <v>2</v>
      </c>
      <c r="W13" s="1">
        <f t="shared" si="12"/>
        <v>0.33333333333333337</v>
      </c>
      <c r="X13" s="133">
        <f t="shared" si="3"/>
        <v>0.66666666666666663</v>
      </c>
      <c r="Y13" s="132">
        <f t="shared" si="4"/>
        <v>1.6</v>
      </c>
      <c r="Z13" s="1">
        <f t="shared" si="13"/>
        <v>1.1000000000000001</v>
      </c>
      <c r="AA13" s="1">
        <f t="shared" si="14"/>
        <v>0.55075705472861025</v>
      </c>
      <c r="AB13" s="1">
        <v>0</v>
      </c>
      <c r="AC13" s="1">
        <f t="shared" si="15"/>
        <v>2.5176666666666674E-2</v>
      </c>
      <c r="AD13" s="133">
        <f t="shared" si="16"/>
        <v>2.5176666666666674E-2</v>
      </c>
      <c r="AE13" s="132">
        <f t="shared" si="28"/>
        <v>0.1</v>
      </c>
      <c r="AF13" s="1">
        <f t="shared" si="17"/>
        <v>0.31797973380564848</v>
      </c>
      <c r="AG13" s="1">
        <f t="shared" si="5"/>
        <v>1.0111111111111108E-4</v>
      </c>
      <c r="AH13" s="1">
        <f t="shared" si="18"/>
        <v>1.1156872560009277E-2</v>
      </c>
      <c r="AI13" s="133">
        <f t="shared" si="19"/>
        <v>1.1257983671120388E-2</v>
      </c>
      <c r="AJ13" s="132">
        <f t="shared" si="20"/>
        <v>0.19999999999999998</v>
      </c>
      <c r="AK13" s="1">
        <f t="shared" si="21"/>
        <v>0.44969125210773464</v>
      </c>
      <c r="AL13" s="1">
        <f t="shared" si="6"/>
        <v>2.0222222222222218E-4</v>
      </c>
      <c r="AM13" s="1">
        <f t="shared" si="22"/>
        <v>0.15510000000000004</v>
      </c>
      <c r="AN13" s="136">
        <f t="shared" si="29"/>
        <v>1.7600000000000001E-2</v>
      </c>
      <c r="AO13" s="133">
        <f t="shared" si="23"/>
        <v>0.17290222222222226</v>
      </c>
      <c r="AP13" s="132">
        <f t="shared" si="7"/>
        <v>1.2133333333333336E-3</v>
      </c>
      <c r="AQ13" s="137">
        <f t="shared" si="8"/>
        <v>2.5176666666666674E-2</v>
      </c>
      <c r="AR13" s="137">
        <f t="shared" si="9"/>
        <v>4.147588250013759E-2</v>
      </c>
      <c r="AS13" s="1">
        <f t="shared" si="10"/>
        <v>3.7999999999999999E-2</v>
      </c>
      <c r="AT13" s="133">
        <f t="shared" si="24"/>
        <v>4.8000000000000001E-2</v>
      </c>
      <c r="AU13" s="132">
        <f t="shared" si="25"/>
        <v>0.36320275506014699</v>
      </c>
      <c r="AV13" s="1">
        <f t="shared" si="26"/>
        <v>3.6</v>
      </c>
      <c r="AW13" s="133">
        <f t="shared" si="27"/>
        <v>90.83562518732063</v>
      </c>
    </row>
    <row r="14" spans="1:49" x14ac:dyDescent="0.25">
      <c r="Q14">
        <v>7</v>
      </c>
      <c r="R14" s="132">
        <f t="shared" si="0"/>
        <v>18</v>
      </c>
      <c r="S14" s="1">
        <f t="shared" si="1"/>
        <v>0.23333333333333334</v>
      </c>
      <c r="T14" s="1">
        <f t="shared" si="2"/>
        <v>12</v>
      </c>
      <c r="U14" s="133">
        <f t="shared" si="11"/>
        <v>0.35000000000000003</v>
      </c>
      <c r="V14" s="132">
        <f>IF(Calculations!$B$17=3,2,IF((S14*R14/T14)&lt;((T14*(1-(T14/R14)))/(2*Lm*fsw)),1,2))</f>
        <v>2</v>
      </c>
      <c r="W14" s="1">
        <f t="shared" si="12"/>
        <v>0.33333333333333337</v>
      </c>
      <c r="X14" s="133">
        <f t="shared" si="3"/>
        <v>0.66666666666666663</v>
      </c>
      <c r="Y14" s="132">
        <f t="shared" si="4"/>
        <v>1.6</v>
      </c>
      <c r="Z14" s="1">
        <f t="shared" si="13"/>
        <v>1.1500000000000001</v>
      </c>
      <c r="AA14" s="1">
        <f t="shared" si="14"/>
        <v>0.57951128835712373</v>
      </c>
      <c r="AB14" s="1">
        <v>0</v>
      </c>
      <c r="AC14" s="1">
        <f t="shared" si="15"/>
        <v>2.7874166666666676E-2</v>
      </c>
      <c r="AD14" s="133">
        <f t="shared" si="16"/>
        <v>2.7874166666666676E-2</v>
      </c>
      <c r="AE14" s="132">
        <f t="shared" si="28"/>
        <v>0.1166666666666667</v>
      </c>
      <c r="AF14" s="1">
        <f t="shared" si="17"/>
        <v>0.33458099833141225</v>
      </c>
      <c r="AG14" s="1">
        <f t="shared" si="5"/>
        <v>1.1194444444444449E-4</v>
      </c>
      <c r="AH14" s="1">
        <f t="shared" si="18"/>
        <v>1.3016351320010828E-2</v>
      </c>
      <c r="AI14" s="133">
        <f t="shared" si="19"/>
        <v>1.3128295764455272E-2</v>
      </c>
      <c r="AJ14" s="132">
        <f t="shared" si="20"/>
        <v>0.23333333333333334</v>
      </c>
      <c r="AK14" s="1">
        <f t="shared" si="21"/>
        <v>0.47316898555261305</v>
      </c>
      <c r="AL14" s="1">
        <f t="shared" si="6"/>
        <v>2.2388888888888895E-4</v>
      </c>
      <c r="AM14" s="1">
        <f t="shared" si="22"/>
        <v>0.15510000000000004</v>
      </c>
      <c r="AN14" s="136">
        <f t="shared" si="29"/>
        <v>1.8400000000000003E-2</v>
      </c>
      <c r="AO14" s="133">
        <f t="shared" si="23"/>
        <v>0.17372388888888893</v>
      </c>
      <c r="AP14" s="132">
        <f t="shared" si="7"/>
        <v>1.3433333333333337E-3</v>
      </c>
      <c r="AQ14" s="137">
        <f t="shared" si="8"/>
        <v>2.7874166666666676E-2</v>
      </c>
      <c r="AR14" s="137">
        <f t="shared" si="9"/>
        <v>4.147588250013759E-2</v>
      </c>
      <c r="AS14" s="1">
        <f t="shared" si="10"/>
        <v>3.7999999999999999E-2</v>
      </c>
      <c r="AT14" s="133">
        <f t="shared" si="24"/>
        <v>4.8000000000000001E-2</v>
      </c>
      <c r="AU14" s="132">
        <f t="shared" si="25"/>
        <v>0.37141973382014848</v>
      </c>
      <c r="AV14" s="1">
        <f t="shared" si="26"/>
        <v>4.2</v>
      </c>
      <c r="AW14" s="133">
        <f t="shared" si="27"/>
        <v>91.875177615559537</v>
      </c>
    </row>
    <row r="15" spans="1:49" x14ac:dyDescent="0.25">
      <c r="O15">
        <f>0.205*2.5/(Lm*fsw)</f>
        <v>0.20499999999999999</v>
      </c>
      <c r="Q15">
        <v>8</v>
      </c>
      <c r="R15" s="132">
        <f t="shared" si="0"/>
        <v>18</v>
      </c>
      <c r="S15" s="1">
        <f t="shared" si="1"/>
        <v>0.26666666666666666</v>
      </c>
      <c r="T15" s="1">
        <f t="shared" si="2"/>
        <v>12</v>
      </c>
      <c r="U15" s="133">
        <f t="shared" si="11"/>
        <v>0.39999999999999997</v>
      </c>
      <c r="V15" s="132">
        <f>IF(Calculations!$B$17=3,2,IF((S15*R15/T15)&lt;((T15*(1-(T15/R15)))/(2*Lm*fsw)),1,2))</f>
        <v>2</v>
      </c>
      <c r="W15" s="1">
        <f t="shared" si="12"/>
        <v>0.33333333333333337</v>
      </c>
      <c r="X15" s="133">
        <f t="shared" si="3"/>
        <v>0.66666666666666663</v>
      </c>
      <c r="Y15" s="132">
        <f t="shared" si="4"/>
        <v>1.6</v>
      </c>
      <c r="Z15" s="1">
        <f t="shared" si="13"/>
        <v>1.2</v>
      </c>
      <c r="AA15" s="1">
        <f t="shared" si="14"/>
        <v>0.61101009266077866</v>
      </c>
      <c r="AB15" s="1">
        <v>0</v>
      </c>
      <c r="AC15" s="1">
        <f t="shared" si="15"/>
        <v>3.0986666666666666E-2</v>
      </c>
      <c r="AD15" s="133">
        <f t="shared" si="16"/>
        <v>3.0986666666666666E-2</v>
      </c>
      <c r="AE15" s="132">
        <f t="shared" si="28"/>
        <v>0.13333333333333333</v>
      </c>
      <c r="AF15" s="1">
        <f t="shared" si="17"/>
        <v>0.35276684147527887</v>
      </c>
      <c r="AG15" s="1">
        <f t="shared" si="5"/>
        <v>1.2444444444444455E-4</v>
      </c>
      <c r="AH15" s="1">
        <f t="shared" si="18"/>
        <v>1.487583008001237E-2</v>
      </c>
      <c r="AI15" s="133">
        <f t="shared" si="19"/>
        <v>1.5000274524456814E-2</v>
      </c>
      <c r="AJ15" s="132">
        <f t="shared" si="20"/>
        <v>0.26666666666666661</v>
      </c>
      <c r="AK15" s="1">
        <f t="shared" si="21"/>
        <v>0.49888765156985898</v>
      </c>
      <c r="AL15" s="1">
        <f t="shared" si="6"/>
        <v>2.4888888888888904E-4</v>
      </c>
      <c r="AM15" s="1">
        <f t="shared" si="22"/>
        <v>0.15510000000000004</v>
      </c>
      <c r="AN15" s="136">
        <f t="shared" si="29"/>
        <v>1.9199999999999998E-2</v>
      </c>
      <c r="AO15" s="133">
        <f t="shared" si="23"/>
        <v>0.17454888888888892</v>
      </c>
      <c r="AP15" s="132">
        <f t="shared" si="7"/>
        <v>1.4933333333333333E-3</v>
      </c>
      <c r="AQ15" s="137">
        <f t="shared" si="8"/>
        <v>3.0986666666666666E-2</v>
      </c>
      <c r="AR15" s="137">
        <f t="shared" si="9"/>
        <v>4.147588250013759E-2</v>
      </c>
      <c r="AS15" s="1">
        <f t="shared" si="10"/>
        <v>3.7999999999999999E-2</v>
      </c>
      <c r="AT15" s="133">
        <f t="shared" si="24"/>
        <v>4.8000000000000001E-2</v>
      </c>
      <c r="AU15" s="132">
        <f t="shared" si="25"/>
        <v>0.38049171258015002</v>
      </c>
      <c r="AV15" s="1">
        <f t="shared" si="26"/>
        <v>4.8</v>
      </c>
      <c r="AW15" s="133">
        <f t="shared" si="27"/>
        <v>92.655297340671822</v>
      </c>
    </row>
    <row r="16" spans="1:49" x14ac:dyDescent="0.25">
      <c r="Q16">
        <v>9</v>
      </c>
      <c r="R16" s="132">
        <f t="shared" si="0"/>
        <v>18</v>
      </c>
      <c r="S16" s="1">
        <f t="shared" si="1"/>
        <v>0.3</v>
      </c>
      <c r="T16" s="1">
        <f t="shared" si="2"/>
        <v>12</v>
      </c>
      <c r="U16" s="133">
        <f t="shared" si="11"/>
        <v>0.44999999999999996</v>
      </c>
      <c r="V16" s="132">
        <f>IF(Calculations!$B$17=3,2,IF((S16*R16/T16)&lt;((T16*(1-(T16/R16)))/(2*Lm*fsw)),1,2))</f>
        <v>2</v>
      </c>
      <c r="W16" s="1">
        <f t="shared" si="12"/>
        <v>0.33333333333333337</v>
      </c>
      <c r="X16" s="133">
        <f t="shared" si="3"/>
        <v>0.66666666666666663</v>
      </c>
      <c r="Y16" s="132">
        <f t="shared" si="4"/>
        <v>1.6</v>
      </c>
      <c r="Z16" s="1">
        <f t="shared" si="13"/>
        <v>1.25</v>
      </c>
      <c r="AA16" s="1">
        <f t="shared" si="14"/>
        <v>0.64485140407177011</v>
      </c>
      <c r="AB16" s="1">
        <v>0</v>
      </c>
      <c r="AC16" s="1">
        <f t="shared" si="15"/>
        <v>3.4514166666666665E-2</v>
      </c>
      <c r="AD16" s="133">
        <f t="shared" si="16"/>
        <v>3.4514166666666665E-2</v>
      </c>
      <c r="AE16" s="132">
        <f t="shared" si="28"/>
        <v>0.15</v>
      </c>
      <c r="AF16" s="1">
        <f t="shared" si="17"/>
        <v>0.37230513172814472</v>
      </c>
      <c r="AG16" s="1">
        <f t="shared" si="5"/>
        <v>1.3861111111111119E-4</v>
      </c>
      <c r="AH16" s="1">
        <f t="shared" si="18"/>
        <v>1.6735308840013917E-2</v>
      </c>
      <c r="AI16" s="133">
        <f t="shared" si="19"/>
        <v>1.6873919951125027E-2</v>
      </c>
      <c r="AJ16" s="132">
        <f t="shared" si="20"/>
        <v>0.29999999999999993</v>
      </c>
      <c r="AK16" s="1">
        <f t="shared" si="21"/>
        <v>0.52651896663104392</v>
      </c>
      <c r="AL16" s="1">
        <f t="shared" si="6"/>
        <v>2.7722222222222232E-4</v>
      </c>
      <c r="AM16" s="1">
        <f t="shared" si="22"/>
        <v>0.15510000000000004</v>
      </c>
      <c r="AN16" s="136">
        <f t="shared" si="29"/>
        <v>0.02</v>
      </c>
      <c r="AO16" s="133">
        <f t="shared" si="23"/>
        <v>0.17537722222222227</v>
      </c>
      <c r="AP16" s="132">
        <f t="shared" si="7"/>
        <v>1.6633333333333333E-3</v>
      </c>
      <c r="AQ16" s="137">
        <f t="shared" si="8"/>
        <v>3.4514166666666665E-2</v>
      </c>
      <c r="AR16" s="137">
        <f t="shared" si="9"/>
        <v>4.147588250013759E-2</v>
      </c>
      <c r="AS16" s="1">
        <f t="shared" si="10"/>
        <v>3.7999999999999999E-2</v>
      </c>
      <c r="AT16" s="133">
        <f t="shared" si="24"/>
        <v>4.8000000000000001E-2</v>
      </c>
      <c r="AU16" s="132">
        <f t="shared" si="25"/>
        <v>0.3904186913401515</v>
      </c>
      <c r="AV16" s="1">
        <f t="shared" si="26"/>
        <v>5.3999999999999995</v>
      </c>
      <c r="AW16" s="133">
        <f t="shared" si="27"/>
        <v>93.257504989681635</v>
      </c>
    </row>
    <row r="17" spans="17:49" x14ac:dyDescent="0.25">
      <c r="Q17">
        <v>10</v>
      </c>
      <c r="R17" s="132">
        <f t="shared" si="0"/>
        <v>18</v>
      </c>
      <c r="S17" s="1">
        <f t="shared" si="1"/>
        <v>0.33333333333333331</v>
      </c>
      <c r="T17" s="1">
        <f t="shared" si="2"/>
        <v>12</v>
      </c>
      <c r="U17" s="133">
        <f t="shared" si="11"/>
        <v>0.5</v>
      </c>
      <c r="V17" s="132">
        <f>IF(Calculations!$B$17=3,2,IF((S17*R17/T17)&lt;((T17*(1-(T17/R17)))/(2*Lm*fsw)),1,2))</f>
        <v>2</v>
      </c>
      <c r="W17" s="1">
        <f t="shared" si="12"/>
        <v>0.33333333333333337</v>
      </c>
      <c r="X17" s="133">
        <f t="shared" si="3"/>
        <v>0.66666666666666663</v>
      </c>
      <c r="Y17" s="132">
        <f t="shared" si="4"/>
        <v>1.6</v>
      </c>
      <c r="Z17" s="1">
        <f t="shared" si="13"/>
        <v>1.3</v>
      </c>
      <c r="AA17" s="1">
        <f t="shared" si="14"/>
        <v>0.68068592855540455</v>
      </c>
      <c r="AB17" s="1">
        <v>0</v>
      </c>
      <c r="AC17" s="1">
        <f t="shared" si="15"/>
        <v>3.8456666666666667E-2</v>
      </c>
      <c r="AD17" s="133">
        <f t="shared" si="16"/>
        <v>3.8456666666666667E-2</v>
      </c>
      <c r="AE17" s="132">
        <f t="shared" si="28"/>
        <v>0.16666666666666669</v>
      </c>
      <c r="AF17" s="1">
        <f t="shared" si="17"/>
        <v>0.39299420408505342</v>
      </c>
      <c r="AG17" s="1">
        <f t="shared" si="5"/>
        <v>1.544444444444446E-4</v>
      </c>
      <c r="AH17" s="1">
        <f t="shared" si="18"/>
        <v>1.8594787600015466E-2</v>
      </c>
      <c r="AI17" s="133">
        <f t="shared" si="19"/>
        <v>1.8749232044459909E-2</v>
      </c>
      <c r="AJ17" s="132">
        <f t="shared" si="20"/>
        <v>0.33333333333333331</v>
      </c>
      <c r="AK17" s="1">
        <f t="shared" si="21"/>
        <v>0.55577773335110248</v>
      </c>
      <c r="AL17" s="1">
        <f t="shared" si="6"/>
        <v>3.0888888888888914E-4</v>
      </c>
      <c r="AM17" s="1">
        <f t="shared" si="22"/>
        <v>0.15510000000000004</v>
      </c>
      <c r="AN17" s="136">
        <f t="shared" si="29"/>
        <v>2.0800000000000003E-2</v>
      </c>
      <c r="AO17" s="133">
        <f t="shared" si="23"/>
        <v>0.17620888888888894</v>
      </c>
      <c r="AP17" s="132">
        <f t="shared" si="7"/>
        <v>1.8533333333333334E-3</v>
      </c>
      <c r="AQ17" s="137">
        <f t="shared" si="8"/>
        <v>3.8456666666666667E-2</v>
      </c>
      <c r="AR17" s="137">
        <f t="shared" si="9"/>
        <v>4.147588250013759E-2</v>
      </c>
      <c r="AS17" s="1">
        <f t="shared" si="10"/>
        <v>3.7999999999999999E-2</v>
      </c>
      <c r="AT17" s="133">
        <f t="shared" si="24"/>
        <v>4.8000000000000001E-2</v>
      </c>
      <c r="AU17" s="132">
        <f t="shared" si="25"/>
        <v>0.40120067010015303</v>
      </c>
      <c r="AV17" s="1">
        <f t="shared" si="26"/>
        <v>6</v>
      </c>
      <c r="AW17" s="133">
        <f t="shared" si="27"/>
        <v>93.732415358041322</v>
      </c>
    </row>
    <row r="18" spans="17:49" x14ac:dyDescent="0.25">
      <c r="Q18">
        <v>11</v>
      </c>
      <c r="R18" s="132">
        <f t="shared" si="0"/>
        <v>18</v>
      </c>
      <c r="S18" s="1">
        <f t="shared" si="1"/>
        <v>0.36666666666666664</v>
      </c>
      <c r="T18" s="1">
        <f t="shared" si="2"/>
        <v>12</v>
      </c>
      <c r="U18" s="133">
        <f t="shared" si="11"/>
        <v>0.54999999999999993</v>
      </c>
      <c r="V18" s="132">
        <f>IF(Calculations!$B$17=3,2,IF((S18*R18/T18)&lt;((T18*(1-(T18/R18)))/(2*Lm*fsw)),1,2))</f>
        <v>2</v>
      </c>
      <c r="W18" s="1">
        <f t="shared" si="12"/>
        <v>0.33333333333333337</v>
      </c>
      <c r="X18" s="133">
        <f t="shared" si="3"/>
        <v>0.66666666666666663</v>
      </c>
      <c r="Y18" s="132">
        <f t="shared" si="4"/>
        <v>1.6</v>
      </c>
      <c r="Z18" s="1">
        <f t="shared" si="13"/>
        <v>1.35</v>
      </c>
      <c r="AA18" s="1">
        <f t="shared" si="14"/>
        <v>0.71821538088050818</v>
      </c>
      <c r="AB18" s="1">
        <v>0</v>
      </c>
      <c r="AC18" s="1">
        <f t="shared" si="15"/>
        <v>4.2814166666666681E-2</v>
      </c>
      <c r="AD18" s="133">
        <f t="shared" si="16"/>
        <v>4.2814166666666681E-2</v>
      </c>
      <c r="AE18" s="132">
        <f t="shared" si="28"/>
        <v>0.18333333333333332</v>
      </c>
      <c r="AF18" s="1">
        <f t="shared" si="17"/>
        <v>0.41466184348749108</v>
      </c>
      <c r="AG18" s="1">
        <f t="shared" si="5"/>
        <v>1.7194444444444454E-4</v>
      </c>
      <c r="AH18" s="1">
        <f t="shared" si="18"/>
        <v>2.0454266360017008E-2</v>
      </c>
      <c r="AI18" s="133">
        <f t="shared" si="19"/>
        <v>2.0626210804461451E-2</v>
      </c>
      <c r="AJ18" s="132">
        <f t="shared" si="20"/>
        <v>0.36666666666666659</v>
      </c>
      <c r="AK18" s="1">
        <f t="shared" si="21"/>
        <v>0.5864204028586395</v>
      </c>
      <c r="AL18" s="1">
        <f t="shared" si="6"/>
        <v>3.4388888888888902E-4</v>
      </c>
      <c r="AM18" s="1">
        <f t="shared" si="22"/>
        <v>0.15510000000000004</v>
      </c>
      <c r="AN18" s="136">
        <f t="shared" si="29"/>
        <v>2.1600000000000001E-2</v>
      </c>
      <c r="AO18" s="133">
        <f t="shared" si="23"/>
        <v>0.17704388888888895</v>
      </c>
      <c r="AP18" s="132">
        <f t="shared" si="7"/>
        <v>2.0633333333333341E-3</v>
      </c>
      <c r="AQ18" s="137">
        <f t="shared" si="8"/>
        <v>4.2814166666666681E-2</v>
      </c>
      <c r="AR18" s="137">
        <f t="shared" si="9"/>
        <v>4.147588250013759E-2</v>
      </c>
      <c r="AS18" s="1">
        <f t="shared" si="10"/>
        <v>3.7999999999999999E-2</v>
      </c>
      <c r="AT18" s="133">
        <f t="shared" si="24"/>
        <v>4.8000000000000001E-2</v>
      </c>
      <c r="AU18" s="132">
        <f t="shared" si="25"/>
        <v>0.41283764886015462</v>
      </c>
      <c r="AV18" s="1">
        <f t="shared" si="26"/>
        <v>6.6</v>
      </c>
      <c r="AW18" s="133">
        <f t="shared" si="27"/>
        <v>94.113115552771205</v>
      </c>
    </row>
    <row r="19" spans="17:49" x14ac:dyDescent="0.25">
      <c r="Q19">
        <v>12</v>
      </c>
      <c r="R19" s="132">
        <f t="shared" si="0"/>
        <v>18</v>
      </c>
      <c r="S19" s="1">
        <f t="shared" si="1"/>
        <v>0.4</v>
      </c>
      <c r="T19" s="1">
        <f t="shared" si="2"/>
        <v>12</v>
      </c>
      <c r="U19" s="133">
        <f t="shared" si="11"/>
        <v>0.6</v>
      </c>
      <c r="V19" s="132">
        <f>IF(Calculations!$B$17=3,2,IF((S19*R19/T19)&lt;((T19*(1-(T19/R19)))/(2*Lm*fsw)),1,2))</f>
        <v>2</v>
      </c>
      <c r="W19" s="1">
        <f t="shared" si="12"/>
        <v>0.33333333333333337</v>
      </c>
      <c r="X19" s="133">
        <f t="shared" si="3"/>
        <v>0.66666666666666663</v>
      </c>
      <c r="Y19" s="132">
        <f t="shared" si="4"/>
        <v>1.6</v>
      </c>
      <c r="Z19" s="1">
        <f t="shared" si="13"/>
        <v>1.4</v>
      </c>
      <c r="AA19" s="1">
        <f t="shared" si="14"/>
        <v>0.75718777944003646</v>
      </c>
      <c r="AB19" s="1">
        <v>0</v>
      </c>
      <c r="AC19" s="1">
        <f t="shared" si="15"/>
        <v>4.7586666666666659E-2</v>
      </c>
      <c r="AD19" s="133">
        <f t="shared" si="16"/>
        <v>4.7586666666666659E-2</v>
      </c>
      <c r="AE19" s="132">
        <f t="shared" si="28"/>
        <v>0.2</v>
      </c>
      <c r="AF19" s="1">
        <f t="shared" si="17"/>
        <v>0.43716256828680022</v>
      </c>
      <c r="AG19" s="1">
        <f t="shared" si="5"/>
        <v>1.9111111111111127E-4</v>
      </c>
      <c r="AH19" s="1">
        <f t="shared" si="18"/>
        <v>2.2313745120018554E-2</v>
      </c>
      <c r="AI19" s="133">
        <f t="shared" si="19"/>
        <v>2.2504856231129664E-2</v>
      </c>
      <c r="AJ19" s="132">
        <f t="shared" si="20"/>
        <v>0.39999999999999997</v>
      </c>
      <c r="AK19" s="1">
        <f t="shared" si="21"/>
        <v>0.61824123303304712</v>
      </c>
      <c r="AL19" s="1">
        <f t="shared" si="6"/>
        <v>3.8222222222222249E-4</v>
      </c>
      <c r="AM19" s="1">
        <f t="shared" si="22"/>
        <v>0.15510000000000004</v>
      </c>
      <c r="AN19" s="136">
        <f t="shared" si="29"/>
        <v>2.24E-2</v>
      </c>
      <c r="AO19" s="133">
        <f t="shared" si="23"/>
        <v>0.17788222222222227</v>
      </c>
      <c r="AP19" s="132">
        <f t="shared" si="7"/>
        <v>2.293333333333333E-3</v>
      </c>
      <c r="AQ19" s="137">
        <f t="shared" si="8"/>
        <v>4.7586666666666659E-2</v>
      </c>
      <c r="AR19" s="137">
        <f t="shared" si="9"/>
        <v>4.147588250013759E-2</v>
      </c>
      <c r="AS19" s="1">
        <f t="shared" si="10"/>
        <v>3.7999999999999999E-2</v>
      </c>
      <c r="AT19" s="133">
        <f t="shared" si="24"/>
        <v>4.8000000000000001E-2</v>
      </c>
      <c r="AU19" s="132">
        <f t="shared" si="25"/>
        <v>0.42532962762015614</v>
      </c>
      <c r="AV19" s="1">
        <f t="shared" si="26"/>
        <v>7.2</v>
      </c>
      <c r="AW19" s="133">
        <f t="shared" si="27"/>
        <v>94.422147652744812</v>
      </c>
    </row>
    <row r="20" spans="17:49" x14ac:dyDescent="0.25">
      <c r="Q20">
        <v>13</v>
      </c>
      <c r="R20" s="132">
        <f t="shared" si="0"/>
        <v>18</v>
      </c>
      <c r="S20" s="1">
        <f t="shared" si="1"/>
        <v>0.43333333333333335</v>
      </c>
      <c r="T20" s="1">
        <f t="shared" si="2"/>
        <v>12</v>
      </c>
      <c r="U20" s="133">
        <f t="shared" si="11"/>
        <v>0.65</v>
      </c>
      <c r="V20" s="132">
        <f>IF(Calculations!$B$17=3,2,IF((S20*R20/T20)&lt;((T20*(1-(T20/R20)))/(2*Lm*fsw)),1,2))</f>
        <v>2</v>
      </c>
      <c r="W20" s="1">
        <f t="shared" si="12"/>
        <v>0.33333333333333337</v>
      </c>
      <c r="X20" s="133">
        <f t="shared" si="3"/>
        <v>0.66666666666666663</v>
      </c>
      <c r="Y20" s="132">
        <f t="shared" si="4"/>
        <v>1.6</v>
      </c>
      <c r="Z20" s="1">
        <f t="shared" si="13"/>
        <v>1.4500000000000002</v>
      </c>
      <c r="AA20" s="1">
        <f t="shared" si="14"/>
        <v>0.79739158092704587</v>
      </c>
      <c r="AB20" s="1">
        <v>0</v>
      </c>
      <c r="AC20" s="1">
        <f t="shared" si="15"/>
        <v>5.2774166666666691E-2</v>
      </c>
      <c r="AD20" s="133">
        <f t="shared" si="16"/>
        <v>5.2774166666666691E-2</v>
      </c>
      <c r="AE20" s="132">
        <f t="shared" si="28"/>
        <v>0.2166666666666667</v>
      </c>
      <c r="AF20" s="1">
        <f t="shared" si="17"/>
        <v>0.46037424389777126</v>
      </c>
      <c r="AG20" s="1">
        <f t="shared" si="5"/>
        <v>2.1194444444444459E-4</v>
      </c>
      <c r="AH20" s="1">
        <f t="shared" si="18"/>
        <v>2.4173223880020106E-2</v>
      </c>
      <c r="AI20" s="133">
        <f t="shared" si="19"/>
        <v>2.4385168324464551E-2</v>
      </c>
      <c r="AJ20" s="132">
        <f t="shared" si="20"/>
        <v>0.43333333333333335</v>
      </c>
      <c r="AK20" s="1">
        <f t="shared" si="21"/>
        <v>0.65106749948748721</v>
      </c>
      <c r="AL20" s="1">
        <f t="shared" si="6"/>
        <v>4.2388888888888918E-4</v>
      </c>
      <c r="AM20" s="1">
        <f t="shared" si="22"/>
        <v>0.15510000000000004</v>
      </c>
      <c r="AN20" s="136">
        <f t="shared" si="29"/>
        <v>2.3200000000000002E-2</v>
      </c>
      <c r="AO20" s="133">
        <f t="shared" si="23"/>
        <v>0.17872388888888893</v>
      </c>
      <c r="AP20" s="132">
        <f t="shared" si="7"/>
        <v>2.5433333333333345E-3</v>
      </c>
      <c r="AQ20" s="137">
        <f t="shared" si="8"/>
        <v>5.2774166666666691E-2</v>
      </c>
      <c r="AR20" s="137">
        <f t="shared" si="9"/>
        <v>4.147588250013759E-2</v>
      </c>
      <c r="AS20" s="1">
        <f t="shared" si="10"/>
        <v>3.7999999999999999E-2</v>
      </c>
      <c r="AT20" s="133">
        <f t="shared" si="24"/>
        <v>4.8000000000000001E-2</v>
      </c>
      <c r="AU20" s="132">
        <f t="shared" si="25"/>
        <v>0.43867660638015771</v>
      </c>
      <c r="AV20" s="1">
        <f t="shared" si="26"/>
        <v>7.8000000000000007</v>
      </c>
      <c r="AW20" s="133">
        <f t="shared" si="27"/>
        <v>94.675399614054029</v>
      </c>
    </row>
    <row r="21" spans="17:49" x14ac:dyDescent="0.25">
      <c r="Q21">
        <v>14</v>
      </c>
      <c r="R21" s="132">
        <f t="shared" si="0"/>
        <v>18</v>
      </c>
      <c r="S21" s="1">
        <f t="shared" si="1"/>
        <v>0.46666666666666667</v>
      </c>
      <c r="T21" s="1">
        <f t="shared" si="2"/>
        <v>12</v>
      </c>
      <c r="U21" s="133">
        <f t="shared" si="11"/>
        <v>0.70000000000000007</v>
      </c>
      <c r="V21" s="132">
        <f>IF(Calculations!$B$17=3,2,IF((S21*R21/T21)&lt;((T21*(1-(T21/R21)))/(2*Lm*fsw)),1,2))</f>
        <v>2</v>
      </c>
      <c r="W21" s="1">
        <f t="shared" si="12"/>
        <v>0.33333333333333337</v>
      </c>
      <c r="X21" s="133">
        <f t="shared" si="3"/>
        <v>0.66666666666666663</v>
      </c>
      <c r="Y21" s="132">
        <f t="shared" si="4"/>
        <v>1.6</v>
      </c>
      <c r="Z21" s="1">
        <f t="shared" si="13"/>
        <v>1.5</v>
      </c>
      <c r="AA21" s="1">
        <f t="shared" si="14"/>
        <v>0.83864970836060837</v>
      </c>
      <c r="AB21" s="1">
        <v>0</v>
      </c>
      <c r="AC21" s="1">
        <f t="shared" si="15"/>
        <v>5.8376666666666681E-2</v>
      </c>
      <c r="AD21" s="133">
        <f t="shared" si="16"/>
        <v>5.8376666666666681E-2</v>
      </c>
      <c r="AE21" s="132">
        <f t="shared" si="28"/>
        <v>0.23333333333333339</v>
      </c>
      <c r="AF21" s="1">
        <f t="shared" si="17"/>
        <v>0.48419463487779829</v>
      </c>
      <c r="AG21" s="1">
        <f t="shared" si="5"/>
        <v>2.344444444444444E-4</v>
      </c>
      <c r="AH21" s="1">
        <f t="shared" si="18"/>
        <v>2.6032702640021655E-2</v>
      </c>
      <c r="AI21" s="133">
        <f t="shared" si="19"/>
        <v>2.6267147084466098E-2</v>
      </c>
      <c r="AJ21" s="132">
        <f t="shared" si="20"/>
        <v>0.46666666666666667</v>
      </c>
      <c r="AK21" s="1">
        <f t="shared" si="21"/>
        <v>0.68475461947247118</v>
      </c>
      <c r="AL21" s="1">
        <f t="shared" si="6"/>
        <v>4.6888888888888881E-4</v>
      </c>
      <c r="AM21" s="1">
        <f t="shared" si="22"/>
        <v>0.15510000000000004</v>
      </c>
      <c r="AN21" s="136">
        <f t="shared" si="29"/>
        <v>2.4E-2</v>
      </c>
      <c r="AO21" s="133">
        <f t="shared" si="23"/>
        <v>0.17956888888888892</v>
      </c>
      <c r="AP21" s="132">
        <f t="shared" si="7"/>
        <v>2.8133333333333339E-3</v>
      </c>
      <c r="AQ21" s="137">
        <f t="shared" si="8"/>
        <v>5.8376666666666681E-2</v>
      </c>
      <c r="AR21" s="137">
        <f t="shared" si="9"/>
        <v>4.147588250013759E-2</v>
      </c>
      <c r="AS21" s="1">
        <f t="shared" si="10"/>
        <v>3.7999999999999999E-2</v>
      </c>
      <c r="AT21" s="133">
        <f t="shared" si="24"/>
        <v>4.8000000000000001E-2</v>
      </c>
      <c r="AU21" s="132">
        <f t="shared" si="25"/>
        <v>0.45287858514015922</v>
      </c>
      <c r="AV21" s="1">
        <f t="shared" si="26"/>
        <v>8.4</v>
      </c>
      <c r="AW21" s="133">
        <f t="shared" si="27"/>
        <v>94.884391773989435</v>
      </c>
    </row>
    <row r="22" spans="17:49" x14ac:dyDescent="0.25">
      <c r="Q22">
        <v>15</v>
      </c>
      <c r="R22" s="132">
        <f t="shared" si="0"/>
        <v>18</v>
      </c>
      <c r="S22" s="1">
        <f t="shared" si="1"/>
        <v>0.5</v>
      </c>
      <c r="T22" s="1">
        <f t="shared" si="2"/>
        <v>12</v>
      </c>
      <c r="U22" s="133">
        <f t="shared" si="11"/>
        <v>0.75</v>
      </c>
      <c r="V22" s="132">
        <f>IF(Calculations!$B$17=3,2,IF((S22*R22/T22)&lt;((T22*(1-(T22/R22)))/(2*Lm*fsw)),1,2))</f>
        <v>2</v>
      </c>
      <c r="W22" s="1">
        <f t="shared" si="12"/>
        <v>0.33333333333333337</v>
      </c>
      <c r="X22" s="133">
        <f t="shared" si="3"/>
        <v>0.66666666666666663</v>
      </c>
      <c r="Y22" s="132">
        <f t="shared" si="4"/>
        <v>1.6</v>
      </c>
      <c r="Z22" s="1">
        <f t="shared" si="13"/>
        <v>1.55</v>
      </c>
      <c r="AA22" s="1">
        <f t="shared" si="14"/>
        <v>0.88081401744825416</v>
      </c>
      <c r="AB22" s="1">
        <v>0</v>
      </c>
      <c r="AC22" s="1">
        <f t="shared" si="15"/>
        <v>6.4394166666666669E-2</v>
      </c>
      <c r="AD22" s="133">
        <f t="shared" si="16"/>
        <v>6.4394166666666669E-2</v>
      </c>
      <c r="AE22" s="132">
        <f t="shared" si="28"/>
        <v>0.25</v>
      </c>
      <c r="AF22" s="1">
        <f t="shared" si="17"/>
        <v>0.50853821007974531</v>
      </c>
      <c r="AG22" s="1">
        <f t="shared" si="5"/>
        <v>2.5861111111111121E-4</v>
      </c>
      <c r="AH22" s="1">
        <f t="shared" si="18"/>
        <v>2.7892181400023197E-2</v>
      </c>
      <c r="AI22" s="133">
        <f t="shared" si="19"/>
        <v>2.8150792511134309E-2</v>
      </c>
      <c r="AJ22" s="132">
        <f t="shared" si="20"/>
        <v>0.5</v>
      </c>
      <c r="AK22" s="1">
        <f t="shared" si="21"/>
        <v>0.71918163367971388</v>
      </c>
      <c r="AL22" s="1">
        <f t="shared" si="6"/>
        <v>5.1722222222222219E-4</v>
      </c>
      <c r="AM22" s="1">
        <f t="shared" si="22"/>
        <v>0.15510000000000004</v>
      </c>
      <c r="AN22" s="136">
        <f t="shared" si="29"/>
        <v>2.4800000000000003E-2</v>
      </c>
      <c r="AO22" s="133">
        <f t="shared" si="23"/>
        <v>0.18041722222222228</v>
      </c>
      <c r="AP22" s="132">
        <f t="shared" si="7"/>
        <v>3.1033333333333334E-3</v>
      </c>
      <c r="AQ22" s="137">
        <f t="shared" si="8"/>
        <v>6.4394166666666669E-2</v>
      </c>
      <c r="AR22" s="137">
        <f t="shared" si="9"/>
        <v>4.147588250013759E-2</v>
      </c>
      <c r="AS22" s="1">
        <f t="shared" si="10"/>
        <v>3.7999999999999999E-2</v>
      </c>
      <c r="AT22" s="133">
        <f t="shared" si="24"/>
        <v>4.8000000000000001E-2</v>
      </c>
      <c r="AU22" s="132">
        <f t="shared" si="25"/>
        <v>0.46793556390016078</v>
      </c>
      <c r="AV22" s="1">
        <f t="shared" si="26"/>
        <v>9</v>
      </c>
      <c r="AW22" s="133">
        <f t="shared" si="27"/>
        <v>95.057681151904646</v>
      </c>
    </row>
    <row r="23" spans="17:49" x14ac:dyDescent="0.25">
      <c r="Q23">
        <v>16</v>
      </c>
      <c r="R23" s="132">
        <f t="shared" si="0"/>
        <v>18</v>
      </c>
      <c r="S23" s="1">
        <f t="shared" si="1"/>
        <v>0.53333333333333333</v>
      </c>
      <c r="T23" s="1">
        <f t="shared" si="2"/>
        <v>12</v>
      </c>
      <c r="U23" s="133">
        <f t="shared" si="11"/>
        <v>0.79999999999999993</v>
      </c>
      <c r="V23" s="132">
        <f>IF(Calculations!$B$17=3,2,IF((S23*R23/T23)&lt;((T23*(1-(T23/R23)))/(2*Lm*fsw)),1,2))</f>
        <v>2</v>
      </c>
      <c r="W23" s="1">
        <f t="shared" si="12"/>
        <v>0.33333333333333337</v>
      </c>
      <c r="X23" s="133">
        <f t="shared" si="3"/>
        <v>0.66666666666666663</v>
      </c>
      <c r="Y23" s="132">
        <f t="shared" si="4"/>
        <v>1.6</v>
      </c>
      <c r="Z23" s="1">
        <f t="shared" si="13"/>
        <v>1.6</v>
      </c>
      <c r="AA23" s="1">
        <f t="shared" si="14"/>
        <v>0.92376043070340119</v>
      </c>
      <c r="AB23" s="1">
        <v>0</v>
      </c>
      <c r="AC23" s="1">
        <f t="shared" si="15"/>
        <v>7.0826666666666663E-2</v>
      </c>
      <c r="AD23" s="133">
        <f t="shared" si="16"/>
        <v>7.0826666666666663E-2</v>
      </c>
      <c r="AE23" s="132">
        <f t="shared" si="28"/>
        <v>0.26666666666666666</v>
      </c>
      <c r="AF23" s="1">
        <f t="shared" si="17"/>
        <v>0.53333333333333344</v>
      </c>
      <c r="AG23" s="1">
        <f t="shared" si="5"/>
        <v>2.8444444444444459E-4</v>
      </c>
      <c r="AH23" s="1">
        <f t="shared" si="18"/>
        <v>2.9751660160024739E-2</v>
      </c>
      <c r="AI23" s="133">
        <f t="shared" si="19"/>
        <v>3.0036104604469184E-2</v>
      </c>
      <c r="AJ23" s="132">
        <f t="shared" si="20"/>
        <v>0.53333333333333321</v>
      </c>
      <c r="AK23" s="1">
        <f t="shared" si="21"/>
        <v>0.7542472332656508</v>
      </c>
      <c r="AL23" s="1">
        <f t="shared" si="6"/>
        <v>5.6888888888888896E-4</v>
      </c>
      <c r="AM23" s="1">
        <f t="shared" si="22"/>
        <v>0.15510000000000004</v>
      </c>
      <c r="AN23" s="136">
        <f t="shared" si="29"/>
        <v>2.5600000000000001E-2</v>
      </c>
      <c r="AO23" s="133">
        <f t="shared" si="23"/>
        <v>0.18126888888888895</v>
      </c>
      <c r="AP23" s="132">
        <f t="shared" si="7"/>
        <v>3.4133333333333333E-3</v>
      </c>
      <c r="AQ23" s="137">
        <f t="shared" si="8"/>
        <v>7.0826666666666663E-2</v>
      </c>
      <c r="AR23" s="137">
        <f t="shared" si="9"/>
        <v>4.147588250013759E-2</v>
      </c>
      <c r="AS23" s="1">
        <f t="shared" si="10"/>
        <v>3.7999999999999999E-2</v>
      </c>
      <c r="AT23" s="133">
        <f t="shared" si="24"/>
        <v>4.8000000000000001E-2</v>
      </c>
      <c r="AU23" s="132">
        <f t="shared" si="25"/>
        <v>0.48384754266016228</v>
      </c>
      <c r="AV23" s="1">
        <f t="shared" si="26"/>
        <v>9.6</v>
      </c>
      <c r="AW23" s="133">
        <f t="shared" si="27"/>
        <v>95.201756664673638</v>
      </c>
    </row>
    <row r="24" spans="17:49" x14ac:dyDescent="0.25">
      <c r="Q24">
        <v>17</v>
      </c>
      <c r="R24" s="132">
        <f t="shared" si="0"/>
        <v>18</v>
      </c>
      <c r="S24" s="1">
        <f t="shared" si="1"/>
        <v>0.56666666666666665</v>
      </c>
      <c r="T24" s="1">
        <f t="shared" si="2"/>
        <v>12</v>
      </c>
      <c r="U24" s="133">
        <f t="shared" si="11"/>
        <v>0.85</v>
      </c>
      <c r="V24" s="132">
        <f>IF(Calculations!$B$17=3,2,IF((S24*R24/T24)&lt;((T24*(1-(T24/R24)))/(2*Lm*fsw)),1,2))</f>
        <v>2</v>
      </c>
      <c r="W24" s="1">
        <f t="shared" si="12"/>
        <v>0.33333333333333337</v>
      </c>
      <c r="X24" s="133">
        <f t="shared" si="3"/>
        <v>0.66666666666666663</v>
      </c>
      <c r="Y24" s="132">
        <f t="shared" si="4"/>
        <v>1.6</v>
      </c>
      <c r="Z24" s="1">
        <f t="shared" si="13"/>
        <v>1.65</v>
      </c>
      <c r="AA24" s="1">
        <f t="shared" si="14"/>
        <v>0.96738479072876338</v>
      </c>
      <c r="AB24" s="1">
        <v>0</v>
      </c>
      <c r="AC24" s="1">
        <f t="shared" si="15"/>
        <v>7.7674166666666669E-2</v>
      </c>
      <c r="AD24" s="133">
        <f t="shared" si="16"/>
        <v>7.7674166666666669E-2</v>
      </c>
      <c r="AE24" s="132">
        <f t="shared" si="28"/>
        <v>0.28333333333333338</v>
      </c>
      <c r="AF24" s="1">
        <f t="shared" si="17"/>
        <v>0.55851986933720132</v>
      </c>
      <c r="AG24" s="1">
        <f t="shared" si="5"/>
        <v>3.1194444444444444E-4</v>
      </c>
      <c r="AH24" s="1">
        <f t="shared" si="18"/>
        <v>3.1611138920026288E-2</v>
      </c>
      <c r="AI24" s="133">
        <f t="shared" si="19"/>
        <v>3.1923083364470729E-2</v>
      </c>
      <c r="AJ24" s="132">
        <f t="shared" si="20"/>
        <v>0.56666666666666665</v>
      </c>
      <c r="AK24" s="1">
        <f t="shared" si="21"/>
        <v>0.78986637407151894</v>
      </c>
      <c r="AL24" s="1">
        <f t="shared" si="6"/>
        <v>6.2388888888888878E-4</v>
      </c>
      <c r="AM24" s="1">
        <f t="shared" si="22"/>
        <v>0.15510000000000004</v>
      </c>
      <c r="AN24" s="136">
        <f t="shared" si="29"/>
        <v>2.64E-2</v>
      </c>
      <c r="AO24" s="133">
        <f t="shared" si="23"/>
        <v>0.18212388888888895</v>
      </c>
      <c r="AP24" s="132">
        <f t="shared" si="7"/>
        <v>3.7433333333333333E-3</v>
      </c>
      <c r="AQ24" s="137">
        <f t="shared" si="8"/>
        <v>7.7674166666666669E-2</v>
      </c>
      <c r="AR24" s="137">
        <f t="shared" si="9"/>
        <v>4.147588250013759E-2</v>
      </c>
      <c r="AS24" s="1">
        <f t="shared" si="10"/>
        <v>3.7999999999999999E-2</v>
      </c>
      <c r="AT24" s="133">
        <f t="shared" si="24"/>
        <v>4.8000000000000001E-2</v>
      </c>
      <c r="AU24" s="132">
        <f t="shared" si="25"/>
        <v>0.50061452142016383</v>
      </c>
      <c r="AV24" s="1">
        <f t="shared" si="26"/>
        <v>10.199999999999999</v>
      </c>
      <c r="AW24" s="133">
        <f t="shared" si="27"/>
        <v>95.321628300710685</v>
      </c>
    </row>
    <row r="25" spans="17:49" x14ac:dyDescent="0.25">
      <c r="Q25">
        <v>18</v>
      </c>
      <c r="R25" s="132">
        <f t="shared" si="0"/>
        <v>18</v>
      </c>
      <c r="S25" s="1">
        <f t="shared" si="1"/>
        <v>0.6</v>
      </c>
      <c r="T25" s="1">
        <f t="shared" si="2"/>
        <v>12</v>
      </c>
      <c r="U25" s="133">
        <f t="shared" si="11"/>
        <v>0.89999999999999991</v>
      </c>
      <c r="V25" s="132">
        <f>IF(Calculations!$B$17=3,2,IF((S25*R25/T25)&lt;((T25*(1-(T25/R25)))/(2*Lm*fsw)),1,2))</f>
        <v>2</v>
      </c>
      <c r="W25" s="1">
        <f t="shared" si="12"/>
        <v>0.33333333333333337</v>
      </c>
      <c r="X25" s="133">
        <f t="shared" si="3"/>
        <v>0.66666666666666663</v>
      </c>
      <c r="Y25" s="132">
        <f t="shared" si="4"/>
        <v>1.6</v>
      </c>
      <c r="Z25" s="1">
        <f t="shared" si="13"/>
        <v>1.7</v>
      </c>
      <c r="AA25" s="1">
        <f t="shared" si="14"/>
        <v>1.0115993936995678</v>
      </c>
      <c r="AB25" s="1">
        <v>0</v>
      </c>
      <c r="AC25" s="1">
        <f t="shared" si="15"/>
        <v>8.4936666666666646E-2</v>
      </c>
      <c r="AD25" s="133">
        <f t="shared" si="16"/>
        <v>8.4936666666666646E-2</v>
      </c>
      <c r="AE25" s="132">
        <f t="shared" si="28"/>
        <v>0.3</v>
      </c>
      <c r="AF25" s="1">
        <f t="shared" si="17"/>
        <v>0.58404718226450769</v>
      </c>
      <c r="AG25" s="1">
        <f t="shared" si="5"/>
        <v>3.411111111111111E-4</v>
      </c>
      <c r="AH25" s="1">
        <f t="shared" si="18"/>
        <v>3.3470617680027834E-2</v>
      </c>
      <c r="AI25" s="133">
        <f t="shared" si="19"/>
        <v>3.3811728791138945E-2</v>
      </c>
      <c r="AJ25" s="132">
        <f t="shared" si="20"/>
        <v>0.59999999999999987</v>
      </c>
      <c r="AK25" s="1">
        <f t="shared" si="21"/>
        <v>0.82596744622425766</v>
      </c>
      <c r="AL25" s="1">
        <f t="shared" si="6"/>
        <v>6.8222222222222198E-4</v>
      </c>
      <c r="AM25" s="1">
        <f t="shared" si="22"/>
        <v>0.15510000000000004</v>
      </c>
      <c r="AN25" s="136">
        <f t="shared" si="29"/>
        <v>2.7199999999999998E-2</v>
      </c>
      <c r="AO25" s="133">
        <f t="shared" si="23"/>
        <v>0.18298222222222227</v>
      </c>
      <c r="AP25" s="132">
        <f t="shared" si="7"/>
        <v>4.0933333333333316E-3</v>
      </c>
      <c r="AQ25" s="137">
        <f t="shared" si="8"/>
        <v>8.4936666666666646E-2</v>
      </c>
      <c r="AR25" s="137">
        <f t="shared" si="9"/>
        <v>4.147588250013759E-2</v>
      </c>
      <c r="AS25" s="1">
        <f t="shared" si="10"/>
        <v>3.7999999999999999E-2</v>
      </c>
      <c r="AT25" s="133">
        <f t="shared" si="24"/>
        <v>4.8000000000000001E-2</v>
      </c>
      <c r="AU25" s="132">
        <f t="shared" si="25"/>
        <v>0.51823650018016543</v>
      </c>
      <c r="AV25" s="1">
        <f t="shared" si="26"/>
        <v>10.799999999999999</v>
      </c>
      <c r="AW25" s="133">
        <f t="shared" si="27"/>
        <v>95.421225734486853</v>
      </c>
    </row>
    <row r="26" spans="17:49" x14ac:dyDescent="0.25">
      <c r="Q26">
        <v>19</v>
      </c>
      <c r="R26" s="132">
        <f t="shared" si="0"/>
        <v>18</v>
      </c>
      <c r="S26" s="1">
        <f t="shared" si="1"/>
        <v>0.6333333333333333</v>
      </c>
      <c r="T26" s="1">
        <f t="shared" si="2"/>
        <v>12</v>
      </c>
      <c r="U26" s="133">
        <f t="shared" si="11"/>
        <v>0.94999999999999984</v>
      </c>
      <c r="V26" s="132">
        <f>IF(Calculations!$B$17=3,2,IF((S26*R26/T26)&lt;((T26*(1-(T26/R26)))/(2*Lm*fsw)),1,2))</f>
        <v>2</v>
      </c>
      <c r="W26" s="1">
        <f t="shared" si="12"/>
        <v>0.33333333333333337</v>
      </c>
      <c r="X26" s="133">
        <f t="shared" si="3"/>
        <v>0.66666666666666663</v>
      </c>
      <c r="Y26" s="132">
        <f t="shared" si="4"/>
        <v>1.6</v>
      </c>
      <c r="Z26" s="1">
        <f t="shared" si="13"/>
        <v>1.75</v>
      </c>
      <c r="AA26" s="1">
        <f t="shared" si="14"/>
        <v>1.0563301251660548</v>
      </c>
      <c r="AB26" s="1">
        <v>0</v>
      </c>
      <c r="AC26" s="1">
        <f t="shared" si="15"/>
        <v>9.261416666666665E-2</v>
      </c>
      <c r="AD26" s="133">
        <f t="shared" si="16"/>
        <v>9.261416666666665E-2</v>
      </c>
      <c r="AE26" s="132">
        <f t="shared" si="28"/>
        <v>0.31666666666666665</v>
      </c>
      <c r="AF26" s="1">
        <f t="shared" si="17"/>
        <v>0.60987248211773293</v>
      </c>
      <c r="AG26" s="1">
        <f t="shared" si="5"/>
        <v>3.7194444444444449E-4</v>
      </c>
      <c r="AH26" s="1">
        <f t="shared" si="18"/>
        <v>3.5330096440029372E-2</v>
      </c>
      <c r="AI26" s="133">
        <f t="shared" si="19"/>
        <v>3.5702040884473818E-2</v>
      </c>
      <c r="AJ26" s="132">
        <f t="shared" si="20"/>
        <v>0.63333333333333319</v>
      </c>
      <c r="AK26" s="1">
        <f t="shared" si="21"/>
        <v>0.86248993552904074</v>
      </c>
      <c r="AL26" s="1">
        <f t="shared" si="6"/>
        <v>7.4388888888888888E-4</v>
      </c>
      <c r="AM26" s="1">
        <f t="shared" si="22"/>
        <v>0.15510000000000004</v>
      </c>
      <c r="AN26" s="136">
        <f t="shared" si="29"/>
        <v>2.8000000000000001E-2</v>
      </c>
      <c r="AO26" s="133">
        <f t="shared" si="23"/>
        <v>0.18384388888888892</v>
      </c>
      <c r="AP26" s="132">
        <f t="shared" si="7"/>
        <v>4.4633333333333322E-3</v>
      </c>
      <c r="AQ26" s="137">
        <f t="shared" si="8"/>
        <v>9.261416666666665E-2</v>
      </c>
      <c r="AR26" s="137">
        <f t="shared" si="9"/>
        <v>4.147588250013759E-2</v>
      </c>
      <c r="AS26" s="1">
        <f t="shared" si="10"/>
        <v>3.7999999999999999E-2</v>
      </c>
      <c r="AT26" s="133">
        <f t="shared" si="24"/>
        <v>4.8000000000000001E-2</v>
      </c>
      <c r="AU26" s="132">
        <f t="shared" si="25"/>
        <v>0.53671347894016697</v>
      </c>
      <c r="AV26" s="1">
        <f t="shared" si="26"/>
        <v>11.399999999999999</v>
      </c>
      <c r="AW26" s="133">
        <f t="shared" si="27"/>
        <v>95.503674609539004</v>
      </c>
    </row>
    <row r="27" spans="17:49" x14ac:dyDescent="0.25">
      <c r="Q27">
        <v>20</v>
      </c>
      <c r="R27" s="132">
        <f t="shared" si="0"/>
        <v>18</v>
      </c>
      <c r="S27" s="1">
        <f t="shared" si="1"/>
        <v>0.66666666666666663</v>
      </c>
      <c r="T27" s="1">
        <f t="shared" si="2"/>
        <v>12</v>
      </c>
      <c r="U27" s="133">
        <f t="shared" si="11"/>
        <v>1</v>
      </c>
      <c r="V27" s="132">
        <f>IF(Calculations!$B$17=3,2,IF((S27*R27/T27)&lt;((T27*(1-(T27/R27)))/(2*Lm*fsw)),1,2))</f>
        <v>2</v>
      </c>
      <c r="W27" s="1">
        <f t="shared" si="12"/>
        <v>0.33333333333333337</v>
      </c>
      <c r="X27" s="133">
        <f t="shared" si="3"/>
        <v>0.66666666666666663</v>
      </c>
      <c r="Y27" s="132">
        <f t="shared" si="4"/>
        <v>1.6</v>
      </c>
      <c r="Z27" s="1">
        <f t="shared" si="13"/>
        <v>1.8</v>
      </c>
      <c r="AA27" s="1">
        <f t="shared" si="14"/>
        <v>1.1015141094572205</v>
      </c>
      <c r="AB27" s="1">
        <v>0</v>
      </c>
      <c r="AC27" s="1">
        <f t="shared" si="15"/>
        <v>0.10070666666666669</v>
      </c>
      <c r="AD27" s="133">
        <f t="shared" si="16"/>
        <v>0.10070666666666669</v>
      </c>
      <c r="AE27" s="132">
        <f t="shared" si="28"/>
        <v>0.33333333333333337</v>
      </c>
      <c r="AF27" s="1">
        <f t="shared" si="17"/>
        <v>0.63595946761129718</v>
      </c>
      <c r="AG27" s="1">
        <f t="shared" si="5"/>
        <v>4.0444444444444458E-4</v>
      </c>
      <c r="AH27" s="1">
        <f t="shared" si="18"/>
        <v>3.7189575200030932E-2</v>
      </c>
      <c r="AI27" s="133">
        <f t="shared" si="19"/>
        <v>3.7594019644475375E-2</v>
      </c>
      <c r="AJ27" s="132">
        <f t="shared" si="20"/>
        <v>0.66666666666666663</v>
      </c>
      <c r="AK27" s="1">
        <f t="shared" si="21"/>
        <v>0.89938250421546939</v>
      </c>
      <c r="AL27" s="1">
        <f t="shared" si="6"/>
        <v>8.0888888888888883E-4</v>
      </c>
      <c r="AM27" s="1">
        <f t="shared" si="22"/>
        <v>0.15510000000000004</v>
      </c>
      <c r="AN27" s="136">
        <f t="shared" si="29"/>
        <v>2.8800000000000003E-2</v>
      </c>
      <c r="AO27" s="133">
        <f t="shared" si="23"/>
        <v>0.18470888888888892</v>
      </c>
      <c r="AP27" s="132">
        <f t="shared" si="7"/>
        <v>4.8533333333333345E-3</v>
      </c>
      <c r="AQ27" s="137">
        <f t="shared" si="8"/>
        <v>0.10070666666666669</v>
      </c>
      <c r="AR27" s="137">
        <f t="shared" si="9"/>
        <v>4.147588250013759E-2</v>
      </c>
      <c r="AS27" s="1">
        <f t="shared" si="10"/>
        <v>3.7999999999999999E-2</v>
      </c>
      <c r="AT27" s="133">
        <f t="shared" si="24"/>
        <v>4.8000000000000001E-2</v>
      </c>
      <c r="AU27" s="132">
        <f t="shared" si="25"/>
        <v>0.55604545770016855</v>
      </c>
      <c r="AV27" s="1">
        <f t="shared" si="26"/>
        <v>12</v>
      </c>
      <c r="AW27" s="133">
        <f t="shared" si="27"/>
        <v>95.571492158311941</v>
      </c>
    </row>
    <row r="28" spans="17:49" x14ac:dyDescent="0.25">
      <c r="Q28">
        <v>21</v>
      </c>
      <c r="R28" s="132">
        <f t="shared" si="0"/>
        <v>18</v>
      </c>
      <c r="S28" s="1">
        <f t="shared" si="1"/>
        <v>0.7</v>
      </c>
      <c r="T28" s="1">
        <f t="shared" si="2"/>
        <v>12</v>
      </c>
      <c r="U28" s="133">
        <f t="shared" si="11"/>
        <v>1.05</v>
      </c>
      <c r="V28" s="132">
        <f>IF(Calculations!$B$17=3,2,IF((S28*R28/T28)&lt;((T28*(1-(T28/R28)))/(2*Lm*fsw)),1,2))</f>
        <v>2</v>
      </c>
      <c r="W28" s="1">
        <f t="shared" si="12"/>
        <v>0.33333333333333337</v>
      </c>
      <c r="X28" s="133">
        <f t="shared" si="3"/>
        <v>0.66666666666666663</v>
      </c>
      <c r="Y28" s="132">
        <f t="shared" si="4"/>
        <v>1.6</v>
      </c>
      <c r="Z28" s="1">
        <f t="shared" si="13"/>
        <v>1.85</v>
      </c>
      <c r="AA28" s="1">
        <f t="shared" si="14"/>
        <v>1.1470977871713175</v>
      </c>
      <c r="AB28" s="1">
        <v>0</v>
      </c>
      <c r="AC28" s="1">
        <f t="shared" si="15"/>
        <v>0.10921416666666665</v>
      </c>
      <c r="AD28" s="133">
        <f t="shared" si="16"/>
        <v>0.10921416666666665</v>
      </c>
      <c r="AE28" s="132">
        <f t="shared" si="28"/>
        <v>0.35000000000000003</v>
      </c>
      <c r="AF28" s="1">
        <f t="shared" si="17"/>
        <v>0.66227721621018432</v>
      </c>
      <c r="AG28" s="1">
        <f t="shared" si="5"/>
        <v>4.3861111111111124E-4</v>
      </c>
      <c r="AH28" s="1">
        <f t="shared" si="18"/>
        <v>3.9049053960032484E-2</v>
      </c>
      <c r="AI28" s="133">
        <f t="shared" si="19"/>
        <v>3.9487665071143596E-2</v>
      </c>
      <c r="AJ28" s="132">
        <f t="shared" si="20"/>
        <v>0.7</v>
      </c>
      <c r="AK28" s="1">
        <f t="shared" si="21"/>
        <v>0.93660142121514112</v>
      </c>
      <c r="AL28" s="1">
        <f t="shared" si="6"/>
        <v>8.7722222222222227E-4</v>
      </c>
      <c r="AM28" s="1">
        <f t="shared" si="22"/>
        <v>0.15510000000000004</v>
      </c>
      <c r="AN28" s="136">
        <f t="shared" si="29"/>
        <v>2.9600000000000001E-2</v>
      </c>
      <c r="AO28" s="133">
        <f t="shared" si="23"/>
        <v>0.18557722222222228</v>
      </c>
      <c r="AP28" s="132">
        <f t="shared" si="7"/>
        <v>5.2633333333333325E-3</v>
      </c>
      <c r="AQ28" s="137">
        <f t="shared" si="8"/>
        <v>0.10921416666666665</v>
      </c>
      <c r="AR28" s="137">
        <f t="shared" si="9"/>
        <v>4.147588250013759E-2</v>
      </c>
      <c r="AS28" s="1">
        <f t="shared" si="10"/>
        <v>3.7999999999999999E-2</v>
      </c>
      <c r="AT28" s="133">
        <f t="shared" si="24"/>
        <v>4.8000000000000001E-2</v>
      </c>
      <c r="AU28" s="132">
        <f t="shared" si="25"/>
        <v>0.57623243646017008</v>
      </c>
      <c r="AV28" s="1">
        <f t="shared" si="26"/>
        <v>12.6</v>
      </c>
      <c r="AW28" s="133">
        <f t="shared" si="27"/>
        <v>95.626728359271596</v>
      </c>
    </row>
    <row r="29" spans="17:49" x14ac:dyDescent="0.25">
      <c r="Q29">
        <v>22</v>
      </c>
      <c r="R29" s="132">
        <f t="shared" si="0"/>
        <v>18</v>
      </c>
      <c r="S29" s="1">
        <f t="shared" si="1"/>
        <v>0.73333333333333328</v>
      </c>
      <c r="T29" s="1">
        <f t="shared" si="2"/>
        <v>12</v>
      </c>
      <c r="U29" s="133">
        <f t="shared" si="11"/>
        <v>1.0999999999999999</v>
      </c>
      <c r="V29" s="132">
        <f>IF(Calculations!$B$17=3,2,IF((S29*R29/T29)&lt;((T29*(1-(T29/R29)))/(2*Lm*fsw)),1,2))</f>
        <v>2</v>
      </c>
      <c r="W29" s="1">
        <f t="shared" si="12"/>
        <v>0.33333333333333337</v>
      </c>
      <c r="X29" s="133">
        <f t="shared" si="3"/>
        <v>0.66666666666666663</v>
      </c>
      <c r="Y29" s="132">
        <f t="shared" si="4"/>
        <v>1.6</v>
      </c>
      <c r="Z29" s="1">
        <f t="shared" si="13"/>
        <v>1.9</v>
      </c>
      <c r="AA29" s="1">
        <f t="shared" si="14"/>
        <v>1.1930353445448854</v>
      </c>
      <c r="AB29" s="1">
        <v>0</v>
      </c>
      <c r="AC29" s="1">
        <f t="shared" si="15"/>
        <v>0.11813666666666667</v>
      </c>
      <c r="AD29" s="133">
        <f t="shared" si="16"/>
        <v>0.11813666666666667</v>
      </c>
      <c r="AE29" s="132">
        <f t="shared" si="28"/>
        <v>0.36666666666666664</v>
      </c>
      <c r="AF29" s="1">
        <f t="shared" si="17"/>
        <v>0.68879927732572743</v>
      </c>
      <c r="AG29" s="1">
        <f t="shared" si="5"/>
        <v>4.7444444444444438E-4</v>
      </c>
      <c r="AH29" s="1">
        <f t="shared" si="18"/>
        <v>4.0908532720034016E-2</v>
      </c>
      <c r="AI29" s="133">
        <f t="shared" si="19"/>
        <v>4.138297716447846E-2</v>
      </c>
      <c r="AJ29" s="132">
        <f t="shared" si="20"/>
        <v>0.73333333333333317</v>
      </c>
      <c r="AK29" s="1">
        <f t="shared" si="21"/>
        <v>0.97410927974683037</v>
      </c>
      <c r="AL29" s="1">
        <f t="shared" si="6"/>
        <v>9.4888888888888866E-4</v>
      </c>
      <c r="AM29" s="1">
        <f t="shared" si="22"/>
        <v>0.15510000000000004</v>
      </c>
      <c r="AN29" s="136">
        <f t="shared" si="29"/>
        <v>3.04E-2</v>
      </c>
      <c r="AO29" s="133">
        <f t="shared" si="23"/>
        <v>0.18644888888888894</v>
      </c>
      <c r="AP29" s="132">
        <f t="shared" si="7"/>
        <v>5.6933333333333332E-3</v>
      </c>
      <c r="AQ29" s="137">
        <f t="shared" si="8"/>
        <v>0.11813666666666667</v>
      </c>
      <c r="AR29" s="137">
        <f t="shared" si="9"/>
        <v>4.147588250013759E-2</v>
      </c>
      <c r="AS29" s="1">
        <f t="shared" si="10"/>
        <v>3.7999999999999999E-2</v>
      </c>
      <c r="AT29" s="133">
        <f t="shared" si="24"/>
        <v>4.8000000000000001E-2</v>
      </c>
      <c r="AU29" s="132">
        <f t="shared" si="25"/>
        <v>0.59727441522017166</v>
      </c>
      <c r="AV29" s="1">
        <f t="shared" si="26"/>
        <v>13.2</v>
      </c>
      <c r="AW29" s="133">
        <f t="shared" si="27"/>
        <v>95.671069537028984</v>
      </c>
    </row>
    <row r="30" spans="17:49" x14ac:dyDescent="0.25">
      <c r="Q30">
        <v>23</v>
      </c>
      <c r="R30" s="132">
        <f t="shared" si="0"/>
        <v>18</v>
      </c>
      <c r="S30" s="1">
        <f t="shared" si="1"/>
        <v>0.76666666666666661</v>
      </c>
      <c r="T30" s="1">
        <f t="shared" si="2"/>
        <v>12</v>
      </c>
      <c r="U30" s="133">
        <f t="shared" si="11"/>
        <v>1.1499999999999999</v>
      </c>
      <c r="V30" s="132">
        <f>IF(Calculations!$B$17=3,2,IF((S30*R30/T30)&lt;((T30*(1-(T30/R30)))/(2*Lm*fsw)),1,2))</f>
        <v>2</v>
      </c>
      <c r="W30" s="1">
        <f t="shared" si="12"/>
        <v>0.33333333333333337</v>
      </c>
      <c r="X30" s="133">
        <f t="shared" si="3"/>
        <v>0.66666666666666663</v>
      </c>
      <c r="Y30" s="132">
        <f t="shared" si="4"/>
        <v>1.6</v>
      </c>
      <c r="Z30" s="1">
        <f t="shared" si="13"/>
        <v>1.95</v>
      </c>
      <c r="AA30" s="1">
        <f t="shared" si="14"/>
        <v>1.2392874296680867</v>
      </c>
      <c r="AB30" s="1">
        <v>0</v>
      </c>
      <c r="AC30" s="1">
        <f t="shared" si="15"/>
        <v>0.12747416666666664</v>
      </c>
      <c r="AD30" s="133">
        <f t="shared" si="16"/>
        <v>0.12747416666666664</v>
      </c>
      <c r="AE30" s="132">
        <f t="shared" si="28"/>
        <v>0.38333333333333336</v>
      </c>
      <c r="AF30" s="1">
        <f t="shared" si="17"/>
        <v>0.71550293112218954</v>
      </c>
      <c r="AG30" s="1">
        <f t="shared" si="5"/>
        <v>5.1194444444444475E-4</v>
      </c>
      <c r="AH30" s="1">
        <f t="shared" si="18"/>
        <v>4.2768011480035568E-2</v>
      </c>
      <c r="AI30" s="133">
        <f t="shared" si="19"/>
        <v>4.3279955924480015E-2</v>
      </c>
      <c r="AJ30" s="132">
        <f t="shared" si="20"/>
        <v>0.76666666666666661</v>
      </c>
      <c r="AK30" s="1">
        <f t="shared" si="21"/>
        <v>1.0118739491107027</v>
      </c>
      <c r="AL30" s="1">
        <f t="shared" si="6"/>
        <v>1.0238888888888891E-3</v>
      </c>
      <c r="AM30" s="1">
        <f t="shared" si="22"/>
        <v>0.15510000000000004</v>
      </c>
      <c r="AN30" s="136">
        <f t="shared" si="29"/>
        <v>3.1199999999999999E-2</v>
      </c>
      <c r="AO30" s="133">
        <f t="shared" si="23"/>
        <v>0.18732388888888893</v>
      </c>
      <c r="AP30" s="132">
        <f t="shared" si="7"/>
        <v>6.1433333333333322E-3</v>
      </c>
      <c r="AQ30" s="137">
        <f t="shared" si="8"/>
        <v>0.12747416666666664</v>
      </c>
      <c r="AR30" s="137">
        <f t="shared" si="9"/>
        <v>4.147588250013759E-2</v>
      </c>
      <c r="AS30" s="1">
        <f t="shared" si="10"/>
        <v>3.7999999999999999E-2</v>
      </c>
      <c r="AT30" s="133">
        <f t="shared" si="24"/>
        <v>4.8000000000000001E-2</v>
      </c>
      <c r="AU30" s="132">
        <f t="shared" si="25"/>
        <v>0.61917139398017307</v>
      </c>
      <c r="AV30" s="1">
        <f t="shared" si="26"/>
        <v>13.799999999999999</v>
      </c>
      <c r="AW30" s="133">
        <f t="shared" si="27"/>
        <v>95.705915568500217</v>
      </c>
    </row>
    <row r="31" spans="17:49" x14ac:dyDescent="0.25">
      <c r="Q31">
        <v>24</v>
      </c>
      <c r="R31" s="132">
        <f t="shared" si="0"/>
        <v>18</v>
      </c>
      <c r="S31" s="1">
        <f t="shared" si="1"/>
        <v>0.8</v>
      </c>
      <c r="T31" s="1">
        <f t="shared" si="2"/>
        <v>12</v>
      </c>
      <c r="U31" s="133">
        <f t="shared" si="11"/>
        <v>1.2</v>
      </c>
      <c r="V31" s="132">
        <f>IF(Calculations!$B$17=3,2,IF((S31*R31/T31)&lt;((T31*(1-(T31/R31)))/(2*Lm*fsw)),1,2))</f>
        <v>2</v>
      </c>
      <c r="W31" s="1">
        <f t="shared" si="12"/>
        <v>0.33333333333333337</v>
      </c>
      <c r="X31" s="133">
        <f t="shared" si="3"/>
        <v>0.66666666666666663</v>
      </c>
      <c r="Y31" s="132">
        <f t="shared" si="4"/>
        <v>1.6</v>
      </c>
      <c r="Z31" s="1">
        <f t="shared" si="13"/>
        <v>2</v>
      </c>
      <c r="AA31" s="1">
        <f t="shared" si="14"/>
        <v>1.2858201014657273</v>
      </c>
      <c r="AB31" s="1">
        <v>0</v>
      </c>
      <c r="AC31" s="1">
        <f t="shared" si="15"/>
        <v>0.13722666666666666</v>
      </c>
      <c r="AD31" s="133">
        <f t="shared" si="16"/>
        <v>0.13722666666666666</v>
      </c>
      <c r="AE31" s="132">
        <f t="shared" si="28"/>
        <v>0.4</v>
      </c>
      <c r="AF31" s="1">
        <f t="shared" si="17"/>
        <v>0.74236858171066966</v>
      </c>
      <c r="AG31" s="1">
        <f t="shared" si="5"/>
        <v>5.5111111111111127E-4</v>
      </c>
      <c r="AH31" s="1">
        <f t="shared" si="18"/>
        <v>4.4627490240037107E-2</v>
      </c>
      <c r="AI31" s="133">
        <f t="shared" si="19"/>
        <v>4.517860135114822E-2</v>
      </c>
      <c r="AJ31" s="132">
        <f t="shared" si="20"/>
        <v>0.79999999999999993</v>
      </c>
      <c r="AK31" s="1">
        <f t="shared" si="21"/>
        <v>1.0498677165349082</v>
      </c>
      <c r="AL31" s="1">
        <f t="shared" si="6"/>
        <v>1.1022222222222223E-3</v>
      </c>
      <c r="AM31" s="1">
        <f t="shared" si="22"/>
        <v>0.15510000000000004</v>
      </c>
      <c r="AN31" s="136">
        <f t="shared" si="29"/>
        <v>3.2000000000000001E-2</v>
      </c>
      <c r="AO31" s="133">
        <f t="shared" si="23"/>
        <v>0.18820222222222227</v>
      </c>
      <c r="AP31" s="132">
        <f t="shared" si="7"/>
        <v>6.613333333333333E-3</v>
      </c>
      <c r="AQ31" s="137">
        <f t="shared" si="8"/>
        <v>0.13722666666666666</v>
      </c>
      <c r="AR31" s="137">
        <f t="shared" si="9"/>
        <v>4.147588250013759E-2</v>
      </c>
      <c r="AS31" s="1">
        <f t="shared" si="10"/>
        <v>3.7999999999999999E-2</v>
      </c>
      <c r="AT31" s="133">
        <f t="shared" si="24"/>
        <v>4.8000000000000001E-2</v>
      </c>
      <c r="AU31" s="132">
        <f t="shared" si="25"/>
        <v>0.64192337274017475</v>
      </c>
      <c r="AV31" s="1">
        <f t="shared" si="26"/>
        <v>14.4</v>
      </c>
      <c r="AW31" s="133">
        <f t="shared" si="27"/>
        <v>95.732438220610106</v>
      </c>
    </row>
    <row r="32" spans="17:49" x14ac:dyDescent="0.25">
      <c r="Q32">
        <v>25</v>
      </c>
      <c r="R32" s="132">
        <f t="shared" si="0"/>
        <v>18</v>
      </c>
      <c r="S32" s="1">
        <f t="shared" si="1"/>
        <v>0.83333333333333337</v>
      </c>
      <c r="T32" s="1">
        <f t="shared" si="2"/>
        <v>12</v>
      </c>
      <c r="U32" s="133">
        <f t="shared" si="11"/>
        <v>1.25</v>
      </c>
      <c r="V32" s="132">
        <f>IF(Calculations!$B$17=3,2,IF((S32*R32/T32)&lt;((T32*(1-(T32/R32)))/(2*Lm*fsw)),1,2))</f>
        <v>2</v>
      </c>
      <c r="W32" s="1">
        <f t="shared" si="12"/>
        <v>0.33333333333333337</v>
      </c>
      <c r="X32" s="133">
        <f t="shared" si="3"/>
        <v>0.66666666666666663</v>
      </c>
      <c r="Y32" s="132">
        <f t="shared" si="4"/>
        <v>1.6</v>
      </c>
      <c r="Z32" s="1">
        <f t="shared" si="13"/>
        <v>2.0499999999999998</v>
      </c>
      <c r="AA32" s="1">
        <f t="shared" si="14"/>
        <v>1.332603967176045</v>
      </c>
      <c r="AB32" s="1">
        <v>0</v>
      </c>
      <c r="AC32" s="1">
        <f t="shared" si="15"/>
        <v>0.14739416666666669</v>
      </c>
      <c r="AD32" s="133">
        <f t="shared" si="16"/>
        <v>0.14739416666666669</v>
      </c>
      <c r="AE32" s="132">
        <f t="shared" si="28"/>
        <v>0.41666666666666674</v>
      </c>
      <c r="AF32" s="1">
        <f t="shared" si="17"/>
        <v>0.76937925917225281</v>
      </c>
      <c r="AG32" s="1">
        <f t="shared" si="5"/>
        <v>5.9194444444444464E-4</v>
      </c>
      <c r="AH32" s="1">
        <f t="shared" si="18"/>
        <v>4.648696900003866E-2</v>
      </c>
      <c r="AI32" s="133">
        <f t="shared" si="19"/>
        <v>4.7078913444483103E-2</v>
      </c>
      <c r="AJ32" s="132">
        <f t="shared" si="20"/>
        <v>0.83333333333333326</v>
      </c>
      <c r="AK32" s="1">
        <f t="shared" si="21"/>
        <v>1.0880665829299643</v>
      </c>
      <c r="AL32" s="1">
        <f t="shared" si="6"/>
        <v>1.1838888888888888E-3</v>
      </c>
      <c r="AM32" s="1">
        <f t="shared" si="22"/>
        <v>0.15510000000000004</v>
      </c>
      <c r="AN32" s="136">
        <f t="shared" si="29"/>
        <v>3.2799999999999996E-2</v>
      </c>
      <c r="AO32" s="133">
        <f t="shared" si="23"/>
        <v>0.18908388888888894</v>
      </c>
      <c r="AP32" s="132">
        <f t="shared" si="7"/>
        <v>7.1033333333333348E-3</v>
      </c>
      <c r="AQ32" s="137">
        <f t="shared" si="8"/>
        <v>0.14739416666666669</v>
      </c>
      <c r="AR32" s="137">
        <f t="shared" si="9"/>
        <v>4.147588250013759E-2</v>
      </c>
      <c r="AS32" s="1">
        <f t="shared" si="10"/>
        <v>3.7999999999999999E-2</v>
      </c>
      <c r="AT32" s="133">
        <f t="shared" si="24"/>
        <v>4.8000000000000001E-2</v>
      </c>
      <c r="AU32" s="132">
        <f t="shared" si="25"/>
        <v>0.66553035150017625</v>
      </c>
      <c r="AV32" s="1">
        <f t="shared" si="26"/>
        <v>15</v>
      </c>
      <c r="AW32" s="133">
        <f t="shared" si="27"/>
        <v>95.751625788804247</v>
      </c>
    </row>
    <row r="33" spans="17:49" x14ac:dyDescent="0.25">
      <c r="Q33">
        <v>26</v>
      </c>
      <c r="R33" s="132">
        <f t="shared" si="0"/>
        <v>18</v>
      </c>
      <c r="S33" s="1">
        <f t="shared" si="1"/>
        <v>0.8666666666666667</v>
      </c>
      <c r="T33" s="1">
        <f t="shared" si="2"/>
        <v>12</v>
      </c>
      <c r="U33" s="133">
        <f t="shared" si="11"/>
        <v>1.3</v>
      </c>
      <c r="V33" s="132">
        <f>IF(Calculations!$B$17=3,2,IF((S33*R33/T33)&lt;((T33*(1-(T33/R33)))/(2*Lm*fsw)),1,2))</f>
        <v>2</v>
      </c>
      <c r="W33" s="1">
        <f t="shared" si="12"/>
        <v>0.33333333333333337</v>
      </c>
      <c r="X33" s="133">
        <f t="shared" si="3"/>
        <v>0.66666666666666663</v>
      </c>
      <c r="Y33" s="132">
        <f t="shared" si="4"/>
        <v>1.6</v>
      </c>
      <c r="Z33" s="1">
        <f t="shared" si="13"/>
        <v>2.1</v>
      </c>
      <c r="AA33" s="1">
        <f t="shared" si="14"/>
        <v>1.3796134724383253</v>
      </c>
      <c r="AB33" s="1">
        <v>0</v>
      </c>
      <c r="AC33" s="1">
        <f t="shared" si="15"/>
        <v>0.15797666666666671</v>
      </c>
      <c r="AD33" s="133">
        <f t="shared" si="16"/>
        <v>0.15797666666666671</v>
      </c>
      <c r="AE33" s="132">
        <f t="shared" si="28"/>
        <v>0.4333333333333334</v>
      </c>
      <c r="AF33" s="1">
        <f t="shared" si="17"/>
        <v>0.79652020968990134</v>
      </c>
      <c r="AG33" s="1">
        <f t="shared" si="5"/>
        <v>6.3444444444444442E-4</v>
      </c>
      <c r="AH33" s="1">
        <f t="shared" si="18"/>
        <v>4.8346447760040212E-2</v>
      </c>
      <c r="AI33" s="133">
        <f t="shared" si="19"/>
        <v>4.8980892204484656E-2</v>
      </c>
      <c r="AJ33" s="132">
        <f t="shared" si="20"/>
        <v>0.8666666666666667</v>
      </c>
      <c r="AK33" s="1">
        <f t="shared" si="21"/>
        <v>1.12644968324772</v>
      </c>
      <c r="AL33" s="1">
        <f t="shared" si="6"/>
        <v>1.2688888888888888E-3</v>
      </c>
      <c r="AM33" s="1">
        <f t="shared" si="22"/>
        <v>0.15510000000000004</v>
      </c>
      <c r="AN33" s="136">
        <f t="shared" si="29"/>
        <v>3.3600000000000005E-2</v>
      </c>
      <c r="AO33" s="133">
        <f t="shared" si="23"/>
        <v>0.18996888888888896</v>
      </c>
      <c r="AP33" s="132">
        <f t="shared" si="7"/>
        <v>7.6133333333333348E-3</v>
      </c>
      <c r="AQ33" s="137">
        <f t="shared" si="8"/>
        <v>0.15797666666666671</v>
      </c>
      <c r="AR33" s="137">
        <f t="shared" si="9"/>
        <v>4.147588250013759E-2</v>
      </c>
      <c r="AS33" s="1">
        <f t="shared" si="10"/>
        <v>3.7999999999999999E-2</v>
      </c>
      <c r="AT33" s="133">
        <f t="shared" si="24"/>
        <v>4.8000000000000001E-2</v>
      </c>
      <c r="AU33" s="132">
        <f t="shared" si="25"/>
        <v>0.68999233026017781</v>
      </c>
      <c r="AV33" s="1">
        <f t="shared" si="26"/>
        <v>15.600000000000001</v>
      </c>
      <c r="AW33" s="133">
        <f t="shared" si="27"/>
        <v>95.764317648090895</v>
      </c>
    </row>
    <row r="34" spans="17:49" x14ac:dyDescent="0.25">
      <c r="Q34">
        <v>27</v>
      </c>
      <c r="R34" s="132">
        <f t="shared" si="0"/>
        <v>18</v>
      </c>
      <c r="S34" s="1">
        <f t="shared" si="1"/>
        <v>0.9</v>
      </c>
      <c r="T34" s="1">
        <f t="shared" si="2"/>
        <v>12</v>
      </c>
      <c r="U34" s="133">
        <f t="shared" si="11"/>
        <v>1.3499999999999999</v>
      </c>
      <c r="V34" s="132">
        <f>IF(Calculations!$B$17=3,2,IF((S34*R34/T34)&lt;((T34*(1-(T34/R34)))/(2*Lm*fsw)),1,2))</f>
        <v>2</v>
      </c>
      <c r="W34" s="1">
        <f t="shared" si="12"/>
        <v>0.33333333333333337</v>
      </c>
      <c r="X34" s="133">
        <f t="shared" si="3"/>
        <v>0.66666666666666663</v>
      </c>
      <c r="Y34" s="132">
        <f t="shared" si="4"/>
        <v>1.6</v>
      </c>
      <c r="Z34" s="1">
        <f t="shared" si="13"/>
        <v>2.15</v>
      </c>
      <c r="AA34" s="1">
        <f t="shared" si="14"/>
        <v>1.4268263150549658</v>
      </c>
      <c r="AB34" s="1">
        <v>0</v>
      </c>
      <c r="AC34" s="1">
        <f t="shared" si="15"/>
        <v>0.16897416666666662</v>
      </c>
      <c r="AD34" s="133">
        <f t="shared" si="16"/>
        <v>0.16897416666666662</v>
      </c>
      <c r="AE34" s="132">
        <f t="shared" si="28"/>
        <v>0.45</v>
      </c>
      <c r="AF34" s="1">
        <f t="shared" si="17"/>
        <v>0.82377855708382652</v>
      </c>
      <c r="AG34" s="1">
        <f t="shared" si="5"/>
        <v>6.7861111111111128E-4</v>
      </c>
      <c r="AH34" s="1">
        <f t="shared" si="18"/>
        <v>5.0205926520041744E-2</v>
      </c>
      <c r="AI34" s="133">
        <f t="shared" si="19"/>
        <v>5.0884537631152853E-2</v>
      </c>
      <c r="AJ34" s="132">
        <f t="shared" si="20"/>
        <v>0.89999999999999991</v>
      </c>
      <c r="AK34" s="1">
        <f t="shared" si="21"/>
        <v>1.1649988078200861</v>
      </c>
      <c r="AL34" s="1">
        <f t="shared" si="6"/>
        <v>1.3572222222222219E-3</v>
      </c>
      <c r="AM34" s="1">
        <f t="shared" si="22"/>
        <v>0.15510000000000004</v>
      </c>
      <c r="AN34" s="136">
        <f t="shared" si="29"/>
        <v>3.44E-2</v>
      </c>
      <c r="AO34" s="133">
        <f t="shared" si="23"/>
        <v>0.19085722222222229</v>
      </c>
      <c r="AP34" s="132">
        <f t="shared" si="7"/>
        <v>8.1433333333333306E-3</v>
      </c>
      <c r="AQ34" s="137">
        <f t="shared" si="8"/>
        <v>0.16897416666666662</v>
      </c>
      <c r="AR34" s="137">
        <f t="shared" si="9"/>
        <v>4.147588250013759E-2</v>
      </c>
      <c r="AS34" s="1">
        <f t="shared" si="10"/>
        <v>3.7999999999999999E-2</v>
      </c>
      <c r="AT34" s="133">
        <f t="shared" si="24"/>
        <v>4.8000000000000001E-2</v>
      </c>
      <c r="AU34" s="132">
        <f t="shared" si="25"/>
        <v>0.71530930902017931</v>
      </c>
      <c r="AV34" s="1">
        <f t="shared" si="26"/>
        <v>16.2</v>
      </c>
      <c r="AW34" s="133">
        <f t="shared" si="27"/>
        <v>95.771231279591589</v>
      </c>
    </row>
    <row r="35" spans="17:49" x14ac:dyDescent="0.25">
      <c r="Q35">
        <v>28</v>
      </c>
      <c r="R35" s="132">
        <f t="shared" si="0"/>
        <v>18</v>
      </c>
      <c r="S35" s="1">
        <f t="shared" si="1"/>
        <v>0.93333333333333335</v>
      </c>
      <c r="T35" s="1">
        <f t="shared" si="2"/>
        <v>12</v>
      </c>
      <c r="U35" s="133">
        <f t="shared" si="11"/>
        <v>1.4000000000000001</v>
      </c>
      <c r="V35" s="132">
        <f>IF(Calculations!$B$17=3,2,IF((S35*R35/T35)&lt;((T35*(1-(T35/R35)))/(2*Lm*fsw)),1,2))</f>
        <v>2</v>
      </c>
      <c r="W35" s="1">
        <f t="shared" si="12"/>
        <v>0.33333333333333337</v>
      </c>
      <c r="X35" s="133">
        <f t="shared" si="3"/>
        <v>0.66666666666666663</v>
      </c>
      <c r="Y35" s="132">
        <f t="shared" si="4"/>
        <v>1.6</v>
      </c>
      <c r="Z35" s="1">
        <f t="shared" si="13"/>
        <v>2.2000000000000002</v>
      </c>
      <c r="AA35" s="1">
        <f t="shared" si="14"/>
        <v>1.4742229591663989</v>
      </c>
      <c r="AB35" s="1">
        <v>0</v>
      </c>
      <c r="AC35" s="1">
        <f t="shared" si="15"/>
        <v>0.18038666666666672</v>
      </c>
      <c r="AD35" s="133">
        <f t="shared" si="16"/>
        <v>0.18038666666666672</v>
      </c>
      <c r="AE35" s="132">
        <f t="shared" si="28"/>
        <v>0.46666666666666679</v>
      </c>
      <c r="AF35" s="1">
        <f t="shared" si="17"/>
        <v>0.85114302232024708</v>
      </c>
      <c r="AG35" s="1">
        <f t="shared" si="5"/>
        <v>7.2444444444444466E-4</v>
      </c>
      <c r="AH35" s="1">
        <f t="shared" si="18"/>
        <v>5.206540528004331E-2</v>
      </c>
      <c r="AI35" s="133">
        <f t="shared" si="19"/>
        <v>5.2789849724487754E-2</v>
      </c>
      <c r="AJ35" s="132">
        <f t="shared" si="20"/>
        <v>0.93333333333333335</v>
      </c>
      <c r="AK35" s="1">
        <f t="shared" si="21"/>
        <v>1.2036980056845192</v>
      </c>
      <c r="AL35" s="1">
        <f t="shared" si="6"/>
        <v>1.4488888888888889E-3</v>
      </c>
      <c r="AM35" s="1">
        <f t="shared" si="22"/>
        <v>0.15510000000000004</v>
      </c>
      <c r="AN35" s="136">
        <f t="shared" si="29"/>
        <v>3.5200000000000002E-2</v>
      </c>
      <c r="AO35" s="133">
        <f t="shared" si="23"/>
        <v>0.19174888888888894</v>
      </c>
      <c r="AP35" s="132">
        <f t="shared" si="7"/>
        <v>8.6933333333333359E-3</v>
      </c>
      <c r="AQ35" s="137">
        <f t="shared" si="8"/>
        <v>0.18038666666666672</v>
      </c>
      <c r="AR35" s="137">
        <f t="shared" si="9"/>
        <v>4.147588250013759E-2</v>
      </c>
      <c r="AS35" s="1">
        <f t="shared" si="10"/>
        <v>3.7999999999999999E-2</v>
      </c>
      <c r="AT35" s="133">
        <f t="shared" si="24"/>
        <v>4.8000000000000001E-2</v>
      </c>
      <c r="AU35" s="132">
        <f t="shared" si="25"/>
        <v>0.74148128778018096</v>
      </c>
      <c r="AV35" s="1">
        <f t="shared" si="26"/>
        <v>16.8</v>
      </c>
      <c r="AW35" s="133">
        <f t="shared" si="27"/>
        <v>95.772983617428494</v>
      </c>
    </row>
    <row r="36" spans="17:49" x14ac:dyDescent="0.25">
      <c r="Q36">
        <v>29</v>
      </c>
      <c r="R36" s="132">
        <f t="shared" si="0"/>
        <v>18</v>
      </c>
      <c r="S36" s="1">
        <f t="shared" si="1"/>
        <v>0.96666666666666667</v>
      </c>
      <c r="T36" s="1">
        <f t="shared" si="2"/>
        <v>12</v>
      </c>
      <c r="U36" s="133">
        <f t="shared" si="11"/>
        <v>1.45</v>
      </c>
      <c r="V36" s="132">
        <f>IF(Calculations!$B$17=3,2,IF((S36*R36/T36)&lt;((T36*(1-(T36/R36)))/(2*Lm*fsw)),1,2))</f>
        <v>2</v>
      </c>
      <c r="W36" s="1">
        <f t="shared" si="12"/>
        <v>0.33333333333333337</v>
      </c>
      <c r="X36" s="133">
        <f t="shared" si="3"/>
        <v>0.66666666666666663</v>
      </c>
      <c r="Y36" s="132">
        <f t="shared" si="4"/>
        <v>1.6</v>
      </c>
      <c r="Z36" s="1">
        <f t="shared" si="13"/>
        <v>2.25</v>
      </c>
      <c r="AA36" s="1">
        <f t="shared" si="14"/>
        <v>1.5217862311551296</v>
      </c>
      <c r="AB36" s="1">
        <v>0</v>
      </c>
      <c r="AC36" s="1">
        <f t="shared" si="15"/>
        <v>0.19221416666666669</v>
      </c>
      <c r="AD36" s="133">
        <f t="shared" si="16"/>
        <v>0.19221416666666669</v>
      </c>
      <c r="AE36" s="132">
        <f t="shared" si="28"/>
        <v>0.48333333333333339</v>
      </c>
      <c r="AF36" s="1">
        <f t="shared" si="17"/>
        <v>0.8786036902064801</v>
      </c>
      <c r="AG36" s="1">
        <f t="shared" si="5"/>
        <v>7.7194444444444446E-4</v>
      </c>
      <c r="AH36" s="1">
        <f t="shared" si="18"/>
        <v>5.3924884040044842E-2</v>
      </c>
      <c r="AI36" s="133">
        <f t="shared" si="19"/>
        <v>5.4696828484489285E-2</v>
      </c>
      <c r="AJ36" s="132">
        <f t="shared" si="20"/>
        <v>0.96666666666666656</v>
      </c>
      <c r="AK36" s="1">
        <f t="shared" si="21"/>
        <v>1.2425332546410535</v>
      </c>
      <c r="AL36" s="1">
        <f t="shared" si="6"/>
        <v>1.5438888888888891E-3</v>
      </c>
      <c r="AM36" s="1">
        <f t="shared" si="22"/>
        <v>0.15510000000000004</v>
      </c>
      <c r="AN36" s="136">
        <f t="shared" si="29"/>
        <v>3.6000000000000004E-2</v>
      </c>
      <c r="AO36" s="133">
        <f t="shared" si="23"/>
        <v>0.19264388888888895</v>
      </c>
      <c r="AP36" s="132">
        <f t="shared" si="7"/>
        <v>9.2633333333333335E-3</v>
      </c>
      <c r="AQ36" s="137">
        <f t="shared" si="8"/>
        <v>0.19221416666666669</v>
      </c>
      <c r="AR36" s="137">
        <f t="shared" si="9"/>
        <v>4.147588250013759E-2</v>
      </c>
      <c r="AS36" s="1">
        <f t="shared" si="10"/>
        <v>3.7999999999999999E-2</v>
      </c>
      <c r="AT36" s="133">
        <f t="shared" si="24"/>
        <v>4.8000000000000001E-2</v>
      </c>
      <c r="AU36" s="132">
        <f t="shared" si="25"/>
        <v>0.76850826654018245</v>
      </c>
      <c r="AV36" s="1">
        <f t="shared" si="26"/>
        <v>17.399999999999999</v>
      </c>
      <c r="AW36" s="133">
        <f t="shared" si="27"/>
        <v>95.770108061345383</v>
      </c>
    </row>
    <row r="37" spans="17:49" x14ac:dyDescent="0.25">
      <c r="Q37">
        <v>30</v>
      </c>
      <c r="R37" s="132">
        <f t="shared" si="0"/>
        <v>18</v>
      </c>
      <c r="S37" s="1">
        <f t="shared" si="1"/>
        <v>1</v>
      </c>
      <c r="T37" s="1">
        <f t="shared" si="2"/>
        <v>12</v>
      </c>
      <c r="U37" s="133">
        <f t="shared" si="11"/>
        <v>1.5</v>
      </c>
      <c r="V37" s="132">
        <f>IF(Calculations!$B$17=3,2,IF((S37*R37/T37)&lt;((T37*(1-(T37/R37)))/(2*Lm*fsw)),1,2))</f>
        <v>2</v>
      </c>
      <c r="W37" s="1">
        <f t="shared" si="12"/>
        <v>0.33333333333333337</v>
      </c>
      <c r="X37" s="133">
        <f t="shared" si="3"/>
        <v>0.66666666666666663</v>
      </c>
      <c r="Y37" s="132">
        <f t="shared" si="4"/>
        <v>1.6</v>
      </c>
      <c r="Z37" s="1">
        <f t="shared" si="13"/>
        <v>2.2999999999999998</v>
      </c>
      <c r="AA37" s="1">
        <f t="shared" si="14"/>
        <v>1.569500982265807</v>
      </c>
      <c r="AB37" s="1">
        <v>0</v>
      </c>
      <c r="AC37" s="1">
        <f t="shared" si="15"/>
        <v>0.20445666666666665</v>
      </c>
      <c r="AD37" s="133">
        <f t="shared" si="16"/>
        <v>0.20445666666666665</v>
      </c>
      <c r="AE37" s="132">
        <f t="shared" si="28"/>
        <v>0.5</v>
      </c>
      <c r="AF37" s="1">
        <f t="shared" si="17"/>
        <v>0.90615181460454575</v>
      </c>
      <c r="AG37" s="1">
        <f t="shared" si="5"/>
        <v>8.21111111111111E-4</v>
      </c>
      <c r="AH37" s="1">
        <f t="shared" si="18"/>
        <v>5.5784362800046394E-2</v>
      </c>
      <c r="AI37" s="133">
        <f t="shared" si="19"/>
        <v>5.6605473911157507E-2</v>
      </c>
      <c r="AJ37" s="132">
        <f t="shared" si="20"/>
        <v>1</v>
      </c>
      <c r="AK37" s="1">
        <f t="shared" si="21"/>
        <v>1.2814921857827388</v>
      </c>
      <c r="AL37" s="1">
        <f t="shared" si="6"/>
        <v>1.6422222222222216E-3</v>
      </c>
      <c r="AM37" s="1">
        <f t="shared" si="22"/>
        <v>0.15510000000000004</v>
      </c>
      <c r="AN37" s="136">
        <f t="shared" si="29"/>
        <v>3.6799999999999999E-2</v>
      </c>
      <c r="AO37" s="133">
        <f t="shared" si="23"/>
        <v>0.19354222222222225</v>
      </c>
      <c r="AP37" s="132">
        <f t="shared" si="7"/>
        <v>9.853333333333332E-3</v>
      </c>
      <c r="AQ37" s="137">
        <f t="shared" si="8"/>
        <v>0.20445666666666665</v>
      </c>
      <c r="AR37" s="137">
        <f t="shared" si="9"/>
        <v>4.147588250013759E-2</v>
      </c>
      <c r="AS37" s="1">
        <f t="shared" si="10"/>
        <v>3.7999999999999999E-2</v>
      </c>
      <c r="AT37" s="133">
        <f t="shared" si="24"/>
        <v>4.8000000000000001E-2</v>
      </c>
      <c r="AU37" s="132">
        <f t="shared" si="25"/>
        <v>0.79639024530018399</v>
      </c>
      <c r="AV37" s="1">
        <f t="shared" si="26"/>
        <v>18</v>
      </c>
      <c r="AW37" s="133">
        <f t="shared" si="27"/>
        <v>95.763068148155142</v>
      </c>
    </row>
    <row r="38" spans="17:49" x14ac:dyDescent="0.25">
      <c r="Q38">
        <v>31</v>
      </c>
      <c r="R38" s="132">
        <f t="shared" si="0"/>
        <v>18</v>
      </c>
      <c r="S38" s="1">
        <f t="shared" si="1"/>
        <v>1.0333333333333332</v>
      </c>
      <c r="T38" s="1">
        <f t="shared" si="2"/>
        <v>12</v>
      </c>
      <c r="U38" s="133">
        <f t="shared" si="11"/>
        <v>1.5499999999999998</v>
      </c>
      <c r="V38" s="132">
        <f>IF(Calculations!$B$17=3,2,IF((S38*R38/T38)&lt;((T38*(1-(T38/R38)))/(2*Lm*fsw)),1,2))</f>
        <v>2</v>
      </c>
      <c r="W38" s="1">
        <f t="shared" si="12"/>
        <v>0.33333333333333337</v>
      </c>
      <c r="X38" s="133">
        <f t="shared" si="3"/>
        <v>0.66666666666666663</v>
      </c>
      <c r="Y38" s="132">
        <f t="shared" si="4"/>
        <v>1.6</v>
      </c>
      <c r="Z38" s="1">
        <f t="shared" si="13"/>
        <v>2.3499999999999996</v>
      </c>
      <c r="AA38" s="1">
        <f t="shared" si="14"/>
        <v>1.6173538058610839</v>
      </c>
      <c r="AB38" s="1">
        <v>0</v>
      </c>
      <c r="AC38" s="1">
        <f t="shared" si="15"/>
        <v>0.21711416666666664</v>
      </c>
      <c r="AD38" s="133">
        <f t="shared" si="16"/>
        <v>0.21711416666666664</v>
      </c>
      <c r="AE38" s="132">
        <f t="shared" si="28"/>
        <v>0.51666666666666672</v>
      </c>
      <c r="AF38" s="1">
        <f t="shared" si="17"/>
        <v>0.93377965518876249</v>
      </c>
      <c r="AG38" s="1">
        <f t="shared" si="5"/>
        <v>8.7194444444444418E-4</v>
      </c>
      <c r="AH38" s="1">
        <f t="shared" si="18"/>
        <v>5.764384156004794E-2</v>
      </c>
      <c r="AI38" s="133">
        <f t="shared" si="19"/>
        <v>5.8515786004492386E-2</v>
      </c>
      <c r="AJ38" s="132">
        <f t="shared" si="20"/>
        <v>1.0333333333333332</v>
      </c>
      <c r="AK38" s="1">
        <f t="shared" si="21"/>
        <v>1.3205638526360199</v>
      </c>
      <c r="AL38" s="1">
        <f t="shared" si="6"/>
        <v>1.7438888888888877E-3</v>
      </c>
      <c r="AM38" s="1">
        <f t="shared" si="22"/>
        <v>0.15510000000000004</v>
      </c>
      <c r="AN38" s="136">
        <f t="shared" si="29"/>
        <v>3.7599999999999995E-2</v>
      </c>
      <c r="AO38" s="133">
        <f t="shared" si="23"/>
        <v>0.19444388888888892</v>
      </c>
      <c r="AP38" s="132">
        <f t="shared" si="7"/>
        <v>1.0463333333333331E-2</v>
      </c>
      <c r="AQ38" s="137">
        <f t="shared" si="8"/>
        <v>0.21711416666666664</v>
      </c>
      <c r="AR38" s="137">
        <f t="shared" si="9"/>
        <v>4.147588250013759E-2</v>
      </c>
      <c r="AS38" s="1">
        <f t="shared" si="10"/>
        <v>3.7999999999999999E-2</v>
      </c>
      <c r="AT38" s="133">
        <f t="shared" si="24"/>
        <v>4.8000000000000001E-2</v>
      </c>
      <c r="AU38" s="132">
        <f t="shared" si="25"/>
        <v>0.82512722406018546</v>
      </c>
      <c r="AV38" s="1">
        <f t="shared" si="26"/>
        <v>18.599999999999998</v>
      </c>
      <c r="AW38" s="133">
        <f t="shared" si="27"/>
        <v>95.75226862330058</v>
      </c>
    </row>
    <row r="39" spans="17:49" x14ac:dyDescent="0.25">
      <c r="Q39">
        <v>32</v>
      </c>
      <c r="R39" s="132">
        <f t="shared" si="0"/>
        <v>18</v>
      </c>
      <c r="S39" s="1">
        <f t="shared" si="1"/>
        <v>1.0666666666666667</v>
      </c>
      <c r="T39" s="1">
        <f t="shared" ref="T39:T70" si="30">Vin_vari</f>
        <v>12</v>
      </c>
      <c r="U39" s="133">
        <f t="shared" ref="U39:U70" si="31">(R39*S39)/(T39*EFF_est)</f>
        <v>1.5999999999999999</v>
      </c>
      <c r="V39" s="132">
        <f>IF(Calculations!$B$17=3,2,IF((S39*R39/T39)&lt;((T39*(1-(T39/R39)))/(2*Lm*fsw)),1,2))</f>
        <v>2</v>
      </c>
      <c r="W39" s="1">
        <f t="shared" ref="W39:W70" si="32">CHOOSE(V39,SQRT((2*S39*Lm*fsw*(R39-T39))/((T39)^2)),1-(T39/R39))</f>
        <v>0.33333333333333337</v>
      </c>
      <c r="X39" s="133">
        <f t="shared" ref="X39:X70" si="33">CHOOSE(V39,(Lm*Z39*fsw)/(R39-T39),1-W39)</f>
        <v>0.66666666666666663</v>
      </c>
      <c r="Y39" s="132">
        <f t="shared" ref="Y39:Y70" si="34">(T39*W39)/(Lm*fsw)</f>
        <v>1.6</v>
      </c>
      <c r="Z39" s="1">
        <f t="shared" si="13"/>
        <v>2.4</v>
      </c>
      <c r="AA39" s="1">
        <f t="shared" si="14"/>
        <v>1.6653327995729061</v>
      </c>
      <c r="AB39" s="1">
        <v>0</v>
      </c>
      <c r="AC39" s="1">
        <f t="shared" ref="AC39:AC70" si="35">(AA39^2)*Rdcr</f>
        <v>0.23018666666666665</v>
      </c>
      <c r="AD39" s="133">
        <f t="shared" si="16"/>
        <v>0.23018666666666665</v>
      </c>
      <c r="AE39" s="132">
        <f t="shared" si="28"/>
        <v>0.53333333333333333</v>
      </c>
      <c r="AF39" s="1">
        <f t="shared" si="17"/>
        <v>0.96148034012373063</v>
      </c>
      <c r="AG39" s="1">
        <f t="shared" ref="AG39:AG70" si="36">(AF39^2)*RDS_on</f>
        <v>9.2444444444444475E-4</v>
      </c>
      <c r="AH39" s="1">
        <f t="shared" ref="AH39:AH70" si="37">((R39*U39)/2)*fsw*(tr_sw+tf_sw)</f>
        <v>5.9503320320049478E-2</v>
      </c>
      <c r="AI39" s="133">
        <f t="shared" si="19"/>
        <v>6.0427764764493921E-2</v>
      </c>
      <c r="AJ39" s="132">
        <f t="shared" si="20"/>
        <v>1.0666666666666664</v>
      </c>
      <c r="AK39" s="1">
        <f t="shared" si="21"/>
        <v>1.3597385369580759</v>
      </c>
      <c r="AL39" s="1">
        <f t="shared" ref="AL39:AL70" si="38">(AK39^2)*RDS_on_HS</f>
        <v>1.8488888888888888E-3</v>
      </c>
      <c r="AM39" s="1">
        <f t="shared" si="22"/>
        <v>0.15510000000000004</v>
      </c>
      <c r="AN39" s="136">
        <f t="shared" ref="AN39:AN70" si="39">Vd_rect*t_dead*fsw*Z39</f>
        <v>3.8399999999999997E-2</v>
      </c>
      <c r="AO39" s="133">
        <f t="shared" si="23"/>
        <v>0.19534888888888893</v>
      </c>
      <c r="AP39" s="132">
        <f t="shared" ref="AP39:AP70" si="40">(AA39^2)*Rcs</f>
        <v>1.1093333333333332E-2</v>
      </c>
      <c r="AQ39" s="137">
        <f t="shared" ref="AQ39:AQ70" si="41">Rdcr*AA39^2</f>
        <v>0.23018666666666665</v>
      </c>
      <c r="AR39" s="137">
        <f t="shared" ref="AR39:AR70" si="42">ABS(7.759*10^-3*fsw^0.9458*(0.00787*Y39)^2.304)</f>
        <v>4.147588250013759E-2</v>
      </c>
      <c r="AS39" s="1">
        <f t="shared" ref="AS39:AS70" si="43">(Qg_tot+Qg_tot_HS)*VCC*fsw</f>
        <v>3.7999999999999999E-2</v>
      </c>
      <c r="AT39" s="133">
        <f t="shared" ref="AT39:AT70" si="44">IQ*T39</f>
        <v>4.8000000000000001E-2</v>
      </c>
      <c r="AU39" s="132">
        <f t="shared" si="25"/>
        <v>0.8547192028201871</v>
      </c>
      <c r="AV39" s="1">
        <f t="shared" si="26"/>
        <v>19.2</v>
      </c>
      <c r="AW39" s="133">
        <f t="shared" si="27"/>
        <v>95.738064471628235</v>
      </c>
    </row>
    <row r="40" spans="17:49" x14ac:dyDescent="0.25">
      <c r="Q40">
        <v>33</v>
      </c>
      <c r="R40" s="132">
        <f t="shared" si="0"/>
        <v>18</v>
      </c>
      <c r="S40" s="1">
        <f t="shared" si="1"/>
        <v>1.1000000000000001</v>
      </c>
      <c r="T40" s="1">
        <f t="shared" si="30"/>
        <v>12</v>
      </c>
      <c r="U40" s="133">
        <f t="shared" si="31"/>
        <v>1.6500000000000001</v>
      </c>
      <c r="V40" s="132">
        <f>IF(Calculations!$B$17=3,2,IF((S40*R40/T40)&lt;((T40*(1-(T40/R40)))/(2*Lm*fsw)),1,2))</f>
        <v>2</v>
      </c>
      <c r="W40" s="1">
        <f t="shared" si="32"/>
        <v>0.33333333333333337</v>
      </c>
      <c r="X40" s="133">
        <f t="shared" si="33"/>
        <v>0.66666666666666663</v>
      </c>
      <c r="Y40" s="132">
        <f t="shared" si="34"/>
        <v>1.6</v>
      </c>
      <c r="Z40" s="1">
        <f t="shared" si="13"/>
        <v>2.4500000000000002</v>
      </c>
      <c r="AA40" s="1">
        <f t="shared" si="14"/>
        <v>1.7134273644754638</v>
      </c>
      <c r="AB40" s="1">
        <v>0</v>
      </c>
      <c r="AC40" s="1">
        <f t="shared" si="35"/>
        <v>0.24367416666666672</v>
      </c>
      <c r="AD40" s="133">
        <f t="shared" si="16"/>
        <v>0.24367416666666672</v>
      </c>
      <c r="AE40" s="132">
        <f t="shared" si="28"/>
        <v>0.55000000000000016</v>
      </c>
      <c r="AF40" s="1">
        <f t="shared" si="17"/>
        <v>0.98924775011678012</v>
      </c>
      <c r="AG40" s="1">
        <f t="shared" si="36"/>
        <v>9.7861111111111152E-4</v>
      </c>
      <c r="AH40" s="1">
        <f t="shared" si="37"/>
        <v>6.1362799080051038E-2</v>
      </c>
      <c r="AI40" s="133">
        <f t="shared" si="19"/>
        <v>6.2341410191162148E-2</v>
      </c>
      <c r="AJ40" s="132">
        <f t="shared" si="20"/>
        <v>1.1000000000000001</v>
      </c>
      <c r="AK40" s="1">
        <f t="shared" si="21"/>
        <v>1.399007584762221</v>
      </c>
      <c r="AL40" s="1">
        <f t="shared" si="38"/>
        <v>1.957222222222223E-3</v>
      </c>
      <c r="AM40" s="1">
        <f t="shared" ref="AM40:AM71" si="45">CHOOSE(V40,(R40+Vd_rect)*Qrr*fsw,(R40+Vd_rect)*Qrr*fsw)</f>
        <v>0.15510000000000004</v>
      </c>
      <c r="AN40" s="136">
        <f t="shared" si="39"/>
        <v>3.9200000000000006E-2</v>
      </c>
      <c r="AO40" s="133">
        <f t="shared" si="23"/>
        <v>0.19625722222222228</v>
      </c>
      <c r="AP40" s="132">
        <f t="shared" si="40"/>
        <v>1.1743333333333337E-2</v>
      </c>
      <c r="AQ40" s="137">
        <f t="shared" si="41"/>
        <v>0.24367416666666672</v>
      </c>
      <c r="AR40" s="137">
        <f t="shared" si="42"/>
        <v>4.147588250013759E-2</v>
      </c>
      <c r="AS40" s="1">
        <f t="shared" si="43"/>
        <v>3.7999999999999999E-2</v>
      </c>
      <c r="AT40" s="133">
        <f t="shared" si="44"/>
        <v>4.8000000000000001E-2</v>
      </c>
      <c r="AU40" s="132">
        <f t="shared" si="25"/>
        <v>0.88516618158018889</v>
      </c>
      <c r="AV40" s="1">
        <f t="shared" si="26"/>
        <v>19.8</v>
      </c>
      <c r="AW40" s="133">
        <f t="shared" si="27"/>
        <v>95.720768333162269</v>
      </c>
    </row>
    <row r="41" spans="17:49" x14ac:dyDescent="0.25">
      <c r="Q41">
        <v>34</v>
      </c>
      <c r="R41" s="132">
        <f t="shared" si="0"/>
        <v>18</v>
      </c>
      <c r="S41" s="1">
        <f t="shared" si="1"/>
        <v>1.1333333333333333</v>
      </c>
      <c r="T41" s="1">
        <f t="shared" si="30"/>
        <v>12</v>
      </c>
      <c r="U41" s="133">
        <f t="shared" si="31"/>
        <v>1.7</v>
      </c>
      <c r="V41" s="132">
        <f>IF(Calculations!$B$17=3,2,IF((S41*R41/T41)&lt;((T41*(1-(T41/R41)))/(2*Lm*fsw)),1,2))</f>
        <v>2</v>
      </c>
      <c r="W41" s="1">
        <f t="shared" si="32"/>
        <v>0.33333333333333337</v>
      </c>
      <c r="X41" s="133">
        <f t="shared" si="33"/>
        <v>0.66666666666666663</v>
      </c>
      <c r="Y41" s="132">
        <f t="shared" si="34"/>
        <v>1.6</v>
      </c>
      <c r="Z41" s="1">
        <f t="shared" si="13"/>
        <v>2.5</v>
      </c>
      <c r="AA41" s="1">
        <f t="shared" si="14"/>
        <v>1.7616280348965081</v>
      </c>
      <c r="AB41" s="1">
        <v>0</v>
      </c>
      <c r="AC41" s="1">
        <f t="shared" si="35"/>
        <v>0.25757666666666662</v>
      </c>
      <c r="AD41" s="133">
        <f t="shared" si="16"/>
        <v>0.25757666666666662</v>
      </c>
      <c r="AE41" s="132">
        <f t="shared" si="28"/>
        <v>0.56666666666666676</v>
      </c>
      <c r="AF41" s="1">
        <f t="shared" si="17"/>
        <v>1.0170764201594906</v>
      </c>
      <c r="AG41" s="1">
        <f t="shared" si="36"/>
        <v>1.0344444444444448E-3</v>
      </c>
      <c r="AH41" s="1">
        <f t="shared" si="37"/>
        <v>6.3222277840052576E-2</v>
      </c>
      <c r="AI41" s="133">
        <f t="shared" si="19"/>
        <v>6.4256722284497025E-2</v>
      </c>
      <c r="AJ41" s="132">
        <f t="shared" si="20"/>
        <v>1.1333333333333333</v>
      </c>
      <c r="AK41" s="1">
        <f t="shared" si="21"/>
        <v>1.4383632673594278</v>
      </c>
      <c r="AL41" s="1">
        <f t="shared" si="38"/>
        <v>2.0688888888888888E-3</v>
      </c>
      <c r="AM41" s="1">
        <f t="shared" si="45"/>
        <v>0.15510000000000004</v>
      </c>
      <c r="AN41" s="136">
        <f t="shared" si="39"/>
        <v>0.04</v>
      </c>
      <c r="AO41" s="133">
        <f t="shared" si="23"/>
        <v>0.19716888888888895</v>
      </c>
      <c r="AP41" s="132">
        <f t="shared" si="40"/>
        <v>1.241333333333333E-2</v>
      </c>
      <c r="AQ41" s="137">
        <f t="shared" si="41"/>
        <v>0.25757666666666662</v>
      </c>
      <c r="AR41" s="137">
        <f t="shared" si="42"/>
        <v>4.147588250013759E-2</v>
      </c>
      <c r="AS41" s="1">
        <f t="shared" si="43"/>
        <v>3.7999999999999999E-2</v>
      </c>
      <c r="AT41" s="133">
        <f t="shared" si="44"/>
        <v>4.8000000000000001E-2</v>
      </c>
      <c r="AU41" s="132">
        <f t="shared" si="25"/>
        <v>0.91646816034019007</v>
      </c>
      <c r="AV41" s="1">
        <f t="shared" si="26"/>
        <v>20.399999999999999</v>
      </c>
      <c r="AW41" s="133">
        <f t="shared" si="27"/>
        <v>95.700656631076896</v>
      </c>
    </row>
    <row r="42" spans="17:49" x14ac:dyDescent="0.25">
      <c r="Q42">
        <v>35</v>
      </c>
      <c r="R42" s="132">
        <f t="shared" si="0"/>
        <v>18</v>
      </c>
      <c r="S42" s="1">
        <f t="shared" si="1"/>
        <v>1.1666666666666667</v>
      </c>
      <c r="T42" s="1">
        <f t="shared" si="30"/>
        <v>12</v>
      </c>
      <c r="U42" s="133">
        <f t="shared" si="31"/>
        <v>1.75</v>
      </c>
      <c r="V42" s="132">
        <f>IF(Calculations!$B$17=3,2,IF((S42*R42/T42)&lt;((T42*(1-(T42/R42)))/(2*Lm*fsw)),1,2))</f>
        <v>2</v>
      </c>
      <c r="W42" s="1">
        <f t="shared" si="32"/>
        <v>0.33333333333333337</v>
      </c>
      <c r="X42" s="133">
        <f t="shared" si="33"/>
        <v>0.66666666666666663</v>
      </c>
      <c r="Y42" s="132">
        <f t="shared" si="34"/>
        <v>1.6</v>
      </c>
      <c r="Z42" s="1">
        <f t="shared" si="13"/>
        <v>2.5499999999999998</v>
      </c>
      <c r="AA42" s="1">
        <f t="shared" si="14"/>
        <v>1.809926333675858</v>
      </c>
      <c r="AB42" s="1">
        <v>0</v>
      </c>
      <c r="AC42" s="1">
        <f t="shared" si="35"/>
        <v>0.27189416666666666</v>
      </c>
      <c r="AD42" s="133">
        <f t="shared" si="16"/>
        <v>0.27189416666666666</v>
      </c>
      <c r="AE42" s="132">
        <f t="shared" si="28"/>
        <v>0.58333333333333337</v>
      </c>
      <c r="AF42" s="1">
        <f t="shared" si="17"/>
        <v>1.0449614559611491</v>
      </c>
      <c r="AG42" s="1">
        <f t="shared" si="36"/>
        <v>1.0919444444444446E-3</v>
      </c>
      <c r="AH42" s="1">
        <f t="shared" si="37"/>
        <v>6.5081756600054122E-2</v>
      </c>
      <c r="AI42" s="133">
        <f t="shared" si="19"/>
        <v>6.6173701044498573E-2</v>
      </c>
      <c r="AJ42" s="132">
        <f t="shared" si="20"/>
        <v>1.1666666666666665</v>
      </c>
      <c r="AK42" s="1">
        <f t="shared" si="21"/>
        <v>1.4777986631773925</v>
      </c>
      <c r="AL42" s="1">
        <f t="shared" si="38"/>
        <v>2.1838888888888884E-3</v>
      </c>
      <c r="AM42" s="1">
        <f t="shared" si="45"/>
        <v>0.15510000000000004</v>
      </c>
      <c r="AN42" s="136">
        <f t="shared" si="39"/>
        <v>4.0799999999999996E-2</v>
      </c>
      <c r="AO42" s="133">
        <f t="shared" si="23"/>
        <v>0.19808388888888895</v>
      </c>
      <c r="AP42" s="132">
        <f t="shared" si="40"/>
        <v>1.3103333333333333E-2</v>
      </c>
      <c r="AQ42" s="137">
        <f t="shared" si="41"/>
        <v>0.27189416666666666</v>
      </c>
      <c r="AR42" s="137">
        <f t="shared" si="42"/>
        <v>4.147588250013759E-2</v>
      </c>
      <c r="AS42" s="1">
        <f t="shared" si="43"/>
        <v>3.7999999999999999E-2</v>
      </c>
      <c r="AT42" s="133">
        <f t="shared" si="44"/>
        <v>4.8000000000000001E-2</v>
      </c>
      <c r="AU42" s="132">
        <f t="shared" si="25"/>
        <v>0.94862513910019175</v>
      </c>
      <c r="AV42" s="1">
        <f t="shared" si="26"/>
        <v>21</v>
      </c>
      <c r="AW42" s="133">
        <f t="shared" si="27"/>
        <v>95.677974665436921</v>
      </c>
    </row>
    <row r="43" spans="17:49" x14ac:dyDescent="0.25">
      <c r="Q43">
        <v>36</v>
      </c>
      <c r="R43" s="132">
        <f t="shared" si="0"/>
        <v>18</v>
      </c>
      <c r="S43" s="1">
        <f t="shared" si="1"/>
        <v>1.2</v>
      </c>
      <c r="T43" s="1">
        <f t="shared" si="30"/>
        <v>12</v>
      </c>
      <c r="U43" s="133">
        <f t="shared" si="31"/>
        <v>1.7999999999999998</v>
      </c>
      <c r="V43" s="132">
        <f>IF(Calculations!$B$17=3,2,IF((S43*R43/T43)&lt;((T43*(1-(T43/R43)))/(2*Lm*fsw)),1,2))</f>
        <v>2</v>
      </c>
      <c r="W43" s="1">
        <f t="shared" si="32"/>
        <v>0.33333333333333337</v>
      </c>
      <c r="X43" s="133">
        <f t="shared" si="33"/>
        <v>0.66666666666666663</v>
      </c>
      <c r="Y43" s="132">
        <f t="shared" si="34"/>
        <v>1.6</v>
      </c>
      <c r="Z43" s="1">
        <f t="shared" si="13"/>
        <v>2.5999999999999996</v>
      </c>
      <c r="AA43" s="1">
        <f t="shared" si="14"/>
        <v>1.8583146486355138</v>
      </c>
      <c r="AB43" s="1">
        <v>0</v>
      </c>
      <c r="AC43" s="1">
        <f t="shared" si="35"/>
        <v>0.28662666666666664</v>
      </c>
      <c r="AD43" s="133">
        <f t="shared" si="16"/>
        <v>0.28662666666666664</v>
      </c>
      <c r="AE43" s="132">
        <f t="shared" si="28"/>
        <v>0.6</v>
      </c>
      <c r="AF43" s="1">
        <f t="shared" si="17"/>
        <v>1.0728984626287388</v>
      </c>
      <c r="AG43" s="1">
        <f t="shared" si="36"/>
        <v>1.1511111111111112E-3</v>
      </c>
      <c r="AH43" s="1">
        <f t="shared" si="37"/>
        <v>6.6941235360055668E-2</v>
      </c>
      <c r="AI43" s="133">
        <f t="shared" si="19"/>
        <v>6.8092346471166784E-2</v>
      </c>
      <c r="AJ43" s="132">
        <f t="shared" si="20"/>
        <v>1.1999999999999997</v>
      </c>
      <c r="AK43" s="1">
        <f t="shared" si="21"/>
        <v>1.5173075568988055</v>
      </c>
      <c r="AL43" s="1">
        <f t="shared" si="38"/>
        <v>2.302222222222222E-3</v>
      </c>
      <c r="AM43" s="1">
        <f t="shared" si="45"/>
        <v>0.15510000000000004</v>
      </c>
      <c r="AN43" s="136">
        <f t="shared" si="39"/>
        <v>4.1599999999999998E-2</v>
      </c>
      <c r="AO43" s="133">
        <f t="shared" si="23"/>
        <v>0.19900222222222227</v>
      </c>
      <c r="AP43" s="132">
        <f t="shared" si="40"/>
        <v>1.3813333333333334E-2</v>
      </c>
      <c r="AQ43" s="137">
        <f t="shared" si="41"/>
        <v>0.28662666666666664</v>
      </c>
      <c r="AR43" s="137">
        <f t="shared" si="42"/>
        <v>4.147588250013759E-2</v>
      </c>
      <c r="AS43" s="1">
        <f t="shared" si="43"/>
        <v>3.7999999999999999E-2</v>
      </c>
      <c r="AT43" s="133">
        <f t="shared" si="44"/>
        <v>4.8000000000000001E-2</v>
      </c>
      <c r="AU43" s="132">
        <f t="shared" si="25"/>
        <v>0.98163711786019325</v>
      </c>
      <c r="AV43" s="1">
        <f t="shared" si="26"/>
        <v>21.599999999999998</v>
      </c>
      <c r="AW43" s="133">
        <f t="shared" si="27"/>
        <v>95.652940870775936</v>
      </c>
    </row>
    <row r="44" spans="17:49" x14ac:dyDescent="0.25">
      <c r="Q44">
        <v>37</v>
      </c>
      <c r="R44" s="132">
        <f t="shared" si="0"/>
        <v>18</v>
      </c>
      <c r="S44" s="1">
        <f t="shared" si="1"/>
        <v>1.2333333333333334</v>
      </c>
      <c r="T44" s="1">
        <f t="shared" si="30"/>
        <v>12</v>
      </c>
      <c r="U44" s="133">
        <f t="shared" si="31"/>
        <v>1.8500000000000003</v>
      </c>
      <c r="V44" s="132">
        <f>IF(Calculations!$B$17=3,2,IF((S44*R44/T44)&lt;((T44*(1-(T44/R44)))/(2*Lm*fsw)),1,2))</f>
        <v>2</v>
      </c>
      <c r="W44" s="1">
        <f t="shared" si="32"/>
        <v>0.33333333333333337</v>
      </c>
      <c r="X44" s="133">
        <f t="shared" si="33"/>
        <v>0.66666666666666663</v>
      </c>
      <c r="Y44" s="132">
        <f t="shared" si="34"/>
        <v>1.6</v>
      </c>
      <c r="Z44" s="1">
        <f t="shared" si="13"/>
        <v>2.6500000000000004</v>
      </c>
      <c r="AA44" s="1">
        <f t="shared" si="14"/>
        <v>1.9067861267938087</v>
      </c>
      <c r="AB44" s="1">
        <v>0</v>
      </c>
      <c r="AC44" s="1">
        <f t="shared" si="35"/>
        <v>0.30177416666666679</v>
      </c>
      <c r="AD44" s="133">
        <f t="shared" si="16"/>
        <v>0.30177416666666679</v>
      </c>
      <c r="AE44" s="132">
        <f t="shared" si="28"/>
        <v>0.61666666666666681</v>
      </c>
      <c r="AF44" s="1">
        <f t="shared" si="17"/>
        <v>1.1008834835914494</v>
      </c>
      <c r="AG44" s="1">
        <f t="shared" si="36"/>
        <v>1.211944444444445E-3</v>
      </c>
      <c r="AH44" s="1">
        <f t="shared" si="37"/>
        <v>6.8800714120057227E-2</v>
      </c>
      <c r="AI44" s="133">
        <f t="shared" si="19"/>
        <v>7.0012658564501673E-2</v>
      </c>
      <c r="AJ44" s="132">
        <f t="shared" si="20"/>
        <v>1.2333333333333334</v>
      </c>
      <c r="AK44" s="1">
        <f t="shared" si="21"/>
        <v>1.5568843530875662</v>
      </c>
      <c r="AL44" s="1">
        <f t="shared" si="38"/>
        <v>2.4238888888888895E-3</v>
      </c>
      <c r="AM44" s="1">
        <f t="shared" si="45"/>
        <v>0.15510000000000004</v>
      </c>
      <c r="AN44" s="136">
        <f t="shared" si="39"/>
        <v>4.2400000000000007E-2</v>
      </c>
      <c r="AO44" s="133">
        <f t="shared" si="23"/>
        <v>0.19992388888888896</v>
      </c>
      <c r="AP44" s="132">
        <f t="shared" si="40"/>
        <v>1.4543333333333339E-2</v>
      </c>
      <c r="AQ44" s="137">
        <f t="shared" si="41"/>
        <v>0.30177416666666679</v>
      </c>
      <c r="AR44" s="137">
        <f t="shared" si="42"/>
        <v>4.147588250013759E-2</v>
      </c>
      <c r="AS44" s="1">
        <f t="shared" si="43"/>
        <v>3.7999999999999999E-2</v>
      </c>
      <c r="AT44" s="133">
        <f t="shared" si="44"/>
        <v>4.8000000000000001E-2</v>
      </c>
      <c r="AU44" s="132">
        <f t="shared" si="25"/>
        <v>1.0155040966201954</v>
      </c>
      <c r="AV44" s="1">
        <f t="shared" si="26"/>
        <v>22.200000000000003</v>
      </c>
      <c r="AW44" s="133">
        <f t="shared" si="27"/>
        <v>95.625750393384592</v>
      </c>
    </row>
    <row r="45" spans="17:49" x14ac:dyDescent="0.25">
      <c r="Q45">
        <v>38</v>
      </c>
      <c r="R45" s="132">
        <f t="shared" si="0"/>
        <v>18</v>
      </c>
      <c r="S45" s="1">
        <f t="shared" si="1"/>
        <v>1.2666666666666666</v>
      </c>
      <c r="T45" s="1">
        <f t="shared" si="30"/>
        <v>12</v>
      </c>
      <c r="U45" s="133">
        <f t="shared" si="31"/>
        <v>1.8999999999999997</v>
      </c>
      <c r="V45" s="132">
        <f>IF(Calculations!$B$17=3,2,IF((S45*R45/T45)&lt;((T45*(1-(T45/R45)))/(2*Lm*fsw)),1,2))</f>
        <v>2</v>
      </c>
      <c r="W45" s="1">
        <f t="shared" si="32"/>
        <v>0.33333333333333337</v>
      </c>
      <c r="X45" s="133">
        <f t="shared" si="33"/>
        <v>0.66666666666666663</v>
      </c>
      <c r="Y45" s="132">
        <f t="shared" si="34"/>
        <v>1.6</v>
      </c>
      <c r="Z45" s="1">
        <f t="shared" si="13"/>
        <v>2.6999999999999997</v>
      </c>
      <c r="AA45" s="1">
        <f t="shared" si="14"/>
        <v>1.9553345834749951</v>
      </c>
      <c r="AB45" s="1">
        <v>0</v>
      </c>
      <c r="AC45" s="1">
        <f t="shared" si="35"/>
        <v>0.31733666666666666</v>
      </c>
      <c r="AD45" s="133">
        <f t="shared" si="16"/>
        <v>0.31733666666666666</v>
      </c>
      <c r="AE45" s="132">
        <f t="shared" si="28"/>
        <v>0.6333333333333333</v>
      </c>
      <c r="AF45" s="1">
        <f t="shared" si="17"/>
        <v>1.128912948125073</v>
      </c>
      <c r="AG45" s="1">
        <f t="shared" si="36"/>
        <v>1.2744444444444439E-3</v>
      </c>
      <c r="AH45" s="1">
        <f t="shared" si="37"/>
        <v>7.0660192880058745E-2</v>
      </c>
      <c r="AI45" s="133">
        <f t="shared" si="19"/>
        <v>7.1934637324503184E-2</v>
      </c>
      <c r="AJ45" s="132">
        <f t="shared" si="20"/>
        <v>1.2666666666666664</v>
      </c>
      <c r="AK45" s="1">
        <f t="shared" si="21"/>
        <v>1.5965240019770726</v>
      </c>
      <c r="AL45" s="1">
        <f t="shared" si="38"/>
        <v>2.5488888888888879E-3</v>
      </c>
      <c r="AM45" s="1">
        <f t="shared" si="45"/>
        <v>0.15510000000000004</v>
      </c>
      <c r="AN45" s="136">
        <f t="shared" si="39"/>
        <v>4.3199999999999995E-2</v>
      </c>
      <c r="AO45" s="133">
        <f t="shared" si="23"/>
        <v>0.20084888888888891</v>
      </c>
      <c r="AP45" s="132">
        <f t="shared" si="40"/>
        <v>1.5293333333333332E-2</v>
      </c>
      <c r="AQ45" s="137">
        <f t="shared" si="41"/>
        <v>0.31733666666666666</v>
      </c>
      <c r="AR45" s="137">
        <f t="shared" si="42"/>
        <v>4.147588250013759E-2</v>
      </c>
      <c r="AS45" s="1">
        <f t="shared" si="43"/>
        <v>3.7999999999999999E-2</v>
      </c>
      <c r="AT45" s="133">
        <f t="shared" si="44"/>
        <v>4.8000000000000001E-2</v>
      </c>
      <c r="AU45" s="132">
        <f t="shared" si="25"/>
        <v>1.0502260753801964</v>
      </c>
      <c r="AV45" s="1">
        <f t="shared" si="26"/>
        <v>22.799999999999997</v>
      </c>
      <c r="AW45" s="133">
        <f t="shared" si="27"/>
        <v>95.596578111834717</v>
      </c>
    </row>
    <row r="46" spans="17:49" x14ac:dyDescent="0.25">
      <c r="Q46">
        <v>39</v>
      </c>
      <c r="R46" s="132">
        <f t="shared" si="0"/>
        <v>18</v>
      </c>
      <c r="S46" s="1">
        <f t="shared" si="1"/>
        <v>1.3</v>
      </c>
      <c r="T46" s="1">
        <f t="shared" si="30"/>
        <v>12</v>
      </c>
      <c r="U46" s="133">
        <f t="shared" si="31"/>
        <v>1.9500000000000002</v>
      </c>
      <c r="V46" s="132">
        <f>IF(Calculations!$B$17=3,2,IF((S46*R46/T46)&lt;((T46*(1-(T46/R46)))/(2*Lm*fsw)),1,2))</f>
        <v>2</v>
      </c>
      <c r="W46" s="1">
        <f t="shared" si="32"/>
        <v>0.33333333333333337</v>
      </c>
      <c r="X46" s="133">
        <f t="shared" si="33"/>
        <v>0.66666666666666663</v>
      </c>
      <c r="Y46" s="132">
        <f t="shared" si="34"/>
        <v>1.6</v>
      </c>
      <c r="Z46" s="1">
        <f t="shared" si="13"/>
        <v>2.75</v>
      </c>
      <c r="AA46" s="1">
        <f t="shared" si="14"/>
        <v>2.0039544239661078</v>
      </c>
      <c r="AB46" s="1">
        <v>0</v>
      </c>
      <c r="AC46" s="1">
        <f t="shared" si="35"/>
        <v>0.3333141666666668</v>
      </c>
      <c r="AD46" s="133">
        <f t="shared" si="16"/>
        <v>0.3333141666666668</v>
      </c>
      <c r="AE46" s="132">
        <f t="shared" si="28"/>
        <v>0.65000000000000013</v>
      </c>
      <c r="AF46" s="1">
        <f t="shared" si="17"/>
        <v>1.1569836261205735</v>
      </c>
      <c r="AG46" s="1">
        <f t="shared" si="36"/>
        <v>1.3386111111111109E-3</v>
      </c>
      <c r="AH46" s="1">
        <f t="shared" si="37"/>
        <v>7.2519671640060304E-2</v>
      </c>
      <c r="AI46" s="133">
        <f t="shared" si="19"/>
        <v>7.3858282751171414E-2</v>
      </c>
      <c r="AJ46" s="132">
        <f t="shared" si="20"/>
        <v>1.3</v>
      </c>
      <c r="AK46" s="1">
        <f t="shared" si="21"/>
        <v>1.6362219355033174</v>
      </c>
      <c r="AL46" s="1">
        <f t="shared" si="38"/>
        <v>2.6772222222222223E-3</v>
      </c>
      <c r="AM46" s="1">
        <f t="shared" si="45"/>
        <v>0.15510000000000004</v>
      </c>
      <c r="AN46" s="136">
        <f t="shared" si="39"/>
        <v>4.3999999999999997E-2</v>
      </c>
      <c r="AO46" s="133">
        <f t="shared" si="23"/>
        <v>0.20177722222222227</v>
      </c>
      <c r="AP46" s="132">
        <f t="shared" si="40"/>
        <v>1.6063333333333339E-2</v>
      </c>
      <c r="AQ46" s="137">
        <f t="shared" si="41"/>
        <v>0.3333141666666668</v>
      </c>
      <c r="AR46" s="137">
        <f t="shared" si="42"/>
        <v>4.147588250013759E-2</v>
      </c>
      <c r="AS46" s="1">
        <f t="shared" si="43"/>
        <v>3.7999999999999999E-2</v>
      </c>
      <c r="AT46" s="133">
        <f t="shared" si="44"/>
        <v>4.8000000000000001E-2</v>
      </c>
      <c r="AU46" s="132">
        <f t="shared" si="25"/>
        <v>1.0858030541401984</v>
      </c>
      <c r="AV46" s="1">
        <f t="shared" si="26"/>
        <v>23.400000000000002</v>
      </c>
      <c r="AW46" s="133">
        <f t="shared" si="27"/>
        <v>95.565581199279464</v>
      </c>
    </row>
    <row r="47" spans="17:49" x14ac:dyDescent="0.25">
      <c r="Q47">
        <v>40</v>
      </c>
      <c r="R47" s="132">
        <f t="shared" si="0"/>
        <v>18</v>
      </c>
      <c r="S47" s="1">
        <f t="shared" si="1"/>
        <v>1.3333333333333333</v>
      </c>
      <c r="T47" s="1">
        <f t="shared" si="30"/>
        <v>12</v>
      </c>
      <c r="U47" s="133">
        <f t="shared" si="31"/>
        <v>2</v>
      </c>
      <c r="V47" s="132">
        <f>IF(Calculations!$B$17=3,2,IF((S47*R47/T47)&lt;((T47*(1-(T47/R47)))/(2*Lm*fsw)),1,2))</f>
        <v>2</v>
      </c>
      <c r="W47" s="1">
        <f t="shared" si="32"/>
        <v>0.33333333333333337</v>
      </c>
      <c r="X47" s="133">
        <f t="shared" si="33"/>
        <v>0.66666666666666663</v>
      </c>
      <c r="Y47" s="132">
        <f t="shared" si="34"/>
        <v>1.6</v>
      </c>
      <c r="Z47" s="1">
        <f t="shared" si="13"/>
        <v>2.8</v>
      </c>
      <c r="AA47" s="1">
        <f t="shared" si="14"/>
        <v>2.0526405757787534</v>
      </c>
      <c r="AB47" s="1">
        <v>0</v>
      </c>
      <c r="AC47" s="1">
        <f t="shared" si="35"/>
        <v>0.34970666666666655</v>
      </c>
      <c r="AD47" s="133">
        <f t="shared" si="16"/>
        <v>0.34970666666666655</v>
      </c>
      <c r="AE47" s="132">
        <f t="shared" si="28"/>
        <v>0.66666666666666674</v>
      </c>
      <c r="AF47" s="1">
        <f t="shared" si="17"/>
        <v>1.1850925889754118</v>
      </c>
      <c r="AG47" s="1">
        <f t="shared" si="36"/>
        <v>1.4044444444444445E-3</v>
      </c>
      <c r="AH47" s="1">
        <f t="shared" si="37"/>
        <v>7.4379150400061864E-2</v>
      </c>
      <c r="AI47" s="133">
        <f t="shared" si="19"/>
        <v>7.5783594844506308E-2</v>
      </c>
      <c r="AJ47" s="132">
        <f t="shared" si="20"/>
        <v>1.3333333333333333</v>
      </c>
      <c r="AK47" s="1">
        <f t="shared" si="21"/>
        <v>1.6759740119968709</v>
      </c>
      <c r="AL47" s="1">
        <f t="shared" si="38"/>
        <v>2.8088888888888877E-3</v>
      </c>
      <c r="AM47" s="1">
        <f t="shared" si="45"/>
        <v>0.15510000000000004</v>
      </c>
      <c r="AN47" s="136">
        <f t="shared" si="39"/>
        <v>4.48E-2</v>
      </c>
      <c r="AO47" s="133">
        <f t="shared" si="23"/>
        <v>0.20270888888888894</v>
      </c>
      <c r="AP47" s="132">
        <f t="shared" si="40"/>
        <v>1.6853333333333328E-2</v>
      </c>
      <c r="AQ47" s="137">
        <f t="shared" si="41"/>
        <v>0.34970666666666655</v>
      </c>
      <c r="AR47" s="137">
        <f t="shared" si="42"/>
        <v>4.147588250013759E-2</v>
      </c>
      <c r="AS47" s="1">
        <f t="shared" si="43"/>
        <v>3.7999999999999999E-2</v>
      </c>
      <c r="AT47" s="133">
        <f t="shared" si="44"/>
        <v>4.8000000000000001E-2</v>
      </c>
      <c r="AU47" s="132">
        <f t="shared" si="25"/>
        <v>1.1222350329001993</v>
      </c>
      <c r="AV47" s="1">
        <f t="shared" si="26"/>
        <v>24</v>
      </c>
      <c r="AW47" s="133">
        <f t="shared" si="27"/>
        <v>95.532901306629299</v>
      </c>
    </row>
    <row r="48" spans="17:49" x14ac:dyDescent="0.25">
      <c r="Q48">
        <v>41</v>
      </c>
      <c r="R48" s="132">
        <f t="shared" si="0"/>
        <v>18</v>
      </c>
      <c r="S48" s="1">
        <f t="shared" si="1"/>
        <v>1.3666666666666667</v>
      </c>
      <c r="T48" s="1">
        <f t="shared" si="30"/>
        <v>12</v>
      </c>
      <c r="U48" s="133">
        <f t="shared" si="31"/>
        <v>2.0500000000000003</v>
      </c>
      <c r="V48" s="132">
        <f>IF(Calculations!$B$17=3,2,IF((S48*R48/T48)&lt;((T48*(1-(T48/R48)))/(2*Lm*fsw)),1,2))</f>
        <v>2</v>
      </c>
      <c r="W48" s="1">
        <f t="shared" si="32"/>
        <v>0.33333333333333337</v>
      </c>
      <c r="X48" s="133">
        <f t="shared" si="33"/>
        <v>0.66666666666666663</v>
      </c>
      <c r="Y48" s="132">
        <f t="shared" si="34"/>
        <v>1.6</v>
      </c>
      <c r="Z48" s="1">
        <f t="shared" si="13"/>
        <v>2.8500000000000005</v>
      </c>
      <c r="AA48" s="1">
        <f t="shared" si="14"/>
        <v>2.1013884299037469</v>
      </c>
      <c r="AB48" s="1">
        <v>0</v>
      </c>
      <c r="AC48" s="1">
        <f t="shared" si="35"/>
        <v>0.36651416666666675</v>
      </c>
      <c r="AD48" s="133">
        <f t="shared" si="16"/>
        <v>0.36651416666666675</v>
      </c>
      <c r="AE48" s="132">
        <f t="shared" si="28"/>
        <v>0.68333333333333346</v>
      </c>
      <c r="AF48" s="1">
        <f t="shared" si="17"/>
        <v>1.2132371756768934</v>
      </c>
      <c r="AG48" s="1">
        <f t="shared" si="36"/>
        <v>1.471944444444445E-3</v>
      </c>
      <c r="AH48" s="1">
        <f t="shared" si="37"/>
        <v>7.6238629160063423E-2</v>
      </c>
      <c r="AI48" s="133">
        <f t="shared" si="19"/>
        <v>7.7710573604507865E-2</v>
      </c>
      <c r="AJ48" s="132">
        <f t="shared" si="20"/>
        <v>1.3666666666666667</v>
      </c>
      <c r="AK48" s="1">
        <f t="shared" si="21"/>
        <v>1.7157764682174916</v>
      </c>
      <c r="AL48" s="1">
        <f t="shared" si="38"/>
        <v>2.9438888888888891E-3</v>
      </c>
      <c r="AM48" s="1">
        <f t="shared" si="45"/>
        <v>0.15510000000000004</v>
      </c>
      <c r="AN48" s="136">
        <f t="shared" si="39"/>
        <v>4.5600000000000009E-2</v>
      </c>
      <c r="AO48" s="133">
        <f t="shared" si="23"/>
        <v>0.20364388888888893</v>
      </c>
      <c r="AP48" s="132">
        <f t="shared" si="40"/>
        <v>1.7663333333333336E-2</v>
      </c>
      <c r="AQ48" s="137">
        <f t="shared" si="41"/>
        <v>0.36651416666666675</v>
      </c>
      <c r="AR48" s="137">
        <f t="shared" si="42"/>
        <v>4.147588250013759E-2</v>
      </c>
      <c r="AS48" s="1">
        <f t="shared" si="43"/>
        <v>3.7999999999999999E-2</v>
      </c>
      <c r="AT48" s="133">
        <f t="shared" si="44"/>
        <v>4.8000000000000001E-2</v>
      </c>
      <c r="AU48" s="132">
        <f t="shared" si="25"/>
        <v>1.1595220116602012</v>
      </c>
      <c r="AV48" s="1">
        <f t="shared" si="26"/>
        <v>24.6</v>
      </c>
      <c r="AW48" s="133">
        <f t="shared" si="27"/>
        <v>95.498666430474387</v>
      </c>
    </row>
    <row r="49" spans="17:49" x14ac:dyDescent="0.25">
      <c r="Q49">
        <v>42</v>
      </c>
      <c r="R49" s="132">
        <f t="shared" si="0"/>
        <v>18</v>
      </c>
      <c r="S49" s="1">
        <f t="shared" si="1"/>
        <v>1.4</v>
      </c>
      <c r="T49" s="1">
        <f t="shared" si="30"/>
        <v>12</v>
      </c>
      <c r="U49" s="133">
        <f t="shared" si="31"/>
        <v>2.1</v>
      </c>
      <c r="V49" s="132">
        <f>IF(Calculations!$B$17=3,2,IF((S49*R49/T49)&lt;((T49*(1-(T49/R49)))/(2*Lm*fsw)),1,2))</f>
        <v>2</v>
      </c>
      <c r="W49" s="1">
        <f t="shared" si="32"/>
        <v>0.33333333333333337</v>
      </c>
      <c r="X49" s="133">
        <f t="shared" si="33"/>
        <v>0.66666666666666663</v>
      </c>
      <c r="Y49" s="132">
        <f t="shared" si="34"/>
        <v>1.6</v>
      </c>
      <c r="Z49" s="1">
        <f t="shared" si="13"/>
        <v>2.9000000000000004</v>
      </c>
      <c r="AA49" s="1">
        <f t="shared" si="14"/>
        <v>2.1501937897160186</v>
      </c>
      <c r="AB49" s="1">
        <v>0</v>
      </c>
      <c r="AC49" s="1">
        <f t="shared" si="35"/>
        <v>0.38373666666666673</v>
      </c>
      <c r="AD49" s="133">
        <f t="shared" si="16"/>
        <v>0.38373666666666673</v>
      </c>
      <c r="AE49" s="132">
        <f t="shared" si="28"/>
        <v>0.70000000000000007</v>
      </c>
      <c r="AF49" s="1">
        <f t="shared" si="17"/>
        <v>1.2414149633024052</v>
      </c>
      <c r="AG49" s="1">
        <f t="shared" si="36"/>
        <v>1.541111111111112E-3</v>
      </c>
      <c r="AH49" s="1">
        <f t="shared" si="37"/>
        <v>7.8098107920064969E-2</v>
      </c>
      <c r="AI49" s="133">
        <f t="shared" si="19"/>
        <v>7.9639219031176087E-2</v>
      </c>
      <c r="AJ49" s="132">
        <f t="shared" si="20"/>
        <v>1.4</v>
      </c>
      <c r="AK49" s="1">
        <f t="shared" si="21"/>
        <v>1.7556258776351592</v>
      </c>
      <c r="AL49" s="1">
        <f t="shared" si="38"/>
        <v>3.0822222222222232E-3</v>
      </c>
      <c r="AM49" s="1">
        <f t="shared" si="45"/>
        <v>0.15510000000000004</v>
      </c>
      <c r="AN49" s="136">
        <f t="shared" si="39"/>
        <v>4.6400000000000004E-2</v>
      </c>
      <c r="AO49" s="133">
        <f t="shared" si="23"/>
        <v>0.20458222222222228</v>
      </c>
      <c r="AP49" s="132">
        <f t="shared" si="40"/>
        <v>1.8493333333333337E-2</v>
      </c>
      <c r="AQ49" s="137">
        <f t="shared" si="41"/>
        <v>0.38373666666666673</v>
      </c>
      <c r="AR49" s="137">
        <f t="shared" si="42"/>
        <v>4.147588250013759E-2</v>
      </c>
      <c r="AS49" s="1">
        <f t="shared" si="43"/>
        <v>3.7999999999999999E-2</v>
      </c>
      <c r="AT49" s="133">
        <f t="shared" si="44"/>
        <v>4.8000000000000001E-2</v>
      </c>
      <c r="AU49" s="132">
        <f t="shared" si="25"/>
        <v>1.1976639904202027</v>
      </c>
      <c r="AV49" s="1">
        <f t="shared" si="26"/>
        <v>25.2</v>
      </c>
      <c r="AW49" s="133">
        <f t="shared" si="27"/>
        <v>95.462992517615035</v>
      </c>
    </row>
    <row r="50" spans="17:49" x14ac:dyDescent="0.25">
      <c r="Q50">
        <v>43</v>
      </c>
      <c r="R50" s="132">
        <f t="shared" si="0"/>
        <v>18</v>
      </c>
      <c r="S50" s="1">
        <f t="shared" si="1"/>
        <v>1.4333333333333333</v>
      </c>
      <c r="T50" s="1">
        <f t="shared" si="30"/>
        <v>12</v>
      </c>
      <c r="U50" s="133">
        <f t="shared" si="31"/>
        <v>2.15</v>
      </c>
      <c r="V50" s="132">
        <f>IF(Calculations!$B$17=3,2,IF((S50*R50/T50)&lt;((T50*(1-(T50/R50)))/(2*Lm*fsw)),1,2))</f>
        <v>2</v>
      </c>
      <c r="W50" s="1">
        <f t="shared" si="32"/>
        <v>0.33333333333333337</v>
      </c>
      <c r="X50" s="133">
        <f t="shared" si="33"/>
        <v>0.66666666666666663</v>
      </c>
      <c r="Y50" s="132">
        <f t="shared" si="34"/>
        <v>1.6</v>
      </c>
      <c r="Z50" s="1">
        <f t="shared" si="13"/>
        <v>2.95</v>
      </c>
      <c r="AA50" s="1">
        <f t="shared" si="14"/>
        <v>2.1990528264080726</v>
      </c>
      <c r="AB50" s="1">
        <v>0</v>
      </c>
      <c r="AC50" s="1">
        <f t="shared" si="35"/>
        <v>0.40137416666666664</v>
      </c>
      <c r="AD50" s="133">
        <f t="shared" si="16"/>
        <v>0.40137416666666664</v>
      </c>
      <c r="AE50" s="132">
        <f t="shared" si="28"/>
        <v>0.71666666666666667</v>
      </c>
      <c r="AF50" s="1">
        <f t="shared" si="17"/>
        <v>1.2696237412889082</v>
      </c>
      <c r="AG50" s="1">
        <f t="shared" si="36"/>
        <v>1.6119444444444445E-3</v>
      </c>
      <c r="AH50" s="1">
        <f t="shared" si="37"/>
        <v>7.9957586680066486E-2</v>
      </c>
      <c r="AI50" s="133">
        <f t="shared" si="19"/>
        <v>8.156953112451093E-2</v>
      </c>
      <c r="AJ50" s="132">
        <f t="shared" si="20"/>
        <v>1.4333333333333331</v>
      </c>
      <c r="AK50" s="1">
        <f t="shared" si="21"/>
        <v>1.7955191140416435</v>
      </c>
      <c r="AL50" s="1">
        <f t="shared" si="38"/>
        <v>3.2238888888888886E-3</v>
      </c>
      <c r="AM50" s="1">
        <f t="shared" si="45"/>
        <v>0.15510000000000004</v>
      </c>
      <c r="AN50" s="136">
        <f t="shared" si="39"/>
        <v>4.7200000000000006E-2</v>
      </c>
      <c r="AO50" s="133">
        <f t="shared" si="23"/>
        <v>0.20552388888888895</v>
      </c>
      <c r="AP50" s="132">
        <f t="shared" si="40"/>
        <v>1.934333333333333E-2</v>
      </c>
      <c r="AQ50" s="137">
        <f t="shared" si="41"/>
        <v>0.40137416666666664</v>
      </c>
      <c r="AR50" s="137">
        <f t="shared" si="42"/>
        <v>4.147588250013759E-2</v>
      </c>
      <c r="AS50" s="1">
        <f t="shared" si="43"/>
        <v>3.7999999999999999E-2</v>
      </c>
      <c r="AT50" s="133">
        <f t="shared" si="44"/>
        <v>4.8000000000000001E-2</v>
      </c>
      <c r="AU50" s="132">
        <f t="shared" si="25"/>
        <v>1.2366609691802042</v>
      </c>
      <c r="AV50" s="1">
        <f t="shared" si="26"/>
        <v>25.8</v>
      </c>
      <c r="AW50" s="133">
        <f t="shared" si="27"/>
        <v>95.425984848536189</v>
      </c>
    </row>
    <row r="51" spans="17:49" x14ac:dyDescent="0.25">
      <c r="Q51">
        <v>44</v>
      </c>
      <c r="R51" s="132">
        <f t="shared" si="0"/>
        <v>18</v>
      </c>
      <c r="S51" s="1">
        <f t="shared" si="1"/>
        <v>1.4666666666666666</v>
      </c>
      <c r="T51" s="1">
        <f t="shared" si="30"/>
        <v>12</v>
      </c>
      <c r="U51" s="133">
        <f t="shared" si="31"/>
        <v>2.1999999999999997</v>
      </c>
      <c r="V51" s="132">
        <f>IF(Calculations!$B$17=3,2,IF((S51*R51/T51)&lt;((T51*(1-(T51/R51)))/(2*Lm*fsw)),1,2))</f>
        <v>2</v>
      </c>
      <c r="W51" s="1">
        <f t="shared" si="32"/>
        <v>0.33333333333333337</v>
      </c>
      <c r="X51" s="133">
        <f t="shared" si="33"/>
        <v>0.66666666666666663</v>
      </c>
      <c r="Y51" s="132">
        <f t="shared" si="34"/>
        <v>1.6</v>
      </c>
      <c r="Z51" s="1">
        <f t="shared" si="13"/>
        <v>3</v>
      </c>
      <c r="AA51" s="1">
        <f t="shared" si="14"/>
        <v>2.2479620400116485</v>
      </c>
      <c r="AB51" s="1">
        <v>0</v>
      </c>
      <c r="AC51" s="1">
        <f t="shared" si="35"/>
        <v>0.41942666666666656</v>
      </c>
      <c r="AD51" s="133">
        <f t="shared" si="16"/>
        <v>0.41942666666666656</v>
      </c>
      <c r="AE51" s="132">
        <f t="shared" si="28"/>
        <v>0.73333333333333328</v>
      </c>
      <c r="AF51" s="1">
        <f t="shared" si="17"/>
        <v>1.2978614889287856</v>
      </c>
      <c r="AG51" s="1">
        <f t="shared" si="36"/>
        <v>1.6844444444444441E-3</v>
      </c>
      <c r="AH51" s="1">
        <f t="shared" si="37"/>
        <v>8.1817065440068032E-2</v>
      </c>
      <c r="AI51" s="133">
        <f t="shared" si="19"/>
        <v>8.3501509884512479E-2</v>
      </c>
      <c r="AJ51" s="132">
        <f t="shared" si="20"/>
        <v>1.4666666666666663</v>
      </c>
      <c r="AK51" s="1">
        <f t="shared" si="21"/>
        <v>1.8354533197248271</v>
      </c>
      <c r="AL51" s="1">
        <f t="shared" si="38"/>
        <v>3.3688888888888883E-3</v>
      </c>
      <c r="AM51" s="1">
        <f t="shared" si="45"/>
        <v>0.15510000000000004</v>
      </c>
      <c r="AN51" s="136">
        <f t="shared" si="39"/>
        <v>4.8000000000000001E-2</v>
      </c>
      <c r="AO51" s="133">
        <f t="shared" si="23"/>
        <v>0.20646888888888892</v>
      </c>
      <c r="AP51" s="132">
        <f t="shared" si="40"/>
        <v>2.021333333333333E-2</v>
      </c>
      <c r="AQ51" s="137">
        <f t="shared" si="41"/>
        <v>0.41942666666666656</v>
      </c>
      <c r="AR51" s="137">
        <f t="shared" si="42"/>
        <v>4.147588250013759E-2</v>
      </c>
      <c r="AS51" s="1">
        <f t="shared" si="43"/>
        <v>3.7999999999999999E-2</v>
      </c>
      <c r="AT51" s="133">
        <f t="shared" si="44"/>
        <v>4.8000000000000001E-2</v>
      </c>
      <c r="AU51" s="132">
        <f t="shared" si="25"/>
        <v>1.2765129479402055</v>
      </c>
      <c r="AV51" s="1">
        <f t="shared" si="26"/>
        <v>26.4</v>
      </c>
      <c r="AW51" s="133">
        <f t="shared" si="27"/>
        <v>95.387739234558424</v>
      </c>
    </row>
    <row r="52" spans="17:49" x14ac:dyDescent="0.25">
      <c r="Q52">
        <v>45</v>
      </c>
      <c r="R52" s="132">
        <f t="shared" si="0"/>
        <v>18</v>
      </c>
      <c r="S52" s="1">
        <f t="shared" si="1"/>
        <v>1.5</v>
      </c>
      <c r="T52" s="1">
        <f t="shared" si="30"/>
        <v>12</v>
      </c>
      <c r="U52" s="133">
        <f t="shared" si="31"/>
        <v>2.25</v>
      </c>
      <c r="V52" s="132">
        <f>IF(Calculations!$B$17=3,2,IF((S52*R52/T52)&lt;((T52*(1-(T52/R52)))/(2*Lm*fsw)),1,2))</f>
        <v>2</v>
      </c>
      <c r="W52" s="1">
        <f t="shared" si="32"/>
        <v>0.33333333333333337</v>
      </c>
      <c r="X52" s="133">
        <f t="shared" si="33"/>
        <v>0.66666666666666663</v>
      </c>
      <c r="Y52" s="132">
        <f t="shared" si="34"/>
        <v>1.6</v>
      </c>
      <c r="Z52" s="1">
        <f t="shared" si="13"/>
        <v>3.05</v>
      </c>
      <c r="AA52" s="1">
        <f t="shared" si="14"/>
        <v>2.2969182252168521</v>
      </c>
      <c r="AB52" s="1">
        <v>0</v>
      </c>
      <c r="AC52" s="1">
        <f t="shared" si="35"/>
        <v>0.43789416666666675</v>
      </c>
      <c r="AD52" s="133">
        <f t="shared" si="16"/>
        <v>0.43789416666666675</v>
      </c>
      <c r="AE52" s="132">
        <f t="shared" si="28"/>
        <v>0.75000000000000011</v>
      </c>
      <c r="AF52" s="1">
        <f t="shared" si="17"/>
        <v>1.326126355635507</v>
      </c>
      <c r="AG52" s="1">
        <f t="shared" si="36"/>
        <v>1.7586111111111112E-3</v>
      </c>
      <c r="AH52" s="1">
        <f t="shared" si="37"/>
        <v>8.3676544200069591E-2</v>
      </c>
      <c r="AI52" s="133">
        <f t="shared" si="19"/>
        <v>8.5435155311180705E-2</v>
      </c>
      <c r="AJ52" s="132">
        <f t="shared" si="20"/>
        <v>1.5</v>
      </c>
      <c r="AK52" s="1">
        <f t="shared" si="21"/>
        <v>1.87542587756014</v>
      </c>
      <c r="AL52" s="1">
        <f t="shared" si="38"/>
        <v>3.5172222222222215E-3</v>
      </c>
      <c r="AM52" s="1">
        <f t="shared" si="45"/>
        <v>0.15510000000000004</v>
      </c>
      <c r="AN52" s="136">
        <f t="shared" si="39"/>
        <v>4.8799999999999996E-2</v>
      </c>
      <c r="AO52" s="133">
        <f t="shared" si="23"/>
        <v>0.20741722222222225</v>
      </c>
      <c r="AP52" s="132">
        <f t="shared" si="40"/>
        <v>2.1103333333333335E-2</v>
      </c>
      <c r="AQ52" s="137">
        <f t="shared" si="41"/>
        <v>0.43789416666666675</v>
      </c>
      <c r="AR52" s="137">
        <f t="shared" si="42"/>
        <v>4.147588250013759E-2</v>
      </c>
      <c r="AS52" s="1">
        <f t="shared" si="43"/>
        <v>3.7999999999999999E-2</v>
      </c>
      <c r="AT52" s="133">
        <f t="shared" si="44"/>
        <v>4.8000000000000001E-2</v>
      </c>
      <c r="AU52" s="132">
        <f t="shared" si="25"/>
        <v>1.3172199267002074</v>
      </c>
      <c r="AV52" s="1">
        <f t="shared" si="26"/>
        <v>27</v>
      </c>
      <c r="AW52" s="133">
        <f t="shared" si="27"/>
        <v>95.348343057299189</v>
      </c>
    </row>
    <row r="53" spans="17:49" x14ac:dyDescent="0.25">
      <c r="Q53">
        <v>46</v>
      </c>
      <c r="R53" s="132">
        <f t="shared" si="0"/>
        <v>18</v>
      </c>
      <c r="S53" s="1">
        <f t="shared" si="1"/>
        <v>1.5333333333333332</v>
      </c>
      <c r="T53" s="1">
        <f t="shared" si="30"/>
        <v>12</v>
      </c>
      <c r="U53" s="133">
        <f t="shared" si="31"/>
        <v>2.2999999999999998</v>
      </c>
      <c r="V53" s="132">
        <f>IF(Calculations!$B$17=3,2,IF((S53*R53/T53)&lt;((T53*(1-(T53/R53)))/(2*Lm*fsw)),1,2))</f>
        <v>2</v>
      </c>
      <c r="W53" s="1">
        <f t="shared" si="32"/>
        <v>0.33333333333333337</v>
      </c>
      <c r="X53" s="133">
        <f t="shared" si="33"/>
        <v>0.66666666666666663</v>
      </c>
      <c r="Y53" s="132">
        <f t="shared" si="34"/>
        <v>1.6</v>
      </c>
      <c r="Z53" s="1">
        <f t="shared" si="13"/>
        <v>3.0999999999999996</v>
      </c>
      <c r="AA53" s="1">
        <f t="shared" si="14"/>
        <v>2.3459184413217207</v>
      </c>
      <c r="AB53" s="1">
        <v>0</v>
      </c>
      <c r="AC53" s="1">
        <f t="shared" si="35"/>
        <v>0.4567766666666665</v>
      </c>
      <c r="AD53" s="133">
        <f t="shared" si="16"/>
        <v>0.4567766666666665</v>
      </c>
      <c r="AE53" s="132">
        <f t="shared" si="28"/>
        <v>0.76666666666666672</v>
      </c>
      <c r="AF53" s="1">
        <f t="shared" si="17"/>
        <v>1.3544166435940028</v>
      </c>
      <c r="AG53" s="1">
        <f t="shared" si="36"/>
        <v>1.8344444444444441E-3</v>
      </c>
      <c r="AH53" s="1">
        <f t="shared" si="37"/>
        <v>8.5536022960071137E-2</v>
      </c>
      <c r="AI53" s="133">
        <f t="shared" si="19"/>
        <v>8.7370467404515581E-2</v>
      </c>
      <c r="AJ53" s="132">
        <f t="shared" si="20"/>
        <v>1.5333333333333332</v>
      </c>
      <c r="AK53" s="1">
        <f t="shared" si="21"/>
        <v>1.9154343864744852</v>
      </c>
      <c r="AL53" s="1">
        <f t="shared" si="38"/>
        <v>3.6688888888888873E-3</v>
      </c>
      <c r="AM53" s="1">
        <f t="shared" si="45"/>
        <v>0.15510000000000004</v>
      </c>
      <c r="AN53" s="136">
        <f t="shared" si="39"/>
        <v>4.9599999999999998E-2</v>
      </c>
      <c r="AO53" s="133">
        <f t="shared" si="23"/>
        <v>0.20836888888888894</v>
      </c>
      <c r="AP53" s="132">
        <f t="shared" si="40"/>
        <v>2.2013333333333326E-2</v>
      </c>
      <c r="AQ53" s="137">
        <f t="shared" si="41"/>
        <v>0.4567766666666665</v>
      </c>
      <c r="AR53" s="137">
        <f t="shared" si="42"/>
        <v>4.147588250013759E-2</v>
      </c>
      <c r="AS53" s="1">
        <f t="shared" si="43"/>
        <v>3.7999999999999999E-2</v>
      </c>
      <c r="AT53" s="133">
        <f t="shared" si="44"/>
        <v>4.8000000000000001E-2</v>
      </c>
      <c r="AU53" s="132">
        <f t="shared" si="25"/>
        <v>1.3587819054602086</v>
      </c>
      <c r="AV53" s="1">
        <f t="shared" si="26"/>
        <v>27.599999999999998</v>
      </c>
      <c r="AW53" s="133">
        <f t="shared" si="27"/>
        <v>95.30787617415632</v>
      </c>
    </row>
    <row r="54" spans="17:49" x14ac:dyDescent="0.25">
      <c r="Q54">
        <v>47</v>
      </c>
      <c r="R54" s="132">
        <f t="shared" si="0"/>
        <v>18</v>
      </c>
      <c r="S54" s="1">
        <f t="shared" si="1"/>
        <v>1.5666666666666667</v>
      </c>
      <c r="T54" s="1">
        <f t="shared" si="30"/>
        <v>12</v>
      </c>
      <c r="U54" s="133">
        <f t="shared" si="31"/>
        <v>2.35</v>
      </c>
      <c r="V54" s="132">
        <f>IF(Calculations!$B$17=3,2,IF((S54*R54/T54)&lt;((T54*(1-(T54/R54)))/(2*Lm*fsw)),1,2))</f>
        <v>2</v>
      </c>
      <c r="W54" s="1">
        <f t="shared" si="32"/>
        <v>0.33333333333333337</v>
      </c>
      <c r="X54" s="133">
        <f t="shared" si="33"/>
        <v>0.66666666666666663</v>
      </c>
      <c r="Y54" s="132">
        <f t="shared" si="34"/>
        <v>1.6</v>
      </c>
      <c r="Z54" s="1">
        <f t="shared" si="13"/>
        <v>3.1500000000000004</v>
      </c>
      <c r="AA54" s="1">
        <f t="shared" si="14"/>
        <v>2.3949599857478483</v>
      </c>
      <c r="AB54" s="1">
        <v>0</v>
      </c>
      <c r="AC54" s="1">
        <f t="shared" si="35"/>
        <v>0.47607416666666674</v>
      </c>
      <c r="AD54" s="133">
        <f t="shared" si="16"/>
        <v>0.47607416666666674</v>
      </c>
      <c r="AE54" s="132">
        <f t="shared" si="28"/>
        <v>0.78333333333333344</v>
      </c>
      <c r="AF54" s="1">
        <f t="shared" si="17"/>
        <v>1.3827307924699028</v>
      </c>
      <c r="AG54" s="1">
        <f t="shared" si="36"/>
        <v>1.9119444444444455E-3</v>
      </c>
      <c r="AH54" s="1">
        <f t="shared" si="37"/>
        <v>8.7395501720072696E-2</v>
      </c>
      <c r="AI54" s="133">
        <f t="shared" si="19"/>
        <v>8.9307446164517149E-2</v>
      </c>
      <c r="AJ54" s="132">
        <f t="shared" si="20"/>
        <v>1.5666666666666667</v>
      </c>
      <c r="AK54" s="1">
        <f t="shared" si="21"/>
        <v>1.955476639821834</v>
      </c>
      <c r="AL54" s="1">
        <f t="shared" si="38"/>
        <v>3.8238888888888906E-3</v>
      </c>
      <c r="AM54" s="1">
        <f t="shared" si="45"/>
        <v>0.15510000000000004</v>
      </c>
      <c r="AN54" s="136">
        <f t="shared" si="39"/>
        <v>5.0400000000000007E-2</v>
      </c>
      <c r="AO54" s="133">
        <f t="shared" si="23"/>
        <v>0.20932388888888892</v>
      </c>
      <c r="AP54" s="132">
        <f t="shared" si="40"/>
        <v>2.2943333333333336E-2</v>
      </c>
      <c r="AQ54" s="137">
        <f t="shared" si="41"/>
        <v>0.47607416666666674</v>
      </c>
      <c r="AR54" s="137">
        <f t="shared" si="42"/>
        <v>4.147588250013759E-2</v>
      </c>
      <c r="AS54" s="1">
        <f t="shared" si="43"/>
        <v>3.7999999999999999E-2</v>
      </c>
      <c r="AT54" s="133">
        <f t="shared" si="44"/>
        <v>4.8000000000000001E-2</v>
      </c>
      <c r="AU54" s="132">
        <f t="shared" si="25"/>
        <v>1.4011988842202105</v>
      </c>
      <c r="AV54" s="1">
        <f t="shared" si="26"/>
        <v>28.2</v>
      </c>
      <c r="AW54" s="133">
        <f t="shared" si="27"/>
        <v>95.266411709536669</v>
      </c>
    </row>
    <row r="55" spans="17:49" x14ac:dyDescent="0.25">
      <c r="Q55">
        <v>48</v>
      </c>
      <c r="R55" s="132">
        <f t="shared" si="0"/>
        <v>18</v>
      </c>
      <c r="S55" s="1">
        <f t="shared" si="1"/>
        <v>1.6</v>
      </c>
      <c r="T55" s="1">
        <f t="shared" si="30"/>
        <v>12</v>
      </c>
      <c r="U55" s="133">
        <f t="shared" si="31"/>
        <v>2.4</v>
      </c>
      <c r="V55" s="132">
        <f>IF(Calculations!$B$17=3,2,IF((S55*R55/T55)&lt;((T55*(1-(T55/R55)))/(2*Lm*fsw)),1,2))</f>
        <v>2</v>
      </c>
      <c r="W55" s="1">
        <f t="shared" si="32"/>
        <v>0.33333333333333337</v>
      </c>
      <c r="X55" s="133">
        <f t="shared" si="33"/>
        <v>0.66666666666666663</v>
      </c>
      <c r="Y55" s="132">
        <f t="shared" si="34"/>
        <v>1.6</v>
      </c>
      <c r="Z55" s="1">
        <f t="shared" si="13"/>
        <v>3.2</v>
      </c>
      <c r="AA55" s="1">
        <f t="shared" si="14"/>
        <v>2.4440403706431146</v>
      </c>
      <c r="AB55" s="1">
        <v>0</v>
      </c>
      <c r="AC55" s="1">
        <f t="shared" si="35"/>
        <v>0.49578666666666665</v>
      </c>
      <c r="AD55" s="133">
        <f t="shared" si="16"/>
        <v>0.49578666666666665</v>
      </c>
      <c r="AE55" s="132">
        <f t="shared" si="28"/>
        <v>0.8</v>
      </c>
      <c r="AF55" s="1">
        <f t="shared" si="17"/>
        <v>1.4110673659011153</v>
      </c>
      <c r="AG55" s="1">
        <f t="shared" si="36"/>
        <v>1.9911111111111119E-3</v>
      </c>
      <c r="AH55" s="1">
        <f t="shared" si="37"/>
        <v>8.9254980480074214E-2</v>
      </c>
      <c r="AI55" s="133">
        <f t="shared" si="19"/>
        <v>9.1246091591185324E-2</v>
      </c>
      <c r="AJ55" s="132">
        <f t="shared" si="20"/>
        <v>1.5999999999999999</v>
      </c>
      <c r="AK55" s="1">
        <f t="shared" si="21"/>
        <v>1.9955506062794357</v>
      </c>
      <c r="AL55" s="1">
        <f t="shared" si="38"/>
        <v>3.9822222222222238E-3</v>
      </c>
      <c r="AM55" s="1">
        <f t="shared" si="45"/>
        <v>0.15510000000000004</v>
      </c>
      <c r="AN55" s="136">
        <f t="shared" si="39"/>
        <v>5.1200000000000002E-2</v>
      </c>
      <c r="AO55" s="133">
        <f t="shared" si="23"/>
        <v>0.21028222222222226</v>
      </c>
      <c r="AP55" s="132">
        <f t="shared" si="40"/>
        <v>2.3893333333333332E-2</v>
      </c>
      <c r="AQ55" s="137">
        <f t="shared" si="41"/>
        <v>0.49578666666666665</v>
      </c>
      <c r="AR55" s="137">
        <f t="shared" si="42"/>
        <v>4.147588250013759E-2</v>
      </c>
      <c r="AS55" s="1">
        <f t="shared" si="43"/>
        <v>3.7999999999999999E-2</v>
      </c>
      <c r="AT55" s="133">
        <f t="shared" si="44"/>
        <v>4.8000000000000001E-2</v>
      </c>
      <c r="AU55" s="132">
        <f t="shared" si="25"/>
        <v>1.4444708629802119</v>
      </c>
      <c r="AV55" s="1">
        <f t="shared" si="26"/>
        <v>28.8</v>
      </c>
      <c r="AW55" s="133">
        <f t="shared" si="27"/>
        <v>95.224016748303342</v>
      </c>
    </row>
    <row r="56" spans="17:49" x14ac:dyDescent="0.25">
      <c r="Q56">
        <v>49</v>
      </c>
      <c r="R56" s="132">
        <f t="shared" si="0"/>
        <v>18</v>
      </c>
      <c r="S56" s="1">
        <f t="shared" si="1"/>
        <v>1.6333333333333333</v>
      </c>
      <c r="T56" s="1">
        <f t="shared" si="30"/>
        <v>12</v>
      </c>
      <c r="U56" s="133">
        <f t="shared" si="31"/>
        <v>2.4499999999999997</v>
      </c>
      <c r="V56" s="132">
        <f>IF(Calculations!$B$17=3,2,IF((S56*R56/T56)&lt;((T56*(1-(T56/R56)))/(2*Lm*fsw)),1,2))</f>
        <v>2</v>
      </c>
      <c r="W56" s="1">
        <f t="shared" si="32"/>
        <v>0.33333333333333337</v>
      </c>
      <c r="X56" s="133">
        <f t="shared" si="33"/>
        <v>0.66666666666666663</v>
      </c>
      <c r="Y56" s="132">
        <f t="shared" si="34"/>
        <v>1.6</v>
      </c>
      <c r="Z56" s="1">
        <f t="shared" si="13"/>
        <v>3.25</v>
      </c>
      <c r="AA56" s="1">
        <f t="shared" si="14"/>
        <v>2.4931573021639313</v>
      </c>
      <c r="AB56" s="1">
        <v>0</v>
      </c>
      <c r="AC56" s="1">
        <f t="shared" si="35"/>
        <v>0.51591416666666667</v>
      </c>
      <c r="AD56" s="133">
        <f t="shared" si="16"/>
        <v>0.51591416666666667</v>
      </c>
      <c r="AE56" s="132">
        <f t="shared" si="28"/>
        <v>0.81666666666666665</v>
      </c>
      <c r="AF56" s="1">
        <f t="shared" si="17"/>
        <v>1.439425039536427</v>
      </c>
      <c r="AG56" s="1">
        <f t="shared" si="36"/>
        <v>2.0719444444444444E-3</v>
      </c>
      <c r="AH56" s="1">
        <f t="shared" si="37"/>
        <v>9.111445924007576E-2</v>
      </c>
      <c r="AI56" s="133">
        <f t="shared" si="19"/>
        <v>9.3186403684520205E-2</v>
      </c>
      <c r="AJ56" s="132">
        <f t="shared" si="20"/>
        <v>1.6333333333333331</v>
      </c>
      <c r="AK56" s="1">
        <f t="shared" si="21"/>
        <v>2.0356544129318435</v>
      </c>
      <c r="AL56" s="1">
        <f t="shared" si="38"/>
        <v>4.1438888888888888E-3</v>
      </c>
      <c r="AM56" s="1">
        <f t="shared" si="45"/>
        <v>0.15510000000000004</v>
      </c>
      <c r="AN56" s="136">
        <f t="shared" si="39"/>
        <v>5.2000000000000005E-2</v>
      </c>
      <c r="AO56" s="133">
        <f t="shared" si="23"/>
        <v>0.21124388888888895</v>
      </c>
      <c r="AP56" s="132">
        <f t="shared" si="40"/>
        <v>2.4863333333333331E-2</v>
      </c>
      <c r="AQ56" s="137">
        <f t="shared" si="41"/>
        <v>0.51591416666666667</v>
      </c>
      <c r="AR56" s="137">
        <f t="shared" si="42"/>
        <v>4.147588250013759E-2</v>
      </c>
      <c r="AS56" s="1">
        <f t="shared" si="43"/>
        <v>3.7999999999999999E-2</v>
      </c>
      <c r="AT56" s="133">
        <f t="shared" si="44"/>
        <v>4.8000000000000001E-2</v>
      </c>
      <c r="AU56" s="132">
        <f t="shared" si="25"/>
        <v>1.4885978417402135</v>
      </c>
      <c r="AV56" s="1">
        <f t="shared" si="26"/>
        <v>29.4</v>
      </c>
      <c r="AW56" s="133">
        <f t="shared" si="27"/>
        <v>95.180752945254611</v>
      </c>
    </row>
    <row r="57" spans="17:49" x14ac:dyDescent="0.25">
      <c r="Q57">
        <v>50</v>
      </c>
      <c r="R57" s="132">
        <f t="shared" si="0"/>
        <v>18</v>
      </c>
      <c r="S57" s="1">
        <f t="shared" si="1"/>
        <v>1.6666666666666667</v>
      </c>
      <c r="T57" s="1">
        <f t="shared" si="30"/>
        <v>12</v>
      </c>
      <c r="U57" s="133">
        <f t="shared" si="31"/>
        <v>2.5</v>
      </c>
      <c r="V57" s="132">
        <f>IF(Calculations!$B$17=3,2,IF((S57*R57/T57)&lt;((T57*(1-(T57/R57)))/(2*Lm*fsw)),1,2))</f>
        <v>2</v>
      </c>
      <c r="W57" s="1">
        <f t="shared" si="32"/>
        <v>0.33333333333333337</v>
      </c>
      <c r="X57" s="133">
        <f t="shared" si="33"/>
        <v>0.66666666666666663</v>
      </c>
      <c r="Y57" s="132">
        <f t="shared" si="34"/>
        <v>1.6</v>
      </c>
      <c r="Z57" s="1">
        <f t="shared" si="13"/>
        <v>3.3</v>
      </c>
      <c r="AA57" s="1">
        <f t="shared" si="14"/>
        <v>2.5423086620891127</v>
      </c>
      <c r="AB57" s="1">
        <v>0</v>
      </c>
      <c r="AC57" s="1">
        <f t="shared" si="35"/>
        <v>0.53645666666666669</v>
      </c>
      <c r="AD57" s="133">
        <f t="shared" si="16"/>
        <v>0.53645666666666669</v>
      </c>
      <c r="AE57" s="132">
        <f t="shared" si="28"/>
        <v>0.83333333333333348</v>
      </c>
      <c r="AF57" s="1">
        <f t="shared" si="17"/>
        <v>1.4678025904202663</v>
      </c>
      <c r="AG57" s="1">
        <f t="shared" si="36"/>
        <v>2.1544444444444441E-3</v>
      </c>
      <c r="AH57" s="1">
        <f t="shared" si="37"/>
        <v>9.2973938000077319E-2</v>
      </c>
      <c r="AI57" s="133">
        <f t="shared" si="19"/>
        <v>9.5128382444521764E-2</v>
      </c>
      <c r="AJ57" s="132">
        <f t="shared" si="20"/>
        <v>1.6666666666666665</v>
      </c>
      <c r="AK57" s="1">
        <f t="shared" si="21"/>
        <v>2.0757863302587016</v>
      </c>
      <c r="AL57" s="1">
        <f t="shared" si="38"/>
        <v>4.3088888888888873E-3</v>
      </c>
      <c r="AM57" s="1">
        <f t="shared" si="45"/>
        <v>0.15510000000000004</v>
      </c>
      <c r="AN57" s="136">
        <f t="shared" si="39"/>
        <v>5.28E-2</v>
      </c>
      <c r="AO57" s="133">
        <f t="shared" si="23"/>
        <v>0.21220888888888895</v>
      </c>
      <c r="AP57" s="132">
        <f t="shared" si="40"/>
        <v>2.5853333333333336E-2</v>
      </c>
      <c r="AQ57" s="137">
        <f t="shared" si="41"/>
        <v>0.53645666666666669</v>
      </c>
      <c r="AR57" s="137">
        <f t="shared" si="42"/>
        <v>4.147588250013759E-2</v>
      </c>
      <c r="AS57" s="1">
        <f t="shared" si="43"/>
        <v>3.7999999999999999E-2</v>
      </c>
      <c r="AT57" s="133">
        <f t="shared" si="44"/>
        <v>4.8000000000000001E-2</v>
      </c>
      <c r="AU57" s="132">
        <f t="shared" si="25"/>
        <v>1.5335798205002149</v>
      </c>
      <c r="AV57" s="1">
        <f t="shared" si="26"/>
        <v>30</v>
      </c>
      <c r="AW57" s="133">
        <f t="shared" si="27"/>
        <v>95.136677062262294</v>
      </c>
    </row>
    <row r="58" spans="17:49" x14ac:dyDescent="0.25">
      <c r="Q58">
        <v>51</v>
      </c>
      <c r="R58" s="132">
        <f t="shared" si="0"/>
        <v>18</v>
      </c>
      <c r="S58" s="1">
        <f t="shared" si="1"/>
        <v>1.7</v>
      </c>
      <c r="T58" s="1">
        <f t="shared" si="30"/>
        <v>12</v>
      </c>
      <c r="U58" s="133">
        <f t="shared" si="31"/>
        <v>2.5499999999999998</v>
      </c>
      <c r="V58" s="132">
        <f>IF(Calculations!$B$17=3,2,IF((S58*R58/T58)&lt;((T58*(1-(T58/R58)))/(2*Lm*fsw)),1,2))</f>
        <v>2</v>
      </c>
      <c r="W58" s="1">
        <f t="shared" si="32"/>
        <v>0.33333333333333337</v>
      </c>
      <c r="X58" s="133">
        <f t="shared" si="33"/>
        <v>0.66666666666666663</v>
      </c>
      <c r="Y58" s="132">
        <f t="shared" si="34"/>
        <v>1.6</v>
      </c>
      <c r="Z58" s="1">
        <f t="shared" si="13"/>
        <v>3.3499999999999996</v>
      </c>
      <c r="AA58" s="1">
        <f t="shared" si="14"/>
        <v>2.5914924914676738</v>
      </c>
      <c r="AB58" s="1">
        <v>0</v>
      </c>
      <c r="AC58" s="1">
        <f t="shared" si="35"/>
        <v>0.55741416666666654</v>
      </c>
      <c r="AD58" s="133">
        <f t="shared" si="16"/>
        <v>0.55741416666666654</v>
      </c>
      <c r="AE58" s="132">
        <f t="shared" si="28"/>
        <v>0.85000000000000009</v>
      </c>
      <c r="AF58" s="1">
        <f t="shared" si="17"/>
        <v>1.4961988875517556</v>
      </c>
      <c r="AG58" s="1">
        <f t="shared" si="36"/>
        <v>2.2386111111111114E-3</v>
      </c>
      <c r="AH58" s="1">
        <f t="shared" si="37"/>
        <v>9.4833416760078865E-2</v>
      </c>
      <c r="AI58" s="133">
        <f t="shared" si="19"/>
        <v>9.7072027871189973E-2</v>
      </c>
      <c r="AJ58" s="132">
        <f t="shared" si="20"/>
        <v>1.6999999999999997</v>
      </c>
      <c r="AK58" s="1">
        <f t="shared" si="21"/>
        <v>2.1159447587832299</v>
      </c>
      <c r="AL58" s="1">
        <f t="shared" si="38"/>
        <v>4.4772222222222201E-3</v>
      </c>
      <c r="AM58" s="1">
        <f t="shared" si="45"/>
        <v>0.15510000000000004</v>
      </c>
      <c r="AN58" s="136">
        <f t="shared" si="39"/>
        <v>5.3599999999999995E-2</v>
      </c>
      <c r="AO58" s="133">
        <f t="shared" si="23"/>
        <v>0.21317722222222224</v>
      </c>
      <c r="AP58" s="132">
        <f t="shared" si="40"/>
        <v>2.6863333333333326E-2</v>
      </c>
      <c r="AQ58" s="137">
        <f t="shared" si="41"/>
        <v>0.55741416666666654</v>
      </c>
      <c r="AR58" s="137">
        <f t="shared" si="42"/>
        <v>4.147588250013759E-2</v>
      </c>
      <c r="AS58" s="1">
        <f t="shared" si="43"/>
        <v>3.7999999999999999E-2</v>
      </c>
      <c r="AT58" s="133">
        <f t="shared" si="44"/>
        <v>4.8000000000000001E-2</v>
      </c>
      <c r="AU58" s="132">
        <f t="shared" si="25"/>
        <v>1.5794167992602164</v>
      </c>
      <c r="AV58" s="1">
        <f t="shared" si="26"/>
        <v>30.599999999999998</v>
      </c>
      <c r="AW58" s="133">
        <f t="shared" si="27"/>
        <v>95.091841442892374</v>
      </c>
    </row>
    <row r="59" spans="17:49" x14ac:dyDescent="0.25">
      <c r="Q59">
        <v>52</v>
      </c>
      <c r="R59" s="132">
        <f t="shared" si="0"/>
        <v>18</v>
      </c>
      <c r="S59" s="1">
        <f t="shared" si="1"/>
        <v>1.7333333333333334</v>
      </c>
      <c r="T59" s="1">
        <f t="shared" si="30"/>
        <v>12</v>
      </c>
      <c r="U59" s="133">
        <f t="shared" si="31"/>
        <v>2.6</v>
      </c>
      <c r="V59" s="132">
        <f>IF(Calculations!$B$17=3,2,IF((S59*R59/T59)&lt;((T59*(1-(T59/R59)))/(2*Lm*fsw)),1,2))</f>
        <v>2</v>
      </c>
      <c r="W59" s="1">
        <f t="shared" si="32"/>
        <v>0.33333333333333337</v>
      </c>
      <c r="X59" s="133">
        <f t="shared" si="33"/>
        <v>0.66666666666666663</v>
      </c>
      <c r="Y59" s="132">
        <f t="shared" si="34"/>
        <v>1.6</v>
      </c>
      <c r="Z59" s="1">
        <f t="shared" si="13"/>
        <v>3.4000000000000004</v>
      </c>
      <c r="AA59" s="1">
        <f t="shared" si="14"/>
        <v>2.6407069760451147</v>
      </c>
      <c r="AB59" s="1">
        <v>0</v>
      </c>
      <c r="AC59" s="1">
        <f t="shared" si="35"/>
        <v>0.57878666666666678</v>
      </c>
      <c r="AD59" s="133">
        <f t="shared" si="16"/>
        <v>0.57878666666666678</v>
      </c>
      <c r="AE59" s="132">
        <f t="shared" si="28"/>
        <v>0.86666666666666681</v>
      </c>
      <c r="AF59" s="1">
        <f t="shared" si="17"/>
        <v>1.5246128834705697</v>
      </c>
      <c r="AG59" s="1">
        <f t="shared" si="36"/>
        <v>2.324444444444445E-3</v>
      </c>
      <c r="AH59" s="1">
        <f t="shared" si="37"/>
        <v>9.6692895520080424E-2</v>
      </c>
      <c r="AI59" s="133">
        <f t="shared" si="19"/>
        <v>9.9017339964524873E-2</v>
      </c>
      <c r="AJ59" s="132">
        <f t="shared" si="20"/>
        <v>1.7333333333333334</v>
      </c>
      <c r="AK59" s="1">
        <f t="shared" si="21"/>
        <v>2.1561282171728307</v>
      </c>
      <c r="AL59" s="1">
        <f t="shared" si="38"/>
        <v>4.648888888888889E-3</v>
      </c>
      <c r="AM59" s="1">
        <f t="shared" si="45"/>
        <v>0.15510000000000004</v>
      </c>
      <c r="AN59" s="136">
        <f t="shared" si="39"/>
        <v>5.4400000000000004E-2</v>
      </c>
      <c r="AO59" s="133">
        <f t="shared" si="23"/>
        <v>0.21414888888888894</v>
      </c>
      <c r="AP59" s="132">
        <f t="shared" si="40"/>
        <v>2.7893333333333339E-2</v>
      </c>
      <c r="AQ59" s="137">
        <f t="shared" si="41"/>
        <v>0.57878666666666678</v>
      </c>
      <c r="AR59" s="137">
        <f t="shared" si="42"/>
        <v>4.147588250013759E-2</v>
      </c>
      <c r="AS59" s="1">
        <f t="shared" si="43"/>
        <v>3.7999999999999999E-2</v>
      </c>
      <c r="AT59" s="133">
        <f t="shared" si="44"/>
        <v>4.8000000000000001E-2</v>
      </c>
      <c r="AU59" s="132">
        <f t="shared" si="25"/>
        <v>1.6261087780202184</v>
      </c>
      <c r="AV59" s="1">
        <f t="shared" si="26"/>
        <v>31.200000000000003</v>
      </c>
      <c r="AW59" s="133">
        <f t="shared" si="27"/>
        <v>95.046294432835637</v>
      </c>
    </row>
    <row r="60" spans="17:49" x14ac:dyDescent="0.25">
      <c r="Q60">
        <v>53</v>
      </c>
      <c r="R60" s="132">
        <f t="shared" si="0"/>
        <v>18</v>
      </c>
      <c r="S60" s="1">
        <f t="shared" si="1"/>
        <v>1.7666666666666666</v>
      </c>
      <c r="T60" s="1">
        <f t="shared" si="30"/>
        <v>12</v>
      </c>
      <c r="U60" s="133">
        <f t="shared" si="31"/>
        <v>2.65</v>
      </c>
      <c r="V60" s="132">
        <f>IF(Calculations!$B$17=3,2,IF((S60*R60/T60)&lt;((T60*(1-(T60/R60)))/(2*Lm*fsw)),1,2))</f>
        <v>2</v>
      </c>
      <c r="W60" s="1">
        <f t="shared" si="32"/>
        <v>0.33333333333333337</v>
      </c>
      <c r="X60" s="133">
        <f t="shared" si="33"/>
        <v>0.66666666666666663</v>
      </c>
      <c r="Y60" s="132">
        <f t="shared" si="34"/>
        <v>1.6</v>
      </c>
      <c r="Z60" s="1">
        <f t="shared" si="13"/>
        <v>3.45</v>
      </c>
      <c r="AA60" s="1">
        <f t="shared" si="14"/>
        <v>2.6899504332484145</v>
      </c>
      <c r="AB60" s="1">
        <v>0</v>
      </c>
      <c r="AC60" s="1">
        <f t="shared" si="35"/>
        <v>0.60057416666666663</v>
      </c>
      <c r="AD60" s="133">
        <f t="shared" si="16"/>
        <v>0.60057416666666663</v>
      </c>
      <c r="AE60" s="132">
        <f t="shared" si="28"/>
        <v>0.88333333333333341</v>
      </c>
      <c r="AF60" s="1">
        <f t="shared" si="17"/>
        <v>1.5530436067427229</v>
      </c>
      <c r="AG60" s="1">
        <f t="shared" si="36"/>
        <v>2.4119444444444453E-3</v>
      </c>
      <c r="AH60" s="1">
        <f t="shared" si="37"/>
        <v>9.8552374280081942E-2</v>
      </c>
      <c r="AI60" s="133">
        <f t="shared" si="19"/>
        <v>0.10096431872452638</v>
      </c>
      <c r="AJ60" s="132">
        <f t="shared" si="20"/>
        <v>1.7666666666666666</v>
      </c>
      <c r="AK60" s="1">
        <f t="shared" si="21"/>
        <v>2.1963353316123859</v>
      </c>
      <c r="AL60" s="1">
        <f t="shared" si="38"/>
        <v>4.8238888888888888E-3</v>
      </c>
      <c r="AM60" s="1">
        <f t="shared" si="45"/>
        <v>0.15510000000000004</v>
      </c>
      <c r="AN60" s="136">
        <f t="shared" si="39"/>
        <v>5.5200000000000006E-2</v>
      </c>
      <c r="AO60" s="133">
        <f t="shared" si="23"/>
        <v>0.21512388888888892</v>
      </c>
      <c r="AP60" s="132">
        <f t="shared" si="40"/>
        <v>2.8943333333333331E-2</v>
      </c>
      <c r="AQ60" s="137">
        <f t="shared" si="41"/>
        <v>0.60057416666666663</v>
      </c>
      <c r="AR60" s="137">
        <f t="shared" si="42"/>
        <v>4.147588250013759E-2</v>
      </c>
      <c r="AS60" s="1">
        <f t="shared" si="43"/>
        <v>3.7999999999999999E-2</v>
      </c>
      <c r="AT60" s="133">
        <f t="shared" si="44"/>
        <v>4.8000000000000001E-2</v>
      </c>
      <c r="AU60" s="132">
        <f t="shared" si="25"/>
        <v>1.6736557567802195</v>
      </c>
      <c r="AV60" s="1">
        <f t="shared" si="26"/>
        <v>31.799999999999997</v>
      </c>
      <c r="AW60" s="133">
        <f t="shared" si="27"/>
        <v>95.0000807532317</v>
      </c>
    </row>
    <row r="61" spans="17:49" x14ac:dyDescent="0.25">
      <c r="Q61">
        <v>54</v>
      </c>
      <c r="R61" s="132">
        <f t="shared" si="0"/>
        <v>18</v>
      </c>
      <c r="S61" s="1">
        <f t="shared" si="1"/>
        <v>1.8</v>
      </c>
      <c r="T61" s="1">
        <f t="shared" si="30"/>
        <v>12</v>
      </c>
      <c r="U61" s="133">
        <f t="shared" si="31"/>
        <v>2.6999999999999997</v>
      </c>
      <c r="V61" s="132">
        <f>IF(Calculations!$B$17=3,2,IF((S61*R61/T61)&lt;((T61*(1-(T61/R61)))/(2*Lm*fsw)),1,2))</f>
        <v>2</v>
      </c>
      <c r="W61" s="1">
        <f t="shared" si="32"/>
        <v>0.33333333333333337</v>
      </c>
      <c r="X61" s="133">
        <f t="shared" si="33"/>
        <v>0.66666666666666663</v>
      </c>
      <c r="Y61" s="132">
        <f t="shared" si="34"/>
        <v>1.6</v>
      </c>
      <c r="Z61" s="1">
        <f t="shared" si="13"/>
        <v>3.5</v>
      </c>
      <c r="AA61" s="1">
        <f t="shared" si="14"/>
        <v>2.7392213005402342</v>
      </c>
      <c r="AB61" s="1">
        <v>0</v>
      </c>
      <c r="AC61" s="1">
        <f t="shared" si="35"/>
        <v>0.62277666666666665</v>
      </c>
      <c r="AD61" s="133">
        <f t="shared" si="16"/>
        <v>0.62277666666666665</v>
      </c>
      <c r="AE61" s="132">
        <f t="shared" si="28"/>
        <v>0.9</v>
      </c>
      <c r="AF61" s="1">
        <f t="shared" si="17"/>
        <v>1.5814901552368612</v>
      </c>
      <c r="AG61" s="1">
        <f t="shared" si="36"/>
        <v>2.5011111111111115E-3</v>
      </c>
      <c r="AH61" s="1">
        <f t="shared" si="37"/>
        <v>0.10041185304008349</v>
      </c>
      <c r="AI61" s="133">
        <f t="shared" si="19"/>
        <v>0.10291296415119459</v>
      </c>
      <c r="AJ61" s="132">
        <f t="shared" si="20"/>
        <v>1.7999999999999998</v>
      </c>
      <c r="AK61" s="1">
        <f t="shared" si="21"/>
        <v>2.2365648262955005</v>
      </c>
      <c r="AL61" s="1">
        <f t="shared" si="38"/>
        <v>5.002222222222223E-3</v>
      </c>
      <c r="AM61" s="1">
        <f t="shared" si="45"/>
        <v>0.15510000000000004</v>
      </c>
      <c r="AN61" s="136">
        <f t="shared" si="39"/>
        <v>5.6000000000000001E-2</v>
      </c>
      <c r="AO61" s="133">
        <f t="shared" si="23"/>
        <v>0.21610222222222225</v>
      </c>
      <c r="AP61" s="132">
        <f t="shared" si="40"/>
        <v>3.0013333333333329E-2</v>
      </c>
      <c r="AQ61" s="137">
        <f t="shared" si="41"/>
        <v>0.62277666666666665</v>
      </c>
      <c r="AR61" s="137">
        <f t="shared" si="42"/>
        <v>4.147588250013759E-2</v>
      </c>
      <c r="AS61" s="1">
        <f t="shared" si="43"/>
        <v>3.7999999999999999E-2</v>
      </c>
      <c r="AT61" s="133">
        <f t="shared" si="44"/>
        <v>4.8000000000000001E-2</v>
      </c>
      <c r="AU61" s="132">
        <f t="shared" si="25"/>
        <v>1.7220577355402211</v>
      </c>
      <c r="AV61" s="1">
        <f t="shared" si="26"/>
        <v>32.4</v>
      </c>
      <c r="AW61" s="133">
        <f t="shared" si="27"/>
        <v>94.953241832931454</v>
      </c>
    </row>
    <row r="62" spans="17:49" x14ac:dyDescent="0.25">
      <c r="Q62">
        <v>55</v>
      </c>
      <c r="R62" s="132">
        <f t="shared" si="0"/>
        <v>18</v>
      </c>
      <c r="S62" s="1">
        <f t="shared" si="1"/>
        <v>1.8333333333333333</v>
      </c>
      <c r="T62" s="1">
        <f t="shared" si="30"/>
        <v>12</v>
      </c>
      <c r="U62" s="133">
        <f t="shared" si="31"/>
        <v>2.75</v>
      </c>
      <c r="V62" s="132">
        <f>IF(Calculations!$B$17=3,2,IF((S62*R62/T62)&lt;((T62*(1-(T62/R62)))/(2*Lm*fsw)),1,2))</f>
        <v>2</v>
      </c>
      <c r="W62" s="1">
        <f t="shared" si="32"/>
        <v>0.33333333333333337</v>
      </c>
      <c r="X62" s="133">
        <f t="shared" si="33"/>
        <v>0.66666666666666663</v>
      </c>
      <c r="Y62" s="132">
        <f t="shared" si="34"/>
        <v>1.6</v>
      </c>
      <c r="Z62" s="1">
        <f t="shared" si="13"/>
        <v>3.55</v>
      </c>
      <c r="AA62" s="1">
        <f t="shared" si="14"/>
        <v>2.7885181249784505</v>
      </c>
      <c r="AB62" s="1">
        <v>0</v>
      </c>
      <c r="AC62" s="1">
        <f t="shared" si="35"/>
        <v>0.64539416666666671</v>
      </c>
      <c r="AD62" s="133">
        <f t="shared" si="16"/>
        <v>0.64539416666666671</v>
      </c>
      <c r="AE62" s="132">
        <f t="shared" si="28"/>
        <v>0.91666666666666674</v>
      </c>
      <c r="AF62" s="1">
        <f t="shared" si="17"/>
        <v>1.609951690096459</v>
      </c>
      <c r="AG62" s="1">
        <f t="shared" si="36"/>
        <v>2.5919444444444445E-3</v>
      </c>
      <c r="AH62" s="1">
        <f t="shared" si="37"/>
        <v>0.10227133180008505</v>
      </c>
      <c r="AI62" s="133">
        <f t="shared" si="19"/>
        <v>0.10486327624452949</v>
      </c>
      <c r="AJ62" s="132">
        <f t="shared" si="20"/>
        <v>1.8333333333333333</v>
      </c>
      <c r="AK62" s="1">
        <f t="shared" si="21"/>
        <v>2.2768155148998983</v>
      </c>
      <c r="AL62" s="1">
        <f t="shared" si="38"/>
        <v>5.1838888888888889E-3</v>
      </c>
      <c r="AM62" s="1">
        <f t="shared" si="45"/>
        <v>0.15510000000000004</v>
      </c>
      <c r="AN62" s="136">
        <f t="shared" si="39"/>
        <v>5.6799999999999996E-2</v>
      </c>
      <c r="AO62" s="133">
        <f t="shared" si="23"/>
        <v>0.21708388888888891</v>
      </c>
      <c r="AP62" s="132">
        <f t="shared" si="40"/>
        <v>3.1103333333333337E-2</v>
      </c>
      <c r="AQ62" s="137">
        <f t="shared" si="41"/>
        <v>0.64539416666666671</v>
      </c>
      <c r="AR62" s="137">
        <f t="shared" si="42"/>
        <v>4.147588250013759E-2</v>
      </c>
      <c r="AS62" s="1">
        <f t="shared" si="43"/>
        <v>3.7999999999999999E-2</v>
      </c>
      <c r="AT62" s="133">
        <f t="shared" si="44"/>
        <v>4.8000000000000001E-2</v>
      </c>
      <c r="AU62" s="132">
        <f t="shared" si="25"/>
        <v>1.7713147143002228</v>
      </c>
      <c r="AV62" s="1">
        <f t="shared" si="26"/>
        <v>33</v>
      </c>
      <c r="AW62" s="133">
        <f t="shared" si="27"/>
        <v>94.905816104871803</v>
      </c>
    </row>
    <row r="63" spans="17:49" x14ac:dyDescent="0.25">
      <c r="Q63">
        <v>56</v>
      </c>
      <c r="R63" s="132">
        <f t="shared" si="0"/>
        <v>18</v>
      </c>
      <c r="S63" s="1">
        <f t="shared" si="1"/>
        <v>1.8666666666666667</v>
      </c>
      <c r="T63" s="1">
        <f t="shared" si="30"/>
        <v>12</v>
      </c>
      <c r="U63" s="133">
        <f t="shared" si="31"/>
        <v>2.8000000000000003</v>
      </c>
      <c r="V63" s="132">
        <f>IF(Calculations!$B$17=3,2,IF((S63*R63/T63)&lt;((T63*(1-(T63/R63)))/(2*Lm*fsw)),1,2))</f>
        <v>2</v>
      </c>
      <c r="W63" s="1">
        <f t="shared" si="32"/>
        <v>0.33333333333333337</v>
      </c>
      <c r="X63" s="133">
        <f t="shared" si="33"/>
        <v>0.66666666666666663</v>
      </c>
      <c r="Y63" s="132">
        <f t="shared" si="34"/>
        <v>1.6</v>
      </c>
      <c r="Z63" s="1">
        <f t="shared" si="13"/>
        <v>3.6000000000000005</v>
      </c>
      <c r="AA63" s="1">
        <f t="shared" si="14"/>
        <v>2.8378395538390353</v>
      </c>
      <c r="AB63" s="1">
        <v>0</v>
      </c>
      <c r="AC63" s="1">
        <f t="shared" si="35"/>
        <v>0.66842666666666684</v>
      </c>
      <c r="AD63" s="133">
        <f t="shared" si="16"/>
        <v>0.66842666666666684</v>
      </c>
      <c r="AE63" s="132">
        <f t="shared" si="28"/>
        <v>0.93333333333333357</v>
      </c>
      <c r="AF63" s="1">
        <f t="shared" si="17"/>
        <v>1.6384274303259347</v>
      </c>
      <c r="AG63" s="1">
        <f t="shared" si="36"/>
        <v>2.6844444444444459E-3</v>
      </c>
      <c r="AH63" s="1">
        <f t="shared" si="37"/>
        <v>0.10413081056008662</v>
      </c>
      <c r="AI63" s="133">
        <f t="shared" si="19"/>
        <v>0.10681525500453107</v>
      </c>
      <c r="AJ63" s="132">
        <f t="shared" si="20"/>
        <v>1.8666666666666667</v>
      </c>
      <c r="AK63" s="1">
        <f t="shared" si="21"/>
        <v>2.3170862929310361</v>
      </c>
      <c r="AL63" s="1">
        <f t="shared" si="38"/>
        <v>5.3688888888888918E-3</v>
      </c>
      <c r="AM63" s="1">
        <f t="shared" si="45"/>
        <v>0.15510000000000004</v>
      </c>
      <c r="AN63" s="136">
        <f t="shared" si="39"/>
        <v>5.7600000000000012E-2</v>
      </c>
      <c r="AO63" s="133">
        <f t="shared" si="23"/>
        <v>0.21806888888888895</v>
      </c>
      <c r="AP63" s="132">
        <f t="shared" si="40"/>
        <v>3.2213333333333337E-2</v>
      </c>
      <c r="AQ63" s="137">
        <f t="shared" si="41"/>
        <v>0.66842666666666684</v>
      </c>
      <c r="AR63" s="137">
        <f t="shared" si="42"/>
        <v>4.147588250013759E-2</v>
      </c>
      <c r="AS63" s="1">
        <f t="shared" si="43"/>
        <v>3.7999999999999999E-2</v>
      </c>
      <c r="AT63" s="133">
        <f t="shared" si="44"/>
        <v>4.8000000000000001E-2</v>
      </c>
      <c r="AU63" s="132">
        <f t="shared" si="25"/>
        <v>1.8214266930602245</v>
      </c>
      <c r="AV63" s="1">
        <f t="shared" si="26"/>
        <v>33.6</v>
      </c>
      <c r="AW63" s="133">
        <f t="shared" si="27"/>
        <v>94.85783927100519</v>
      </c>
    </row>
    <row r="64" spans="17:49" x14ac:dyDescent="0.25">
      <c r="Q64">
        <v>57</v>
      </c>
      <c r="R64" s="132">
        <f t="shared" si="0"/>
        <v>18</v>
      </c>
      <c r="S64" s="1">
        <f t="shared" si="1"/>
        <v>1.9</v>
      </c>
      <c r="T64" s="1">
        <f t="shared" si="30"/>
        <v>12</v>
      </c>
      <c r="U64" s="133">
        <f t="shared" si="31"/>
        <v>2.8499999999999996</v>
      </c>
      <c r="V64" s="132">
        <f>IF(Calculations!$B$17=3,2,IF((S64*R64/T64)&lt;((T64*(1-(T64/R64)))/(2*Lm*fsw)),1,2))</f>
        <v>2</v>
      </c>
      <c r="W64" s="1">
        <f t="shared" si="32"/>
        <v>0.33333333333333337</v>
      </c>
      <c r="X64" s="133">
        <f t="shared" si="33"/>
        <v>0.66666666666666663</v>
      </c>
      <c r="Y64" s="132">
        <f t="shared" si="34"/>
        <v>1.6</v>
      </c>
      <c r="Z64" s="1">
        <f t="shared" si="13"/>
        <v>3.6499999999999995</v>
      </c>
      <c r="AA64" s="1">
        <f t="shared" si="14"/>
        <v>2.8871843261789385</v>
      </c>
      <c r="AB64" s="1">
        <v>0</v>
      </c>
      <c r="AC64" s="1">
        <f t="shared" si="35"/>
        <v>0.69187416666666657</v>
      </c>
      <c r="AD64" s="133">
        <f t="shared" si="16"/>
        <v>0.69187416666666657</v>
      </c>
      <c r="AE64" s="132">
        <f t="shared" si="28"/>
        <v>0.95</v>
      </c>
      <c r="AF64" s="1">
        <f t="shared" si="17"/>
        <v>1.6669166479194784</v>
      </c>
      <c r="AG64" s="1">
        <f t="shared" si="36"/>
        <v>2.7786111111111102E-3</v>
      </c>
      <c r="AH64" s="1">
        <f t="shared" si="37"/>
        <v>0.10599028932008815</v>
      </c>
      <c r="AI64" s="133">
        <f t="shared" si="19"/>
        <v>0.10876890043119926</v>
      </c>
      <c r="AJ64" s="132">
        <f t="shared" si="20"/>
        <v>1.8999999999999997</v>
      </c>
      <c r="AK64" s="1">
        <f t="shared" si="21"/>
        <v>2.3573761308332237</v>
      </c>
      <c r="AL64" s="1">
        <f t="shared" si="38"/>
        <v>5.5572222222222203E-3</v>
      </c>
      <c r="AM64" s="1">
        <f t="shared" si="45"/>
        <v>0.15510000000000004</v>
      </c>
      <c r="AN64" s="136">
        <f t="shared" si="39"/>
        <v>5.8399999999999994E-2</v>
      </c>
      <c r="AO64" s="133">
        <f t="shared" si="23"/>
        <v>0.21905722222222224</v>
      </c>
      <c r="AP64" s="132">
        <f t="shared" si="40"/>
        <v>3.3343333333333329E-2</v>
      </c>
      <c r="AQ64" s="137">
        <f t="shared" si="41"/>
        <v>0.69187416666666657</v>
      </c>
      <c r="AR64" s="137">
        <f t="shared" si="42"/>
        <v>4.147588250013759E-2</v>
      </c>
      <c r="AS64" s="1">
        <f t="shared" si="43"/>
        <v>3.7999999999999999E-2</v>
      </c>
      <c r="AT64" s="133">
        <f t="shared" si="44"/>
        <v>4.8000000000000001E-2</v>
      </c>
      <c r="AU64" s="132">
        <f t="shared" si="25"/>
        <v>1.8723936718202256</v>
      </c>
      <c r="AV64" s="1">
        <f t="shared" si="26"/>
        <v>34.199999999999996</v>
      </c>
      <c r="AW64" s="133">
        <f t="shared" si="27"/>
        <v>94.809344539608574</v>
      </c>
    </row>
    <row r="65" spans="17:49" x14ac:dyDescent="0.25">
      <c r="Q65">
        <v>58</v>
      </c>
      <c r="R65" s="132">
        <f t="shared" si="0"/>
        <v>18</v>
      </c>
      <c r="S65" s="1">
        <f t="shared" si="1"/>
        <v>1.9333333333333333</v>
      </c>
      <c r="T65" s="1">
        <f t="shared" si="30"/>
        <v>12</v>
      </c>
      <c r="U65" s="133">
        <f t="shared" si="31"/>
        <v>2.9</v>
      </c>
      <c r="V65" s="132">
        <f>IF(Calculations!$B$17=3,2,IF((S65*R65/T65)&lt;((T65*(1-(T65/R65)))/(2*Lm*fsw)),1,2))</f>
        <v>2</v>
      </c>
      <c r="W65" s="1">
        <f t="shared" si="32"/>
        <v>0.33333333333333337</v>
      </c>
      <c r="X65" s="133">
        <f t="shared" si="33"/>
        <v>0.66666666666666663</v>
      </c>
      <c r="Y65" s="132">
        <f t="shared" si="34"/>
        <v>1.6</v>
      </c>
      <c r="Z65" s="1">
        <f t="shared" si="13"/>
        <v>3.7</v>
      </c>
      <c r="AA65" s="1">
        <f t="shared" si="14"/>
        <v>2.9365512652316039</v>
      </c>
      <c r="AB65" s="1">
        <v>0</v>
      </c>
      <c r="AC65" s="1">
        <f t="shared" si="35"/>
        <v>0.71573666666666669</v>
      </c>
      <c r="AD65" s="133">
        <f t="shared" si="16"/>
        <v>0.71573666666666669</v>
      </c>
      <c r="AE65" s="132">
        <f t="shared" si="28"/>
        <v>0.96666666666666679</v>
      </c>
      <c r="AF65" s="1">
        <f t="shared" si="17"/>
        <v>1.6954186634706028</v>
      </c>
      <c r="AG65" s="1">
        <f t="shared" si="36"/>
        <v>2.8744444444444447E-3</v>
      </c>
      <c r="AH65" s="1">
        <f t="shared" si="37"/>
        <v>0.10784976808008968</v>
      </c>
      <c r="AI65" s="133">
        <f t="shared" si="19"/>
        <v>0.11072421252453413</v>
      </c>
      <c r="AJ65" s="132">
        <f t="shared" si="20"/>
        <v>1.9333333333333331</v>
      </c>
      <c r="AK65" s="1">
        <f t="shared" si="21"/>
        <v>2.3976840677805926</v>
      </c>
      <c r="AL65" s="1">
        <f t="shared" si="38"/>
        <v>5.7488888888888893E-3</v>
      </c>
      <c r="AM65" s="1">
        <f t="shared" si="45"/>
        <v>0.15510000000000004</v>
      </c>
      <c r="AN65" s="136">
        <f t="shared" si="39"/>
        <v>5.9200000000000003E-2</v>
      </c>
      <c r="AO65" s="133">
        <f t="shared" si="23"/>
        <v>0.22004888888888893</v>
      </c>
      <c r="AP65" s="132">
        <f t="shared" si="40"/>
        <v>3.4493333333333334E-2</v>
      </c>
      <c r="AQ65" s="137">
        <f t="shared" si="41"/>
        <v>0.71573666666666669</v>
      </c>
      <c r="AR65" s="137">
        <f t="shared" si="42"/>
        <v>4.147588250013759E-2</v>
      </c>
      <c r="AS65" s="1">
        <f t="shared" si="43"/>
        <v>3.7999999999999999E-2</v>
      </c>
      <c r="AT65" s="133">
        <f t="shared" si="44"/>
        <v>4.8000000000000001E-2</v>
      </c>
      <c r="AU65" s="132">
        <f t="shared" si="25"/>
        <v>1.9242156505802275</v>
      </c>
      <c r="AV65" s="1">
        <f t="shared" si="26"/>
        <v>34.799999999999997</v>
      </c>
      <c r="AW65" s="133">
        <f t="shared" si="27"/>
        <v>94.76036283827392</v>
      </c>
    </row>
    <row r="66" spans="17:49" x14ac:dyDescent="0.25">
      <c r="Q66">
        <v>59</v>
      </c>
      <c r="R66" s="132">
        <f t="shared" si="0"/>
        <v>18</v>
      </c>
      <c r="S66" s="1">
        <f t="shared" si="1"/>
        <v>1.9666666666666666</v>
      </c>
      <c r="T66" s="1">
        <f t="shared" si="30"/>
        <v>12</v>
      </c>
      <c r="U66" s="133">
        <f t="shared" si="31"/>
        <v>2.9499999999999997</v>
      </c>
      <c r="V66" s="132">
        <f>IF(Calculations!$B$17=3,2,IF((S66*R66/T66)&lt;((T66*(1-(T66/R66)))/(2*Lm*fsw)),1,2))</f>
        <v>2</v>
      </c>
      <c r="W66" s="1">
        <f t="shared" si="32"/>
        <v>0.33333333333333337</v>
      </c>
      <c r="X66" s="133">
        <f t="shared" si="33"/>
        <v>0.66666666666666663</v>
      </c>
      <c r="Y66" s="132">
        <f t="shared" si="34"/>
        <v>1.6</v>
      </c>
      <c r="Z66" s="1">
        <f t="shared" si="13"/>
        <v>3.75</v>
      </c>
      <c r="AA66" s="1">
        <f t="shared" si="14"/>
        <v>2.9859392715414241</v>
      </c>
      <c r="AB66" s="1">
        <v>0</v>
      </c>
      <c r="AC66" s="1">
        <f t="shared" si="35"/>
        <v>0.74001416666666642</v>
      </c>
      <c r="AD66" s="133">
        <f t="shared" si="16"/>
        <v>0.74001416666666642</v>
      </c>
      <c r="AE66" s="132">
        <f t="shared" si="28"/>
        <v>0.98333333333333339</v>
      </c>
      <c r="AF66" s="1">
        <f t="shared" si="17"/>
        <v>1.7239328422083167</v>
      </c>
      <c r="AG66" s="1">
        <f t="shared" si="36"/>
        <v>2.971944444444445E-3</v>
      </c>
      <c r="AH66" s="1">
        <f t="shared" si="37"/>
        <v>0.10970924684009123</v>
      </c>
      <c r="AI66" s="133">
        <f t="shared" si="19"/>
        <v>0.11268119128453567</v>
      </c>
      <c r="AJ66" s="132">
        <f t="shared" si="20"/>
        <v>1.9666666666666663</v>
      </c>
      <c r="AK66" s="1">
        <f t="shared" si="21"/>
        <v>2.4380092060713983</v>
      </c>
      <c r="AL66" s="1">
        <f t="shared" si="38"/>
        <v>5.94388888888889E-3</v>
      </c>
      <c r="AM66" s="1">
        <f t="shared" si="45"/>
        <v>0.15510000000000004</v>
      </c>
      <c r="AN66" s="136">
        <f t="shared" si="39"/>
        <v>0.06</v>
      </c>
      <c r="AO66" s="133">
        <f t="shared" si="23"/>
        <v>0.22104388888888893</v>
      </c>
      <c r="AP66" s="132">
        <f t="shared" si="40"/>
        <v>3.5663333333333318E-2</v>
      </c>
      <c r="AQ66" s="137">
        <f t="shared" si="41"/>
        <v>0.74001416666666642</v>
      </c>
      <c r="AR66" s="137">
        <f t="shared" si="42"/>
        <v>4.147588250013759E-2</v>
      </c>
      <c r="AS66" s="1">
        <f t="shared" si="43"/>
        <v>3.7999999999999999E-2</v>
      </c>
      <c r="AT66" s="133">
        <f t="shared" si="44"/>
        <v>4.8000000000000001E-2</v>
      </c>
      <c r="AU66" s="132">
        <f t="shared" si="25"/>
        <v>1.9768926293402285</v>
      </c>
      <c r="AV66" s="1">
        <f t="shared" si="26"/>
        <v>35.4</v>
      </c>
      <c r="AW66" s="133">
        <f t="shared" si="27"/>
        <v>94.710923005438929</v>
      </c>
    </row>
    <row r="67" spans="17:49" x14ac:dyDescent="0.25">
      <c r="Q67">
        <v>60</v>
      </c>
      <c r="R67" s="132">
        <f t="shared" si="0"/>
        <v>18</v>
      </c>
      <c r="S67" s="1">
        <f t="shared" si="1"/>
        <v>2</v>
      </c>
      <c r="T67" s="1">
        <f t="shared" si="30"/>
        <v>12</v>
      </c>
      <c r="U67" s="133">
        <f t="shared" si="31"/>
        <v>3</v>
      </c>
      <c r="V67" s="132">
        <f>IF(Calculations!$B$17=3,2,IF((S67*R67/T67)&lt;((T67*(1-(T67/R67)))/(2*Lm*fsw)),1,2))</f>
        <v>2</v>
      </c>
      <c r="W67" s="1">
        <f t="shared" si="32"/>
        <v>0.33333333333333337</v>
      </c>
      <c r="X67" s="133">
        <f t="shared" si="33"/>
        <v>0.66666666666666663</v>
      </c>
      <c r="Y67" s="132">
        <f t="shared" si="34"/>
        <v>1.6</v>
      </c>
      <c r="Z67" s="1">
        <f t="shared" si="13"/>
        <v>3.8</v>
      </c>
      <c r="AA67" s="1">
        <f t="shared" si="14"/>
        <v>3.035347316755256</v>
      </c>
      <c r="AB67" s="1">
        <v>0</v>
      </c>
      <c r="AC67" s="1">
        <f t="shared" si="35"/>
        <v>0.76470666666666665</v>
      </c>
      <c r="AD67" s="133">
        <f t="shared" si="16"/>
        <v>0.76470666666666665</v>
      </c>
      <c r="AE67" s="132">
        <f t="shared" si="28"/>
        <v>1</v>
      </c>
      <c r="AF67" s="1">
        <f t="shared" si="17"/>
        <v>1.7524585904126555</v>
      </c>
      <c r="AG67" s="1">
        <f t="shared" si="36"/>
        <v>3.0711111111111117E-3</v>
      </c>
      <c r="AH67" s="1">
        <f t="shared" si="37"/>
        <v>0.11156872560009279</v>
      </c>
      <c r="AI67" s="133">
        <f t="shared" si="19"/>
        <v>0.1146398367112039</v>
      </c>
      <c r="AJ67" s="132">
        <f t="shared" si="20"/>
        <v>2</v>
      </c>
      <c r="AK67" s="1">
        <f t="shared" si="21"/>
        <v>2.4783507060588139</v>
      </c>
      <c r="AL67" s="1">
        <f t="shared" si="38"/>
        <v>6.1422222222222217E-3</v>
      </c>
      <c r="AM67" s="1">
        <f t="shared" si="45"/>
        <v>0.15510000000000004</v>
      </c>
      <c r="AN67" s="136">
        <f t="shared" si="39"/>
        <v>6.08E-2</v>
      </c>
      <c r="AO67" s="133">
        <f t="shared" si="23"/>
        <v>0.22204222222222225</v>
      </c>
      <c r="AP67" s="132">
        <f t="shared" si="40"/>
        <v>3.6853333333333335E-2</v>
      </c>
      <c r="AQ67" s="137">
        <f t="shared" si="41"/>
        <v>0.76470666666666665</v>
      </c>
      <c r="AR67" s="137">
        <f t="shared" si="42"/>
        <v>4.147588250013759E-2</v>
      </c>
      <c r="AS67" s="1">
        <f t="shared" si="43"/>
        <v>3.7999999999999999E-2</v>
      </c>
      <c r="AT67" s="133">
        <f t="shared" si="44"/>
        <v>4.8000000000000001E-2</v>
      </c>
      <c r="AU67" s="132">
        <f t="shared" si="25"/>
        <v>2.0304246081002306</v>
      </c>
      <c r="AV67" s="1">
        <f t="shared" si="26"/>
        <v>36</v>
      </c>
      <c r="AW67" s="133">
        <f t="shared" si="27"/>
        <v>94.661051962938743</v>
      </c>
    </row>
    <row r="68" spans="17:49" x14ac:dyDescent="0.25">
      <c r="Q68">
        <v>61</v>
      </c>
      <c r="R68" s="132">
        <f t="shared" si="0"/>
        <v>18</v>
      </c>
      <c r="S68" s="1">
        <f t="shared" si="1"/>
        <v>2.0333333333333332</v>
      </c>
      <c r="T68" s="1">
        <f t="shared" si="30"/>
        <v>12</v>
      </c>
      <c r="U68" s="133">
        <f t="shared" si="31"/>
        <v>3.0499999999999994</v>
      </c>
      <c r="V68" s="132">
        <f>IF(Calculations!$B$17=3,2,IF((S68*R68/T68)&lt;((T68*(1-(T68/R68)))/(2*Lm*fsw)),1,2))</f>
        <v>2</v>
      </c>
      <c r="W68" s="1">
        <f t="shared" si="32"/>
        <v>0.33333333333333337</v>
      </c>
      <c r="X68" s="133">
        <f t="shared" si="33"/>
        <v>0.66666666666666663</v>
      </c>
      <c r="Y68" s="132">
        <f t="shared" si="34"/>
        <v>1.6</v>
      </c>
      <c r="Z68" s="1">
        <f t="shared" si="13"/>
        <v>3.8499999999999996</v>
      </c>
      <c r="AA68" s="1">
        <f t="shared" si="14"/>
        <v>3.0847744379992079</v>
      </c>
      <c r="AB68" s="1">
        <v>0</v>
      </c>
      <c r="AC68" s="1">
        <f t="shared" si="35"/>
        <v>0.78981416666666637</v>
      </c>
      <c r="AD68" s="133">
        <f t="shared" si="16"/>
        <v>0.78981416666666637</v>
      </c>
      <c r="AE68" s="132">
        <f t="shared" si="28"/>
        <v>1.0166666666666666</v>
      </c>
      <c r="AF68" s="1">
        <f t="shared" si="17"/>
        <v>1.7809953521681197</v>
      </c>
      <c r="AG68" s="1">
        <f t="shared" si="36"/>
        <v>3.1719444444444447E-3</v>
      </c>
      <c r="AH68" s="1">
        <f t="shared" si="37"/>
        <v>0.11342820436009432</v>
      </c>
      <c r="AI68" s="133">
        <f t="shared" si="19"/>
        <v>0.11660014880453877</v>
      </c>
      <c r="AJ68" s="132">
        <f t="shared" si="20"/>
        <v>2.0333333333333328</v>
      </c>
      <c r="AK68" s="1">
        <f t="shared" si="21"/>
        <v>2.5187077815596011</v>
      </c>
      <c r="AL68" s="1">
        <f t="shared" si="38"/>
        <v>6.3438888888888868E-3</v>
      </c>
      <c r="AM68" s="1">
        <f t="shared" si="45"/>
        <v>0.15510000000000004</v>
      </c>
      <c r="AN68" s="136">
        <f t="shared" si="39"/>
        <v>6.1599999999999995E-2</v>
      </c>
      <c r="AO68" s="133">
        <f t="shared" si="23"/>
        <v>0.22304388888888893</v>
      </c>
      <c r="AP68" s="132">
        <f t="shared" si="40"/>
        <v>3.8063333333333317E-2</v>
      </c>
      <c r="AQ68" s="137">
        <f t="shared" si="41"/>
        <v>0.78981416666666637</v>
      </c>
      <c r="AR68" s="137">
        <f t="shared" si="42"/>
        <v>4.147588250013759E-2</v>
      </c>
      <c r="AS68" s="1">
        <f t="shared" si="43"/>
        <v>3.7999999999999999E-2</v>
      </c>
      <c r="AT68" s="133">
        <f t="shared" si="44"/>
        <v>4.8000000000000001E-2</v>
      </c>
      <c r="AU68" s="132">
        <f t="shared" si="25"/>
        <v>2.0848115868602313</v>
      </c>
      <c r="AV68" s="1">
        <f t="shared" si="26"/>
        <v>36.599999999999994</v>
      </c>
      <c r="AW68" s="133">
        <f t="shared" si="27"/>
        <v>94.610774871737092</v>
      </c>
    </row>
    <row r="69" spans="17:49" x14ac:dyDescent="0.25">
      <c r="Q69">
        <v>62</v>
      </c>
      <c r="R69" s="132">
        <f t="shared" si="0"/>
        <v>18</v>
      </c>
      <c r="S69" s="1">
        <f t="shared" si="1"/>
        <v>2.0666666666666664</v>
      </c>
      <c r="T69" s="1">
        <f t="shared" si="30"/>
        <v>12</v>
      </c>
      <c r="U69" s="133">
        <f t="shared" si="31"/>
        <v>3.0999999999999996</v>
      </c>
      <c r="V69" s="132">
        <f>IF(Calculations!$B$17=3,2,IF((S69*R69/T69)&lt;((T69*(1-(T69/R69)))/(2*Lm*fsw)),1,2))</f>
        <v>2</v>
      </c>
      <c r="W69" s="1">
        <f t="shared" si="32"/>
        <v>0.33333333333333337</v>
      </c>
      <c r="X69" s="133">
        <f t="shared" si="33"/>
        <v>0.66666666666666663</v>
      </c>
      <c r="Y69" s="132">
        <f t="shared" si="34"/>
        <v>1.6</v>
      </c>
      <c r="Z69" s="1">
        <f t="shared" si="13"/>
        <v>3.8999999999999995</v>
      </c>
      <c r="AA69" s="1">
        <f t="shared" si="14"/>
        <v>3.1342197327777339</v>
      </c>
      <c r="AB69" s="1">
        <v>0</v>
      </c>
      <c r="AC69" s="1">
        <f t="shared" si="35"/>
        <v>0.81533666666666649</v>
      </c>
      <c r="AD69" s="133">
        <f t="shared" si="16"/>
        <v>0.81533666666666649</v>
      </c>
      <c r="AE69" s="132">
        <f t="shared" si="28"/>
        <v>1.0333333333333334</v>
      </c>
      <c r="AF69" s="1">
        <f t="shared" si="17"/>
        <v>1.8095426064186617</v>
      </c>
      <c r="AG69" s="1">
        <f t="shared" si="36"/>
        <v>3.274444444444444E-3</v>
      </c>
      <c r="AH69" s="1">
        <f t="shared" si="37"/>
        <v>0.11528768312009588</v>
      </c>
      <c r="AI69" s="133">
        <f t="shared" si="19"/>
        <v>0.11856212756454032</v>
      </c>
      <c r="AJ69" s="132">
        <f t="shared" si="20"/>
        <v>2.0666666666666664</v>
      </c>
      <c r="AK69" s="1">
        <f t="shared" si="21"/>
        <v>2.5590796956892308</v>
      </c>
      <c r="AL69" s="1">
        <f t="shared" si="38"/>
        <v>6.5488888888888862E-3</v>
      </c>
      <c r="AM69" s="1">
        <f t="shared" si="45"/>
        <v>0.15510000000000004</v>
      </c>
      <c r="AN69" s="136">
        <f t="shared" si="39"/>
        <v>6.239999999999999E-2</v>
      </c>
      <c r="AO69" s="133">
        <f t="shared" si="23"/>
        <v>0.22404888888888891</v>
      </c>
      <c r="AP69" s="132">
        <f t="shared" si="40"/>
        <v>3.9293333333333326E-2</v>
      </c>
      <c r="AQ69" s="137">
        <f t="shared" si="41"/>
        <v>0.81533666666666649</v>
      </c>
      <c r="AR69" s="137">
        <f t="shared" si="42"/>
        <v>4.147588250013759E-2</v>
      </c>
      <c r="AS69" s="1">
        <f t="shared" si="43"/>
        <v>3.7999999999999999E-2</v>
      </c>
      <c r="AT69" s="133">
        <f t="shared" si="44"/>
        <v>4.8000000000000001E-2</v>
      </c>
      <c r="AU69" s="132">
        <f t="shared" si="25"/>
        <v>2.1400535656202333</v>
      </c>
      <c r="AV69" s="1">
        <f t="shared" si="26"/>
        <v>37.199999999999996</v>
      </c>
      <c r="AW69" s="133">
        <f t="shared" si="27"/>
        <v>94.560115272719273</v>
      </c>
    </row>
    <row r="70" spans="17:49" x14ac:dyDescent="0.25">
      <c r="Q70">
        <v>63</v>
      </c>
      <c r="R70" s="132">
        <f t="shared" si="0"/>
        <v>18</v>
      </c>
      <c r="S70" s="1">
        <f t="shared" si="1"/>
        <v>2.1</v>
      </c>
      <c r="T70" s="1">
        <f t="shared" si="30"/>
        <v>12</v>
      </c>
      <c r="U70" s="133">
        <f t="shared" si="31"/>
        <v>3.1500000000000004</v>
      </c>
      <c r="V70" s="132">
        <f>IF(Calculations!$B$17=3,2,IF((S70*R70/T70)&lt;((T70*(1-(T70/R70)))/(2*Lm*fsw)),1,2))</f>
        <v>2</v>
      </c>
      <c r="W70" s="1">
        <f t="shared" si="32"/>
        <v>0.33333333333333337</v>
      </c>
      <c r="X70" s="133">
        <f t="shared" si="33"/>
        <v>0.66666666666666663</v>
      </c>
      <c r="Y70" s="132">
        <f t="shared" si="34"/>
        <v>1.6</v>
      </c>
      <c r="Z70" s="1">
        <f t="shared" si="13"/>
        <v>3.95</v>
      </c>
      <c r="AA70" s="1">
        <f t="shared" si="14"/>
        <v>3.1836823543395996</v>
      </c>
      <c r="AB70" s="1">
        <v>0</v>
      </c>
      <c r="AC70" s="1">
        <f t="shared" si="35"/>
        <v>0.84127416666666688</v>
      </c>
      <c r="AD70" s="133">
        <f t="shared" si="16"/>
        <v>0.84127416666666688</v>
      </c>
      <c r="AE70" s="132">
        <f t="shared" si="28"/>
        <v>1.0500000000000003</v>
      </c>
      <c r="AF70" s="1">
        <f t="shared" si="17"/>
        <v>1.8380998642922293</v>
      </c>
      <c r="AG70" s="1">
        <f t="shared" si="36"/>
        <v>3.3786111111111117E-3</v>
      </c>
      <c r="AH70" s="1">
        <f t="shared" si="37"/>
        <v>0.11714716188009743</v>
      </c>
      <c r="AI70" s="133">
        <f t="shared" si="19"/>
        <v>0.12052577299120854</v>
      </c>
      <c r="AJ70" s="132">
        <f t="shared" si="20"/>
        <v>2.1</v>
      </c>
      <c r="AK70" s="1">
        <f t="shared" si="21"/>
        <v>2.599465757078216</v>
      </c>
      <c r="AL70" s="1">
        <f t="shared" si="38"/>
        <v>6.7572222222222226E-3</v>
      </c>
      <c r="AM70" s="1">
        <f t="shared" si="45"/>
        <v>0.15510000000000004</v>
      </c>
      <c r="AN70" s="136">
        <f t="shared" si="39"/>
        <v>6.3200000000000006E-2</v>
      </c>
      <c r="AO70" s="133">
        <f t="shared" si="23"/>
        <v>0.22505722222222227</v>
      </c>
      <c r="AP70" s="132">
        <f t="shared" si="40"/>
        <v>4.0543333333333348E-2</v>
      </c>
      <c r="AQ70" s="137">
        <f t="shared" si="41"/>
        <v>0.84127416666666688</v>
      </c>
      <c r="AR70" s="137">
        <f t="shared" si="42"/>
        <v>4.147588250013759E-2</v>
      </c>
      <c r="AS70" s="1">
        <f t="shared" si="43"/>
        <v>3.7999999999999999E-2</v>
      </c>
      <c r="AT70" s="133">
        <f t="shared" si="44"/>
        <v>4.8000000000000001E-2</v>
      </c>
      <c r="AU70" s="132">
        <f t="shared" si="25"/>
        <v>2.1961505443802354</v>
      </c>
      <c r="AV70" s="1">
        <f t="shared" si="26"/>
        <v>37.800000000000004</v>
      </c>
      <c r="AW70" s="133">
        <f t="shared" si="27"/>
        <v>94.509095214192271</v>
      </c>
    </row>
    <row r="71" spans="17:49" x14ac:dyDescent="0.25">
      <c r="Q71">
        <v>64</v>
      </c>
      <c r="R71" s="132">
        <f t="shared" ref="R71:R134" si="46">VOUT</f>
        <v>18</v>
      </c>
      <c r="S71" s="1">
        <f t="shared" ref="S71:S134" si="47">Q71*$O$12</f>
        <v>2.1333333333333333</v>
      </c>
      <c r="T71" s="1">
        <f t="shared" ref="T71:T102" si="48">Vin_vari</f>
        <v>12</v>
      </c>
      <c r="U71" s="133">
        <f t="shared" ref="U71:U102" si="49">(R71*S71)/(T71*EFF_est)</f>
        <v>3.1999999999999997</v>
      </c>
      <c r="V71" s="132">
        <f>IF(Calculations!$B$17=3,2,IF((S71*R71/T71)&lt;((T71*(1-(T71/R71)))/(2*Lm*fsw)),1,2))</f>
        <v>2</v>
      </c>
      <c r="W71" s="1">
        <f t="shared" ref="W71:W102" si="50">CHOOSE(V71,SQRT((2*S71*Lm*fsw*(R71-T71))/((T71)^2)),1-(T71/R71))</f>
        <v>0.33333333333333337</v>
      </c>
      <c r="X71" s="133">
        <f t="shared" ref="X71:X102" si="51">CHOOSE(V71,(Lm*Z71*fsw)/(R71-T71),1-W71)</f>
        <v>0.66666666666666663</v>
      </c>
      <c r="Y71" s="132">
        <f t="shared" ref="Y71:Y102" si="52">(T71*W71)/(Lm*fsw)</f>
        <v>1.6</v>
      </c>
      <c r="Z71" s="1">
        <f t="shared" si="13"/>
        <v>4</v>
      </c>
      <c r="AA71" s="1">
        <f t="shared" si="14"/>
        <v>3.233161507461904</v>
      </c>
      <c r="AB71" s="1">
        <v>0</v>
      </c>
      <c r="AC71" s="1">
        <f t="shared" ref="AC71:AC102" si="53">(AA71^2)*Rdcr</f>
        <v>0.86762666666666655</v>
      </c>
      <c r="AD71" s="133">
        <f t="shared" si="16"/>
        <v>0.86762666666666655</v>
      </c>
      <c r="AE71" s="132">
        <f t="shared" si="28"/>
        <v>1.0666666666666667</v>
      </c>
      <c r="AF71" s="1">
        <f t="shared" si="17"/>
        <v>1.8666666666666667</v>
      </c>
      <c r="AG71" s="1">
        <f t="shared" ref="AG71:AG102" si="54">(AF71^2)*RDS_on</f>
        <v>3.484444444444445E-3</v>
      </c>
      <c r="AH71" s="1">
        <f t="shared" ref="AH71:AH102" si="55">((R71*U71)/2)*fsw*(tr_sw+tf_sw)</f>
        <v>0.11900664064009896</v>
      </c>
      <c r="AI71" s="133">
        <f t="shared" si="19"/>
        <v>0.1224910850845434</v>
      </c>
      <c r="AJ71" s="132">
        <f t="shared" si="20"/>
        <v>2.1333333333333329</v>
      </c>
      <c r="AK71" s="1">
        <f t="shared" si="21"/>
        <v>2.6398653164297774</v>
      </c>
      <c r="AL71" s="1">
        <f t="shared" ref="AL71:AL102" si="56">(AK71^2)*RDS_on_HS</f>
        <v>6.9688888888888882E-3</v>
      </c>
      <c r="AM71" s="1">
        <f t="shared" si="45"/>
        <v>0.15510000000000004</v>
      </c>
      <c r="AN71" s="136">
        <f t="shared" ref="AN71:AN102" si="57">Vd_rect*t_dead*fsw*Z71</f>
        <v>6.4000000000000001E-2</v>
      </c>
      <c r="AO71" s="133">
        <f t="shared" si="23"/>
        <v>0.22606888888888893</v>
      </c>
      <c r="AP71" s="132">
        <f t="shared" ref="AP71:AP102" si="58">(AA71^2)*Rcs</f>
        <v>4.1813333333333327E-2</v>
      </c>
      <c r="AQ71" s="137">
        <f t="shared" ref="AQ71:AQ102" si="59">Rdcr*AA71^2</f>
        <v>0.86762666666666655</v>
      </c>
      <c r="AR71" s="137">
        <f t="shared" ref="AR71:AR102" si="60">ABS(7.759*10^-3*fsw^0.9458*(0.00787*Y71)^2.304)</f>
        <v>4.147588250013759E-2</v>
      </c>
      <c r="AS71" s="1">
        <f t="shared" ref="AS71:AS102" si="61">(Qg_tot+Qg_tot_HS)*VCC*fsw</f>
        <v>3.7999999999999999E-2</v>
      </c>
      <c r="AT71" s="133">
        <f t="shared" ref="AT71:AT102" si="62">IQ*T71</f>
        <v>4.8000000000000001E-2</v>
      </c>
      <c r="AU71" s="132">
        <f t="shared" si="25"/>
        <v>2.2531025231402366</v>
      </c>
      <c r="AV71" s="1">
        <f t="shared" si="26"/>
        <v>38.4</v>
      </c>
      <c r="AW71" s="133">
        <f t="shared" si="27"/>
        <v>94.457735367533786</v>
      </c>
    </row>
    <row r="72" spans="17:49" x14ac:dyDescent="0.25">
      <c r="Q72">
        <v>65</v>
      </c>
      <c r="R72" s="132">
        <f t="shared" si="46"/>
        <v>18</v>
      </c>
      <c r="S72" s="1">
        <f t="shared" si="47"/>
        <v>2.1666666666666665</v>
      </c>
      <c r="T72" s="1">
        <f t="shared" si="48"/>
        <v>12</v>
      </c>
      <c r="U72" s="133">
        <f t="shared" si="49"/>
        <v>3.25</v>
      </c>
      <c r="V72" s="132">
        <f>IF(Calculations!$B$17=3,2,IF((S72*R72/T72)&lt;((T72*(1-(T72/R72)))/(2*Lm*fsw)),1,2))</f>
        <v>2</v>
      </c>
      <c r="W72" s="1">
        <f t="shared" si="50"/>
        <v>0.33333333333333337</v>
      </c>
      <c r="X72" s="133">
        <f t="shared" si="51"/>
        <v>0.66666666666666663</v>
      </c>
      <c r="Y72" s="132">
        <f t="shared" si="52"/>
        <v>1.6</v>
      </c>
      <c r="Z72" s="1">
        <f t="shared" ref="Z72:Z135" si="63">CHOOSE(V72,Y72,U72+(0.5*Y72))</f>
        <v>4.05</v>
      </c>
      <c r="AA72" s="1">
        <f t="shared" ref="AA72:AA135" si="64">CHOOSE(V72,Z72*SQRT((W72+X72)/3),SQRT((U72^2)+((Y72^2)/12)))</f>
        <v>3.2826564446090507</v>
      </c>
      <c r="AB72" s="1">
        <v>0</v>
      </c>
      <c r="AC72" s="1">
        <f t="shared" si="53"/>
        <v>0.89439416666666671</v>
      </c>
      <c r="AD72" s="133">
        <f t="shared" ref="AD72:AD135" si="65">AB72+AC72</f>
        <v>0.89439416666666671</v>
      </c>
      <c r="AE72" s="132">
        <f t="shared" si="28"/>
        <v>1.0833333333333335</v>
      </c>
      <c r="AF72" s="1">
        <f t="shared" ref="AF72:AF135" si="66">CHOOSE(V72,Z72*SQRT(W72/3),SQRT(W72*((Z72^2)+((Y72^2)/3)-(Z72*Y72))))</f>
        <v>1.8952425819520955</v>
      </c>
      <c r="AG72" s="1">
        <f t="shared" si="54"/>
        <v>3.5919444444444458E-3</v>
      </c>
      <c r="AH72" s="1">
        <f t="shared" si="55"/>
        <v>0.12086611940010052</v>
      </c>
      <c r="AI72" s="133">
        <f t="shared" ref="AI72:AI135" si="67">AG72+AH72</f>
        <v>0.12445806384454496</v>
      </c>
      <c r="AJ72" s="132">
        <f t="shared" ref="AJ72:AJ135" si="68">X72*U72</f>
        <v>2.1666666666666665</v>
      </c>
      <c r="AK72" s="1">
        <f t="shared" ref="AK72:AK135" si="69">CHOOSE(V72,Z72*SQRT(X72/3),SQRT(X72*((Z72^2)+((Y72^2)/3)-(Y72*Z72))))</f>
        <v>2.6802777633836552</v>
      </c>
      <c r="AL72" s="1">
        <f t="shared" si="56"/>
        <v>7.183888888888889E-3</v>
      </c>
      <c r="AM72" s="1">
        <f t="shared" ref="AM72:AM103" si="70">CHOOSE(V72,(R72+Vd_rect)*Qrr*fsw,(R72+Vd_rect)*Qrr*fsw)</f>
        <v>0.15510000000000004</v>
      </c>
      <c r="AN72" s="136">
        <f t="shared" si="57"/>
        <v>6.4799999999999996E-2</v>
      </c>
      <c r="AO72" s="133">
        <f t="shared" ref="AO72:AO135" si="71">AL72+AM72+AN72</f>
        <v>0.22708388888888892</v>
      </c>
      <c r="AP72" s="132">
        <f t="shared" si="58"/>
        <v>4.3103333333333334E-2</v>
      </c>
      <c r="AQ72" s="137">
        <f t="shared" si="59"/>
        <v>0.89439416666666671</v>
      </c>
      <c r="AR72" s="137">
        <f t="shared" si="60"/>
        <v>4.147588250013759E-2</v>
      </c>
      <c r="AS72" s="1">
        <f t="shared" si="61"/>
        <v>3.7999999999999999E-2</v>
      </c>
      <c r="AT72" s="133">
        <f t="shared" si="62"/>
        <v>4.8000000000000001E-2</v>
      </c>
      <c r="AU72" s="132">
        <f t="shared" ref="AU72:AU135" si="72">AP72+AO72+AI72+AD72+AS72+AT72+AQ72+AR72</f>
        <v>2.3109095019002384</v>
      </c>
      <c r="AV72" s="1">
        <f t="shared" ref="AV72:AV135" si="73">R72*S72</f>
        <v>39</v>
      </c>
      <c r="AW72" s="133">
        <f t="shared" ref="AW72:AW135" si="74">(AV72/(AV72+AU72))*100</f>
        <v>94.406055132255219</v>
      </c>
    </row>
    <row r="73" spans="17:49" x14ac:dyDescent="0.25">
      <c r="Q73">
        <v>66</v>
      </c>
      <c r="R73" s="132">
        <f t="shared" si="46"/>
        <v>18</v>
      </c>
      <c r="S73" s="1">
        <f t="shared" si="47"/>
        <v>2.2000000000000002</v>
      </c>
      <c r="T73" s="1">
        <f t="shared" si="48"/>
        <v>12</v>
      </c>
      <c r="U73" s="133">
        <f t="shared" si="49"/>
        <v>3.3000000000000003</v>
      </c>
      <c r="V73" s="132">
        <f>IF(Calculations!$B$17=3,2,IF((S73*R73/T73)&lt;((T73*(1-(T73/R73)))/(2*Lm*fsw)),1,2))</f>
        <v>2</v>
      </c>
      <c r="W73" s="1">
        <f t="shared" si="50"/>
        <v>0.33333333333333337</v>
      </c>
      <c r="X73" s="133">
        <f t="shared" si="51"/>
        <v>0.66666666666666663</v>
      </c>
      <c r="Y73" s="132">
        <f t="shared" si="52"/>
        <v>1.6</v>
      </c>
      <c r="Z73" s="1">
        <f t="shared" si="63"/>
        <v>4.1000000000000005</v>
      </c>
      <c r="AA73" s="1">
        <f t="shared" si="64"/>
        <v>3.3321664624285106</v>
      </c>
      <c r="AB73" s="1">
        <v>0</v>
      </c>
      <c r="AC73" s="1">
        <f t="shared" si="53"/>
        <v>0.92157666666666682</v>
      </c>
      <c r="AD73" s="133">
        <f t="shared" si="65"/>
        <v>0.92157666666666682</v>
      </c>
      <c r="AE73" s="132">
        <f t="shared" ref="AE73:AE136" si="75">U73*W73</f>
        <v>1.1000000000000003</v>
      </c>
      <c r="AF73" s="1">
        <f t="shared" si="66"/>
        <v>1.923827204067744</v>
      </c>
      <c r="AG73" s="1">
        <f t="shared" si="54"/>
        <v>3.7011111111111133E-3</v>
      </c>
      <c r="AH73" s="1">
        <f t="shared" si="55"/>
        <v>0.12272559816010208</v>
      </c>
      <c r="AI73" s="133">
        <f t="shared" si="67"/>
        <v>0.12642670927121319</v>
      </c>
      <c r="AJ73" s="132">
        <f t="shared" si="68"/>
        <v>2.2000000000000002</v>
      </c>
      <c r="AK73" s="1">
        <f t="shared" si="69"/>
        <v>2.7207025236549156</v>
      </c>
      <c r="AL73" s="1">
        <f t="shared" si="56"/>
        <v>7.4022222222222267E-3</v>
      </c>
      <c r="AM73" s="1">
        <f t="shared" si="70"/>
        <v>0.15510000000000004</v>
      </c>
      <c r="AN73" s="136">
        <f t="shared" si="57"/>
        <v>6.5600000000000006E-2</v>
      </c>
      <c r="AO73" s="133">
        <f t="shared" si="71"/>
        <v>0.22810222222222226</v>
      </c>
      <c r="AP73" s="132">
        <f t="shared" si="58"/>
        <v>4.4413333333333339E-2</v>
      </c>
      <c r="AQ73" s="137">
        <f t="shared" si="59"/>
        <v>0.92157666666666682</v>
      </c>
      <c r="AR73" s="137">
        <f t="shared" si="60"/>
        <v>4.147588250013759E-2</v>
      </c>
      <c r="AS73" s="1">
        <f t="shared" si="61"/>
        <v>3.7999999999999999E-2</v>
      </c>
      <c r="AT73" s="133">
        <f t="shared" si="62"/>
        <v>4.8000000000000001E-2</v>
      </c>
      <c r="AU73" s="132">
        <f t="shared" si="72"/>
        <v>2.3695714806602401</v>
      </c>
      <c r="AV73" s="1">
        <f t="shared" si="73"/>
        <v>39.6</v>
      </c>
      <c r="AW73" s="133">
        <f t="shared" si="74"/>
        <v>94.354072731592822</v>
      </c>
    </row>
    <row r="74" spans="17:49" x14ac:dyDescent="0.25">
      <c r="Q74">
        <v>67</v>
      </c>
      <c r="R74" s="132">
        <f t="shared" si="46"/>
        <v>18</v>
      </c>
      <c r="S74" s="1">
        <f t="shared" si="47"/>
        <v>2.2333333333333334</v>
      </c>
      <c r="T74" s="1">
        <f t="shared" si="48"/>
        <v>12</v>
      </c>
      <c r="U74" s="133">
        <f t="shared" si="49"/>
        <v>3.35</v>
      </c>
      <c r="V74" s="132">
        <f>IF(Calculations!$B$17=3,2,IF((S74*R74/T74)&lt;((T74*(1-(T74/R74)))/(2*Lm*fsw)),1,2))</f>
        <v>2</v>
      </c>
      <c r="W74" s="1">
        <f t="shared" si="50"/>
        <v>0.33333333333333337</v>
      </c>
      <c r="X74" s="133">
        <f t="shared" si="51"/>
        <v>0.66666666666666663</v>
      </c>
      <c r="Y74" s="132">
        <f t="shared" si="52"/>
        <v>1.6</v>
      </c>
      <c r="Z74" s="1">
        <f t="shared" si="63"/>
        <v>4.1500000000000004</v>
      </c>
      <c r="AA74" s="1">
        <f t="shared" si="64"/>
        <v>3.3816908985496195</v>
      </c>
      <c r="AB74" s="1">
        <v>0</v>
      </c>
      <c r="AC74" s="1">
        <f t="shared" si="53"/>
        <v>0.94917416666666665</v>
      </c>
      <c r="AD74" s="133">
        <f t="shared" si="65"/>
        <v>0.94917416666666665</v>
      </c>
      <c r="AE74" s="132">
        <f t="shared" si="75"/>
        <v>1.1166666666666669</v>
      </c>
      <c r="AF74" s="1">
        <f t="shared" si="66"/>
        <v>1.9524201505937304</v>
      </c>
      <c r="AG74" s="1">
        <f t="shared" si="54"/>
        <v>3.8119444444444451E-3</v>
      </c>
      <c r="AH74" s="1">
        <f t="shared" si="55"/>
        <v>0.12458507692010362</v>
      </c>
      <c r="AI74" s="133">
        <f t="shared" si="67"/>
        <v>0.12839702136454806</v>
      </c>
      <c r="AJ74" s="132">
        <f t="shared" si="68"/>
        <v>2.2333333333333334</v>
      </c>
      <c r="AK74" s="1">
        <f t="shared" si="69"/>
        <v>2.7611390564201743</v>
      </c>
      <c r="AL74" s="1">
        <f t="shared" si="56"/>
        <v>7.623888888888891E-3</v>
      </c>
      <c r="AM74" s="1">
        <f t="shared" si="70"/>
        <v>0.15510000000000004</v>
      </c>
      <c r="AN74" s="136">
        <f t="shared" si="57"/>
        <v>6.6400000000000001E-2</v>
      </c>
      <c r="AO74" s="133">
        <f t="shared" si="71"/>
        <v>0.22912388888888896</v>
      </c>
      <c r="AP74" s="132">
        <f t="shared" si="58"/>
        <v>4.574333333333333E-2</v>
      </c>
      <c r="AQ74" s="137">
        <f t="shared" si="59"/>
        <v>0.94917416666666665</v>
      </c>
      <c r="AR74" s="137">
        <f t="shared" si="60"/>
        <v>4.147588250013759E-2</v>
      </c>
      <c r="AS74" s="1">
        <f t="shared" si="61"/>
        <v>3.7999999999999999E-2</v>
      </c>
      <c r="AT74" s="133">
        <f t="shared" si="62"/>
        <v>4.8000000000000001E-2</v>
      </c>
      <c r="AU74" s="132">
        <f t="shared" si="72"/>
        <v>2.4290884594202411</v>
      </c>
      <c r="AV74" s="1">
        <f t="shared" si="73"/>
        <v>40.200000000000003</v>
      </c>
      <c r="AW74" s="133">
        <f t="shared" si="74"/>
        <v>94.301805299607665</v>
      </c>
    </row>
    <row r="75" spans="17:49" x14ac:dyDescent="0.25">
      <c r="Q75">
        <v>68</v>
      </c>
      <c r="R75" s="132">
        <f t="shared" si="46"/>
        <v>18</v>
      </c>
      <c r="S75" s="1">
        <f t="shared" si="47"/>
        <v>2.2666666666666666</v>
      </c>
      <c r="T75" s="1">
        <f t="shared" si="48"/>
        <v>12</v>
      </c>
      <c r="U75" s="133">
        <f t="shared" si="49"/>
        <v>3.4</v>
      </c>
      <c r="V75" s="132">
        <f>IF(Calculations!$B$17=3,2,IF((S75*R75/T75)&lt;((T75*(1-(T75/R75)))/(2*Lm*fsw)),1,2))</f>
        <v>2</v>
      </c>
      <c r="W75" s="1">
        <f t="shared" si="50"/>
        <v>0.33333333333333337</v>
      </c>
      <c r="X75" s="133">
        <f t="shared" si="51"/>
        <v>0.66666666666666663</v>
      </c>
      <c r="Y75" s="132">
        <f t="shared" si="52"/>
        <v>1.6</v>
      </c>
      <c r="Z75" s="1">
        <f t="shared" si="63"/>
        <v>4.2</v>
      </c>
      <c r="AA75" s="1">
        <f t="shared" si="64"/>
        <v>3.4312291286554051</v>
      </c>
      <c r="AB75" s="1">
        <v>0</v>
      </c>
      <c r="AC75" s="1">
        <f t="shared" si="53"/>
        <v>0.97718666666666643</v>
      </c>
      <c r="AD75" s="133">
        <f t="shared" si="65"/>
        <v>0.97718666666666643</v>
      </c>
      <c r="AE75" s="132">
        <f t="shared" si="75"/>
        <v>1.1333333333333335</v>
      </c>
      <c r="AF75" s="1">
        <f t="shared" si="66"/>
        <v>1.9810210610804833</v>
      </c>
      <c r="AG75" s="1">
        <f t="shared" si="54"/>
        <v>3.9244444444444439E-3</v>
      </c>
      <c r="AH75" s="1">
        <f t="shared" si="55"/>
        <v>0.12644455568010515</v>
      </c>
      <c r="AI75" s="133">
        <f t="shared" si="67"/>
        <v>0.13036900012454961</v>
      </c>
      <c r="AJ75" s="132">
        <f t="shared" si="68"/>
        <v>2.2666666666666666</v>
      </c>
      <c r="AK75" s="1">
        <f t="shared" si="69"/>
        <v>2.8015868519267588</v>
      </c>
      <c r="AL75" s="1">
        <f t="shared" si="56"/>
        <v>7.8488888888888862E-3</v>
      </c>
      <c r="AM75" s="1">
        <f t="shared" si="70"/>
        <v>0.15510000000000004</v>
      </c>
      <c r="AN75" s="136">
        <f t="shared" si="57"/>
        <v>6.720000000000001E-2</v>
      </c>
      <c r="AO75" s="133">
        <f t="shared" si="71"/>
        <v>0.23014888888888893</v>
      </c>
      <c r="AP75" s="132">
        <f t="shared" si="58"/>
        <v>4.709333333333332E-2</v>
      </c>
      <c r="AQ75" s="137">
        <f t="shared" si="59"/>
        <v>0.97718666666666643</v>
      </c>
      <c r="AR75" s="137">
        <f t="shared" si="60"/>
        <v>4.147588250013759E-2</v>
      </c>
      <c r="AS75" s="1">
        <f t="shared" si="61"/>
        <v>3.7999999999999999E-2</v>
      </c>
      <c r="AT75" s="133">
        <f t="shared" si="62"/>
        <v>4.8000000000000001E-2</v>
      </c>
      <c r="AU75" s="132">
        <f t="shared" si="72"/>
        <v>2.4894604381802421</v>
      </c>
      <c r="AV75" s="1">
        <f t="shared" si="73"/>
        <v>40.799999999999997</v>
      </c>
      <c r="AW75" s="133">
        <f t="shared" si="74"/>
        <v>94.249268960662306</v>
      </c>
    </row>
    <row r="76" spans="17:49" x14ac:dyDescent="0.25">
      <c r="Q76">
        <v>69</v>
      </c>
      <c r="R76" s="132">
        <f t="shared" si="46"/>
        <v>18</v>
      </c>
      <c r="S76" s="1">
        <f t="shared" si="47"/>
        <v>2.2999999999999998</v>
      </c>
      <c r="T76" s="1">
        <f t="shared" si="48"/>
        <v>12</v>
      </c>
      <c r="U76" s="133">
        <f t="shared" si="49"/>
        <v>3.4499999999999997</v>
      </c>
      <c r="V76" s="132">
        <f>IF(Calculations!$B$17=3,2,IF((S76*R76/T76)&lt;((T76*(1-(T76/R76)))/(2*Lm*fsw)),1,2))</f>
        <v>2</v>
      </c>
      <c r="W76" s="1">
        <f t="shared" si="50"/>
        <v>0.33333333333333337</v>
      </c>
      <c r="X76" s="133">
        <f t="shared" si="51"/>
        <v>0.66666666666666663</v>
      </c>
      <c r="Y76" s="132">
        <f t="shared" si="52"/>
        <v>1.6</v>
      </c>
      <c r="Z76" s="1">
        <f t="shared" si="63"/>
        <v>4.25</v>
      </c>
      <c r="AA76" s="1">
        <f t="shared" si="64"/>
        <v>3.480780563800788</v>
      </c>
      <c r="AB76" s="1">
        <v>0</v>
      </c>
      <c r="AC76" s="1">
        <f t="shared" si="53"/>
        <v>1.0056141666666665</v>
      </c>
      <c r="AD76" s="133">
        <f t="shared" si="65"/>
        <v>1.0056141666666665</v>
      </c>
      <c r="AE76" s="132">
        <f t="shared" si="75"/>
        <v>1.1500000000000001</v>
      </c>
      <c r="AF76" s="1">
        <f t="shared" si="66"/>
        <v>2.0096295955004022</v>
      </c>
      <c r="AG76" s="1">
        <f t="shared" si="54"/>
        <v>4.03861111111111E-3</v>
      </c>
      <c r="AH76" s="1">
        <f t="shared" si="55"/>
        <v>0.12830403444010668</v>
      </c>
      <c r="AI76" s="133">
        <f t="shared" si="67"/>
        <v>0.1323426455512178</v>
      </c>
      <c r="AJ76" s="132">
        <f t="shared" si="68"/>
        <v>2.2999999999999998</v>
      </c>
      <c r="AK76" s="1">
        <f t="shared" si="69"/>
        <v>2.8420454293030257</v>
      </c>
      <c r="AL76" s="1">
        <f t="shared" si="56"/>
        <v>8.07722222222222E-3</v>
      </c>
      <c r="AM76" s="1">
        <f t="shared" si="70"/>
        <v>0.15510000000000004</v>
      </c>
      <c r="AN76" s="136">
        <f t="shared" si="57"/>
        <v>6.8000000000000005E-2</v>
      </c>
      <c r="AO76" s="133">
        <f t="shared" si="71"/>
        <v>0.23117722222222226</v>
      </c>
      <c r="AP76" s="132">
        <f t="shared" si="58"/>
        <v>4.8463333333333324E-2</v>
      </c>
      <c r="AQ76" s="137">
        <f t="shared" si="59"/>
        <v>1.0056141666666665</v>
      </c>
      <c r="AR76" s="137">
        <f t="shared" si="60"/>
        <v>4.147588250013759E-2</v>
      </c>
      <c r="AS76" s="1">
        <f t="shared" si="61"/>
        <v>3.7999999999999999E-2</v>
      </c>
      <c r="AT76" s="133">
        <f t="shared" si="62"/>
        <v>4.8000000000000001E-2</v>
      </c>
      <c r="AU76" s="132">
        <f t="shared" si="72"/>
        <v>2.550687416940244</v>
      </c>
      <c r="AV76" s="1">
        <f t="shared" si="73"/>
        <v>41.4</v>
      </c>
      <c r="AW76" s="133">
        <f t="shared" si="74"/>
        <v>94.196478902040752</v>
      </c>
    </row>
    <row r="77" spans="17:49" x14ac:dyDescent="0.25">
      <c r="Q77">
        <v>70</v>
      </c>
      <c r="R77" s="132">
        <f t="shared" si="46"/>
        <v>18</v>
      </c>
      <c r="S77" s="1">
        <f t="shared" si="47"/>
        <v>2.3333333333333335</v>
      </c>
      <c r="T77" s="1">
        <f t="shared" si="48"/>
        <v>12</v>
      </c>
      <c r="U77" s="133">
        <f t="shared" si="49"/>
        <v>3.5</v>
      </c>
      <c r="V77" s="132">
        <f>IF(Calculations!$B$17=3,2,IF((S77*R77/T77)&lt;((T77*(1-(T77/R77)))/(2*Lm*fsw)),1,2))</f>
        <v>2</v>
      </c>
      <c r="W77" s="1">
        <f t="shared" si="50"/>
        <v>0.33333333333333337</v>
      </c>
      <c r="X77" s="133">
        <f t="shared" si="51"/>
        <v>0.66666666666666663</v>
      </c>
      <c r="Y77" s="132">
        <f t="shared" si="52"/>
        <v>1.6</v>
      </c>
      <c r="Z77" s="1">
        <f t="shared" si="63"/>
        <v>4.3</v>
      </c>
      <c r="AA77" s="1">
        <f t="shared" si="64"/>
        <v>3.5303446479534166</v>
      </c>
      <c r="AB77" s="1">
        <v>0</v>
      </c>
      <c r="AC77" s="1">
        <f t="shared" si="53"/>
        <v>1.0344566666666666</v>
      </c>
      <c r="AD77" s="133">
        <f t="shared" si="65"/>
        <v>1.0344566666666666</v>
      </c>
      <c r="AE77" s="132">
        <f t="shared" si="75"/>
        <v>1.1666666666666667</v>
      </c>
      <c r="AF77" s="1">
        <f t="shared" si="66"/>
        <v>2.0382454328280599</v>
      </c>
      <c r="AG77" s="1">
        <f t="shared" si="54"/>
        <v>4.1544444444444458E-3</v>
      </c>
      <c r="AH77" s="1">
        <f t="shared" si="55"/>
        <v>0.13016351320010824</v>
      </c>
      <c r="AI77" s="133">
        <f t="shared" si="67"/>
        <v>0.13431795764455268</v>
      </c>
      <c r="AJ77" s="132">
        <f t="shared" si="68"/>
        <v>2.333333333333333</v>
      </c>
      <c r="AK77" s="1">
        <f t="shared" si="69"/>
        <v>2.8825143345504616</v>
      </c>
      <c r="AL77" s="1">
        <f t="shared" si="56"/>
        <v>8.3088888888888917E-3</v>
      </c>
      <c r="AM77" s="1">
        <f t="shared" si="70"/>
        <v>0.15510000000000004</v>
      </c>
      <c r="AN77" s="136">
        <f t="shared" si="57"/>
        <v>6.88E-2</v>
      </c>
      <c r="AO77" s="133">
        <f t="shared" si="71"/>
        <v>0.23220888888888894</v>
      </c>
      <c r="AP77" s="132">
        <f t="shared" si="58"/>
        <v>4.9853333333333333E-2</v>
      </c>
      <c r="AQ77" s="137">
        <f t="shared" si="59"/>
        <v>1.0344566666666666</v>
      </c>
      <c r="AR77" s="137">
        <f t="shared" si="60"/>
        <v>4.147588250013759E-2</v>
      </c>
      <c r="AS77" s="1">
        <f t="shared" si="61"/>
        <v>3.7999999999999999E-2</v>
      </c>
      <c r="AT77" s="133">
        <f t="shared" si="62"/>
        <v>4.8000000000000001E-2</v>
      </c>
      <c r="AU77" s="132">
        <f t="shared" si="72"/>
        <v>2.6127693957002456</v>
      </c>
      <c r="AV77" s="1">
        <f t="shared" si="73"/>
        <v>42</v>
      </c>
      <c r="AW77" s="133">
        <f t="shared" si="74"/>
        <v>94.143449440392587</v>
      </c>
    </row>
    <row r="78" spans="17:49" x14ac:dyDescent="0.25">
      <c r="Q78">
        <v>71</v>
      </c>
      <c r="R78" s="132">
        <f t="shared" si="46"/>
        <v>18</v>
      </c>
      <c r="S78" s="1">
        <f t="shared" si="47"/>
        <v>2.3666666666666667</v>
      </c>
      <c r="T78" s="1">
        <f t="shared" si="48"/>
        <v>12</v>
      </c>
      <c r="U78" s="133">
        <f t="shared" si="49"/>
        <v>3.5500000000000003</v>
      </c>
      <c r="V78" s="132">
        <f>IF(Calculations!$B$17=3,2,IF((S78*R78/T78)&lt;((T78*(1-(T78/R78)))/(2*Lm*fsw)),1,2))</f>
        <v>2</v>
      </c>
      <c r="W78" s="1">
        <f t="shared" si="50"/>
        <v>0.33333333333333337</v>
      </c>
      <c r="X78" s="133">
        <f t="shared" si="51"/>
        <v>0.66666666666666663</v>
      </c>
      <c r="Y78" s="132">
        <f t="shared" si="52"/>
        <v>1.6</v>
      </c>
      <c r="Z78" s="1">
        <f t="shared" si="63"/>
        <v>4.3500000000000005</v>
      </c>
      <c r="AA78" s="1">
        <f t="shared" si="64"/>
        <v>3.5799208557359665</v>
      </c>
      <c r="AB78" s="1">
        <v>0</v>
      </c>
      <c r="AC78" s="1">
        <f t="shared" si="53"/>
        <v>1.063714166666667</v>
      </c>
      <c r="AD78" s="133">
        <f t="shared" si="65"/>
        <v>1.063714166666667</v>
      </c>
      <c r="AE78" s="132">
        <f t="shared" si="75"/>
        <v>1.1833333333333336</v>
      </c>
      <c r="AF78" s="1">
        <f t="shared" si="66"/>
        <v>2.066868269736716</v>
      </c>
      <c r="AG78" s="1">
        <f t="shared" si="54"/>
        <v>4.2719444444444463E-3</v>
      </c>
      <c r="AH78" s="1">
        <f t="shared" si="55"/>
        <v>0.1320229919601098</v>
      </c>
      <c r="AI78" s="133">
        <f t="shared" si="67"/>
        <v>0.13629493640455426</v>
      </c>
      <c r="AJ78" s="132">
        <f t="shared" si="68"/>
        <v>2.3666666666666667</v>
      </c>
      <c r="AK78" s="1">
        <f t="shared" si="69"/>
        <v>2.9229931387002761</v>
      </c>
      <c r="AL78" s="1">
        <f t="shared" si="56"/>
        <v>8.5438888888888925E-3</v>
      </c>
      <c r="AM78" s="1">
        <f t="shared" si="70"/>
        <v>0.15510000000000004</v>
      </c>
      <c r="AN78" s="136">
        <f t="shared" si="57"/>
        <v>6.9600000000000009E-2</v>
      </c>
      <c r="AO78" s="133">
        <f t="shared" si="71"/>
        <v>0.23324388888888892</v>
      </c>
      <c r="AP78" s="132">
        <f t="shared" si="58"/>
        <v>5.1263333333333341E-2</v>
      </c>
      <c r="AQ78" s="137">
        <f t="shared" si="59"/>
        <v>1.063714166666667</v>
      </c>
      <c r="AR78" s="137">
        <f t="shared" si="60"/>
        <v>4.147588250013759E-2</v>
      </c>
      <c r="AS78" s="1">
        <f t="shared" si="61"/>
        <v>3.7999999999999999E-2</v>
      </c>
      <c r="AT78" s="133">
        <f t="shared" si="62"/>
        <v>4.8000000000000001E-2</v>
      </c>
      <c r="AU78" s="132">
        <f t="shared" si="72"/>
        <v>2.6757063744602481</v>
      </c>
      <c r="AV78" s="1">
        <f t="shared" si="73"/>
        <v>42.6</v>
      </c>
      <c r="AW78" s="133">
        <f t="shared" si="74"/>
        <v>94.090194082604967</v>
      </c>
    </row>
    <row r="79" spans="17:49" x14ac:dyDescent="0.25">
      <c r="Q79">
        <v>72</v>
      </c>
      <c r="R79" s="132">
        <f t="shared" si="46"/>
        <v>18</v>
      </c>
      <c r="S79" s="1">
        <f t="shared" si="47"/>
        <v>2.4</v>
      </c>
      <c r="T79" s="1">
        <f t="shared" si="48"/>
        <v>12</v>
      </c>
      <c r="U79" s="133">
        <f t="shared" si="49"/>
        <v>3.5999999999999996</v>
      </c>
      <c r="V79" s="132">
        <f>IF(Calculations!$B$17=3,2,IF((S79*R79/T79)&lt;((T79*(1-(T79/R79)))/(2*Lm*fsw)),1,2))</f>
        <v>2</v>
      </c>
      <c r="W79" s="1">
        <f t="shared" si="50"/>
        <v>0.33333333333333337</v>
      </c>
      <c r="X79" s="133">
        <f t="shared" si="51"/>
        <v>0.66666666666666663</v>
      </c>
      <c r="Y79" s="132">
        <f t="shared" si="52"/>
        <v>1.6</v>
      </c>
      <c r="Z79" s="1">
        <f t="shared" si="63"/>
        <v>4.3999999999999995</v>
      </c>
      <c r="AA79" s="1">
        <f t="shared" si="64"/>
        <v>3.6295086903509861</v>
      </c>
      <c r="AB79" s="1">
        <v>0</v>
      </c>
      <c r="AC79" s="1">
        <f t="shared" si="53"/>
        <v>1.0933866666666665</v>
      </c>
      <c r="AD79" s="133">
        <f t="shared" si="65"/>
        <v>1.0933866666666665</v>
      </c>
      <c r="AE79" s="132">
        <f t="shared" si="75"/>
        <v>1.2</v>
      </c>
      <c r="AF79" s="1">
        <f t="shared" si="66"/>
        <v>2.0954978194002281</v>
      </c>
      <c r="AG79" s="1">
        <f t="shared" si="54"/>
        <v>4.3911111111111113E-3</v>
      </c>
      <c r="AH79" s="1">
        <f t="shared" si="55"/>
        <v>0.13388247072011134</v>
      </c>
      <c r="AI79" s="133">
        <f t="shared" si="67"/>
        <v>0.13827358183122246</v>
      </c>
      <c r="AJ79" s="132">
        <f t="shared" si="68"/>
        <v>2.3999999999999995</v>
      </c>
      <c r="AK79" s="1">
        <f t="shared" si="69"/>
        <v>2.9634814361190487</v>
      </c>
      <c r="AL79" s="1">
        <f t="shared" si="56"/>
        <v>8.782222222222219E-3</v>
      </c>
      <c r="AM79" s="1">
        <f t="shared" si="70"/>
        <v>0.15510000000000004</v>
      </c>
      <c r="AN79" s="136">
        <f t="shared" si="57"/>
        <v>7.039999999999999E-2</v>
      </c>
      <c r="AO79" s="133">
        <f t="shared" si="71"/>
        <v>0.23428222222222225</v>
      </c>
      <c r="AP79" s="132">
        <f t="shared" si="58"/>
        <v>5.2693333333333321E-2</v>
      </c>
      <c r="AQ79" s="137">
        <f t="shared" si="59"/>
        <v>1.0933866666666665</v>
      </c>
      <c r="AR79" s="137">
        <f t="shared" si="60"/>
        <v>4.147588250013759E-2</v>
      </c>
      <c r="AS79" s="1">
        <f t="shared" si="61"/>
        <v>3.7999999999999999E-2</v>
      </c>
      <c r="AT79" s="133">
        <f t="shared" si="62"/>
        <v>4.8000000000000001E-2</v>
      </c>
      <c r="AU79" s="132">
        <f t="shared" si="72"/>
        <v>2.7394983532202484</v>
      </c>
      <c r="AV79" s="1">
        <f t="shared" si="73"/>
        <v>43.199999999999996</v>
      </c>
      <c r="AW79" s="133">
        <f t="shared" si="74"/>
        <v>94.036725581640539</v>
      </c>
    </row>
    <row r="80" spans="17:49" x14ac:dyDescent="0.25">
      <c r="Q80">
        <v>73</v>
      </c>
      <c r="R80" s="132">
        <f t="shared" si="46"/>
        <v>18</v>
      </c>
      <c r="S80" s="1">
        <f t="shared" si="47"/>
        <v>2.4333333333333331</v>
      </c>
      <c r="T80" s="1">
        <f t="shared" si="48"/>
        <v>12</v>
      </c>
      <c r="U80" s="133">
        <f t="shared" si="49"/>
        <v>3.65</v>
      </c>
      <c r="V80" s="132">
        <f>IF(Calculations!$B$17=3,2,IF((S80*R80/T80)&lt;((T80*(1-(T80/R80)))/(2*Lm*fsw)),1,2))</f>
        <v>2</v>
      </c>
      <c r="W80" s="1">
        <f t="shared" si="50"/>
        <v>0.33333333333333337</v>
      </c>
      <c r="X80" s="133">
        <f t="shared" si="51"/>
        <v>0.66666666666666663</v>
      </c>
      <c r="Y80" s="132">
        <f t="shared" si="52"/>
        <v>1.6</v>
      </c>
      <c r="Z80" s="1">
        <f t="shared" si="63"/>
        <v>4.45</v>
      </c>
      <c r="AA80" s="1">
        <f t="shared" si="64"/>
        <v>3.6791076816713768</v>
      </c>
      <c r="AB80" s="1">
        <v>0</v>
      </c>
      <c r="AC80" s="1">
        <f t="shared" si="53"/>
        <v>1.1234741666666668</v>
      </c>
      <c r="AD80" s="133">
        <f t="shared" si="65"/>
        <v>1.1234741666666668</v>
      </c>
      <c r="AE80" s="132">
        <f t="shared" si="75"/>
        <v>1.2166666666666668</v>
      </c>
      <c r="AF80" s="1">
        <f t="shared" si="66"/>
        <v>2.1241338103905893</v>
      </c>
      <c r="AG80" s="1">
        <f t="shared" si="54"/>
        <v>4.5119444444444443E-3</v>
      </c>
      <c r="AH80" s="1">
        <f t="shared" si="55"/>
        <v>0.13574194948011289</v>
      </c>
      <c r="AI80" s="133">
        <f t="shared" si="67"/>
        <v>0.14025389392455734</v>
      </c>
      <c r="AJ80" s="132">
        <f t="shared" si="68"/>
        <v>2.4333333333333331</v>
      </c>
      <c r="AK80" s="1">
        <f t="shared" si="69"/>
        <v>3.0039788429496115</v>
      </c>
      <c r="AL80" s="1">
        <f t="shared" si="56"/>
        <v>9.0238888888888869E-3</v>
      </c>
      <c r="AM80" s="1">
        <f t="shared" si="70"/>
        <v>0.15510000000000004</v>
      </c>
      <c r="AN80" s="136">
        <f t="shared" si="57"/>
        <v>7.1199999999999999E-2</v>
      </c>
      <c r="AO80" s="133">
        <f t="shared" si="71"/>
        <v>0.23532388888888894</v>
      </c>
      <c r="AP80" s="132">
        <f t="shared" si="58"/>
        <v>5.4143333333333335E-2</v>
      </c>
      <c r="AQ80" s="137">
        <f t="shared" si="59"/>
        <v>1.1234741666666668</v>
      </c>
      <c r="AR80" s="137">
        <f t="shared" si="60"/>
        <v>4.147588250013759E-2</v>
      </c>
      <c r="AS80" s="1">
        <f t="shared" si="61"/>
        <v>3.7999999999999999E-2</v>
      </c>
      <c r="AT80" s="133">
        <f t="shared" si="62"/>
        <v>4.8000000000000001E-2</v>
      </c>
      <c r="AU80" s="132">
        <f t="shared" si="72"/>
        <v>2.804145331980251</v>
      </c>
      <c r="AV80" s="1">
        <f t="shared" si="73"/>
        <v>43.8</v>
      </c>
      <c r="AW80" s="133">
        <f t="shared" si="74"/>
        <v>93.983055987819995</v>
      </c>
    </row>
    <row r="81" spans="17:49" x14ac:dyDescent="0.25">
      <c r="Q81">
        <v>74</v>
      </c>
      <c r="R81" s="132">
        <f t="shared" si="46"/>
        <v>18</v>
      </c>
      <c r="S81" s="1">
        <f t="shared" si="47"/>
        <v>2.4666666666666668</v>
      </c>
      <c r="T81" s="1">
        <f t="shared" si="48"/>
        <v>12</v>
      </c>
      <c r="U81" s="133">
        <f t="shared" si="49"/>
        <v>3.7000000000000006</v>
      </c>
      <c r="V81" s="132">
        <f>IF(Calculations!$B$17=3,2,IF((S81*R81/T81)&lt;((T81*(1-(T81/R81)))/(2*Lm*fsw)),1,2))</f>
        <v>2</v>
      </c>
      <c r="W81" s="1">
        <f t="shared" si="50"/>
        <v>0.33333333333333337</v>
      </c>
      <c r="X81" s="133">
        <f t="shared" si="51"/>
        <v>0.66666666666666663</v>
      </c>
      <c r="Y81" s="132">
        <f t="shared" si="52"/>
        <v>1.6</v>
      </c>
      <c r="Z81" s="1">
        <f t="shared" si="63"/>
        <v>4.5000000000000009</v>
      </c>
      <c r="AA81" s="1">
        <f t="shared" si="64"/>
        <v>3.7287173844813362</v>
      </c>
      <c r="AB81" s="1">
        <v>0</v>
      </c>
      <c r="AC81" s="1">
        <f t="shared" si="53"/>
        <v>1.1539766666666669</v>
      </c>
      <c r="AD81" s="133">
        <f t="shared" si="65"/>
        <v>1.1539766666666669</v>
      </c>
      <c r="AE81" s="132">
        <f t="shared" si="75"/>
        <v>1.2333333333333336</v>
      </c>
      <c r="AF81" s="1">
        <f t="shared" si="66"/>
        <v>2.1527759856623367</v>
      </c>
      <c r="AG81" s="1">
        <f t="shared" si="54"/>
        <v>4.6344444444444462E-3</v>
      </c>
      <c r="AH81" s="1">
        <f t="shared" si="55"/>
        <v>0.13760142824011445</v>
      </c>
      <c r="AI81" s="133">
        <f t="shared" si="67"/>
        <v>0.14223587268455889</v>
      </c>
      <c r="AJ81" s="132">
        <f t="shared" si="68"/>
        <v>2.4666666666666668</v>
      </c>
      <c r="AK81" s="1">
        <f t="shared" si="69"/>
        <v>3.0444849956747841</v>
      </c>
      <c r="AL81" s="1">
        <f t="shared" si="56"/>
        <v>9.2688888888888907E-3</v>
      </c>
      <c r="AM81" s="1">
        <f t="shared" si="70"/>
        <v>0.15510000000000004</v>
      </c>
      <c r="AN81" s="136">
        <f t="shared" si="57"/>
        <v>7.2000000000000022E-2</v>
      </c>
      <c r="AO81" s="133">
        <f t="shared" si="71"/>
        <v>0.23636888888888896</v>
      </c>
      <c r="AP81" s="132">
        <f t="shared" si="58"/>
        <v>5.5613333333333348E-2</v>
      </c>
      <c r="AQ81" s="137">
        <f t="shared" si="59"/>
        <v>1.1539766666666669</v>
      </c>
      <c r="AR81" s="137">
        <f t="shared" si="60"/>
        <v>4.147588250013759E-2</v>
      </c>
      <c r="AS81" s="1">
        <f t="shared" si="61"/>
        <v>3.7999999999999999E-2</v>
      </c>
      <c r="AT81" s="133">
        <f t="shared" si="62"/>
        <v>4.8000000000000001E-2</v>
      </c>
      <c r="AU81" s="132">
        <f t="shared" si="72"/>
        <v>2.8696473107402523</v>
      </c>
      <c r="AV81" s="1">
        <f t="shared" si="73"/>
        <v>44.400000000000006</v>
      </c>
      <c r="AW81" s="133">
        <f t="shared" si="74"/>
        <v>93.929196695977396</v>
      </c>
    </row>
    <row r="82" spans="17:49" x14ac:dyDescent="0.25">
      <c r="Q82">
        <v>75</v>
      </c>
      <c r="R82" s="132">
        <f t="shared" si="46"/>
        <v>18</v>
      </c>
      <c r="S82" s="1">
        <f t="shared" si="47"/>
        <v>2.5</v>
      </c>
      <c r="T82" s="1">
        <f t="shared" si="48"/>
        <v>12</v>
      </c>
      <c r="U82" s="133">
        <f t="shared" si="49"/>
        <v>3.75</v>
      </c>
      <c r="V82" s="132">
        <f>IF(Calculations!$B$17=3,2,IF((S82*R82/T82)&lt;((T82*(1-(T82/R82)))/(2*Lm*fsw)),1,2))</f>
        <v>2</v>
      </c>
      <c r="W82" s="1">
        <f t="shared" si="50"/>
        <v>0.33333333333333337</v>
      </c>
      <c r="X82" s="133">
        <f t="shared" si="51"/>
        <v>0.66666666666666663</v>
      </c>
      <c r="Y82" s="132">
        <f t="shared" si="52"/>
        <v>1.6</v>
      </c>
      <c r="Z82" s="1">
        <f t="shared" si="63"/>
        <v>4.55</v>
      </c>
      <c r="AA82" s="1">
        <f t="shared" si="64"/>
        <v>3.7783373768541808</v>
      </c>
      <c r="AB82" s="1">
        <v>0</v>
      </c>
      <c r="AC82" s="1">
        <f t="shared" si="53"/>
        <v>1.1848941666666666</v>
      </c>
      <c r="AD82" s="133">
        <f t="shared" si="65"/>
        <v>1.1848941666666666</v>
      </c>
      <c r="AE82" s="132">
        <f t="shared" si="75"/>
        <v>1.2500000000000002</v>
      </c>
      <c r="AF82" s="1">
        <f t="shared" si="66"/>
        <v>2.1814241016159857</v>
      </c>
      <c r="AG82" s="1">
        <f t="shared" si="54"/>
        <v>4.7586111111111102E-3</v>
      </c>
      <c r="AH82" s="1">
        <f t="shared" si="55"/>
        <v>0.13946090700011599</v>
      </c>
      <c r="AI82" s="133">
        <f t="shared" si="67"/>
        <v>0.1442195181112271</v>
      </c>
      <c r="AJ82" s="132">
        <f t="shared" si="68"/>
        <v>2.5</v>
      </c>
      <c r="AK82" s="1">
        <f t="shared" si="69"/>
        <v>3.0849995497928715</v>
      </c>
      <c r="AL82" s="1">
        <f t="shared" si="56"/>
        <v>9.5172222222222203E-3</v>
      </c>
      <c r="AM82" s="1">
        <f t="shared" si="70"/>
        <v>0.15510000000000004</v>
      </c>
      <c r="AN82" s="136">
        <f t="shared" si="57"/>
        <v>7.2800000000000004E-2</v>
      </c>
      <c r="AO82" s="133">
        <f t="shared" si="71"/>
        <v>0.23741722222222228</v>
      </c>
      <c r="AP82" s="132">
        <f t="shared" si="58"/>
        <v>5.7103333333333325E-2</v>
      </c>
      <c r="AQ82" s="137">
        <f t="shared" si="59"/>
        <v>1.1848941666666666</v>
      </c>
      <c r="AR82" s="137">
        <f t="shared" si="60"/>
        <v>4.147588250013759E-2</v>
      </c>
      <c r="AS82" s="1">
        <f t="shared" si="61"/>
        <v>3.7999999999999999E-2</v>
      </c>
      <c r="AT82" s="133">
        <f t="shared" si="62"/>
        <v>4.8000000000000001E-2</v>
      </c>
      <c r="AU82" s="132">
        <f t="shared" si="72"/>
        <v>2.9360042895002532</v>
      </c>
      <c r="AV82" s="1">
        <f t="shared" si="73"/>
        <v>45</v>
      </c>
      <c r="AW82" s="133">
        <f t="shared" si="74"/>
        <v>93.875158488870241</v>
      </c>
    </row>
    <row r="83" spans="17:49" x14ac:dyDescent="0.25">
      <c r="Q83">
        <v>76</v>
      </c>
      <c r="R83" s="132">
        <f t="shared" si="46"/>
        <v>18</v>
      </c>
      <c r="S83" s="1">
        <f t="shared" si="47"/>
        <v>2.5333333333333332</v>
      </c>
      <c r="T83" s="1">
        <f t="shared" si="48"/>
        <v>12</v>
      </c>
      <c r="U83" s="133">
        <f t="shared" si="49"/>
        <v>3.7999999999999994</v>
      </c>
      <c r="V83" s="132">
        <f>IF(Calculations!$B$17=3,2,IF((S83*R83/T83)&lt;((T83*(1-(T83/R83)))/(2*Lm*fsw)),1,2))</f>
        <v>2</v>
      </c>
      <c r="W83" s="1">
        <f t="shared" si="50"/>
        <v>0.33333333333333337</v>
      </c>
      <c r="X83" s="133">
        <f t="shared" si="51"/>
        <v>0.66666666666666663</v>
      </c>
      <c r="Y83" s="132">
        <f t="shared" si="52"/>
        <v>1.6</v>
      </c>
      <c r="Z83" s="1">
        <f t="shared" si="63"/>
        <v>4.5999999999999996</v>
      </c>
      <c r="AA83" s="1">
        <f t="shared" si="64"/>
        <v>3.8279672586548239</v>
      </c>
      <c r="AB83" s="1">
        <v>0</v>
      </c>
      <c r="AC83" s="1">
        <f t="shared" si="53"/>
        <v>1.2162266666666661</v>
      </c>
      <c r="AD83" s="133">
        <f t="shared" si="65"/>
        <v>1.2162266666666661</v>
      </c>
      <c r="AE83" s="132">
        <f t="shared" si="75"/>
        <v>1.2666666666666666</v>
      </c>
      <c r="AF83" s="1">
        <f t="shared" si="66"/>
        <v>2.2100779272334368</v>
      </c>
      <c r="AG83" s="1">
        <f t="shared" si="54"/>
        <v>4.8844444444444439E-3</v>
      </c>
      <c r="AH83" s="1">
        <f t="shared" si="55"/>
        <v>0.14132038576011749</v>
      </c>
      <c r="AI83" s="133">
        <f t="shared" si="67"/>
        <v>0.14620483020456193</v>
      </c>
      <c r="AJ83" s="132">
        <f t="shared" si="68"/>
        <v>2.5333333333333328</v>
      </c>
      <c r="AK83" s="1">
        <f t="shared" si="69"/>
        <v>3.1255221785949439</v>
      </c>
      <c r="AL83" s="1">
        <f t="shared" si="56"/>
        <v>9.7688888888888843E-3</v>
      </c>
      <c r="AM83" s="1">
        <f t="shared" si="70"/>
        <v>0.15510000000000004</v>
      </c>
      <c r="AN83" s="136">
        <f t="shared" si="57"/>
        <v>7.3599999999999999E-2</v>
      </c>
      <c r="AO83" s="133">
        <f t="shared" si="71"/>
        <v>0.23846888888888892</v>
      </c>
      <c r="AP83" s="132">
        <f t="shared" si="58"/>
        <v>5.8613333333333309E-2</v>
      </c>
      <c r="AQ83" s="137">
        <f t="shared" si="59"/>
        <v>1.2162266666666661</v>
      </c>
      <c r="AR83" s="137">
        <f t="shared" si="60"/>
        <v>4.147588250013759E-2</v>
      </c>
      <c r="AS83" s="1">
        <f t="shared" si="61"/>
        <v>3.7999999999999999E-2</v>
      </c>
      <c r="AT83" s="133">
        <f t="shared" si="62"/>
        <v>4.8000000000000001E-2</v>
      </c>
      <c r="AU83" s="132">
        <f t="shared" si="72"/>
        <v>3.0032162682602541</v>
      </c>
      <c r="AV83" s="1">
        <f t="shared" si="73"/>
        <v>45.599999999999994</v>
      </c>
      <c r="AW83" s="133">
        <f t="shared" si="74"/>
        <v>93.820951577187145</v>
      </c>
    </row>
    <row r="84" spans="17:49" x14ac:dyDescent="0.25">
      <c r="Q84">
        <v>77</v>
      </c>
      <c r="R84" s="132">
        <f t="shared" si="46"/>
        <v>18</v>
      </c>
      <c r="S84" s="1">
        <f t="shared" si="47"/>
        <v>2.5666666666666664</v>
      </c>
      <c r="T84" s="1">
        <f t="shared" si="48"/>
        <v>12</v>
      </c>
      <c r="U84" s="133">
        <f t="shared" si="49"/>
        <v>3.8499999999999996</v>
      </c>
      <c r="V84" s="132">
        <f>IF(Calculations!$B$17=3,2,IF((S84*R84/T84)&lt;((T84*(1-(T84/R84)))/(2*Lm*fsw)),1,2))</f>
        <v>2</v>
      </c>
      <c r="W84" s="1">
        <f t="shared" si="50"/>
        <v>0.33333333333333337</v>
      </c>
      <c r="X84" s="133">
        <f t="shared" si="51"/>
        <v>0.66666666666666663</v>
      </c>
      <c r="Y84" s="132">
        <f t="shared" si="52"/>
        <v>1.6</v>
      </c>
      <c r="Z84" s="1">
        <f t="shared" si="63"/>
        <v>4.6499999999999995</v>
      </c>
      <c r="AA84" s="1">
        <f t="shared" si="64"/>
        <v>3.8776066501559092</v>
      </c>
      <c r="AB84" s="1">
        <v>0</v>
      </c>
      <c r="AC84" s="1">
        <f t="shared" si="53"/>
        <v>1.2479741666666666</v>
      </c>
      <c r="AD84" s="133">
        <f t="shared" si="65"/>
        <v>1.2479741666666666</v>
      </c>
      <c r="AE84" s="132">
        <f t="shared" si="75"/>
        <v>1.2833333333333334</v>
      </c>
      <c r="AF84" s="1">
        <f t="shared" si="66"/>
        <v>2.2387372432789969</v>
      </c>
      <c r="AG84" s="1">
        <f t="shared" si="54"/>
        <v>5.011944444444443E-3</v>
      </c>
      <c r="AH84" s="1">
        <f t="shared" si="55"/>
        <v>0.14317986452011908</v>
      </c>
      <c r="AI84" s="133">
        <f t="shared" si="67"/>
        <v>0.14819180896456352</v>
      </c>
      <c r="AJ84" s="132">
        <f t="shared" si="68"/>
        <v>2.5666666666666664</v>
      </c>
      <c r="AK84" s="1">
        <f t="shared" si="69"/>
        <v>3.1660525720349124</v>
      </c>
      <c r="AL84" s="1">
        <f t="shared" si="56"/>
        <v>1.0023888888888884E-2</v>
      </c>
      <c r="AM84" s="1">
        <f t="shared" si="70"/>
        <v>0.15510000000000004</v>
      </c>
      <c r="AN84" s="136">
        <f t="shared" si="57"/>
        <v>7.4399999999999994E-2</v>
      </c>
      <c r="AO84" s="133">
        <f t="shared" si="71"/>
        <v>0.23952388888888893</v>
      </c>
      <c r="AP84" s="132">
        <f t="shared" si="58"/>
        <v>6.0143333333333326E-2</v>
      </c>
      <c r="AQ84" s="137">
        <f t="shared" si="59"/>
        <v>1.2479741666666666</v>
      </c>
      <c r="AR84" s="137">
        <f t="shared" si="60"/>
        <v>4.147588250013759E-2</v>
      </c>
      <c r="AS84" s="1">
        <f t="shared" si="61"/>
        <v>3.7999999999999999E-2</v>
      </c>
      <c r="AT84" s="133">
        <f t="shared" si="62"/>
        <v>4.8000000000000001E-2</v>
      </c>
      <c r="AU84" s="132">
        <f t="shared" si="72"/>
        <v>3.0712832470202565</v>
      </c>
      <c r="AV84" s="1">
        <f t="shared" si="73"/>
        <v>46.199999999999996</v>
      </c>
      <c r="AW84" s="133">
        <f t="shared" si="74"/>
        <v>93.766585636459965</v>
      </c>
    </row>
    <row r="85" spans="17:49" x14ac:dyDescent="0.25">
      <c r="Q85">
        <v>78</v>
      </c>
      <c r="R85" s="132">
        <f t="shared" si="46"/>
        <v>18</v>
      </c>
      <c r="S85" s="1">
        <f t="shared" si="47"/>
        <v>2.6</v>
      </c>
      <c r="T85" s="1">
        <f t="shared" si="48"/>
        <v>12</v>
      </c>
      <c r="U85" s="133">
        <f t="shared" si="49"/>
        <v>3.9000000000000004</v>
      </c>
      <c r="V85" s="132">
        <f>IF(Calculations!$B$17=3,2,IF((S85*R85/T85)&lt;((T85*(1-(T85/R85)))/(2*Lm*fsw)),1,2))</f>
        <v>2</v>
      </c>
      <c r="W85" s="1">
        <f t="shared" si="50"/>
        <v>0.33333333333333337</v>
      </c>
      <c r="X85" s="133">
        <f t="shared" si="51"/>
        <v>0.66666666666666663</v>
      </c>
      <c r="Y85" s="132">
        <f t="shared" si="52"/>
        <v>1.6</v>
      </c>
      <c r="Z85" s="1">
        <f t="shared" si="63"/>
        <v>4.7</v>
      </c>
      <c r="AA85" s="1">
        <f t="shared" si="64"/>
        <v>3.9272551907577049</v>
      </c>
      <c r="AB85" s="1">
        <v>0</v>
      </c>
      <c r="AC85" s="1">
        <f t="shared" si="53"/>
        <v>1.2801366666666671</v>
      </c>
      <c r="AD85" s="133">
        <f t="shared" si="65"/>
        <v>1.2801366666666671</v>
      </c>
      <c r="AE85" s="132">
        <f t="shared" si="75"/>
        <v>1.3000000000000003</v>
      </c>
      <c r="AF85" s="1">
        <f t="shared" si="66"/>
        <v>2.2674018415603161</v>
      </c>
      <c r="AG85" s="1">
        <f t="shared" si="54"/>
        <v>5.1411111111111128E-3</v>
      </c>
      <c r="AH85" s="1">
        <f t="shared" si="55"/>
        <v>0.14503934328012061</v>
      </c>
      <c r="AI85" s="133">
        <f t="shared" si="67"/>
        <v>0.15018045439123173</v>
      </c>
      <c r="AJ85" s="132">
        <f t="shared" si="68"/>
        <v>2.6</v>
      </c>
      <c r="AK85" s="1">
        <f t="shared" si="69"/>
        <v>3.2065904356843302</v>
      </c>
      <c r="AL85" s="1">
        <f t="shared" si="56"/>
        <v>1.0282222222222222E-2</v>
      </c>
      <c r="AM85" s="1">
        <f t="shared" si="70"/>
        <v>0.15510000000000004</v>
      </c>
      <c r="AN85" s="136">
        <f t="shared" si="57"/>
        <v>7.5200000000000003E-2</v>
      </c>
      <c r="AO85" s="133">
        <f t="shared" si="71"/>
        <v>0.24058222222222225</v>
      </c>
      <c r="AP85" s="132">
        <f t="shared" si="58"/>
        <v>6.169333333333335E-2</v>
      </c>
      <c r="AQ85" s="137">
        <f t="shared" si="59"/>
        <v>1.2801366666666671</v>
      </c>
      <c r="AR85" s="137">
        <f t="shared" si="60"/>
        <v>4.147588250013759E-2</v>
      </c>
      <c r="AS85" s="1">
        <f t="shared" si="61"/>
        <v>3.7999999999999999E-2</v>
      </c>
      <c r="AT85" s="133">
        <f t="shared" si="62"/>
        <v>4.8000000000000001E-2</v>
      </c>
      <c r="AU85" s="132">
        <f t="shared" si="72"/>
        <v>3.1402052257802593</v>
      </c>
      <c r="AV85" s="1">
        <f t="shared" si="73"/>
        <v>46.800000000000004</v>
      </c>
      <c r="AW85" s="133">
        <f t="shared" si="74"/>
        <v>93.712069841156335</v>
      </c>
    </row>
    <row r="86" spans="17:49" x14ac:dyDescent="0.25">
      <c r="Q86">
        <v>79</v>
      </c>
      <c r="R86" s="132">
        <f t="shared" si="46"/>
        <v>18</v>
      </c>
      <c r="S86" s="1">
        <f t="shared" si="47"/>
        <v>2.6333333333333333</v>
      </c>
      <c r="T86" s="1">
        <f t="shared" si="48"/>
        <v>12</v>
      </c>
      <c r="U86" s="133">
        <f t="shared" si="49"/>
        <v>3.9499999999999997</v>
      </c>
      <c r="V86" s="132">
        <f>IF(Calculations!$B$17=3,2,IF((S86*R86/T86)&lt;((T86*(1-(T86/R86)))/(2*Lm*fsw)),1,2))</f>
        <v>2</v>
      </c>
      <c r="W86" s="1">
        <f t="shared" si="50"/>
        <v>0.33333333333333337</v>
      </c>
      <c r="X86" s="133">
        <f t="shared" si="51"/>
        <v>0.66666666666666663</v>
      </c>
      <c r="Y86" s="132">
        <f t="shared" si="52"/>
        <v>1.6</v>
      </c>
      <c r="Z86" s="1">
        <f t="shared" si="63"/>
        <v>4.75</v>
      </c>
      <c r="AA86" s="1">
        <f t="shared" si="64"/>
        <v>3.9769125378028281</v>
      </c>
      <c r="AB86" s="1">
        <v>0</v>
      </c>
      <c r="AC86" s="1">
        <f t="shared" si="53"/>
        <v>1.3127141666666664</v>
      </c>
      <c r="AD86" s="133">
        <f t="shared" si="65"/>
        <v>1.3127141666666664</v>
      </c>
      <c r="AE86" s="132">
        <f t="shared" si="75"/>
        <v>1.3166666666666667</v>
      </c>
      <c r="AF86" s="1">
        <f t="shared" si="66"/>
        <v>2.2960715242440606</v>
      </c>
      <c r="AG86" s="1">
        <f t="shared" si="54"/>
        <v>5.2719444444444437E-3</v>
      </c>
      <c r="AH86" s="1">
        <f t="shared" si="55"/>
        <v>0.14689882204012217</v>
      </c>
      <c r="AI86" s="133">
        <f t="shared" si="67"/>
        <v>0.15217076648456662</v>
      </c>
      <c r="AJ86" s="132">
        <f t="shared" si="68"/>
        <v>2.6333333333333329</v>
      </c>
      <c r="AK86" s="1">
        <f t="shared" si="69"/>
        <v>3.2471354897646152</v>
      </c>
      <c r="AL86" s="1">
        <f t="shared" si="56"/>
        <v>1.0543888888888887E-2</v>
      </c>
      <c r="AM86" s="1">
        <f t="shared" si="70"/>
        <v>0.15510000000000004</v>
      </c>
      <c r="AN86" s="136">
        <f t="shared" si="57"/>
        <v>7.5999999999999998E-2</v>
      </c>
      <c r="AO86" s="133">
        <f t="shared" si="71"/>
        <v>0.24164388888888894</v>
      </c>
      <c r="AP86" s="132">
        <f t="shared" si="58"/>
        <v>6.3263333333333324E-2</v>
      </c>
      <c r="AQ86" s="137">
        <f t="shared" si="59"/>
        <v>1.3127141666666664</v>
      </c>
      <c r="AR86" s="137">
        <f t="shared" si="60"/>
        <v>4.147588250013759E-2</v>
      </c>
      <c r="AS86" s="1">
        <f t="shared" si="61"/>
        <v>3.7999999999999999E-2</v>
      </c>
      <c r="AT86" s="133">
        <f t="shared" si="62"/>
        <v>4.8000000000000001E-2</v>
      </c>
      <c r="AU86" s="132">
        <f t="shared" si="72"/>
        <v>3.2099822045402591</v>
      </c>
      <c r="AV86" s="1">
        <f t="shared" si="73"/>
        <v>47.4</v>
      </c>
      <c r="AW86" s="133">
        <f t="shared" si="74"/>
        <v>93.657412896200768</v>
      </c>
    </row>
    <row r="87" spans="17:49" x14ac:dyDescent="0.25">
      <c r="Q87">
        <v>80</v>
      </c>
      <c r="R87" s="132">
        <f t="shared" si="46"/>
        <v>18</v>
      </c>
      <c r="S87" s="1">
        <f t="shared" si="47"/>
        <v>2.6666666666666665</v>
      </c>
      <c r="T87" s="1">
        <f t="shared" si="48"/>
        <v>12</v>
      </c>
      <c r="U87" s="133">
        <f t="shared" si="49"/>
        <v>4</v>
      </c>
      <c r="V87" s="132">
        <f>IF(Calculations!$B$17=3,2,IF((S87*R87/T87)&lt;((T87*(1-(T87/R87)))/(2*Lm*fsw)),1,2))</f>
        <v>2</v>
      </c>
      <c r="W87" s="1">
        <f t="shared" si="50"/>
        <v>0.33333333333333337</v>
      </c>
      <c r="X87" s="133">
        <f t="shared" si="51"/>
        <v>0.66666666666666663</v>
      </c>
      <c r="Y87" s="132">
        <f t="shared" si="52"/>
        <v>1.6</v>
      </c>
      <c r="Z87" s="1">
        <f t="shared" si="63"/>
        <v>4.8</v>
      </c>
      <c r="AA87" s="1">
        <f t="shared" si="64"/>
        <v>4.0265783654777332</v>
      </c>
      <c r="AB87" s="1">
        <v>0</v>
      </c>
      <c r="AC87" s="1">
        <f t="shared" si="53"/>
        <v>1.3457066666666668</v>
      </c>
      <c r="AD87" s="133">
        <f t="shared" si="65"/>
        <v>1.3457066666666668</v>
      </c>
      <c r="AE87" s="132">
        <f t="shared" si="75"/>
        <v>1.3333333333333335</v>
      </c>
      <c r="AF87" s="1">
        <f t="shared" si="66"/>
        <v>2.3247461032216927</v>
      </c>
      <c r="AG87" s="1">
        <f t="shared" si="54"/>
        <v>5.4044444444444452E-3</v>
      </c>
      <c r="AH87" s="1">
        <f t="shared" si="55"/>
        <v>0.14875830080012373</v>
      </c>
      <c r="AI87" s="133">
        <f t="shared" si="67"/>
        <v>0.15416274524456816</v>
      </c>
      <c r="AJ87" s="132">
        <f t="shared" si="68"/>
        <v>2.6666666666666665</v>
      </c>
      <c r="AK87" s="1">
        <f t="shared" si="69"/>
        <v>3.2876874682501205</v>
      </c>
      <c r="AL87" s="1">
        <f t="shared" si="56"/>
        <v>1.0808888888888887E-2</v>
      </c>
      <c r="AM87" s="1">
        <f t="shared" si="70"/>
        <v>0.15510000000000004</v>
      </c>
      <c r="AN87" s="136">
        <f t="shared" si="57"/>
        <v>7.6799999999999993E-2</v>
      </c>
      <c r="AO87" s="133">
        <f t="shared" si="71"/>
        <v>0.24270888888888892</v>
      </c>
      <c r="AP87" s="132">
        <f t="shared" si="58"/>
        <v>6.4853333333333346E-2</v>
      </c>
      <c r="AQ87" s="137">
        <f t="shared" si="59"/>
        <v>1.3457066666666668</v>
      </c>
      <c r="AR87" s="137">
        <f t="shared" si="60"/>
        <v>4.147588250013759E-2</v>
      </c>
      <c r="AS87" s="1">
        <f t="shared" si="61"/>
        <v>3.7999999999999999E-2</v>
      </c>
      <c r="AT87" s="133">
        <f t="shared" si="62"/>
        <v>4.8000000000000001E-2</v>
      </c>
      <c r="AU87" s="132">
        <f t="shared" si="72"/>
        <v>3.2806141833002616</v>
      </c>
      <c r="AV87" s="1">
        <f t="shared" si="73"/>
        <v>48</v>
      </c>
      <c r="AW87" s="133">
        <f t="shared" si="74"/>
        <v>93.602623066147672</v>
      </c>
    </row>
    <row r="88" spans="17:49" x14ac:dyDescent="0.25">
      <c r="Q88">
        <v>81</v>
      </c>
      <c r="R88" s="132">
        <f t="shared" si="46"/>
        <v>18</v>
      </c>
      <c r="S88" s="1">
        <f t="shared" si="47"/>
        <v>2.7</v>
      </c>
      <c r="T88" s="1">
        <f t="shared" si="48"/>
        <v>12</v>
      </c>
      <c r="U88" s="133">
        <f t="shared" si="49"/>
        <v>4.05</v>
      </c>
      <c r="V88" s="132">
        <f>IF(Calculations!$B$17=3,2,IF((S88*R88/T88)&lt;((T88*(1-(T88/R88)))/(2*Lm*fsw)),1,2))</f>
        <v>2</v>
      </c>
      <c r="W88" s="1">
        <f t="shared" si="50"/>
        <v>0.33333333333333337</v>
      </c>
      <c r="X88" s="133">
        <f t="shared" si="51"/>
        <v>0.66666666666666663</v>
      </c>
      <c r="Y88" s="132">
        <f t="shared" si="52"/>
        <v>1.6</v>
      </c>
      <c r="Z88" s="1">
        <f t="shared" si="63"/>
        <v>4.8499999999999996</v>
      </c>
      <c r="AA88" s="1">
        <f t="shared" si="64"/>
        <v>4.0762523637936523</v>
      </c>
      <c r="AB88" s="1">
        <v>0</v>
      </c>
      <c r="AC88" s="1">
        <f t="shared" si="53"/>
        <v>1.3791141666666671</v>
      </c>
      <c r="AD88" s="133">
        <f t="shared" si="65"/>
        <v>1.3791141666666671</v>
      </c>
      <c r="AE88" s="132">
        <f t="shared" si="75"/>
        <v>1.35</v>
      </c>
      <c r="AF88" s="1">
        <f t="shared" si="66"/>
        <v>2.3534253995211132</v>
      </c>
      <c r="AG88" s="1">
        <f t="shared" si="54"/>
        <v>5.5386111111111113E-3</v>
      </c>
      <c r="AH88" s="1">
        <f t="shared" si="55"/>
        <v>0.15061777956012523</v>
      </c>
      <c r="AI88" s="133">
        <f t="shared" si="67"/>
        <v>0.15615639067123635</v>
      </c>
      <c r="AJ88" s="132">
        <f t="shared" si="68"/>
        <v>2.6999999999999997</v>
      </c>
      <c r="AK88" s="1">
        <f t="shared" si="69"/>
        <v>3.3282461180360778</v>
      </c>
      <c r="AL88" s="1">
        <f t="shared" si="56"/>
        <v>1.1077222222222223E-2</v>
      </c>
      <c r="AM88" s="1">
        <f t="shared" si="70"/>
        <v>0.15510000000000004</v>
      </c>
      <c r="AN88" s="136">
        <f t="shared" si="57"/>
        <v>7.7600000000000002E-2</v>
      </c>
      <c r="AO88" s="133">
        <f t="shared" si="71"/>
        <v>0.24377722222222226</v>
      </c>
      <c r="AP88" s="132">
        <f t="shared" si="58"/>
        <v>6.646333333333336E-2</v>
      </c>
      <c r="AQ88" s="137">
        <f t="shared" si="59"/>
        <v>1.3791141666666671</v>
      </c>
      <c r="AR88" s="137">
        <f t="shared" si="60"/>
        <v>4.147588250013759E-2</v>
      </c>
      <c r="AS88" s="1">
        <f t="shared" si="61"/>
        <v>3.7999999999999999E-2</v>
      </c>
      <c r="AT88" s="133">
        <f t="shared" si="62"/>
        <v>4.8000000000000001E-2</v>
      </c>
      <c r="AU88" s="132">
        <f t="shared" si="72"/>
        <v>3.3521011620602637</v>
      </c>
      <c r="AV88" s="1">
        <f t="shared" si="73"/>
        <v>48.6</v>
      </c>
      <c r="AW88" s="133">
        <f t="shared" si="74"/>
        <v>93.5477082022079</v>
      </c>
    </row>
    <row r="89" spans="17:49" x14ac:dyDescent="0.25">
      <c r="Q89">
        <v>82</v>
      </c>
      <c r="R89" s="132">
        <f t="shared" si="46"/>
        <v>18</v>
      </c>
      <c r="S89" s="1">
        <f t="shared" si="47"/>
        <v>2.7333333333333334</v>
      </c>
      <c r="T89" s="1">
        <f t="shared" si="48"/>
        <v>12</v>
      </c>
      <c r="U89" s="133">
        <f t="shared" si="49"/>
        <v>4.1000000000000005</v>
      </c>
      <c r="V89" s="132">
        <f>IF(Calculations!$B$17=3,2,IF((S89*R89/T89)&lt;((T89*(1-(T89/R89)))/(2*Lm*fsw)),1,2))</f>
        <v>2</v>
      </c>
      <c r="W89" s="1">
        <f t="shared" si="50"/>
        <v>0.33333333333333337</v>
      </c>
      <c r="X89" s="133">
        <f t="shared" si="51"/>
        <v>0.66666666666666663</v>
      </c>
      <c r="Y89" s="132">
        <f t="shared" si="52"/>
        <v>1.6</v>
      </c>
      <c r="Z89" s="1">
        <f t="shared" si="63"/>
        <v>4.9000000000000004</v>
      </c>
      <c r="AA89" s="1">
        <f t="shared" si="64"/>
        <v>4.1259342376404087</v>
      </c>
      <c r="AB89" s="1">
        <v>0</v>
      </c>
      <c r="AC89" s="1">
        <f t="shared" si="53"/>
        <v>1.4129366666666674</v>
      </c>
      <c r="AD89" s="133">
        <f t="shared" si="65"/>
        <v>1.4129366666666674</v>
      </c>
      <c r="AE89" s="132">
        <f t="shared" si="75"/>
        <v>1.3666666666666669</v>
      </c>
      <c r="AF89" s="1">
        <f t="shared" si="66"/>
        <v>2.3821092427603832</v>
      </c>
      <c r="AG89" s="1">
        <f t="shared" si="54"/>
        <v>5.6744444444444464E-3</v>
      </c>
      <c r="AH89" s="1">
        <f t="shared" si="55"/>
        <v>0.15247725832012685</v>
      </c>
      <c r="AI89" s="133">
        <f t="shared" si="67"/>
        <v>0.1581517027645713</v>
      </c>
      <c r="AJ89" s="132">
        <f t="shared" si="68"/>
        <v>2.7333333333333334</v>
      </c>
      <c r="AK89" s="1">
        <f t="shared" si="69"/>
        <v>3.3688111981660369</v>
      </c>
      <c r="AL89" s="1">
        <f t="shared" si="56"/>
        <v>1.1348888888888889E-2</v>
      </c>
      <c r="AM89" s="1">
        <f t="shared" si="70"/>
        <v>0.15510000000000004</v>
      </c>
      <c r="AN89" s="136">
        <f t="shared" si="57"/>
        <v>7.8400000000000011E-2</v>
      </c>
      <c r="AO89" s="133">
        <f t="shared" si="71"/>
        <v>0.24484888888888895</v>
      </c>
      <c r="AP89" s="132">
        <f t="shared" si="58"/>
        <v>6.8093333333333367E-2</v>
      </c>
      <c r="AQ89" s="137">
        <f t="shared" si="59"/>
        <v>1.4129366666666674</v>
      </c>
      <c r="AR89" s="137">
        <f t="shared" si="60"/>
        <v>4.147588250013759E-2</v>
      </c>
      <c r="AS89" s="1">
        <f t="shared" si="61"/>
        <v>3.7999999999999999E-2</v>
      </c>
      <c r="AT89" s="133">
        <f t="shared" si="62"/>
        <v>4.8000000000000001E-2</v>
      </c>
      <c r="AU89" s="132">
        <f t="shared" si="72"/>
        <v>3.4244431408202662</v>
      </c>
      <c r="AV89" s="1">
        <f t="shared" si="73"/>
        <v>49.2</v>
      </c>
      <c r="AW89" s="133">
        <f t="shared" si="74"/>
        <v>93.492675767310956</v>
      </c>
    </row>
    <row r="90" spans="17:49" x14ac:dyDescent="0.25">
      <c r="Q90">
        <v>83</v>
      </c>
      <c r="R90" s="132">
        <f t="shared" si="46"/>
        <v>18</v>
      </c>
      <c r="S90" s="1">
        <f t="shared" si="47"/>
        <v>2.7666666666666666</v>
      </c>
      <c r="T90" s="1">
        <f t="shared" si="48"/>
        <v>12</v>
      </c>
      <c r="U90" s="133">
        <f t="shared" si="49"/>
        <v>4.1499999999999995</v>
      </c>
      <c r="V90" s="132">
        <f>IF(Calculations!$B$17=3,2,IF((S90*R90/T90)&lt;((T90*(1-(T90/R90)))/(2*Lm*fsw)),1,2))</f>
        <v>2</v>
      </c>
      <c r="W90" s="1">
        <f t="shared" si="50"/>
        <v>0.33333333333333337</v>
      </c>
      <c r="X90" s="133">
        <f t="shared" si="51"/>
        <v>0.66666666666666663</v>
      </c>
      <c r="Y90" s="132">
        <f t="shared" si="52"/>
        <v>1.6</v>
      </c>
      <c r="Z90" s="1">
        <f t="shared" si="63"/>
        <v>4.9499999999999993</v>
      </c>
      <c r="AA90" s="1">
        <f t="shared" si="64"/>
        <v>4.1756237059070989</v>
      </c>
      <c r="AB90" s="1">
        <v>0</v>
      </c>
      <c r="AC90" s="1">
        <f t="shared" si="53"/>
        <v>1.4471741666666669</v>
      </c>
      <c r="AD90" s="133">
        <f t="shared" si="65"/>
        <v>1.4471741666666669</v>
      </c>
      <c r="AE90" s="132">
        <f t="shared" si="75"/>
        <v>1.3833333333333333</v>
      </c>
      <c r="AF90" s="1">
        <f t="shared" si="66"/>
        <v>2.4107974706400461</v>
      </c>
      <c r="AG90" s="1">
        <f t="shared" si="54"/>
        <v>5.8119444444444442E-3</v>
      </c>
      <c r="AH90" s="1">
        <f t="shared" si="55"/>
        <v>0.15433673708012832</v>
      </c>
      <c r="AI90" s="133">
        <f t="shared" si="67"/>
        <v>0.16014868152457276</v>
      </c>
      <c r="AJ90" s="132">
        <f t="shared" si="68"/>
        <v>2.7666666666666662</v>
      </c>
      <c r="AK90" s="1">
        <f t="shared" si="69"/>
        <v>3.4093824791139067</v>
      </c>
      <c r="AL90" s="1">
        <f t="shared" si="56"/>
        <v>1.1623888888888888E-2</v>
      </c>
      <c r="AM90" s="1">
        <f t="shared" si="70"/>
        <v>0.15510000000000004</v>
      </c>
      <c r="AN90" s="136">
        <f t="shared" si="57"/>
        <v>7.9199999999999993E-2</v>
      </c>
      <c r="AO90" s="133">
        <f t="shared" si="71"/>
        <v>0.24592388888888891</v>
      </c>
      <c r="AP90" s="132">
        <f t="shared" si="58"/>
        <v>6.9743333333333338E-2</v>
      </c>
      <c r="AQ90" s="137">
        <f t="shared" si="59"/>
        <v>1.4471741666666669</v>
      </c>
      <c r="AR90" s="137">
        <f t="shared" si="60"/>
        <v>4.147588250013759E-2</v>
      </c>
      <c r="AS90" s="1">
        <f t="shared" si="61"/>
        <v>3.7999999999999999E-2</v>
      </c>
      <c r="AT90" s="133">
        <f t="shared" si="62"/>
        <v>4.8000000000000001E-2</v>
      </c>
      <c r="AU90" s="132">
        <f t="shared" si="72"/>
        <v>3.4976401195802667</v>
      </c>
      <c r="AV90" s="1">
        <f t="shared" si="73"/>
        <v>49.8</v>
      </c>
      <c r="AW90" s="133">
        <f t="shared" si="74"/>
        <v>93.437532859367039</v>
      </c>
    </row>
    <row r="91" spans="17:49" x14ac:dyDescent="0.25">
      <c r="Q91">
        <v>84</v>
      </c>
      <c r="R91" s="132">
        <f t="shared" si="46"/>
        <v>18</v>
      </c>
      <c r="S91" s="1">
        <f t="shared" si="47"/>
        <v>2.8</v>
      </c>
      <c r="T91" s="1">
        <f t="shared" si="48"/>
        <v>12</v>
      </c>
      <c r="U91" s="133">
        <f t="shared" si="49"/>
        <v>4.2</v>
      </c>
      <c r="V91" s="132">
        <f>IF(Calculations!$B$17=3,2,IF((S91*R91/T91)&lt;((T91*(1-(T91/R91)))/(2*Lm*fsw)),1,2))</f>
        <v>2</v>
      </c>
      <c r="W91" s="1">
        <f t="shared" si="50"/>
        <v>0.33333333333333337</v>
      </c>
      <c r="X91" s="133">
        <f t="shared" si="51"/>
        <v>0.66666666666666663</v>
      </c>
      <c r="Y91" s="132">
        <f t="shared" si="52"/>
        <v>1.6</v>
      </c>
      <c r="Z91" s="1">
        <f t="shared" si="63"/>
        <v>5</v>
      </c>
      <c r="AA91" s="1">
        <f t="shared" si="64"/>
        <v>4.2253205006642203</v>
      </c>
      <c r="AB91" s="1">
        <v>0</v>
      </c>
      <c r="AC91" s="1">
        <f t="shared" si="53"/>
        <v>1.4818266666666668</v>
      </c>
      <c r="AD91" s="133">
        <f t="shared" si="65"/>
        <v>1.4818266666666668</v>
      </c>
      <c r="AE91" s="132">
        <f t="shared" si="75"/>
        <v>1.4000000000000001</v>
      </c>
      <c r="AF91" s="1">
        <f t="shared" si="66"/>
        <v>2.4394899284709317</v>
      </c>
      <c r="AG91" s="1">
        <f t="shared" si="54"/>
        <v>5.9511111111111119E-3</v>
      </c>
      <c r="AH91" s="1">
        <f t="shared" si="55"/>
        <v>0.15619621584012994</v>
      </c>
      <c r="AI91" s="133">
        <f t="shared" si="67"/>
        <v>0.16214732695124104</v>
      </c>
      <c r="AJ91" s="132">
        <f t="shared" si="68"/>
        <v>2.8</v>
      </c>
      <c r="AK91" s="1">
        <f t="shared" si="69"/>
        <v>3.449959742116163</v>
      </c>
      <c r="AL91" s="1">
        <f t="shared" si="56"/>
        <v>1.1902222222222222E-2</v>
      </c>
      <c r="AM91" s="1">
        <f t="shared" si="70"/>
        <v>0.15510000000000004</v>
      </c>
      <c r="AN91" s="136">
        <f t="shared" si="57"/>
        <v>0.08</v>
      </c>
      <c r="AO91" s="133">
        <f t="shared" si="71"/>
        <v>0.24700222222222229</v>
      </c>
      <c r="AP91" s="132">
        <f t="shared" si="58"/>
        <v>7.1413333333333343E-2</v>
      </c>
      <c r="AQ91" s="137">
        <f t="shared" si="59"/>
        <v>1.4818266666666668</v>
      </c>
      <c r="AR91" s="137">
        <f t="shared" si="60"/>
        <v>4.147588250013759E-2</v>
      </c>
      <c r="AS91" s="1">
        <f t="shared" si="61"/>
        <v>3.7999999999999999E-2</v>
      </c>
      <c r="AT91" s="133">
        <f t="shared" si="62"/>
        <v>4.8000000000000001E-2</v>
      </c>
      <c r="AU91" s="132">
        <f t="shared" si="72"/>
        <v>3.5716920983402676</v>
      </c>
      <c r="AV91" s="1">
        <f t="shared" si="73"/>
        <v>50.4</v>
      </c>
      <c r="AW91" s="133">
        <f t="shared" si="74"/>
        <v>93.382286232878556</v>
      </c>
    </row>
    <row r="92" spans="17:49" x14ac:dyDescent="0.25">
      <c r="Q92">
        <v>85</v>
      </c>
      <c r="R92" s="132">
        <f t="shared" si="46"/>
        <v>18</v>
      </c>
      <c r="S92" s="1">
        <f t="shared" si="47"/>
        <v>2.8333333333333335</v>
      </c>
      <c r="T92" s="1">
        <f t="shared" si="48"/>
        <v>12</v>
      </c>
      <c r="U92" s="133">
        <f t="shared" si="49"/>
        <v>4.25</v>
      </c>
      <c r="V92" s="132">
        <f>IF(Calculations!$B$17=3,2,IF((S92*R92/T92)&lt;((T92*(1-(T92/R92)))/(2*Lm*fsw)),1,2))</f>
        <v>2</v>
      </c>
      <c r="W92" s="1">
        <f t="shared" si="50"/>
        <v>0.33333333333333337</v>
      </c>
      <c r="X92" s="133">
        <f t="shared" si="51"/>
        <v>0.66666666666666663</v>
      </c>
      <c r="Y92" s="132">
        <f t="shared" si="52"/>
        <v>1.6</v>
      </c>
      <c r="Z92" s="1">
        <f t="shared" si="63"/>
        <v>5.05</v>
      </c>
      <c r="AA92" s="1">
        <f t="shared" si="64"/>
        <v>4.2750243664022936</v>
      </c>
      <c r="AB92" s="1">
        <v>0</v>
      </c>
      <c r="AC92" s="1">
        <f t="shared" si="53"/>
        <v>1.5168941666666667</v>
      </c>
      <c r="AD92" s="133">
        <f t="shared" si="65"/>
        <v>1.5168941666666667</v>
      </c>
      <c r="AE92" s="132">
        <f t="shared" si="75"/>
        <v>1.4166666666666667</v>
      </c>
      <c r="AF92" s="1">
        <f t="shared" si="66"/>
        <v>2.4681864687345736</v>
      </c>
      <c r="AG92" s="1">
        <f t="shared" si="54"/>
        <v>6.091944444444445E-3</v>
      </c>
      <c r="AH92" s="1">
        <f t="shared" si="55"/>
        <v>0.15805569460013144</v>
      </c>
      <c r="AI92" s="133">
        <f t="shared" si="67"/>
        <v>0.16414763904457588</v>
      </c>
      <c r="AJ92" s="132">
        <f t="shared" si="68"/>
        <v>2.833333333333333</v>
      </c>
      <c r="AK92" s="1">
        <f t="shared" si="69"/>
        <v>3.490542778550191</v>
      </c>
      <c r="AL92" s="1">
        <f t="shared" si="56"/>
        <v>1.2183888888888888E-2</v>
      </c>
      <c r="AM92" s="1">
        <f t="shared" si="70"/>
        <v>0.15510000000000004</v>
      </c>
      <c r="AN92" s="136">
        <f t="shared" si="57"/>
        <v>8.0799999999999997E-2</v>
      </c>
      <c r="AO92" s="133">
        <f t="shared" si="71"/>
        <v>0.24808388888888894</v>
      </c>
      <c r="AP92" s="132">
        <f t="shared" si="58"/>
        <v>7.3103333333333326E-2</v>
      </c>
      <c r="AQ92" s="137">
        <f t="shared" si="59"/>
        <v>1.5168941666666667</v>
      </c>
      <c r="AR92" s="137">
        <f t="shared" si="60"/>
        <v>4.147588250013759E-2</v>
      </c>
      <c r="AS92" s="1">
        <f t="shared" si="61"/>
        <v>3.7999999999999999E-2</v>
      </c>
      <c r="AT92" s="133">
        <f t="shared" si="62"/>
        <v>4.8000000000000001E-2</v>
      </c>
      <c r="AU92" s="132">
        <f t="shared" si="72"/>
        <v>3.646599077100269</v>
      </c>
      <c r="AV92" s="1">
        <f t="shared" si="73"/>
        <v>51</v>
      </c>
      <c r="AW92" s="133">
        <f t="shared" si="74"/>
        <v>93.326942319035595</v>
      </c>
    </row>
    <row r="93" spans="17:49" x14ac:dyDescent="0.25">
      <c r="Q93">
        <v>86</v>
      </c>
      <c r="R93" s="132">
        <f t="shared" si="46"/>
        <v>18</v>
      </c>
      <c r="S93" s="1">
        <f t="shared" si="47"/>
        <v>2.8666666666666667</v>
      </c>
      <c r="T93" s="1">
        <f t="shared" si="48"/>
        <v>12</v>
      </c>
      <c r="U93" s="133">
        <f t="shared" si="49"/>
        <v>4.3</v>
      </c>
      <c r="V93" s="132">
        <f>IF(Calculations!$B$17=3,2,IF((S93*R93/T93)&lt;((T93*(1-(T93/R93)))/(2*Lm*fsw)),1,2))</f>
        <v>2</v>
      </c>
      <c r="W93" s="1">
        <f t="shared" si="50"/>
        <v>0.33333333333333337</v>
      </c>
      <c r="X93" s="133">
        <f t="shared" si="51"/>
        <v>0.66666666666666663</v>
      </c>
      <c r="Y93" s="132">
        <f t="shared" si="52"/>
        <v>1.6</v>
      </c>
      <c r="Z93" s="1">
        <f t="shared" si="63"/>
        <v>5.0999999999999996</v>
      </c>
      <c r="AA93" s="1">
        <f t="shared" si="64"/>
        <v>4.3247350593225171</v>
      </c>
      <c r="AB93" s="1">
        <v>0</v>
      </c>
      <c r="AC93" s="1">
        <f t="shared" si="53"/>
        <v>1.552376666666667</v>
      </c>
      <c r="AD93" s="133">
        <f t="shared" si="65"/>
        <v>1.552376666666667</v>
      </c>
      <c r="AE93" s="132">
        <f t="shared" si="75"/>
        <v>1.4333333333333333</v>
      </c>
      <c r="AF93" s="1">
        <f t="shared" si="66"/>
        <v>2.4968869506736673</v>
      </c>
      <c r="AG93" s="1">
        <f t="shared" si="54"/>
        <v>6.2344444444444452E-3</v>
      </c>
      <c r="AH93" s="1">
        <f t="shared" si="55"/>
        <v>0.15991517336013297</v>
      </c>
      <c r="AI93" s="133">
        <f t="shared" si="67"/>
        <v>0.16614961780457743</v>
      </c>
      <c r="AJ93" s="132">
        <f t="shared" si="68"/>
        <v>2.8666666666666663</v>
      </c>
      <c r="AK93" s="1">
        <f t="shared" si="69"/>
        <v>3.5311313893551008</v>
      </c>
      <c r="AL93" s="1">
        <f t="shared" si="56"/>
        <v>1.2468888888888884E-2</v>
      </c>
      <c r="AM93" s="1">
        <f t="shared" si="70"/>
        <v>0.15510000000000004</v>
      </c>
      <c r="AN93" s="136">
        <f t="shared" si="57"/>
        <v>8.1599999999999992E-2</v>
      </c>
      <c r="AO93" s="133">
        <f t="shared" si="71"/>
        <v>0.24916888888888894</v>
      </c>
      <c r="AP93" s="132">
        <f t="shared" si="58"/>
        <v>7.4813333333333343E-2</v>
      </c>
      <c r="AQ93" s="137">
        <f t="shared" si="59"/>
        <v>1.552376666666667</v>
      </c>
      <c r="AR93" s="137">
        <f t="shared" si="60"/>
        <v>4.147588250013759E-2</v>
      </c>
      <c r="AS93" s="1">
        <f t="shared" si="61"/>
        <v>3.7999999999999999E-2</v>
      </c>
      <c r="AT93" s="133">
        <f t="shared" si="62"/>
        <v>4.8000000000000001E-2</v>
      </c>
      <c r="AU93" s="132">
        <f t="shared" si="72"/>
        <v>3.7223610558602709</v>
      </c>
      <c r="AV93" s="1">
        <f t="shared" si="73"/>
        <v>51.6</v>
      </c>
      <c r="AW93" s="133">
        <f t="shared" si="74"/>
        <v>93.271507244418373</v>
      </c>
    </row>
    <row r="94" spans="17:49" x14ac:dyDescent="0.25">
      <c r="Q94">
        <v>87</v>
      </c>
      <c r="R94" s="132">
        <f t="shared" si="46"/>
        <v>18</v>
      </c>
      <c r="S94" s="1">
        <f t="shared" si="47"/>
        <v>2.9</v>
      </c>
      <c r="T94" s="1">
        <f t="shared" si="48"/>
        <v>12</v>
      </c>
      <c r="U94" s="133">
        <f t="shared" si="49"/>
        <v>4.3499999999999996</v>
      </c>
      <c r="V94" s="132">
        <f>IF(Calculations!$B$17=3,2,IF((S94*R94/T94)&lt;((T94*(1-(T94/R94)))/(2*Lm*fsw)),1,2))</f>
        <v>2</v>
      </c>
      <c r="W94" s="1">
        <f t="shared" si="50"/>
        <v>0.33333333333333337</v>
      </c>
      <c r="X94" s="133">
        <f t="shared" si="51"/>
        <v>0.66666666666666663</v>
      </c>
      <c r="Y94" s="132">
        <f t="shared" si="52"/>
        <v>1.6</v>
      </c>
      <c r="Z94" s="1">
        <f t="shared" si="63"/>
        <v>5.1499999999999995</v>
      </c>
      <c r="AA94" s="1">
        <f t="shared" si="64"/>
        <v>4.3744523466753336</v>
      </c>
      <c r="AB94" s="1">
        <v>0</v>
      </c>
      <c r="AC94" s="1">
        <f t="shared" si="53"/>
        <v>1.5882741666666669</v>
      </c>
      <c r="AD94" s="133">
        <f t="shared" si="65"/>
        <v>1.5882741666666669</v>
      </c>
      <c r="AE94" s="132">
        <f t="shared" si="75"/>
        <v>1.45</v>
      </c>
      <c r="AF94" s="1">
        <f t="shared" si="66"/>
        <v>2.5255912399101934</v>
      </c>
      <c r="AG94" s="1">
        <f t="shared" si="54"/>
        <v>6.3786111111111083E-3</v>
      </c>
      <c r="AH94" s="1">
        <f t="shared" si="55"/>
        <v>0.16177465212013453</v>
      </c>
      <c r="AI94" s="133">
        <f t="shared" si="67"/>
        <v>0.16815326323124563</v>
      </c>
      <c r="AJ94" s="132">
        <f t="shared" si="68"/>
        <v>2.8999999999999995</v>
      </c>
      <c r="AK94" s="1">
        <f t="shared" si="69"/>
        <v>3.5717253844916765</v>
      </c>
      <c r="AL94" s="1">
        <f t="shared" si="56"/>
        <v>1.2757222222222215E-2</v>
      </c>
      <c r="AM94" s="1">
        <f t="shared" si="70"/>
        <v>0.15510000000000004</v>
      </c>
      <c r="AN94" s="136">
        <f t="shared" si="57"/>
        <v>8.2399999999999987E-2</v>
      </c>
      <c r="AO94" s="133">
        <f t="shared" si="71"/>
        <v>0.25025722222222224</v>
      </c>
      <c r="AP94" s="132">
        <f t="shared" si="58"/>
        <v>7.6543333333333338E-2</v>
      </c>
      <c r="AQ94" s="137">
        <f t="shared" si="59"/>
        <v>1.5882741666666669</v>
      </c>
      <c r="AR94" s="137">
        <f t="shared" si="60"/>
        <v>4.147588250013759E-2</v>
      </c>
      <c r="AS94" s="1">
        <f t="shared" si="61"/>
        <v>3.7999999999999999E-2</v>
      </c>
      <c r="AT94" s="133">
        <f t="shared" si="62"/>
        <v>4.8000000000000001E-2</v>
      </c>
      <c r="AU94" s="132">
        <f t="shared" si="72"/>
        <v>3.7989780346202724</v>
      </c>
      <c r="AV94" s="1">
        <f t="shared" si="73"/>
        <v>52.199999999999996</v>
      </c>
      <c r="AW94" s="133">
        <f t="shared" si="74"/>
        <v>93.215986848417799</v>
      </c>
    </row>
    <row r="95" spans="17:49" x14ac:dyDescent="0.25">
      <c r="Q95">
        <v>88</v>
      </c>
      <c r="R95" s="132">
        <f t="shared" si="46"/>
        <v>18</v>
      </c>
      <c r="S95" s="1">
        <f t="shared" si="47"/>
        <v>2.9333333333333331</v>
      </c>
      <c r="T95" s="1">
        <f t="shared" si="48"/>
        <v>12</v>
      </c>
      <c r="U95" s="133">
        <f t="shared" si="49"/>
        <v>4.3999999999999995</v>
      </c>
      <c r="V95" s="132">
        <f>IF(Calculations!$B$17=3,2,IF((S95*R95/T95)&lt;((T95*(1-(T95/R95)))/(2*Lm*fsw)),1,2))</f>
        <v>2</v>
      </c>
      <c r="W95" s="1">
        <f t="shared" si="50"/>
        <v>0.33333333333333337</v>
      </c>
      <c r="X95" s="133">
        <f t="shared" si="51"/>
        <v>0.66666666666666663</v>
      </c>
      <c r="Y95" s="132">
        <f t="shared" si="52"/>
        <v>1.6</v>
      </c>
      <c r="Z95" s="1">
        <f t="shared" si="63"/>
        <v>5.1999999999999993</v>
      </c>
      <c r="AA95" s="1">
        <f t="shared" si="64"/>
        <v>4.4241760061432149</v>
      </c>
      <c r="AB95" s="1">
        <v>0</v>
      </c>
      <c r="AC95" s="1">
        <f t="shared" si="53"/>
        <v>1.6245866666666662</v>
      </c>
      <c r="AD95" s="133">
        <f t="shared" si="65"/>
        <v>1.6245866666666662</v>
      </c>
      <c r="AE95" s="132">
        <f t="shared" si="75"/>
        <v>1.4666666666666666</v>
      </c>
      <c r="AF95" s="1">
        <f t="shared" si="66"/>
        <v>2.5542992080890685</v>
      </c>
      <c r="AG95" s="1">
        <f t="shared" si="54"/>
        <v>6.524444444444443E-3</v>
      </c>
      <c r="AH95" s="1">
        <f t="shared" si="55"/>
        <v>0.16363413088013606</v>
      </c>
      <c r="AI95" s="133">
        <f t="shared" si="67"/>
        <v>0.17015857532458051</v>
      </c>
      <c r="AJ95" s="132">
        <f t="shared" si="68"/>
        <v>2.9333333333333327</v>
      </c>
      <c r="AK95" s="1">
        <f t="shared" si="69"/>
        <v>3.6123245824384167</v>
      </c>
      <c r="AL95" s="1">
        <f t="shared" si="56"/>
        <v>1.3048888888888882E-2</v>
      </c>
      <c r="AM95" s="1">
        <f t="shared" si="70"/>
        <v>0.15510000000000004</v>
      </c>
      <c r="AN95" s="136">
        <f t="shared" si="57"/>
        <v>8.3199999999999996E-2</v>
      </c>
      <c r="AO95" s="133">
        <f t="shared" si="71"/>
        <v>0.25134888888888895</v>
      </c>
      <c r="AP95" s="132">
        <f t="shared" si="58"/>
        <v>7.8293333333333312E-2</v>
      </c>
      <c r="AQ95" s="137">
        <f t="shared" si="59"/>
        <v>1.6245866666666662</v>
      </c>
      <c r="AR95" s="137">
        <f t="shared" si="60"/>
        <v>4.147588250013759E-2</v>
      </c>
      <c r="AS95" s="1">
        <f t="shared" si="61"/>
        <v>3.7999999999999999E-2</v>
      </c>
      <c r="AT95" s="133">
        <f t="shared" si="62"/>
        <v>4.8000000000000001E-2</v>
      </c>
      <c r="AU95" s="132">
        <f t="shared" si="72"/>
        <v>3.8764500133802726</v>
      </c>
      <c r="AV95" s="1">
        <f t="shared" si="73"/>
        <v>52.8</v>
      </c>
      <c r="AW95" s="133">
        <f t="shared" si="74"/>
        <v>93.160386699475509</v>
      </c>
    </row>
    <row r="96" spans="17:49" x14ac:dyDescent="0.25">
      <c r="Q96">
        <v>89</v>
      </c>
      <c r="R96" s="132">
        <f t="shared" si="46"/>
        <v>18</v>
      </c>
      <c r="S96" s="1">
        <f t="shared" si="47"/>
        <v>2.9666666666666668</v>
      </c>
      <c r="T96" s="1">
        <f t="shared" si="48"/>
        <v>12</v>
      </c>
      <c r="U96" s="133">
        <f t="shared" si="49"/>
        <v>4.45</v>
      </c>
      <c r="V96" s="132">
        <f>IF(Calculations!$B$17=3,2,IF((S96*R96/T96)&lt;((T96*(1-(T96/R96)))/(2*Lm*fsw)),1,2))</f>
        <v>2</v>
      </c>
      <c r="W96" s="1">
        <f t="shared" si="50"/>
        <v>0.33333333333333337</v>
      </c>
      <c r="X96" s="133">
        <f t="shared" si="51"/>
        <v>0.66666666666666663</v>
      </c>
      <c r="Y96" s="132">
        <f t="shared" si="52"/>
        <v>1.6</v>
      </c>
      <c r="Z96" s="1">
        <f t="shared" si="63"/>
        <v>5.25</v>
      </c>
      <c r="AA96" s="1">
        <f t="shared" si="64"/>
        <v>4.4739058252642439</v>
      </c>
      <c r="AB96" s="1">
        <v>0</v>
      </c>
      <c r="AC96" s="1">
        <f t="shared" si="53"/>
        <v>1.6613141666666666</v>
      </c>
      <c r="AD96" s="133">
        <f t="shared" si="65"/>
        <v>1.6613141666666666</v>
      </c>
      <c r="AE96" s="132">
        <f t="shared" si="75"/>
        <v>1.4833333333333336</v>
      </c>
      <c r="AF96" s="1">
        <f t="shared" si="66"/>
        <v>2.583010732545346</v>
      </c>
      <c r="AG96" s="1">
        <f t="shared" si="54"/>
        <v>6.6719444444444448E-3</v>
      </c>
      <c r="AH96" s="1">
        <f t="shared" si="55"/>
        <v>0.16549360964013765</v>
      </c>
      <c r="AI96" s="133">
        <f t="shared" si="67"/>
        <v>0.17216555408458209</v>
      </c>
      <c r="AJ96" s="132">
        <f t="shared" si="68"/>
        <v>2.9666666666666668</v>
      </c>
      <c r="AK96" s="1">
        <f t="shared" si="69"/>
        <v>3.6529288097208914</v>
      </c>
      <c r="AL96" s="1">
        <f t="shared" si="56"/>
        <v>1.3343888888888888E-2</v>
      </c>
      <c r="AM96" s="1">
        <f t="shared" si="70"/>
        <v>0.15510000000000004</v>
      </c>
      <c r="AN96" s="136">
        <f t="shared" si="57"/>
        <v>8.4000000000000005E-2</v>
      </c>
      <c r="AO96" s="133">
        <f t="shared" si="71"/>
        <v>0.25244388888888891</v>
      </c>
      <c r="AP96" s="132">
        <f t="shared" si="58"/>
        <v>8.0063333333333334E-2</v>
      </c>
      <c r="AQ96" s="137">
        <f t="shared" si="59"/>
        <v>1.6613141666666666</v>
      </c>
      <c r="AR96" s="137">
        <f t="shared" si="60"/>
        <v>4.147588250013759E-2</v>
      </c>
      <c r="AS96" s="1">
        <f t="shared" si="61"/>
        <v>3.7999999999999999E-2</v>
      </c>
      <c r="AT96" s="133">
        <f t="shared" si="62"/>
        <v>4.8000000000000001E-2</v>
      </c>
      <c r="AU96" s="132">
        <f t="shared" si="72"/>
        <v>3.9547769921402751</v>
      </c>
      <c r="AV96" s="1">
        <f t="shared" si="73"/>
        <v>53.400000000000006</v>
      </c>
      <c r="AW96" s="133">
        <f t="shared" si="74"/>
        <v>93.104712110235866</v>
      </c>
    </row>
    <row r="97" spans="17:49" x14ac:dyDescent="0.25">
      <c r="Q97">
        <v>90</v>
      </c>
      <c r="R97" s="132">
        <f t="shared" si="46"/>
        <v>18</v>
      </c>
      <c r="S97" s="1">
        <f t="shared" si="47"/>
        <v>3</v>
      </c>
      <c r="T97" s="1">
        <f t="shared" si="48"/>
        <v>12</v>
      </c>
      <c r="U97" s="133">
        <f t="shared" si="49"/>
        <v>4.5</v>
      </c>
      <c r="V97" s="132">
        <f>IF(Calculations!$B$17=3,2,IF((S97*R97/T97)&lt;((T97*(1-(T97/R97)))/(2*Lm*fsw)),1,2))</f>
        <v>2</v>
      </c>
      <c r="W97" s="1">
        <f t="shared" si="50"/>
        <v>0.33333333333333337</v>
      </c>
      <c r="X97" s="133">
        <f t="shared" si="51"/>
        <v>0.66666666666666663</v>
      </c>
      <c r="Y97" s="132">
        <f t="shared" si="52"/>
        <v>1.6</v>
      </c>
      <c r="Z97" s="1">
        <f t="shared" si="63"/>
        <v>5.3</v>
      </c>
      <c r="AA97" s="1">
        <f t="shared" si="64"/>
        <v>4.5236416008933924</v>
      </c>
      <c r="AB97" s="1">
        <v>0</v>
      </c>
      <c r="AC97" s="1">
        <f t="shared" si="53"/>
        <v>1.6984566666666669</v>
      </c>
      <c r="AD97" s="133">
        <f t="shared" si="65"/>
        <v>1.6984566666666669</v>
      </c>
      <c r="AE97" s="132">
        <f t="shared" si="75"/>
        <v>1.5000000000000002</v>
      </c>
      <c r="AF97" s="1">
        <f t="shared" si="66"/>
        <v>2.61172569599319</v>
      </c>
      <c r="AG97" s="1">
        <f t="shared" si="54"/>
        <v>6.8211111111111137E-3</v>
      </c>
      <c r="AH97" s="1">
        <f t="shared" si="55"/>
        <v>0.16735308840013918</v>
      </c>
      <c r="AI97" s="133">
        <f t="shared" si="67"/>
        <v>0.17417419951125029</v>
      </c>
      <c r="AJ97" s="132">
        <f t="shared" si="68"/>
        <v>3</v>
      </c>
      <c r="AK97" s="1">
        <f t="shared" si="69"/>
        <v>3.6935379004718798</v>
      </c>
      <c r="AL97" s="1">
        <f t="shared" si="56"/>
        <v>1.3642222222222222E-2</v>
      </c>
      <c r="AM97" s="1">
        <f t="shared" si="70"/>
        <v>0.15510000000000004</v>
      </c>
      <c r="AN97" s="136">
        <f t="shared" si="57"/>
        <v>8.48E-2</v>
      </c>
      <c r="AO97" s="133">
        <f t="shared" si="71"/>
        <v>0.25354222222222228</v>
      </c>
      <c r="AP97" s="132">
        <f t="shared" si="58"/>
        <v>8.1853333333333347E-2</v>
      </c>
      <c r="AQ97" s="137">
        <f t="shared" si="59"/>
        <v>1.6984566666666669</v>
      </c>
      <c r="AR97" s="137">
        <f t="shared" si="60"/>
        <v>4.147588250013759E-2</v>
      </c>
      <c r="AS97" s="1">
        <f t="shared" si="61"/>
        <v>3.7999999999999999E-2</v>
      </c>
      <c r="AT97" s="133">
        <f t="shared" si="62"/>
        <v>4.8000000000000001E-2</v>
      </c>
      <c r="AU97" s="132">
        <f t="shared" si="72"/>
        <v>4.0339589709002777</v>
      </c>
      <c r="AV97" s="1">
        <f t="shared" si="73"/>
        <v>54</v>
      </c>
      <c r="AW97" s="133">
        <f t="shared" si="74"/>
        <v>93.048968151693728</v>
      </c>
    </row>
    <row r="98" spans="17:49" x14ac:dyDescent="0.25">
      <c r="Q98">
        <v>91</v>
      </c>
      <c r="R98" s="132">
        <f t="shared" si="46"/>
        <v>18</v>
      </c>
      <c r="S98" s="1">
        <f t="shared" si="47"/>
        <v>3.0333333333333332</v>
      </c>
      <c r="T98" s="1">
        <f t="shared" si="48"/>
        <v>12</v>
      </c>
      <c r="U98" s="133">
        <f t="shared" si="49"/>
        <v>4.55</v>
      </c>
      <c r="V98" s="132">
        <f>IF(Calculations!$B$17=3,2,IF((S98*R98/T98)&lt;((T98*(1-(T98/R98)))/(2*Lm*fsw)),1,2))</f>
        <v>2</v>
      </c>
      <c r="W98" s="1">
        <f t="shared" si="50"/>
        <v>0.33333333333333337</v>
      </c>
      <c r="X98" s="133">
        <f t="shared" si="51"/>
        <v>0.66666666666666663</v>
      </c>
      <c r="Y98" s="132">
        <f t="shared" si="52"/>
        <v>1.6</v>
      </c>
      <c r="Z98" s="1">
        <f t="shared" si="63"/>
        <v>5.35</v>
      </c>
      <c r="AA98" s="1">
        <f t="shared" si="64"/>
        <v>4.5733831386986736</v>
      </c>
      <c r="AB98" s="1">
        <v>0</v>
      </c>
      <c r="AC98" s="1">
        <f t="shared" si="53"/>
        <v>1.7360141666666666</v>
      </c>
      <c r="AD98" s="133">
        <f t="shared" si="65"/>
        <v>1.7360141666666666</v>
      </c>
      <c r="AE98" s="132">
        <f t="shared" si="75"/>
        <v>1.5166666666666668</v>
      </c>
      <c r="AF98" s="1">
        <f t="shared" si="66"/>
        <v>2.6404439862349744</v>
      </c>
      <c r="AG98" s="1">
        <f t="shared" si="54"/>
        <v>6.9719444444444421E-3</v>
      </c>
      <c r="AH98" s="1">
        <f t="shared" si="55"/>
        <v>0.16921256716014069</v>
      </c>
      <c r="AI98" s="133">
        <f t="shared" si="67"/>
        <v>0.17618451160458512</v>
      </c>
      <c r="AJ98" s="132">
        <f t="shared" si="68"/>
        <v>3.0333333333333332</v>
      </c>
      <c r="AK98" s="1">
        <f t="shared" si="69"/>
        <v>3.7341516960199783</v>
      </c>
      <c r="AL98" s="1">
        <f t="shared" si="56"/>
        <v>1.3943888888888881E-2</v>
      </c>
      <c r="AM98" s="1">
        <f t="shared" si="70"/>
        <v>0.15510000000000004</v>
      </c>
      <c r="AN98" s="136">
        <f t="shared" si="57"/>
        <v>8.5599999999999996E-2</v>
      </c>
      <c r="AO98" s="133">
        <f t="shared" si="71"/>
        <v>0.25464388888888895</v>
      </c>
      <c r="AP98" s="132">
        <f t="shared" si="58"/>
        <v>8.3663333333333326E-2</v>
      </c>
      <c r="AQ98" s="137">
        <f t="shared" si="59"/>
        <v>1.7360141666666666</v>
      </c>
      <c r="AR98" s="137">
        <f t="shared" si="60"/>
        <v>4.147588250013759E-2</v>
      </c>
      <c r="AS98" s="1">
        <f t="shared" si="61"/>
        <v>3.7999999999999999E-2</v>
      </c>
      <c r="AT98" s="133">
        <f t="shared" si="62"/>
        <v>4.8000000000000001E-2</v>
      </c>
      <c r="AU98" s="132">
        <f t="shared" si="72"/>
        <v>4.1139959496602785</v>
      </c>
      <c r="AV98" s="1">
        <f t="shared" si="73"/>
        <v>54.599999999999994</v>
      </c>
      <c r="AW98" s="133">
        <f t="shared" si="74"/>
        <v>92.993159666414968</v>
      </c>
    </row>
    <row r="99" spans="17:49" x14ac:dyDescent="0.25">
      <c r="Q99">
        <v>92</v>
      </c>
      <c r="R99" s="132">
        <f t="shared" si="46"/>
        <v>18</v>
      </c>
      <c r="S99" s="1">
        <f t="shared" si="47"/>
        <v>3.0666666666666664</v>
      </c>
      <c r="T99" s="1">
        <f t="shared" si="48"/>
        <v>12</v>
      </c>
      <c r="U99" s="133">
        <f t="shared" si="49"/>
        <v>4.5999999999999996</v>
      </c>
      <c r="V99" s="132">
        <f>IF(Calculations!$B$17=3,2,IF((S99*R99/T99)&lt;((T99*(1-(T99/R99)))/(2*Lm*fsw)),1,2))</f>
        <v>2</v>
      </c>
      <c r="W99" s="1">
        <f t="shared" si="50"/>
        <v>0.33333333333333337</v>
      </c>
      <c r="X99" s="133">
        <f t="shared" si="51"/>
        <v>0.66666666666666663</v>
      </c>
      <c r="Y99" s="132">
        <f t="shared" si="52"/>
        <v>1.6</v>
      </c>
      <c r="Z99" s="1">
        <f t="shared" si="63"/>
        <v>5.3999999999999995</v>
      </c>
      <c r="AA99" s="1">
        <f t="shared" si="64"/>
        <v>4.623130252689549</v>
      </c>
      <c r="AB99" s="1">
        <v>0</v>
      </c>
      <c r="AC99" s="1">
        <f t="shared" si="53"/>
        <v>1.7739866666666668</v>
      </c>
      <c r="AD99" s="133">
        <f t="shared" si="65"/>
        <v>1.7739866666666668</v>
      </c>
      <c r="AE99" s="132">
        <f t="shared" si="75"/>
        <v>1.5333333333333334</v>
      </c>
      <c r="AF99" s="1">
        <f t="shared" si="66"/>
        <v>2.6691654958890134</v>
      </c>
      <c r="AG99" s="1">
        <f t="shared" si="54"/>
        <v>7.1244444444444428E-3</v>
      </c>
      <c r="AH99" s="1">
        <f t="shared" si="55"/>
        <v>0.17107204592014227</v>
      </c>
      <c r="AI99" s="133">
        <f t="shared" si="67"/>
        <v>0.17819649036458671</v>
      </c>
      <c r="AJ99" s="132">
        <f t="shared" si="68"/>
        <v>3.0666666666666664</v>
      </c>
      <c r="AK99" s="1">
        <f t="shared" si="69"/>
        <v>3.7747700445045504</v>
      </c>
      <c r="AL99" s="1">
        <f t="shared" si="56"/>
        <v>1.4248888888888886E-2</v>
      </c>
      <c r="AM99" s="1">
        <f t="shared" si="70"/>
        <v>0.15510000000000004</v>
      </c>
      <c r="AN99" s="136">
        <f t="shared" si="57"/>
        <v>8.6399999999999991E-2</v>
      </c>
      <c r="AO99" s="133">
        <f t="shared" si="71"/>
        <v>0.25574888888888891</v>
      </c>
      <c r="AP99" s="132">
        <f t="shared" si="58"/>
        <v>8.5493333333333338E-2</v>
      </c>
      <c r="AQ99" s="137">
        <f t="shared" si="59"/>
        <v>1.7739866666666668</v>
      </c>
      <c r="AR99" s="137">
        <f t="shared" si="60"/>
        <v>4.147588250013759E-2</v>
      </c>
      <c r="AS99" s="1">
        <f t="shared" si="61"/>
        <v>3.7999999999999999E-2</v>
      </c>
      <c r="AT99" s="133">
        <f t="shared" si="62"/>
        <v>4.8000000000000001E-2</v>
      </c>
      <c r="AU99" s="132">
        <f t="shared" si="72"/>
        <v>4.1948879284202807</v>
      </c>
      <c r="AV99" s="1">
        <f t="shared" si="73"/>
        <v>55.199999999999996</v>
      </c>
      <c r="AW99" s="133">
        <f t="shared" si="74"/>
        <v>92.937291280899899</v>
      </c>
    </row>
    <row r="100" spans="17:49" x14ac:dyDescent="0.25">
      <c r="Q100">
        <v>93</v>
      </c>
      <c r="R100" s="132">
        <f t="shared" si="46"/>
        <v>18</v>
      </c>
      <c r="S100" s="1">
        <f t="shared" si="47"/>
        <v>3.1</v>
      </c>
      <c r="T100" s="1">
        <f t="shared" si="48"/>
        <v>12</v>
      </c>
      <c r="U100" s="133">
        <f t="shared" si="49"/>
        <v>4.6500000000000004</v>
      </c>
      <c r="V100" s="132">
        <f>IF(Calculations!$B$17=3,2,IF((S100*R100/T100)&lt;((T100*(1-(T100/R100)))/(2*Lm*fsw)),1,2))</f>
        <v>2</v>
      </c>
      <c r="W100" s="1">
        <f t="shared" si="50"/>
        <v>0.33333333333333337</v>
      </c>
      <c r="X100" s="133">
        <f t="shared" si="51"/>
        <v>0.66666666666666663</v>
      </c>
      <c r="Y100" s="132">
        <f t="shared" si="52"/>
        <v>1.6</v>
      </c>
      <c r="Z100" s="1">
        <f t="shared" si="63"/>
        <v>5.45</v>
      </c>
      <c r="AA100" s="1">
        <f t="shared" si="64"/>
        <v>4.6728827647752231</v>
      </c>
      <c r="AB100" s="1">
        <v>0</v>
      </c>
      <c r="AC100" s="1">
        <f t="shared" si="53"/>
        <v>1.8123741666666668</v>
      </c>
      <c r="AD100" s="133">
        <f t="shared" si="65"/>
        <v>1.8123741666666668</v>
      </c>
      <c r="AE100" s="132">
        <f t="shared" si="75"/>
        <v>1.5500000000000003</v>
      </c>
      <c r="AF100" s="1">
        <f t="shared" si="66"/>
        <v>2.6978901221345377</v>
      </c>
      <c r="AG100" s="1">
        <f t="shared" si="54"/>
        <v>7.2786111111111116E-3</v>
      </c>
      <c r="AH100" s="1">
        <f t="shared" si="55"/>
        <v>0.17293152468014381</v>
      </c>
      <c r="AI100" s="133">
        <f t="shared" si="67"/>
        <v>0.18021013579125492</v>
      </c>
      <c r="AJ100" s="132">
        <f t="shared" si="68"/>
        <v>3.1</v>
      </c>
      <c r="AK100" s="1">
        <f t="shared" si="69"/>
        <v>3.815392800515069</v>
      </c>
      <c r="AL100" s="1">
        <f t="shared" si="56"/>
        <v>1.4557222222222221E-2</v>
      </c>
      <c r="AM100" s="1">
        <f t="shared" si="70"/>
        <v>0.15510000000000004</v>
      </c>
      <c r="AN100" s="136">
        <f t="shared" si="57"/>
        <v>8.72E-2</v>
      </c>
      <c r="AO100" s="133">
        <f t="shared" si="71"/>
        <v>0.25685722222222229</v>
      </c>
      <c r="AP100" s="132">
        <f t="shared" si="58"/>
        <v>8.7343333333333342E-2</v>
      </c>
      <c r="AQ100" s="137">
        <f t="shared" si="59"/>
        <v>1.8123741666666668</v>
      </c>
      <c r="AR100" s="137">
        <f t="shared" si="60"/>
        <v>4.147588250013759E-2</v>
      </c>
      <c r="AS100" s="1">
        <f t="shared" si="61"/>
        <v>3.7999999999999999E-2</v>
      </c>
      <c r="AT100" s="133">
        <f t="shared" si="62"/>
        <v>4.8000000000000001E-2</v>
      </c>
      <c r="AU100" s="132">
        <f t="shared" si="72"/>
        <v>4.2766349071802816</v>
      </c>
      <c r="AV100" s="1">
        <f t="shared" si="73"/>
        <v>55.800000000000004</v>
      </c>
      <c r="AW100" s="133">
        <f t="shared" si="74"/>
        <v>92.881367417153484</v>
      </c>
    </row>
    <row r="101" spans="17:49" x14ac:dyDescent="0.25">
      <c r="Q101">
        <v>94</v>
      </c>
      <c r="R101" s="132">
        <f t="shared" si="46"/>
        <v>18</v>
      </c>
      <c r="S101" s="1">
        <f t="shared" si="47"/>
        <v>3.1333333333333333</v>
      </c>
      <c r="T101" s="1">
        <f t="shared" si="48"/>
        <v>12</v>
      </c>
      <c r="U101" s="133">
        <f t="shared" si="49"/>
        <v>4.7</v>
      </c>
      <c r="V101" s="132">
        <f>IF(Calculations!$B$17=3,2,IF((S101*R101/T101)&lt;((T101*(1-(T101/R101)))/(2*Lm*fsw)),1,2))</f>
        <v>2</v>
      </c>
      <c r="W101" s="1">
        <f t="shared" si="50"/>
        <v>0.33333333333333337</v>
      </c>
      <c r="X101" s="133">
        <f t="shared" si="51"/>
        <v>0.66666666666666663</v>
      </c>
      <c r="Y101" s="132">
        <f t="shared" si="52"/>
        <v>1.6</v>
      </c>
      <c r="Z101" s="1">
        <f t="shared" si="63"/>
        <v>5.5</v>
      </c>
      <c r="AA101" s="1">
        <f t="shared" si="64"/>
        <v>4.7226405043506476</v>
      </c>
      <c r="AB101" s="1">
        <v>0</v>
      </c>
      <c r="AC101" s="1">
        <f t="shared" si="53"/>
        <v>1.8511766666666671</v>
      </c>
      <c r="AD101" s="133">
        <f t="shared" si="65"/>
        <v>1.8511766666666671</v>
      </c>
      <c r="AE101" s="132">
        <f t="shared" si="75"/>
        <v>1.5666666666666669</v>
      </c>
      <c r="AF101" s="1">
        <f t="shared" si="66"/>
        <v>2.7266177664726761</v>
      </c>
      <c r="AG101" s="1">
        <f t="shared" si="54"/>
        <v>7.4344444444444449E-3</v>
      </c>
      <c r="AH101" s="1">
        <f t="shared" si="55"/>
        <v>0.17479100344014539</v>
      </c>
      <c r="AI101" s="133">
        <f t="shared" si="67"/>
        <v>0.18222544788458983</v>
      </c>
      <c r="AJ101" s="132">
        <f t="shared" si="68"/>
        <v>3.1333333333333333</v>
      </c>
      <c r="AK101" s="1">
        <f t="shared" si="69"/>
        <v>3.8560198247530946</v>
      </c>
      <c r="AL101" s="1">
        <f t="shared" si="56"/>
        <v>1.4868888888888886E-2</v>
      </c>
      <c r="AM101" s="1">
        <f t="shared" si="70"/>
        <v>0.15510000000000004</v>
      </c>
      <c r="AN101" s="136">
        <f t="shared" si="57"/>
        <v>8.7999999999999995E-2</v>
      </c>
      <c r="AO101" s="133">
        <f t="shared" si="71"/>
        <v>0.25796888888888891</v>
      </c>
      <c r="AP101" s="132">
        <f t="shared" si="58"/>
        <v>8.9213333333333353E-2</v>
      </c>
      <c r="AQ101" s="137">
        <f t="shared" si="59"/>
        <v>1.8511766666666671</v>
      </c>
      <c r="AR101" s="137">
        <f t="shared" si="60"/>
        <v>4.147588250013759E-2</v>
      </c>
      <c r="AS101" s="1">
        <f t="shared" si="61"/>
        <v>3.7999999999999999E-2</v>
      </c>
      <c r="AT101" s="133">
        <f t="shared" si="62"/>
        <v>4.8000000000000001E-2</v>
      </c>
      <c r="AU101" s="132">
        <f t="shared" si="72"/>
        <v>4.3592368859402839</v>
      </c>
      <c r="AV101" s="1">
        <f t="shared" si="73"/>
        <v>56.4</v>
      </c>
      <c r="AW101" s="133">
        <f t="shared" si="74"/>
        <v>92.825392303521483</v>
      </c>
    </row>
    <row r="102" spans="17:49" x14ac:dyDescent="0.25">
      <c r="Q102">
        <v>95</v>
      </c>
      <c r="R102" s="132">
        <f t="shared" si="46"/>
        <v>18</v>
      </c>
      <c r="S102" s="1">
        <f t="shared" si="47"/>
        <v>3.1666666666666665</v>
      </c>
      <c r="T102" s="1">
        <f t="shared" si="48"/>
        <v>12</v>
      </c>
      <c r="U102" s="133">
        <f t="shared" si="49"/>
        <v>4.75</v>
      </c>
      <c r="V102" s="132">
        <f>IF(Calculations!$B$17=3,2,IF((S102*R102/T102)&lt;((T102*(1-(T102/R102)))/(2*Lm*fsw)),1,2))</f>
        <v>2</v>
      </c>
      <c r="W102" s="1">
        <f t="shared" si="50"/>
        <v>0.33333333333333337</v>
      </c>
      <c r="X102" s="133">
        <f t="shared" si="51"/>
        <v>0.66666666666666663</v>
      </c>
      <c r="Y102" s="132">
        <f t="shared" si="52"/>
        <v>1.6</v>
      </c>
      <c r="Z102" s="1">
        <f t="shared" si="63"/>
        <v>5.55</v>
      </c>
      <c r="AA102" s="1">
        <f t="shared" si="64"/>
        <v>4.7724033079082213</v>
      </c>
      <c r="AB102" s="1">
        <v>0</v>
      </c>
      <c r="AC102" s="1">
        <f t="shared" si="53"/>
        <v>1.8903941666666668</v>
      </c>
      <c r="AD102" s="133">
        <f t="shared" si="65"/>
        <v>1.8903941666666668</v>
      </c>
      <c r="AE102" s="132">
        <f t="shared" si="75"/>
        <v>1.5833333333333335</v>
      </c>
      <c r="AF102" s="1">
        <f t="shared" si="66"/>
        <v>2.7553483345022722</v>
      </c>
      <c r="AG102" s="1">
        <f t="shared" si="54"/>
        <v>7.5919444444444454E-3</v>
      </c>
      <c r="AH102" s="1">
        <f t="shared" si="55"/>
        <v>0.1766504822001469</v>
      </c>
      <c r="AI102" s="133">
        <f t="shared" si="67"/>
        <v>0.18424242664459134</v>
      </c>
      <c r="AJ102" s="132">
        <f t="shared" si="68"/>
        <v>3.1666666666666665</v>
      </c>
      <c r="AK102" s="1">
        <f t="shared" si="69"/>
        <v>3.8966509837152321</v>
      </c>
      <c r="AL102" s="1">
        <f t="shared" si="56"/>
        <v>1.5183888888888886E-2</v>
      </c>
      <c r="AM102" s="1">
        <f t="shared" si="70"/>
        <v>0.15510000000000004</v>
      </c>
      <c r="AN102" s="136">
        <f t="shared" si="57"/>
        <v>8.8800000000000004E-2</v>
      </c>
      <c r="AO102" s="133">
        <f t="shared" si="71"/>
        <v>0.25908388888888895</v>
      </c>
      <c r="AP102" s="132">
        <f t="shared" si="58"/>
        <v>9.1103333333333342E-2</v>
      </c>
      <c r="AQ102" s="137">
        <f t="shared" si="59"/>
        <v>1.8903941666666668</v>
      </c>
      <c r="AR102" s="137">
        <f t="shared" si="60"/>
        <v>4.147588250013759E-2</v>
      </c>
      <c r="AS102" s="1">
        <f t="shared" si="61"/>
        <v>3.7999999999999999E-2</v>
      </c>
      <c r="AT102" s="133">
        <f t="shared" si="62"/>
        <v>4.8000000000000001E-2</v>
      </c>
      <c r="AU102" s="132">
        <f t="shared" si="72"/>
        <v>4.4426938647002858</v>
      </c>
      <c r="AV102" s="1">
        <f t="shared" si="73"/>
        <v>57</v>
      </c>
      <c r="AW102" s="133">
        <f t="shared" si="74"/>
        <v>92.769369984845866</v>
      </c>
    </row>
    <row r="103" spans="17:49" x14ac:dyDescent="0.25">
      <c r="Q103">
        <v>96</v>
      </c>
      <c r="R103" s="132">
        <f t="shared" si="46"/>
        <v>18</v>
      </c>
      <c r="S103" s="1">
        <f t="shared" si="47"/>
        <v>3.2</v>
      </c>
      <c r="T103" s="1">
        <f t="shared" ref="T103:T134" si="76">Vin_vari</f>
        <v>12</v>
      </c>
      <c r="U103" s="133">
        <f t="shared" ref="U103:U134" si="77">(R103*S103)/(T103*EFF_est)</f>
        <v>4.8</v>
      </c>
      <c r="V103" s="132">
        <f>IF(Calculations!$B$17=3,2,IF((S103*R103/T103)&lt;((T103*(1-(T103/R103)))/(2*Lm*fsw)),1,2))</f>
        <v>2</v>
      </c>
      <c r="W103" s="1">
        <f t="shared" ref="W103:W134" si="78">CHOOSE(V103,SQRT((2*S103*Lm*fsw*(R103-T103))/((T103)^2)),1-(T103/R103))</f>
        <v>0.33333333333333337</v>
      </c>
      <c r="X103" s="133">
        <f t="shared" ref="X103:X134" si="79">CHOOSE(V103,(Lm*Z103*fsw)/(R103-T103),1-W103)</f>
        <v>0.66666666666666663</v>
      </c>
      <c r="Y103" s="132">
        <f t="shared" ref="Y103:Y134" si="80">(T103*W103)/(Lm*fsw)</f>
        <v>1.6</v>
      </c>
      <c r="Z103" s="1">
        <f t="shared" si="63"/>
        <v>5.6</v>
      </c>
      <c r="AA103" s="1">
        <f t="shared" si="64"/>
        <v>4.8221710186733668</v>
      </c>
      <c r="AB103" s="1">
        <v>0</v>
      </c>
      <c r="AC103" s="1">
        <f t="shared" ref="AC103:AC134" si="81">(AA103^2)*Rdcr</f>
        <v>1.930026666666667</v>
      </c>
      <c r="AD103" s="133">
        <f t="shared" si="65"/>
        <v>1.930026666666667</v>
      </c>
      <c r="AE103" s="132">
        <f t="shared" si="75"/>
        <v>1.6</v>
      </c>
      <c r="AF103" s="1">
        <f t="shared" si="66"/>
        <v>2.78408173570948</v>
      </c>
      <c r="AG103" s="1">
        <f t="shared" ref="AG103:AG134" si="82">(AF103^2)*RDS_on</f>
        <v>7.7511111111111114E-3</v>
      </c>
      <c r="AH103" s="1">
        <f t="shared" ref="AH103:AH134" si="83">((R103*U103)/2)*fsw*(tr_sw+tf_sw)</f>
        <v>0.17850996096014843</v>
      </c>
      <c r="AI103" s="133">
        <f t="shared" si="67"/>
        <v>0.18626107207125953</v>
      </c>
      <c r="AJ103" s="132">
        <f t="shared" si="68"/>
        <v>3.1999999999999997</v>
      </c>
      <c r="AK103" s="1">
        <f t="shared" si="69"/>
        <v>3.9372861493955731</v>
      </c>
      <c r="AL103" s="1">
        <f t="shared" ref="AL103:AL134" si="84">(AK103^2)*RDS_on_HS</f>
        <v>1.5502222222222219E-2</v>
      </c>
      <c r="AM103" s="1">
        <f t="shared" si="70"/>
        <v>0.15510000000000004</v>
      </c>
      <c r="AN103" s="136">
        <f t="shared" ref="AN103:AN134" si="85">Vd_rect*t_dead*fsw*Z103</f>
        <v>8.9599999999999999E-2</v>
      </c>
      <c r="AO103" s="133">
        <f t="shared" si="71"/>
        <v>0.26020222222222228</v>
      </c>
      <c r="AP103" s="132">
        <f t="shared" ref="AP103:AP134" si="86">(AA103^2)*Rcs</f>
        <v>9.3013333333333351E-2</v>
      </c>
      <c r="AQ103" s="137">
        <f t="shared" ref="AQ103:AQ134" si="87">Rdcr*AA103^2</f>
        <v>1.930026666666667</v>
      </c>
      <c r="AR103" s="137">
        <f t="shared" ref="AR103:AR134" si="88">ABS(7.759*10^-3*fsw^0.9458*(0.00787*Y103)^2.304)</f>
        <v>4.147588250013759E-2</v>
      </c>
      <c r="AS103" s="1">
        <f t="shared" ref="AS103:AS134" si="89">(Qg_tot+Qg_tot_HS)*VCC*fsw</f>
        <v>3.7999999999999999E-2</v>
      </c>
      <c r="AT103" s="133">
        <f t="shared" ref="AT103:AT134" si="90">IQ*T103</f>
        <v>4.8000000000000001E-2</v>
      </c>
      <c r="AU103" s="132">
        <f t="shared" si="72"/>
        <v>4.5270058434602864</v>
      </c>
      <c r="AV103" s="1">
        <f t="shared" si="73"/>
        <v>57.6</v>
      </c>
      <c r="AW103" s="133">
        <f t="shared" si="74"/>
        <v>92.713304331989121</v>
      </c>
    </row>
    <row r="104" spans="17:49" x14ac:dyDescent="0.25">
      <c r="Q104">
        <v>97</v>
      </c>
      <c r="R104" s="132">
        <f t="shared" si="46"/>
        <v>18</v>
      </c>
      <c r="S104" s="1">
        <f t="shared" si="47"/>
        <v>3.2333333333333334</v>
      </c>
      <c r="T104" s="1">
        <f t="shared" si="76"/>
        <v>12</v>
      </c>
      <c r="U104" s="133">
        <f t="shared" si="77"/>
        <v>4.8500000000000005</v>
      </c>
      <c r="V104" s="132">
        <f>IF(Calculations!$B$17=3,2,IF((S104*R104/T104)&lt;((T104*(1-(T104/R104)))/(2*Lm*fsw)),1,2))</f>
        <v>2</v>
      </c>
      <c r="W104" s="1">
        <f t="shared" si="78"/>
        <v>0.33333333333333337</v>
      </c>
      <c r="X104" s="133">
        <f t="shared" si="79"/>
        <v>0.66666666666666663</v>
      </c>
      <c r="Y104" s="132">
        <f t="shared" si="80"/>
        <v>1.6</v>
      </c>
      <c r="Z104" s="1">
        <f t="shared" si="63"/>
        <v>5.65</v>
      </c>
      <c r="AA104" s="1">
        <f t="shared" si="64"/>
        <v>4.8719434862622677</v>
      </c>
      <c r="AB104" s="1">
        <v>0</v>
      </c>
      <c r="AC104" s="1">
        <f t="shared" si="81"/>
        <v>1.9700741666666672</v>
      </c>
      <c r="AD104" s="133">
        <f t="shared" si="65"/>
        <v>1.9700741666666672</v>
      </c>
      <c r="AE104" s="132">
        <f t="shared" si="75"/>
        <v>1.6166666666666669</v>
      </c>
      <c r="AF104" s="1">
        <f t="shared" si="66"/>
        <v>2.8128178832701645</v>
      </c>
      <c r="AG104" s="1">
        <f t="shared" si="82"/>
        <v>7.9119444444444489E-3</v>
      </c>
      <c r="AH104" s="1">
        <f t="shared" si="83"/>
        <v>0.18036943972015004</v>
      </c>
      <c r="AI104" s="133">
        <f t="shared" si="67"/>
        <v>0.1882813841645945</v>
      </c>
      <c r="AJ104" s="132">
        <f t="shared" si="68"/>
        <v>3.2333333333333334</v>
      </c>
      <c r="AK104" s="1">
        <f t="shared" si="69"/>
        <v>3.9779251990062474</v>
      </c>
      <c r="AL104" s="1">
        <f t="shared" si="84"/>
        <v>1.5823888888888894E-2</v>
      </c>
      <c r="AM104" s="1">
        <f t="shared" ref="AM104:AM135" si="91">CHOOSE(V104,(R104+Vd_rect)*Qrr*fsw,(R104+Vd_rect)*Qrr*fsw)</f>
        <v>0.15510000000000004</v>
      </c>
      <c r="AN104" s="136">
        <f t="shared" si="85"/>
        <v>9.0400000000000008E-2</v>
      </c>
      <c r="AO104" s="133">
        <f t="shared" si="71"/>
        <v>0.26132388888888891</v>
      </c>
      <c r="AP104" s="132">
        <f t="shared" si="86"/>
        <v>9.4943333333333352E-2</v>
      </c>
      <c r="AQ104" s="137">
        <f t="shared" si="87"/>
        <v>1.9700741666666672</v>
      </c>
      <c r="AR104" s="137">
        <f t="shared" si="88"/>
        <v>4.147588250013759E-2</v>
      </c>
      <c r="AS104" s="1">
        <f t="shared" si="89"/>
        <v>3.7999999999999999E-2</v>
      </c>
      <c r="AT104" s="133">
        <f t="shared" si="90"/>
        <v>4.8000000000000001E-2</v>
      </c>
      <c r="AU104" s="132">
        <f t="shared" si="72"/>
        <v>4.6121728222202893</v>
      </c>
      <c r="AV104" s="1">
        <f t="shared" si="73"/>
        <v>58.2</v>
      </c>
      <c r="AW104" s="133">
        <f t="shared" si="74"/>
        <v>92.657199050772704</v>
      </c>
    </row>
    <row r="105" spans="17:49" x14ac:dyDescent="0.25">
      <c r="Q105">
        <v>98</v>
      </c>
      <c r="R105" s="132">
        <f t="shared" si="46"/>
        <v>18</v>
      </c>
      <c r="S105" s="1">
        <f t="shared" si="47"/>
        <v>3.2666666666666666</v>
      </c>
      <c r="T105" s="1">
        <f t="shared" si="76"/>
        <v>12</v>
      </c>
      <c r="U105" s="133">
        <f t="shared" si="77"/>
        <v>4.8999999999999995</v>
      </c>
      <c r="V105" s="132">
        <f>IF(Calculations!$B$17=3,2,IF((S105*R105/T105)&lt;((T105*(1-(T105/R105)))/(2*Lm*fsw)),1,2))</f>
        <v>2</v>
      </c>
      <c r="W105" s="1">
        <f t="shared" si="78"/>
        <v>0.33333333333333337</v>
      </c>
      <c r="X105" s="133">
        <f t="shared" si="79"/>
        <v>0.66666666666666663</v>
      </c>
      <c r="Y105" s="132">
        <f t="shared" si="80"/>
        <v>1.6</v>
      </c>
      <c r="Z105" s="1">
        <f t="shared" si="63"/>
        <v>5.6999999999999993</v>
      </c>
      <c r="AA105" s="1">
        <f t="shared" si="64"/>
        <v>4.9217205663602366</v>
      </c>
      <c r="AB105" s="1">
        <v>0</v>
      </c>
      <c r="AC105" s="1">
        <f t="shared" si="81"/>
        <v>2.0105366666666664</v>
      </c>
      <c r="AD105" s="133">
        <f t="shared" si="65"/>
        <v>2.0105366666666664</v>
      </c>
      <c r="AE105" s="132">
        <f t="shared" si="75"/>
        <v>1.6333333333333333</v>
      </c>
      <c r="AF105" s="1">
        <f t="shared" si="66"/>
        <v>2.8415566938642001</v>
      </c>
      <c r="AG105" s="1">
        <f t="shared" si="82"/>
        <v>8.0744444444444431E-3</v>
      </c>
      <c r="AH105" s="1">
        <f t="shared" si="83"/>
        <v>0.18222891848015152</v>
      </c>
      <c r="AI105" s="133">
        <f t="shared" si="67"/>
        <v>0.19030336292459596</v>
      </c>
      <c r="AJ105" s="132">
        <f t="shared" si="68"/>
        <v>3.2666666666666662</v>
      </c>
      <c r="AK105" s="1">
        <f t="shared" si="69"/>
        <v>4.0185680147148046</v>
      </c>
      <c r="AL105" s="1">
        <f t="shared" si="84"/>
        <v>1.6148888888888886E-2</v>
      </c>
      <c r="AM105" s="1">
        <f t="shared" si="91"/>
        <v>0.15510000000000004</v>
      </c>
      <c r="AN105" s="136">
        <f t="shared" si="85"/>
        <v>9.1199999999999989E-2</v>
      </c>
      <c r="AO105" s="133">
        <f t="shared" si="71"/>
        <v>0.2624488888888889</v>
      </c>
      <c r="AP105" s="132">
        <f t="shared" si="86"/>
        <v>9.6893333333333317E-2</v>
      </c>
      <c r="AQ105" s="137">
        <f t="shared" si="87"/>
        <v>2.0105366666666664</v>
      </c>
      <c r="AR105" s="137">
        <f t="shared" si="88"/>
        <v>4.147588250013759E-2</v>
      </c>
      <c r="AS105" s="1">
        <f t="shared" si="89"/>
        <v>3.7999999999999999E-2</v>
      </c>
      <c r="AT105" s="133">
        <f t="shared" si="90"/>
        <v>4.8000000000000001E-2</v>
      </c>
      <c r="AU105" s="132">
        <f t="shared" si="72"/>
        <v>4.6981948009802883</v>
      </c>
      <c r="AV105" s="1">
        <f t="shared" si="73"/>
        <v>58.8</v>
      </c>
      <c r="AW105" s="133">
        <f t="shared" si="74"/>
        <v>92.601057690371135</v>
      </c>
    </row>
    <row r="106" spans="17:49" x14ac:dyDescent="0.25">
      <c r="Q106">
        <v>99</v>
      </c>
      <c r="R106" s="132">
        <f t="shared" si="46"/>
        <v>18</v>
      </c>
      <c r="S106" s="1">
        <f t="shared" si="47"/>
        <v>3.3</v>
      </c>
      <c r="T106" s="1">
        <f t="shared" si="76"/>
        <v>12</v>
      </c>
      <c r="U106" s="133">
        <f t="shared" si="77"/>
        <v>4.95</v>
      </c>
      <c r="V106" s="132">
        <f>IF(Calculations!$B$17=3,2,IF((S106*R106/T106)&lt;((T106*(1-(T106/R106)))/(2*Lm*fsw)),1,2))</f>
        <v>2</v>
      </c>
      <c r="W106" s="1">
        <f t="shared" si="78"/>
        <v>0.33333333333333337</v>
      </c>
      <c r="X106" s="133">
        <f t="shared" si="79"/>
        <v>0.66666666666666663</v>
      </c>
      <c r="Y106" s="132">
        <f t="shared" si="80"/>
        <v>1.6</v>
      </c>
      <c r="Z106" s="1">
        <f t="shared" si="63"/>
        <v>5.75</v>
      </c>
      <c r="AA106" s="1">
        <f t="shared" si="64"/>
        <v>4.9715021204192738</v>
      </c>
      <c r="AB106" s="1">
        <v>0</v>
      </c>
      <c r="AC106" s="1">
        <f t="shared" si="81"/>
        <v>2.051414166666667</v>
      </c>
      <c r="AD106" s="133">
        <f t="shared" si="65"/>
        <v>2.051414166666667</v>
      </c>
      <c r="AE106" s="132">
        <f t="shared" si="75"/>
        <v>1.6500000000000001</v>
      </c>
      <c r="AF106" s="1">
        <f t="shared" si="66"/>
        <v>2.8702980875008626</v>
      </c>
      <c r="AG106" s="1">
        <f t="shared" si="82"/>
        <v>8.2386111111111097E-3</v>
      </c>
      <c r="AH106" s="1">
        <f t="shared" si="83"/>
        <v>0.18408839724015313</v>
      </c>
      <c r="AI106" s="133">
        <f t="shared" si="67"/>
        <v>0.19232700835126423</v>
      </c>
      <c r="AJ106" s="132">
        <f t="shared" si="68"/>
        <v>3.3</v>
      </c>
      <c r="AK106" s="1">
        <f t="shared" si="69"/>
        <v>4.0592144833972768</v>
      </c>
      <c r="AL106" s="1">
        <f t="shared" si="84"/>
        <v>1.6477222222222219E-2</v>
      </c>
      <c r="AM106" s="1">
        <f t="shared" si="91"/>
        <v>0.15510000000000004</v>
      </c>
      <c r="AN106" s="136">
        <f t="shared" si="85"/>
        <v>9.1999999999999998E-2</v>
      </c>
      <c r="AO106" s="133">
        <f t="shared" si="71"/>
        <v>0.26357722222222224</v>
      </c>
      <c r="AP106" s="132">
        <f t="shared" si="86"/>
        <v>9.8863333333333345E-2</v>
      </c>
      <c r="AQ106" s="137">
        <f t="shared" si="87"/>
        <v>2.051414166666667</v>
      </c>
      <c r="AR106" s="137">
        <f t="shared" si="88"/>
        <v>4.147588250013759E-2</v>
      </c>
      <c r="AS106" s="1">
        <f t="shared" si="89"/>
        <v>3.7999999999999999E-2</v>
      </c>
      <c r="AT106" s="133">
        <f t="shared" si="90"/>
        <v>4.8000000000000001E-2</v>
      </c>
      <c r="AU106" s="132">
        <f t="shared" si="72"/>
        <v>4.7850717797402913</v>
      </c>
      <c r="AV106" s="1">
        <f t="shared" si="73"/>
        <v>59.4</v>
      </c>
      <c r="AW106" s="133">
        <f t="shared" si="74"/>
        <v>92.544883651200223</v>
      </c>
    </row>
    <row r="107" spans="17:49" x14ac:dyDescent="0.25">
      <c r="Q107">
        <v>100</v>
      </c>
      <c r="R107" s="132">
        <f t="shared" si="46"/>
        <v>18</v>
      </c>
      <c r="S107" s="1">
        <f t="shared" si="47"/>
        <v>3.3333333333333335</v>
      </c>
      <c r="T107" s="1">
        <f t="shared" si="76"/>
        <v>12</v>
      </c>
      <c r="U107" s="133">
        <f t="shared" si="77"/>
        <v>5</v>
      </c>
      <c r="V107" s="132">
        <f>IF(Calculations!$B$17=3,2,IF((S107*R107/T107)&lt;((T107*(1-(T107/R107)))/(2*Lm*fsw)),1,2))</f>
        <v>2</v>
      </c>
      <c r="W107" s="1">
        <f t="shared" si="78"/>
        <v>0.33333333333333337</v>
      </c>
      <c r="X107" s="133">
        <f t="shared" si="79"/>
        <v>0.66666666666666663</v>
      </c>
      <c r="Y107" s="132">
        <f t="shared" si="80"/>
        <v>1.6</v>
      </c>
      <c r="Z107" s="1">
        <f t="shared" si="63"/>
        <v>5.8</v>
      </c>
      <c r="AA107" s="1">
        <f t="shared" si="64"/>
        <v>5.0212880153734796</v>
      </c>
      <c r="AB107" s="1">
        <v>0</v>
      </c>
      <c r="AC107" s="1">
        <f t="shared" si="81"/>
        <v>2.0927066666666674</v>
      </c>
      <c r="AD107" s="133">
        <f t="shared" si="65"/>
        <v>2.0927066666666674</v>
      </c>
      <c r="AE107" s="132">
        <f t="shared" si="75"/>
        <v>1.666666666666667</v>
      </c>
      <c r="AF107" s="1">
        <f t="shared" si="66"/>
        <v>2.8990419873545199</v>
      </c>
      <c r="AG107" s="1">
        <f t="shared" si="82"/>
        <v>8.4044444444444436E-3</v>
      </c>
      <c r="AH107" s="1">
        <f t="shared" si="83"/>
        <v>0.18594787600015464</v>
      </c>
      <c r="AI107" s="133">
        <f t="shared" si="67"/>
        <v>0.19435232044459907</v>
      </c>
      <c r="AJ107" s="132">
        <f t="shared" si="68"/>
        <v>3.333333333333333</v>
      </c>
      <c r="AK107" s="1">
        <f t="shared" si="69"/>
        <v>4.0998644964058126</v>
      </c>
      <c r="AL107" s="1">
        <f t="shared" si="84"/>
        <v>1.6808888888888887E-2</v>
      </c>
      <c r="AM107" s="1">
        <f t="shared" si="91"/>
        <v>0.15510000000000004</v>
      </c>
      <c r="AN107" s="136">
        <f t="shared" si="85"/>
        <v>9.2799999999999994E-2</v>
      </c>
      <c r="AO107" s="133">
        <f t="shared" si="71"/>
        <v>0.26470888888888894</v>
      </c>
      <c r="AP107" s="132">
        <f t="shared" si="86"/>
        <v>0.10085333333333335</v>
      </c>
      <c r="AQ107" s="137">
        <f t="shared" si="87"/>
        <v>2.0927066666666674</v>
      </c>
      <c r="AR107" s="137">
        <f t="shared" si="88"/>
        <v>4.147588250013759E-2</v>
      </c>
      <c r="AS107" s="1">
        <f t="shared" si="89"/>
        <v>3.7999999999999999E-2</v>
      </c>
      <c r="AT107" s="133">
        <f t="shared" si="90"/>
        <v>4.8000000000000001E-2</v>
      </c>
      <c r="AU107" s="132">
        <f t="shared" si="72"/>
        <v>4.8728037585002939</v>
      </c>
      <c r="AV107" s="1">
        <f t="shared" si="73"/>
        <v>60</v>
      </c>
      <c r="AW107" s="133">
        <f t="shared" si="74"/>
        <v>92.488680192334343</v>
      </c>
    </row>
    <row r="108" spans="17:49" x14ac:dyDescent="0.25">
      <c r="Q108">
        <v>101</v>
      </c>
      <c r="R108" s="132">
        <f t="shared" si="46"/>
        <v>18</v>
      </c>
      <c r="S108" s="1">
        <f t="shared" si="47"/>
        <v>3.3666666666666667</v>
      </c>
      <c r="T108" s="1">
        <f t="shared" si="76"/>
        <v>12</v>
      </c>
      <c r="U108" s="133">
        <f t="shared" si="77"/>
        <v>5.05</v>
      </c>
      <c r="V108" s="132">
        <f>IF(Calculations!$B$17=3,2,IF((S108*R108/T108)&lt;((T108*(1-(T108/R108)))/(2*Lm*fsw)),1,2))</f>
        <v>2</v>
      </c>
      <c r="W108" s="1">
        <f t="shared" si="78"/>
        <v>0.33333333333333337</v>
      </c>
      <c r="X108" s="133">
        <f t="shared" si="79"/>
        <v>0.66666666666666663</v>
      </c>
      <c r="Y108" s="132">
        <f t="shared" si="80"/>
        <v>1.6</v>
      </c>
      <c r="Z108" s="1">
        <f t="shared" si="63"/>
        <v>5.85</v>
      </c>
      <c r="AA108" s="1">
        <f t="shared" si="64"/>
        <v>5.0710781233711373</v>
      </c>
      <c r="AB108" s="1">
        <v>0</v>
      </c>
      <c r="AC108" s="1">
        <f t="shared" si="81"/>
        <v>2.1344141666666672</v>
      </c>
      <c r="AD108" s="133">
        <f t="shared" si="65"/>
        <v>2.1344141666666672</v>
      </c>
      <c r="AE108" s="132">
        <f t="shared" si="75"/>
        <v>1.6833333333333336</v>
      </c>
      <c r="AF108" s="1">
        <f t="shared" si="66"/>
        <v>2.9277883196099483</v>
      </c>
      <c r="AG108" s="1">
        <f t="shared" si="82"/>
        <v>8.5719444444444445E-3</v>
      </c>
      <c r="AH108" s="1">
        <f t="shared" si="83"/>
        <v>0.18780735476015617</v>
      </c>
      <c r="AI108" s="133">
        <f t="shared" si="67"/>
        <v>0.19637929920460062</v>
      </c>
      <c r="AJ108" s="132">
        <f t="shared" si="68"/>
        <v>3.3666666666666663</v>
      </c>
      <c r="AK108" s="1">
        <f t="shared" si="69"/>
        <v>4.1405179493499222</v>
      </c>
      <c r="AL108" s="1">
        <f t="shared" si="84"/>
        <v>1.7143888888888886E-2</v>
      </c>
      <c r="AM108" s="1">
        <f t="shared" si="91"/>
        <v>0.15510000000000004</v>
      </c>
      <c r="AN108" s="136">
        <f t="shared" si="85"/>
        <v>9.3600000000000003E-2</v>
      </c>
      <c r="AO108" s="133">
        <f t="shared" si="71"/>
        <v>0.26584388888888894</v>
      </c>
      <c r="AP108" s="132">
        <f t="shared" si="86"/>
        <v>0.10286333333333335</v>
      </c>
      <c r="AQ108" s="137">
        <f t="shared" si="87"/>
        <v>2.1344141666666672</v>
      </c>
      <c r="AR108" s="137">
        <f t="shared" si="88"/>
        <v>4.147588250013759E-2</v>
      </c>
      <c r="AS108" s="1">
        <f t="shared" si="89"/>
        <v>3.7999999999999999E-2</v>
      </c>
      <c r="AT108" s="133">
        <f t="shared" si="90"/>
        <v>4.8000000000000001E-2</v>
      </c>
      <c r="AU108" s="132">
        <f t="shared" si="72"/>
        <v>4.9613907372602952</v>
      </c>
      <c r="AV108" s="1">
        <f t="shared" si="73"/>
        <v>60.6</v>
      </c>
      <c r="AW108" s="133">
        <f t="shared" si="74"/>
        <v>92.432450438485574</v>
      </c>
    </row>
    <row r="109" spans="17:49" x14ac:dyDescent="0.25">
      <c r="Q109">
        <v>102</v>
      </c>
      <c r="R109" s="132">
        <f t="shared" si="46"/>
        <v>18</v>
      </c>
      <c r="S109" s="1">
        <f t="shared" si="47"/>
        <v>3.4</v>
      </c>
      <c r="T109" s="1">
        <f t="shared" si="76"/>
        <v>12</v>
      </c>
      <c r="U109" s="133">
        <f t="shared" si="77"/>
        <v>5.0999999999999996</v>
      </c>
      <c r="V109" s="132">
        <f>IF(Calculations!$B$17=3,2,IF((S109*R109/T109)&lt;((T109*(1-(T109/R109)))/(2*Lm*fsw)),1,2))</f>
        <v>2</v>
      </c>
      <c r="W109" s="1">
        <f t="shared" si="78"/>
        <v>0.33333333333333337</v>
      </c>
      <c r="X109" s="133">
        <f t="shared" si="79"/>
        <v>0.66666666666666663</v>
      </c>
      <c r="Y109" s="132">
        <f t="shared" si="80"/>
        <v>1.6</v>
      </c>
      <c r="Z109" s="1">
        <f t="shared" si="63"/>
        <v>5.8999999999999995</v>
      </c>
      <c r="AA109" s="1">
        <f t="shared" si="64"/>
        <v>5.120872321522314</v>
      </c>
      <c r="AB109" s="1">
        <v>0</v>
      </c>
      <c r="AC109" s="1">
        <f t="shared" si="81"/>
        <v>2.1765366666666668</v>
      </c>
      <c r="AD109" s="133">
        <f t="shared" si="65"/>
        <v>2.1765366666666668</v>
      </c>
      <c r="AE109" s="132">
        <f t="shared" si="75"/>
        <v>1.7000000000000002</v>
      </c>
      <c r="AF109" s="1">
        <f t="shared" si="66"/>
        <v>2.9565370133166118</v>
      </c>
      <c r="AG109" s="1">
        <f t="shared" si="82"/>
        <v>8.741111111111111E-3</v>
      </c>
      <c r="AH109" s="1">
        <f t="shared" si="83"/>
        <v>0.18966683352015773</v>
      </c>
      <c r="AI109" s="133">
        <f t="shared" si="67"/>
        <v>0.19840794463126885</v>
      </c>
      <c r="AJ109" s="132">
        <f t="shared" si="68"/>
        <v>3.3999999999999995</v>
      </c>
      <c r="AK109" s="1">
        <f t="shared" si="69"/>
        <v>4.1811747418903957</v>
      </c>
      <c r="AL109" s="1">
        <f t="shared" si="84"/>
        <v>1.7482222222222215E-2</v>
      </c>
      <c r="AM109" s="1">
        <f t="shared" si="91"/>
        <v>0.15510000000000004</v>
      </c>
      <c r="AN109" s="136">
        <f t="shared" si="85"/>
        <v>9.4399999999999998E-2</v>
      </c>
      <c r="AO109" s="133">
        <f t="shared" si="71"/>
        <v>0.26698222222222223</v>
      </c>
      <c r="AP109" s="132">
        <f t="shared" si="86"/>
        <v>0.10489333333333334</v>
      </c>
      <c r="AQ109" s="137">
        <f t="shared" si="87"/>
        <v>2.1765366666666668</v>
      </c>
      <c r="AR109" s="137">
        <f t="shared" si="88"/>
        <v>4.147588250013759E-2</v>
      </c>
      <c r="AS109" s="1">
        <f t="shared" si="89"/>
        <v>3.7999999999999999E-2</v>
      </c>
      <c r="AT109" s="133">
        <f t="shared" si="90"/>
        <v>4.8000000000000001E-2</v>
      </c>
      <c r="AU109" s="132">
        <f t="shared" si="72"/>
        <v>5.0508327160202962</v>
      </c>
      <c r="AV109" s="1">
        <f t="shared" si="73"/>
        <v>61.199999999999996</v>
      </c>
      <c r="AW109" s="133">
        <f t="shared" si="74"/>
        <v>92.376197386574205</v>
      </c>
    </row>
    <row r="110" spans="17:49" x14ac:dyDescent="0.25">
      <c r="Q110">
        <v>103</v>
      </c>
      <c r="R110" s="132">
        <f t="shared" si="46"/>
        <v>18</v>
      </c>
      <c r="S110" s="1">
        <f t="shared" si="47"/>
        <v>3.4333333333333331</v>
      </c>
      <c r="T110" s="1">
        <f t="shared" si="76"/>
        <v>12</v>
      </c>
      <c r="U110" s="133">
        <f t="shared" si="77"/>
        <v>5.1499999999999995</v>
      </c>
      <c r="V110" s="132">
        <f>IF(Calculations!$B$17=3,2,IF((S110*R110/T110)&lt;((T110*(1-(T110/R110)))/(2*Lm*fsw)),1,2))</f>
        <v>2</v>
      </c>
      <c r="W110" s="1">
        <f t="shared" si="78"/>
        <v>0.33333333333333337</v>
      </c>
      <c r="X110" s="133">
        <f t="shared" si="79"/>
        <v>0.66666666666666663</v>
      </c>
      <c r="Y110" s="132">
        <f t="shared" si="80"/>
        <v>1.6</v>
      </c>
      <c r="Z110" s="1">
        <f t="shared" si="63"/>
        <v>5.9499999999999993</v>
      </c>
      <c r="AA110" s="1">
        <f t="shared" si="64"/>
        <v>5.170670491660954</v>
      </c>
      <c r="AB110" s="1">
        <v>0</v>
      </c>
      <c r="AC110" s="1">
        <f t="shared" si="81"/>
        <v>2.2190741666666667</v>
      </c>
      <c r="AD110" s="133">
        <f t="shared" si="65"/>
        <v>2.2190741666666667</v>
      </c>
      <c r="AE110" s="132">
        <f t="shared" si="75"/>
        <v>1.7166666666666668</v>
      </c>
      <c r="AF110" s="1">
        <f t="shared" si="66"/>
        <v>2.9852880002513063</v>
      </c>
      <c r="AG110" s="1">
        <f t="shared" si="82"/>
        <v>8.9119444444444428E-3</v>
      </c>
      <c r="AH110" s="1">
        <f t="shared" si="83"/>
        <v>0.19152631228015926</v>
      </c>
      <c r="AI110" s="133">
        <f t="shared" si="67"/>
        <v>0.20043825672460369</v>
      </c>
      <c r="AJ110" s="132">
        <f t="shared" si="68"/>
        <v>3.4333333333333327</v>
      </c>
      <c r="AK110" s="1">
        <f t="shared" si="69"/>
        <v>4.2218347775450527</v>
      </c>
      <c r="AL110" s="1">
        <f t="shared" si="84"/>
        <v>1.7823888888888886E-2</v>
      </c>
      <c r="AM110" s="1">
        <f t="shared" si="91"/>
        <v>0.15510000000000004</v>
      </c>
      <c r="AN110" s="136">
        <f t="shared" si="85"/>
        <v>9.5199999999999993E-2</v>
      </c>
      <c r="AO110" s="133">
        <f t="shared" si="71"/>
        <v>0.26812388888888894</v>
      </c>
      <c r="AP110" s="132">
        <f t="shared" si="86"/>
        <v>0.10694333333333333</v>
      </c>
      <c r="AQ110" s="137">
        <f t="shared" si="87"/>
        <v>2.2190741666666667</v>
      </c>
      <c r="AR110" s="137">
        <f t="shared" si="88"/>
        <v>4.147588250013759E-2</v>
      </c>
      <c r="AS110" s="1">
        <f t="shared" si="89"/>
        <v>3.7999999999999999E-2</v>
      </c>
      <c r="AT110" s="133">
        <f t="shared" si="90"/>
        <v>4.8000000000000001E-2</v>
      </c>
      <c r="AU110" s="132">
        <f t="shared" si="72"/>
        <v>5.1411296947802976</v>
      </c>
      <c r="AV110" s="1">
        <f t="shared" si="73"/>
        <v>61.8</v>
      </c>
      <c r="AW110" s="133">
        <f t="shared" si="74"/>
        <v>92.319923911918707</v>
      </c>
    </row>
    <row r="111" spans="17:49" x14ac:dyDescent="0.25">
      <c r="Q111">
        <v>104</v>
      </c>
      <c r="R111" s="132">
        <f t="shared" si="46"/>
        <v>18</v>
      </c>
      <c r="S111" s="1">
        <f t="shared" si="47"/>
        <v>3.4666666666666668</v>
      </c>
      <c r="T111" s="1">
        <f t="shared" si="76"/>
        <v>12</v>
      </c>
      <c r="U111" s="133">
        <f t="shared" si="77"/>
        <v>5.2</v>
      </c>
      <c r="V111" s="132">
        <f>IF(Calculations!$B$17=3,2,IF((S111*R111/T111)&lt;((T111*(1-(T111/R111)))/(2*Lm*fsw)),1,2))</f>
        <v>2</v>
      </c>
      <c r="W111" s="1">
        <f t="shared" si="78"/>
        <v>0.33333333333333337</v>
      </c>
      <c r="X111" s="133">
        <f t="shared" si="79"/>
        <v>0.66666666666666663</v>
      </c>
      <c r="Y111" s="132">
        <f t="shared" si="80"/>
        <v>1.6</v>
      </c>
      <c r="Z111" s="1">
        <f t="shared" si="63"/>
        <v>6</v>
      </c>
      <c r="AA111" s="1">
        <f t="shared" si="64"/>
        <v>5.2204725201205049</v>
      </c>
      <c r="AB111" s="1">
        <v>0</v>
      </c>
      <c r="AC111" s="1">
        <f t="shared" si="81"/>
        <v>2.2620266666666669</v>
      </c>
      <c r="AD111" s="133">
        <f t="shared" si="65"/>
        <v>2.2620266666666669</v>
      </c>
      <c r="AE111" s="132">
        <f t="shared" si="75"/>
        <v>1.7333333333333336</v>
      </c>
      <c r="AF111" s="1">
        <f t="shared" si="66"/>
        <v>3.0140412147886173</v>
      </c>
      <c r="AG111" s="1">
        <f t="shared" si="82"/>
        <v>9.0844444444444436E-3</v>
      </c>
      <c r="AH111" s="1">
        <f t="shared" si="83"/>
        <v>0.19338579104016085</v>
      </c>
      <c r="AI111" s="133">
        <f t="shared" si="67"/>
        <v>0.2024702354846053</v>
      </c>
      <c r="AJ111" s="132">
        <f t="shared" si="68"/>
        <v>3.4666666666666668</v>
      </c>
      <c r="AK111" s="1">
        <f t="shared" si="69"/>
        <v>4.2624979635055409</v>
      </c>
      <c r="AL111" s="1">
        <f t="shared" si="84"/>
        <v>1.8168888888888884E-2</v>
      </c>
      <c r="AM111" s="1">
        <f t="shared" si="91"/>
        <v>0.15510000000000004</v>
      </c>
      <c r="AN111" s="136">
        <f t="shared" si="85"/>
        <v>9.6000000000000002E-2</v>
      </c>
      <c r="AO111" s="133">
        <f t="shared" si="71"/>
        <v>0.26926888888888889</v>
      </c>
      <c r="AP111" s="132">
        <f t="shared" si="86"/>
        <v>0.10901333333333334</v>
      </c>
      <c r="AQ111" s="137">
        <f t="shared" si="87"/>
        <v>2.2620266666666669</v>
      </c>
      <c r="AR111" s="137">
        <f t="shared" si="88"/>
        <v>4.147588250013759E-2</v>
      </c>
      <c r="AS111" s="1">
        <f t="shared" si="89"/>
        <v>3.7999999999999999E-2</v>
      </c>
      <c r="AT111" s="133">
        <f t="shared" si="90"/>
        <v>4.8000000000000001E-2</v>
      </c>
      <c r="AU111" s="132">
        <f t="shared" si="72"/>
        <v>5.2322816735402986</v>
      </c>
      <c r="AV111" s="1">
        <f t="shared" si="73"/>
        <v>62.400000000000006</v>
      </c>
      <c r="AW111" s="133">
        <f t="shared" si="74"/>
        <v>92.263632774070203</v>
      </c>
    </row>
    <row r="112" spans="17:49" x14ac:dyDescent="0.25">
      <c r="Q112">
        <v>105</v>
      </c>
      <c r="R112" s="132">
        <f t="shared" si="46"/>
        <v>18</v>
      </c>
      <c r="S112" s="1">
        <f t="shared" si="47"/>
        <v>3.5</v>
      </c>
      <c r="T112" s="1">
        <f t="shared" si="76"/>
        <v>12</v>
      </c>
      <c r="U112" s="133">
        <f t="shared" si="77"/>
        <v>5.25</v>
      </c>
      <c r="V112" s="132">
        <f>IF(Calculations!$B$17=3,2,IF((S112*R112/T112)&lt;((T112*(1-(T112/R112)))/(2*Lm*fsw)),1,2))</f>
        <v>2</v>
      </c>
      <c r="W112" s="1">
        <f t="shared" si="78"/>
        <v>0.33333333333333337</v>
      </c>
      <c r="X112" s="133">
        <f t="shared" si="79"/>
        <v>0.66666666666666663</v>
      </c>
      <c r="Y112" s="132">
        <f t="shared" si="80"/>
        <v>1.6</v>
      </c>
      <c r="Z112" s="1">
        <f t="shared" si="63"/>
        <v>6.05</v>
      </c>
      <c r="AA112" s="1">
        <f t="shared" si="64"/>
        <v>5.270278297522184</v>
      </c>
      <c r="AB112" s="1">
        <v>0</v>
      </c>
      <c r="AC112" s="1">
        <f t="shared" si="81"/>
        <v>2.3053941666666664</v>
      </c>
      <c r="AD112" s="133">
        <f t="shared" si="65"/>
        <v>2.3053941666666664</v>
      </c>
      <c r="AE112" s="132">
        <f t="shared" si="75"/>
        <v>1.7500000000000002</v>
      </c>
      <c r="AF112" s="1">
        <f t="shared" si="66"/>
        <v>3.0427965937786756</v>
      </c>
      <c r="AG112" s="1">
        <f t="shared" si="82"/>
        <v>9.2586111111111116E-3</v>
      </c>
      <c r="AH112" s="1">
        <f t="shared" si="83"/>
        <v>0.19524526980016238</v>
      </c>
      <c r="AI112" s="133">
        <f t="shared" si="67"/>
        <v>0.2045038809112735</v>
      </c>
      <c r="AJ112" s="132">
        <f t="shared" si="68"/>
        <v>3.5</v>
      </c>
      <c r="AK112" s="1">
        <f t="shared" si="69"/>
        <v>4.3031642104644598</v>
      </c>
      <c r="AL112" s="1">
        <f t="shared" si="84"/>
        <v>1.851722222222222E-2</v>
      </c>
      <c r="AM112" s="1">
        <f t="shared" si="91"/>
        <v>0.15510000000000004</v>
      </c>
      <c r="AN112" s="136">
        <f t="shared" si="85"/>
        <v>9.6799999999999997E-2</v>
      </c>
      <c r="AO112" s="133">
        <f t="shared" si="71"/>
        <v>0.27041722222222225</v>
      </c>
      <c r="AP112" s="132">
        <f t="shared" si="86"/>
        <v>0.11110333333333333</v>
      </c>
      <c r="AQ112" s="137">
        <f t="shared" si="87"/>
        <v>2.3053941666666664</v>
      </c>
      <c r="AR112" s="137">
        <f t="shared" si="88"/>
        <v>4.147588250013759E-2</v>
      </c>
      <c r="AS112" s="1">
        <f t="shared" si="89"/>
        <v>3.7999999999999999E-2</v>
      </c>
      <c r="AT112" s="133">
        <f t="shared" si="90"/>
        <v>4.8000000000000001E-2</v>
      </c>
      <c r="AU112" s="132">
        <f t="shared" si="72"/>
        <v>5.3242886523002992</v>
      </c>
      <c r="AV112" s="1">
        <f t="shared" si="73"/>
        <v>63</v>
      </c>
      <c r="AW112" s="133">
        <f t="shared" si="74"/>
        <v>92.207326622315236</v>
      </c>
    </row>
    <row r="113" spans="17:49" x14ac:dyDescent="0.25">
      <c r="Q113">
        <v>106</v>
      </c>
      <c r="R113" s="132">
        <f t="shared" si="46"/>
        <v>18</v>
      </c>
      <c r="S113" s="1">
        <f t="shared" si="47"/>
        <v>3.5333333333333332</v>
      </c>
      <c r="T113" s="1">
        <f t="shared" si="76"/>
        <v>12</v>
      </c>
      <c r="U113" s="133">
        <f t="shared" si="77"/>
        <v>5.3</v>
      </c>
      <c r="V113" s="132">
        <f>IF(Calculations!$B$17=3,2,IF((S113*R113/T113)&lt;((T113*(1-(T113/R113)))/(2*Lm*fsw)),1,2))</f>
        <v>2</v>
      </c>
      <c r="W113" s="1">
        <f t="shared" si="78"/>
        <v>0.33333333333333337</v>
      </c>
      <c r="X113" s="133">
        <f t="shared" si="79"/>
        <v>0.66666666666666663</v>
      </c>
      <c r="Y113" s="132">
        <f t="shared" si="80"/>
        <v>1.6</v>
      </c>
      <c r="Z113" s="1">
        <f t="shared" si="63"/>
        <v>6.1</v>
      </c>
      <c r="AA113" s="1">
        <f t="shared" si="64"/>
        <v>5.3200877185750741</v>
      </c>
      <c r="AB113" s="1">
        <v>0</v>
      </c>
      <c r="AC113" s="1">
        <f t="shared" si="81"/>
        <v>2.3491766666666671</v>
      </c>
      <c r="AD113" s="133">
        <f t="shared" si="65"/>
        <v>2.3491766666666671</v>
      </c>
      <c r="AE113" s="132">
        <f t="shared" si="75"/>
        <v>1.7666666666666668</v>
      </c>
      <c r="AF113" s="1">
        <f t="shared" si="66"/>
        <v>3.0715540764317408</v>
      </c>
      <c r="AG113" s="1">
        <f t="shared" si="82"/>
        <v>9.434444444444445E-3</v>
      </c>
      <c r="AH113" s="1">
        <f t="shared" si="83"/>
        <v>0.19710474856016388</v>
      </c>
      <c r="AI113" s="133">
        <f t="shared" si="67"/>
        <v>0.20653919300460832</v>
      </c>
      <c r="AJ113" s="132">
        <f t="shared" si="68"/>
        <v>3.5333333333333332</v>
      </c>
      <c r="AK113" s="1">
        <f t="shared" si="69"/>
        <v>4.3438334324521337</v>
      </c>
      <c r="AL113" s="1">
        <f t="shared" si="84"/>
        <v>1.8868888888888886E-2</v>
      </c>
      <c r="AM113" s="1">
        <f t="shared" si="91"/>
        <v>0.15510000000000004</v>
      </c>
      <c r="AN113" s="136">
        <f t="shared" si="85"/>
        <v>9.7599999999999992E-2</v>
      </c>
      <c r="AO113" s="133">
        <f t="shared" si="71"/>
        <v>0.27156888888888892</v>
      </c>
      <c r="AP113" s="132">
        <f t="shared" si="86"/>
        <v>0.11321333333333336</v>
      </c>
      <c r="AQ113" s="137">
        <f t="shared" si="87"/>
        <v>2.3491766666666671</v>
      </c>
      <c r="AR113" s="137">
        <f t="shared" si="88"/>
        <v>4.147588250013759E-2</v>
      </c>
      <c r="AS113" s="1">
        <f t="shared" si="89"/>
        <v>3.7999999999999999E-2</v>
      </c>
      <c r="AT113" s="133">
        <f t="shared" si="90"/>
        <v>4.8000000000000001E-2</v>
      </c>
      <c r="AU113" s="132">
        <f t="shared" si="72"/>
        <v>5.417150631060303</v>
      </c>
      <c r="AV113" s="1">
        <f t="shared" si="73"/>
        <v>63.599999999999994</v>
      </c>
      <c r="AW113" s="133">
        <f t="shared" si="74"/>
        <v>92.151008000868714</v>
      </c>
    </row>
    <row r="114" spans="17:49" x14ac:dyDescent="0.25">
      <c r="Q114">
        <v>107</v>
      </c>
      <c r="R114" s="132">
        <f t="shared" si="46"/>
        <v>18</v>
      </c>
      <c r="S114" s="1">
        <f t="shared" si="47"/>
        <v>3.5666666666666664</v>
      </c>
      <c r="T114" s="1">
        <f t="shared" si="76"/>
        <v>12</v>
      </c>
      <c r="U114" s="133">
        <f t="shared" si="77"/>
        <v>5.3499999999999988</v>
      </c>
      <c r="V114" s="132">
        <f>IF(Calculations!$B$17=3,2,IF((S114*R114/T114)&lt;((T114*(1-(T114/R114)))/(2*Lm*fsw)),1,2))</f>
        <v>2</v>
      </c>
      <c r="W114" s="1">
        <f t="shared" si="78"/>
        <v>0.33333333333333337</v>
      </c>
      <c r="X114" s="133">
        <f t="shared" si="79"/>
        <v>0.66666666666666663</v>
      </c>
      <c r="Y114" s="132">
        <f t="shared" si="80"/>
        <v>1.6</v>
      </c>
      <c r="Z114" s="1">
        <f t="shared" si="63"/>
        <v>6.1499999999999986</v>
      </c>
      <c r="AA114" s="1">
        <f t="shared" si="64"/>
        <v>5.3699006818872661</v>
      </c>
      <c r="AB114" s="1">
        <v>0</v>
      </c>
      <c r="AC114" s="1">
        <f t="shared" si="81"/>
        <v>2.3933741666666664</v>
      </c>
      <c r="AD114" s="133">
        <f t="shared" si="65"/>
        <v>2.3933741666666664</v>
      </c>
      <c r="AE114" s="132">
        <f t="shared" si="75"/>
        <v>1.7833333333333332</v>
      </c>
      <c r="AF114" s="1">
        <f t="shared" si="66"/>
        <v>3.1003136042091679</v>
      </c>
      <c r="AG114" s="1">
        <f t="shared" si="82"/>
        <v>9.6119444444444421E-3</v>
      </c>
      <c r="AH114" s="1">
        <f t="shared" si="83"/>
        <v>0.19896422732016544</v>
      </c>
      <c r="AI114" s="133">
        <f t="shared" si="67"/>
        <v>0.20857617176460988</v>
      </c>
      <c r="AJ114" s="132">
        <f t="shared" si="68"/>
        <v>3.5666666666666655</v>
      </c>
      <c r="AK114" s="1">
        <f t="shared" si="69"/>
        <v>4.3845055466824165</v>
      </c>
      <c r="AL114" s="1">
        <f t="shared" si="84"/>
        <v>1.9223888888888877E-2</v>
      </c>
      <c r="AM114" s="1">
        <f t="shared" si="91"/>
        <v>0.15510000000000004</v>
      </c>
      <c r="AN114" s="136">
        <f t="shared" si="85"/>
        <v>9.8399999999999974E-2</v>
      </c>
      <c r="AO114" s="133">
        <f t="shared" si="71"/>
        <v>0.27272388888888888</v>
      </c>
      <c r="AP114" s="132">
        <f t="shared" si="86"/>
        <v>0.11534333333333331</v>
      </c>
      <c r="AQ114" s="137">
        <f t="shared" si="87"/>
        <v>2.3933741666666664</v>
      </c>
      <c r="AR114" s="137">
        <f t="shared" si="88"/>
        <v>4.147588250013759E-2</v>
      </c>
      <c r="AS114" s="1">
        <f t="shared" si="89"/>
        <v>3.7999999999999999E-2</v>
      </c>
      <c r="AT114" s="133">
        <f t="shared" si="90"/>
        <v>4.8000000000000001E-2</v>
      </c>
      <c r="AU114" s="132">
        <f t="shared" si="72"/>
        <v>5.5108676098203029</v>
      </c>
      <c r="AV114" s="1">
        <f t="shared" si="73"/>
        <v>64.199999999999989</v>
      </c>
      <c r="AW114" s="133">
        <f t="shared" si="74"/>
        <v>92.094679353776996</v>
      </c>
    </row>
    <row r="115" spans="17:49" x14ac:dyDescent="0.25">
      <c r="Q115">
        <v>108</v>
      </c>
      <c r="R115" s="132">
        <f t="shared" si="46"/>
        <v>18</v>
      </c>
      <c r="S115" s="1">
        <f t="shared" si="47"/>
        <v>3.6</v>
      </c>
      <c r="T115" s="1">
        <f t="shared" si="76"/>
        <v>12</v>
      </c>
      <c r="U115" s="133">
        <f t="shared" si="77"/>
        <v>5.3999999999999995</v>
      </c>
      <c r="V115" s="132">
        <f>IF(Calculations!$B$17=3,2,IF((S115*R115/T115)&lt;((T115*(1-(T115/R115)))/(2*Lm*fsw)),1,2))</f>
        <v>2</v>
      </c>
      <c r="W115" s="1">
        <f t="shared" si="78"/>
        <v>0.33333333333333337</v>
      </c>
      <c r="X115" s="133">
        <f t="shared" si="79"/>
        <v>0.66666666666666663</v>
      </c>
      <c r="Y115" s="132">
        <f t="shared" si="80"/>
        <v>1.6</v>
      </c>
      <c r="Z115" s="1">
        <f t="shared" si="63"/>
        <v>6.1999999999999993</v>
      </c>
      <c r="AA115" s="1">
        <f t="shared" si="64"/>
        <v>5.4197170897873743</v>
      </c>
      <c r="AB115" s="1">
        <v>0</v>
      </c>
      <c r="AC115" s="1">
        <f t="shared" si="81"/>
        <v>2.4379866666666663</v>
      </c>
      <c r="AD115" s="133">
        <f t="shared" si="65"/>
        <v>2.4379866666666663</v>
      </c>
      <c r="AE115" s="132">
        <f t="shared" si="75"/>
        <v>1.8</v>
      </c>
      <c r="AF115" s="1">
        <f t="shared" si="66"/>
        <v>3.1290751207203558</v>
      </c>
      <c r="AG115" s="1">
        <f t="shared" si="82"/>
        <v>9.7911111111111081E-3</v>
      </c>
      <c r="AH115" s="1">
        <f t="shared" si="83"/>
        <v>0.20082370608016697</v>
      </c>
      <c r="AI115" s="133">
        <f t="shared" si="67"/>
        <v>0.21061481719127809</v>
      </c>
      <c r="AJ115" s="132">
        <f t="shared" si="68"/>
        <v>3.5999999999999996</v>
      </c>
      <c r="AK115" s="1">
        <f t="shared" si="69"/>
        <v>4.4251804734069564</v>
      </c>
      <c r="AL115" s="1">
        <f t="shared" si="84"/>
        <v>1.9582222222222213E-2</v>
      </c>
      <c r="AM115" s="1">
        <f t="shared" si="91"/>
        <v>0.15510000000000004</v>
      </c>
      <c r="AN115" s="136">
        <f t="shared" si="85"/>
        <v>9.9199999999999997E-2</v>
      </c>
      <c r="AO115" s="133">
        <f t="shared" si="71"/>
        <v>0.27388222222222225</v>
      </c>
      <c r="AP115" s="132">
        <f t="shared" si="86"/>
        <v>0.11749333333333331</v>
      </c>
      <c r="AQ115" s="137">
        <f t="shared" si="87"/>
        <v>2.4379866666666663</v>
      </c>
      <c r="AR115" s="137">
        <f t="shared" si="88"/>
        <v>4.147588250013759E-2</v>
      </c>
      <c r="AS115" s="1">
        <f t="shared" si="89"/>
        <v>3.7999999999999999E-2</v>
      </c>
      <c r="AT115" s="133">
        <f t="shared" si="90"/>
        <v>4.8000000000000001E-2</v>
      </c>
      <c r="AU115" s="132">
        <f t="shared" si="72"/>
        <v>5.6054395885803041</v>
      </c>
      <c r="AV115" s="1">
        <f t="shared" si="73"/>
        <v>64.8</v>
      </c>
      <c r="AW115" s="133">
        <f t="shared" si="74"/>
        <v>92.038343029549793</v>
      </c>
    </row>
    <row r="116" spans="17:49" x14ac:dyDescent="0.25">
      <c r="Q116">
        <v>109</v>
      </c>
      <c r="R116" s="132">
        <f t="shared" si="46"/>
        <v>18</v>
      </c>
      <c r="S116" s="1">
        <f t="shared" si="47"/>
        <v>3.6333333333333333</v>
      </c>
      <c r="T116" s="1">
        <f t="shared" si="76"/>
        <v>12</v>
      </c>
      <c r="U116" s="133">
        <f t="shared" si="77"/>
        <v>5.45</v>
      </c>
      <c r="V116" s="132">
        <f>IF(Calculations!$B$17=3,2,IF((S116*R116/T116)&lt;((T116*(1-(T116/R116)))/(2*Lm*fsw)),1,2))</f>
        <v>2</v>
      </c>
      <c r="W116" s="1">
        <f t="shared" si="78"/>
        <v>0.33333333333333337</v>
      </c>
      <c r="X116" s="133">
        <f t="shared" si="79"/>
        <v>0.66666666666666663</v>
      </c>
      <c r="Y116" s="132">
        <f t="shared" si="80"/>
        <v>1.6</v>
      </c>
      <c r="Z116" s="1">
        <f t="shared" si="63"/>
        <v>6.25</v>
      </c>
      <c r="AA116" s="1">
        <f t="shared" si="64"/>
        <v>5.469536848155732</v>
      </c>
      <c r="AB116" s="1">
        <v>0</v>
      </c>
      <c r="AC116" s="1">
        <f t="shared" si="81"/>
        <v>2.4830141666666674</v>
      </c>
      <c r="AD116" s="133">
        <f t="shared" si="65"/>
        <v>2.4830141666666674</v>
      </c>
      <c r="AE116" s="132">
        <f t="shared" si="75"/>
        <v>1.8166666666666669</v>
      </c>
      <c r="AF116" s="1">
        <f t="shared" si="66"/>
        <v>3.1578385716252888</v>
      </c>
      <c r="AG116" s="1">
        <f t="shared" si="82"/>
        <v>9.9719444444444447E-3</v>
      </c>
      <c r="AH116" s="1">
        <f t="shared" si="83"/>
        <v>0.20268318484016859</v>
      </c>
      <c r="AI116" s="133">
        <f t="shared" si="67"/>
        <v>0.21265512928461303</v>
      </c>
      <c r="AJ116" s="132">
        <f t="shared" si="68"/>
        <v>3.6333333333333333</v>
      </c>
      <c r="AK116" s="1">
        <f t="shared" si="69"/>
        <v>4.4658581357773652</v>
      </c>
      <c r="AL116" s="1">
        <f t="shared" si="84"/>
        <v>1.9943888888888886E-2</v>
      </c>
      <c r="AM116" s="1">
        <f t="shared" si="91"/>
        <v>0.15510000000000004</v>
      </c>
      <c r="AN116" s="136">
        <f t="shared" si="85"/>
        <v>0.1</v>
      </c>
      <c r="AO116" s="133">
        <f t="shared" si="71"/>
        <v>0.27504388888888898</v>
      </c>
      <c r="AP116" s="132">
        <f t="shared" si="86"/>
        <v>0.11966333333333336</v>
      </c>
      <c r="AQ116" s="137">
        <f t="shared" si="87"/>
        <v>2.4830141666666674</v>
      </c>
      <c r="AR116" s="137">
        <f t="shared" si="88"/>
        <v>4.147588250013759E-2</v>
      </c>
      <c r="AS116" s="1">
        <f t="shared" si="89"/>
        <v>3.7999999999999999E-2</v>
      </c>
      <c r="AT116" s="133">
        <f t="shared" si="90"/>
        <v>4.8000000000000001E-2</v>
      </c>
      <c r="AU116" s="132">
        <f t="shared" si="72"/>
        <v>5.7008665673403085</v>
      </c>
      <c r="AV116" s="1">
        <f t="shared" si="73"/>
        <v>65.400000000000006</v>
      </c>
      <c r="AW116" s="133">
        <f t="shared" si="74"/>
        <v>91.98200128553853</v>
      </c>
    </row>
    <row r="117" spans="17:49" x14ac:dyDescent="0.25">
      <c r="Q117">
        <v>110</v>
      </c>
      <c r="R117" s="132">
        <f t="shared" si="46"/>
        <v>18</v>
      </c>
      <c r="S117" s="1">
        <f t="shared" si="47"/>
        <v>3.6666666666666665</v>
      </c>
      <c r="T117" s="1">
        <f t="shared" si="76"/>
        <v>12</v>
      </c>
      <c r="U117" s="133">
        <f t="shared" si="77"/>
        <v>5.5</v>
      </c>
      <c r="V117" s="132">
        <f>IF(Calculations!$B$17=3,2,IF((S117*R117/T117)&lt;((T117*(1-(T117/R117)))/(2*Lm*fsw)),1,2))</f>
        <v>2</v>
      </c>
      <c r="W117" s="1">
        <f t="shared" si="78"/>
        <v>0.33333333333333337</v>
      </c>
      <c r="X117" s="133">
        <f t="shared" si="79"/>
        <v>0.66666666666666663</v>
      </c>
      <c r="Y117" s="132">
        <f t="shared" si="80"/>
        <v>1.6</v>
      </c>
      <c r="Z117" s="1">
        <f t="shared" si="63"/>
        <v>6.3</v>
      </c>
      <c r="AA117" s="1">
        <f t="shared" si="64"/>
        <v>5.5193598662646863</v>
      </c>
      <c r="AB117" s="1">
        <v>0</v>
      </c>
      <c r="AC117" s="1">
        <f t="shared" si="81"/>
        <v>2.528456666666667</v>
      </c>
      <c r="AD117" s="133">
        <f t="shared" si="65"/>
        <v>2.528456666666667</v>
      </c>
      <c r="AE117" s="132">
        <f t="shared" si="75"/>
        <v>1.8333333333333335</v>
      </c>
      <c r="AF117" s="1">
        <f t="shared" si="66"/>
        <v>3.1866039045423333</v>
      </c>
      <c r="AG117" s="1">
        <f t="shared" si="82"/>
        <v>1.0154444444444443E-2</v>
      </c>
      <c r="AH117" s="1">
        <f t="shared" si="83"/>
        <v>0.20454266360017009</v>
      </c>
      <c r="AI117" s="133">
        <f t="shared" si="67"/>
        <v>0.21469710804461453</v>
      </c>
      <c r="AJ117" s="132">
        <f t="shared" si="68"/>
        <v>3.6666666666666665</v>
      </c>
      <c r="AK117" s="1">
        <f t="shared" si="69"/>
        <v>4.506538459714827</v>
      </c>
      <c r="AL117" s="1">
        <f t="shared" si="84"/>
        <v>2.0308888888888887E-2</v>
      </c>
      <c r="AM117" s="1">
        <f t="shared" si="91"/>
        <v>0.15510000000000004</v>
      </c>
      <c r="AN117" s="136">
        <f t="shared" si="85"/>
        <v>0.1008</v>
      </c>
      <c r="AO117" s="133">
        <f t="shared" si="71"/>
        <v>0.27620888888888895</v>
      </c>
      <c r="AP117" s="132">
        <f t="shared" si="86"/>
        <v>0.12185333333333334</v>
      </c>
      <c r="AQ117" s="137">
        <f t="shared" si="87"/>
        <v>2.528456666666667</v>
      </c>
      <c r="AR117" s="137">
        <f t="shared" si="88"/>
        <v>4.147588250013759E-2</v>
      </c>
      <c r="AS117" s="1">
        <f t="shared" si="89"/>
        <v>3.7999999999999999E-2</v>
      </c>
      <c r="AT117" s="133">
        <f t="shared" si="90"/>
        <v>4.8000000000000001E-2</v>
      </c>
      <c r="AU117" s="132">
        <f t="shared" si="72"/>
        <v>5.7971485461003089</v>
      </c>
      <c r="AV117" s="1">
        <f t="shared" si="73"/>
        <v>66</v>
      </c>
      <c r="AW117" s="133">
        <f t="shared" si="74"/>
        <v>91.925656292076823</v>
      </c>
    </row>
    <row r="118" spans="17:49" x14ac:dyDescent="0.25">
      <c r="Q118">
        <v>111</v>
      </c>
      <c r="R118" s="132">
        <f t="shared" si="46"/>
        <v>18</v>
      </c>
      <c r="S118" s="1">
        <f t="shared" si="47"/>
        <v>3.6999999999999997</v>
      </c>
      <c r="T118" s="1">
        <f t="shared" si="76"/>
        <v>12</v>
      </c>
      <c r="U118" s="133">
        <f t="shared" si="77"/>
        <v>5.55</v>
      </c>
      <c r="V118" s="132">
        <f>IF(Calculations!$B$17=3,2,IF((S118*R118/T118)&lt;((T118*(1-(T118/R118)))/(2*Lm*fsw)),1,2))</f>
        <v>2</v>
      </c>
      <c r="W118" s="1">
        <f t="shared" si="78"/>
        <v>0.33333333333333337</v>
      </c>
      <c r="X118" s="133">
        <f t="shared" si="79"/>
        <v>0.66666666666666663</v>
      </c>
      <c r="Y118" s="132">
        <f t="shared" si="80"/>
        <v>1.6</v>
      </c>
      <c r="Z118" s="1">
        <f t="shared" si="63"/>
        <v>6.35</v>
      </c>
      <c r="AA118" s="1">
        <f t="shared" si="64"/>
        <v>5.5691860566274256</v>
      </c>
      <c r="AB118" s="1">
        <v>0</v>
      </c>
      <c r="AC118" s="1">
        <f t="shared" si="81"/>
        <v>2.5743141666666669</v>
      </c>
      <c r="AD118" s="133">
        <f t="shared" si="65"/>
        <v>2.5743141666666669</v>
      </c>
      <c r="AE118" s="132">
        <f t="shared" si="75"/>
        <v>1.85</v>
      </c>
      <c r="AF118" s="1">
        <f t="shared" si="66"/>
        <v>3.2153710689609545</v>
      </c>
      <c r="AG118" s="1">
        <f t="shared" si="82"/>
        <v>1.0338611111111113E-2</v>
      </c>
      <c r="AH118" s="1">
        <f t="shared" si="83"/>
        <v>0.20640214236017163</v>
      </c>
      <c r="AI118" s="133">
        <f t="shared" si="67"/>
        <v>0.21674075347128274</v>
      </c>
      <c r="AJ118" s="132">
        <f t="shared" si="68"/>
        <v>3.6999999999999997</v>
      </c>
      <c r="AK118" s="1">
        <f t="shared" si="69"/>
        <v>4.547221373786658</v>
      </c>
      <c r="AL118" s="1">
        <f t="shared" si="84"/>
        <v>2.0677222222222225E-2</v>
      </c>
      <c r="AM118" s="1">
        <f t="shared" si="91"/>
        <v>0.15510000000000004</v>
      </c>
      <c r="AN118" s="136">
        <f t="shared" si="85"/>
        <v>0.1016</v>
      </c>
      <c r="AO118" s="133">
        <f t="shared" si="71"/>
        <v>0.27737722222222227</v>
      </c>
      <c r="AP118" s="132">
        <f t="shared" si="86"/>
        <v>0.12406333333333334</v>
      </c>
      <c r="AQ118" s="137">
        <f t="shared" si="87"/>
        <v>2.5743141666666669</v>
      </c>
      <c r="AR118" s="137">
        <f t="shared" si="88"/>
        <v>4.147588250013759E-2</v>
      </c>
      <c r="AS118" s="1">
        <f t="shared" si="89"/>
        <v>3.7999999999999999E-2</v>
      </c>
      <c r="AT118" s="133">
        <f t="shared" si="90"/>
        <v>4.8000000000000001E-2</v>
      </c>
      <c r="AU118" s="132">
        <f t="shared" si="72"/>
        <v>5.8942855248603099</v>
      </c>
      <c r="AV118" s="1">
        <f t="shared" si="73"/>
        <v>66.599999999999994</v>
      </c>
      <c r="AW118" s="133">
        <f t="shared" si="74"/>
        <v>91.869310136398269</v>
      </c>
    </row>
    <row r="119" spans="17:49" x14ac:dyDescent="0.25">
      <c r="Q119">
        <v>112</v>
      </c>
      <c r="R119" s="132">
        <f t="shared" si="46"/>
        <v>18</v>
      </c>
      <c r="S119" s="1">
        <f t="shared" si="47"/>
        <v>3.7333333333333334</v>
      </c>
      <c r="T119" s="1">
        <f t="shared" si="76"/>
        <v>12</v>
      </c>
      <c r="U119" s="133">
        <f t="shared" si="77"/>
        <v>5.6000000000000005</v>
      </c>
      <c r="V119" s="132">
        <f>IF(Calculations!$B$17=3,2,IF((S119*R119/T119)&lt;((T119*(1-(T119/R119)))/(2*Lm*fsw)),1,2))</f>
        <v>2</v>
      </c>
      <c r="W119" s="1">
        <f t="shared" si="78"/>
        <v>0.33333333333333337</v>
      </c>
      <c r="X119" s="133">
        <f t="shared" si="79"/>
        <v>0.66666666666666663</v>
      </c>
      <c r="Y119" s="132">
        <f t="shared" si="80"/>
        <v>1.6</v>
      </c>
      <c r="Z119" s="1">
        <f t="shared" si="63"/>
        <v>6.4</v>
      </c>
      <c r="AA119" s="1">
        <f t="shared" si="64"/>
        <v>5.6190153348547947</v>
      </c>
      <c r="AB119" s="1">
        <v>0</v>
      </c>
      <c r="AC119" s="1">
        <f t="shared" si="81"/>
        <v>2.6205866666666675</v>
      </c>
      <c r="AD119" s="133">
        <f t="shared" si="65"/>
        <v>2.6205866666666675</v>
      </c>
      <c r="AE119" s="132">
        <f t="shared" si="75"/>
        <v>1.8666666666666671</v>
      </c>
      <c r="AF119" s="1">
        <f t="shared" si="66"/>
        <v>3.2441400161590508</v>
      </c>
      <c r="AG119" s="1">
        <f t="shared" si="82"/>
        <v>1.0524444444444447E-2</v>
      </c>
      <c r="AH119" s="1">
        <f t="shared" si="83"/>
        <v>0.20826162112017324</v>
      </c>
      <c r="AI119" s="133">
        <f t="shared" si="67"/>
        <v>0.21878606556461769</v>
      </c>
      <c r="AJ119" s="132">
        <f t="shared" si="68"/>
        <v>3.7333333333333334</v>
      </c>
      <c r="AK119" s="1">
        <f t="shared" si="69"/>
        <v>4.5879068090894011</v>
      </c>
      <c r="AL119" s="1">
        <f t="shared" si="84"/>
        <v>2.1048888888888891E-2</v>
      </c>
      <c r="AM119" s="1">
        <f t="shared" si="91"/>
        <v>0.15510000000000004</v>
      </c>
      <c r="AN119" s="136">
        <f t="shared" si="85"/>
        <v>0.1024</v>
      </c>
      <c r="AO119" s="133">
        <f t="shared" si="71"/>
        <v>0.27854888888888896</v>
      </c>
      <c r="AP119" s="132">
        <f t="shared" si="86"/>
        <v>0.12629333333333337</v>
      </c>
      <c r="AQ119" s="137">
        <f t="shared" si="87"/>
        <v>2.6205866666666675</v>
      </c>
      <c r="AR119" s="137">
        <f t="shared" si="88"/>
        <v>4.147588250013759E-2</v>
      </c>
      <c r="AS119" s="1">
        <f t="shared" si="89"/>
        <v>3.7999999999999999E-2</v>
      </c>
      <c r="AT119" s="133">
        <f t="shared" si="90"/>
        <v>4.8000000000000001E-2</v>
      </c>
      <c r="AU119" s="132">
        <f t="shared" si="72"/>
        <v>5.9922775036203131</v>
      </c>
      <c r="AV119" s="1">
        <f t="shared" si="73"/>
        <v>67.2</v>
      </c>
      <c r="AW119" s="133">
        <f t="shared" si="74"/>
        <v>91.81296482634535</v>
      </c>
    </row>
    <row r="120" spans="17:49" x14ac:dyDescent="0.25">
      <c r="Q120">
        <v>113</v>
      </c>
      <c r="R120" s="132">
        <f t="shared" si="46"/>
        <v>18</v>
      </c>
      <c r="S120" s="1">
        <f t="shared" si="47"/>
        <v>3.7666666666666666</v>
      </c>
      <c r="T120" s="1">
        <f t="shared" si="76"/>
        <v>12</v>
      </c>
      <c r="U120" s="133">
        <f t="shared" si="77"/>
        <v>5.6499999999999995</v>
      </c>
      <c r="V120" s="132">
        <f>IF(Calculations!$B$17=3,2,IF((S120*R120/T120)&lt;((T120*(1-(T120/R120)))/(2*Lm*fsw)),1,2))</f>
        <v>2</v>
      </c>
      <c r="W120" s="1">
        <f t="shared" si="78"/>
        <v>0.33333333333333337</v>
      </c>
      <c r="X120" s="133">
        <f t="shared" si="79"/>
        <v>0.66666666666666663</v>
      </c>
      <c r="Y120" s="132">
        <f t="shared" si="80"/>
        <v>1.6</v>
      </c>
      <c r="Z120" s="1">
        <f t="shared" si="63"/>
        <v>6.4499999999999993</v>
      </c>
      <c r="AA120" s="1">
        <f t="shared" si="64"/>
        <v>5.6688476195196253</v>
      </c>
      <c r="AB120" s="1">
        <v>0</v>
      </c>
      <c r="AC120" s="1">
        <f t="shared" si="81"/>
        <v>2.6672741666666662</v>
      </c>
      <c r="AD120" s="133">
        <f t="shared" si="65"/>
        <v>2.6672741666666662</v>
      </c>
      <c r="AE120" s="132">
        <f t="shared" si="75"/>
        <v>1.8833333333333333</v>
      </c>
      <c r="AF120" s="1">
        <f t="shared" si="66"/>
        <v>3.2729106991246253</v>
      </c>
      <c r="AG120" s="1">
        <f t="shared" si="82"/>
        <v>1.0711944444444442E-2</v>
      </c>
      <c r="AH120" s="1">
        <f t="shared" si="83"/>
        <v>0.21012109988017472</v>
      </c>
      <c r="AI120" s="133">
        <f t="shared" si="67"/>
        <v>0.22083304432461917</v>
      </c>
      <c r="AJ120" s="132">
        <f t="shared" si="68"/>
        <v>3.7666666666666662</v>
      </c>
      <c r="AK120" s="1">
        <f t="shared" si="69"/>
        <v>4.6285946991380529</v>
      </c>
      <c r="AL120" s="1">
        <f t="shared" si="84"/>
        <v>2.1423888888888881E-2</v>
      </c>
      <c r="AM120" s="1">
        <f t="shared" si="91"/>
        <v>0.15510000000000004</v>
      </c>
      <c r="AN120" s="136">
        <f t="shared" si="85"/>
        <v>0.10319999999999999</v>
      </c>
      <c r="AO120" s="133">
        <f t="shared" si="71"/>
        <v>0.27972388888888888</v>
      </c>
      <c r="AP120" s="132">
        <f t="shared" si="86"/>
        <v>0.12854333333333329</v>
      </c>
      <c r="AQ120" s="137">
        <f t="shared" si="87"/>
        <v>2.6672741666666662</v>
      </c>
      <c r="AR120" s="137">
        <f t="shared" si="88"/>
        <v>4.147588250013759E-2</v>
      </c>
      <c r="AS120" s="1">
        <f t="shared" si="89"/>
        <v>3.7999999999999999E-2</v>
      </c>
      <c r="AT120" s="133">
        <f t="shared" si="90"/>
        <v>4.8000000000000001E-2</v>
      </c>
      <c r="AU120" s="132">
        <f t="shared" si="72"/>
        <v>6.0911244823803115</v>
      </c>
      <c r="AV120" s="1">
        <f t="shared" si="73"/>
        <v>67.8</v>
      </c>
      <c r="AW120" s="133">
        <f t="shared" si="74"/>
        <v>91.756622293882174</v>
      </c>
    </row>
    <row r="121" spans="17:49" x14ac:dyDescent="0.25">
      <c r="Q121">
        <v>114</v>
      </c>
      <c r="R121" s="132">
        <f t="shared" si="46"/>
        <v>18</v>
      </c>
      <c r="S121" s="1">
        <f t="shared" si="47"/>
        <v>3.8</v>
      </c>
      <c r="T121" s="1">
        <f t="shared" si="76"/>
        <v>12</v>
      </c>
      <c r="U121" s="133">
        <f t="shared" si="77"/>
        <v>5.6999999999999993</v>
      </c>
      <c r="V121" s="132">
        <f>IF(Calculations!$B$17=3,2,IF((S121*R121/T121)&lt;((T121*(1-(T121/R121)))/(2*Lm*fsw)),1,2))</f>
        <v>2</v>
      </c>
      <c r="W121" s="1">
        <f t="shared" si="78"/>
        <v>0.33333333333333337</v>
      </c>
      <c r="X121" s="133">
        <f t="shared" si="79"/>
        <v>0.66666666666666663</v>
      </c>
      <c r="Y121" s="132">
        <f t="shared" si="80"/>
        <v>1.6</v>
      </c>
      <c r="Z121" s="1">
        <f t="shared" si="63"/>
        <v>6.4999999999999991</v>
      </c>
      <c r="AA121" s="1">
        <f t="shared" si="64"/>
        <v>5.7186828320281347</v>
      </c>
      <c r="AB121" s="1">
        <v>0</v>
      </c>
      <c r="AC121" s="1">
        <f t="shared" si="81"/>
        <v>2.714376666666666</v>
      </c>
      <c r="AD121" s="133">
        <f t="shared" si="65"/>
        <v>2.714376666666666</v>
      </c>
      <c r="AE121" s="132">
        <f t="shared" si="75"/>
        <v>1.9</v>
      </c>
      <c r="AF121" s="1">
        <f t="shared" si="66"/>
        <v>3.3016830724815347</v>
      </c>
      <c r="AG121" s="1">
        <f t="shared" si="82"/>
        <v>1.0901111111111106E-2</v>
      </c>
      <c r="AH121" s="1">
        <f t="shared" si="83"/>
        <v>0.2119805786401763</v>
      </c>
      <c r="AI121" s="133">
        <f t="shared" si="67"/>
        <v>0.22288168975128742</v>
      </c>
      <c r="AJ121" s="132">
        <f t="shared" si="68"/>
        <v>3.7999999999999994</v>
      </c>
      <c r="AK121" s="1">
        <f t="shared" si="69"/>
        <v>4.6692849797610565</v>
      </c>
      <c r="AL121" s="1">
        <f t="shared" si="84"/>
        <v>2.1802222222222209E-2</v>
      </c>
      <c r="AM121" s="1">
        <f t="shared" si="91"/>
        <v>0.15510000000000004</v>
      </c>
      <c r="AN121" s="136">
        <f t="shared" si="85"/>
        <v>0.10399999999999998</v>
      </c>
      <c r="AO121" s="133">
        <f t="shared" si="71"/>
        <v>0.28090222222222222</v>
      </c>
      <c r="AP121" s="132">
        <f t="shared" si="86"/>
        <v>0.13081333333333331</v>
      </c>
      <c r="AQ121" s="137">
        <f t="shared" si="87"/>
        <v>2.714376666666666</v>
      </c>
      <c r="AR121" s="137">
        <f t="shared" si="88"/>
        <v>4.147588250013759E-2</v>
      </c>
      <c r="AS121" s="1">
        <f t="shared" si="89"/>
        <v>3.7999999999999999E-2</v>
      </c>
      <c r="AT121" s="133">
        <f t="shared" si="90"/>
        <v>4.8000000000000001E-2</v>
      </c>
      <c r="AU121" s="132">
        <f t="shared" si="72"/>
        <v>6.190826461140313</v>
      </c>
      <c r="AV121" s="1">
        <f t="shared" si="73"/>
        <v>68.399999999999991</v>
      </c>
      <c r="AW121" s="133">
        <f t="shared" si="74"/>
        <v>91.700284398423221</v>
      </c>
    </row>
    <row r="122" spans="17:49" x14ac:dyDescent="0.25">
      <c r="Q122">
        <v>115</v>
      </c>
      <c r="R122" s="132">
        <f t="shared" si="46"/>
        <v>18</v>
      </c>
      <c r="S122" s="1">
        <f t="shared" si="47"/>
        <v>3.8333333333333335</v>
      </c>
      <c r="T122" s="1">
        <f t="shared" si="76"/>
        <v>12</v>
      </c>
      <c r="U122" s="133">
        <f t="shared" si="77"/>
        <v>5.75</v>
      </c>
      <c r="V122" s="132">
        <f>IF(Calculations!$B$17=3,2,IF((S122*R122/T122)&lt;((T122*(1-(T122/R122)))/(2*Lm*fsw)),1,2))</f>
        <v>2</v>
      </c>
      <c r="W122" s="1">
        <f t="shared" si="78"/>
        <v>0.33333333333333337</v>
      </c>
      <c r="X122" s="133">
        <f t="shared" si="79"/>
        <v>0.66666666666666663</v>
      </c>
      <c r="Y122" s="132">
        <f t="shared" si="80"/>
        <v>1.6</v>
      </c>
      <c r="Z122" s="1">
        <f t="shared" si="63"/>
        <v>6.55</v>
      </c>
      <c r="AA122" s="1">
        <f t="shared" si="64"/>
        <v>5.7685208964979342</v>
      </c>
      <c r="AB122" s="1">
        <v>0</v>
      </c>
      <c r="AC122" s="1">
        <f t="shared" si="81"/>
        <v>2.7618941666666665</v>
      </c>
      <c r="AD122" s="133">
        <f t="shared" si="65"/>
        <v>2.7618941666666665</v>
      </c>
      <c r="AE122" s="132">
        <f t="shared" si="75"/>
        <v>1.916666666666667</v>
      </c>
      <c r="AF122" s="1">
        <f t="shared" si="66"/>
        <v>3.3304570924190635</v>
      </c>
      <c r="AG122" s="1">
        <f t="shared" si="82"/>
        <v>1.1091944444444442E-2</v>
      </c>
      <c r="AH122" s="1">
        <f t="shared" si="83"/>
        <v>0.21384005740017784</v>
      </c>
      <c r="AI122" s="133">
        <f t="shared" si="67"/>
        <v>0.22493200184462228</v>
      </c>
      <c r="AJ122" s="132">
        <f t="shared" si="68"/>
        <v>3.833333333333333</v>
      </c>
      <c r="AK122" s="1">
        <f t="shared" si="69"/>
        <v>4.7099775890007036</v>
      </c>
      <c r="AL122" s="1">
        <f t="shared" si="84"/>
        <v>2.2183888888888881E-2</v>
      </c>
      <c r="AM122" s="1">
        <f t="shared" si="91"/>
        <v>0.15510000000000004</v>
      </c>
      <c r="AN122" s="136">
        <f t="shared" si="85"/>
        <v>0.1048</v>
      </c>
      <c r="AO122" s="133">
        <f t="shared" si="71"/>
        <v>0.28208388888888891</v>
      </c>
      <c r="AP122" s="132">
        <f t="shared" si="86"/>
        <v>0.13310333333333332</v>
      </c>
      <c r="AQ122" s="137">
        <f t="shared" si="87"/>
        <v>2.7618941666666665</v>
      </c>
      <c r="AR122" s="137">
        <f t="shared" si="88"/>
        <v>4.147588250013759E-2</v>
      </c>
      <c r="AS122" s="1">
        <f t="shared" si="89"/>
        <v>3.7999999999999999E-2</v>
      </c>
      <c r="AT122" s="133">
        <f t="shared" si="90"/>
        <v>4.8000000000000001E-2</v>
      </c>
      <c r="AU122" s="132">
        <f t="shared" si="72"/>
        <v>6.2913834399003159</v>
      </c>
      <c r="AV122" s="1">
        <f t="shared" si="73"/>
        <v>69</v>
      </c>
      <c r="AW122" s="133">
        <f t="shared" si="74"/>
        <v>91.643952929989297</v>
      </c>
    </row>
    <row r="123" spans="17:49" x14ac:dyDescent="0.25">
      <c r="Q123">
        <v>116</v>
      </c>
      <c r="R123" s="132">
        <f t="shared" si="46"/>
        <v>18</v>
      </c>
      <c r="S123" s="1">
        <f t="shared" si="47"/>
        <v>3.8666666666666667</v>
      </c>
      <c r="T123" s="1">
        <f t="shared" si="76"/>
        <v>12</v>
      </c>
      <c r="U123" s="133">
        <f t="shared" si="77"/>
        <v>5.8</v>
      </c>
      <c r="V123" s="132">
        <f>IF(Calculations!$B$17=3,2,IF((S123*R123/T123)&lt;((T123*(1-(T123/R123)))/(2*Lm*fsw)),1,2))</f>
        <v>2</v>
      </c>
      <c r="W123" s="1">
        <f t="shared" si="78"/>
        <v>0.33333333333333337</v>
      </c>
      <c r="X123" s="133">
        <f t="shared" si="79"/>
        <v>0.66666666666666663</v>
      </c>
      <c r="Y123" s="132">
        <f t="shared" si="80"/>
        <v>1.6</v>
      </c>
      <c r="Z123" s="1">
        <f t="shared" si="63"/>
        <v>6.6</v>
      </c>
      <c r="AA123" s="1">
        <f t="shared" si="64"/>
        <v>5.8183617396422962</v>
      </c>
      <c r="AB123" s="1">
        <v>0</v>
      </c>
      <c r="AC123" s="1">
        <f t="shared" si="81"/>
        <v>2.809826666666666</v>
      </c>
      <c r="AD123" s="133">
        <f t="shared" si="65"/>
        <v>2.809826666666666</v>
      </c>
      <c r="AE123" s="132">
        <f t="shared" si="75"/>
        <v>1.9333333333333336</v>
      </c>
      <c r="AF123" s="1">
        <f t="shared" si="66"/>
        <v>3.3592327166250988</v>
      </c>
      <c r="AG123" s="1">
        <f t="shared" si="82"/>
        <v>1.1284444444444441E-2</v>
      </c>
      <c r="AH123" s="1">
        <f t="shared" si="83"/>
        <v>0.21569953616017937</v>
      </c>
      <c r="AI123" s="133">
        <f t="shared" si="67"/>
        <v>0.2269839806046238</v>
      </c>
      <c r="AJ123" s="132">
        <f t="shared" si="68"/>
        <v>3.8666666666666663</v>
      </c>
      <c r="AK123" s="1">
        <f t="shared" si="69"/>
        <v>4.7506724670186307</v>
      </c>
      <c r="AL123" s="1">
        <f t="shared" si="84"/>
        <v>2.2568888888888881E-2</v>
      </c>
      <c r="AM123" s="1">
        <f t="shared" si="91"/>
        <v>0.15510000000000004</v>
      </c>
      <c r="AN123" s="136">
        <f t="shared" si="85"/>
        <v>0.1056</v>
      </c>
      <c r="AO123" s="133">
        <f t="shared" si="71"/>
        <v>0.2832688888888889</v>
      </c>
      <c r="AP123" s="132">
        <f t="shared" si="86"/>
        <v>0.1354133333333333</v>
      </c>
      <c r="AQ123" s="137">
        <f t="shared" si="87"/>
        <v>2.809826666666666</v>
      </c>
      <c r="AR123" s="137">
        <f t="shared" si="88"/>
        <v>4.147588250013759E-2</v>
      </c>
      <c r="AS123" s="1">
        <f t="shared" si="89"/>
        <v>3.7999999999999999E-2</v>
      </c>
      <c r="AT123" s="133">
        <f t="shared" si="90"/>
        <v>4.8000000000000001E-2</v>
      </c>
      <c r="AU123" s="132">
        <f t="shared" si="72"/>
        <v>6.3927954186603158</v>
      </c>
      <c r="AV123" s="1">
        <f t="shared" si="73"/>
        <v>69.599999999999994</v>
      </c>
      <c r="AW123" s="133">
        <f t="shared" si="74"/>
        <v>91.587629612200658</v>
      </c>
    </row>
    <row r="124" spans="17:49" x14ac:dyDescent="0.25">
      <c r="Q124">
        <v>117</v>
      </c>
      <c r="R124" s="132">
        <f t="shared" si="46"/>
        <v>18</v>
      </c>
      <c r="S124" s="1">
        <f t="shared" si="47"/>
        <v>3.9</v>
      </c>
      <c r="T124" s="1">
        <f t="shared" si="76"/>
        <v>12</v>
      </c>
      <c r="U124" s="133">
        <f t="shared" si="77"/>
        <v>5.8500000000000005</v>
      </c>
      <c r="V124" s="132">
        <f>IF(Calculations!$B$17=3,2,IF((S124*R124/T124)&lt;((T124*(1-(T124/R124)))/(2*Lm*fsw)),1,2))</f>
        <v>2</v>
      </c>
      <c r="W124" s="1">
        <f t="shared" si="78"/>
        <v>0.33333333333333337</v>
      </c>
      <c r="X124" s="133">
        <f t="shared" si="79"/>
        <v>0.66666666666666663</v>
      </c>
      <c r="Y124" s="132">
        <f t="shared" si="80"/>
        <v>1.6</v>
      </c>
      <c r="Z124" s="1">
        <f t="shared" si="63"/>
        <v>6.65</v>
      </c>
      <c r="AA124" s="1">
        <f t="shared" si="64"/>
        <v>5.8682052906602831</v>
      </c>
      <c r="AB124" s="1">
        <v>0</v>
      </c>
      <c r="AC124" s="1">
        <f t="shared" si="81"/>
        <v>2.8581741666666671</v>
      </c>
      <c r="AD124" s="133">
        <f t="shared" si="65"/>
        <v>2.8581741666666671</v>
      </c>
      <c r="AE124" s="132">
        <f t="shared" si="75"/>
        <v>1.9500000000000004</v>
      </c>
      <c r="AF124" s="1">
        <f t="shared" si="66"/>
        <v>3.3880099042227005</v>
      </c>
      <c r="AG124" s="1">
        <f t="shared" si="82"/>
        <v>1.1478611111111113E-2</v>
      </c>
      <c r="AH124" s="1">
        <f t="shared" si="83"/>
        <v>0.21755901492018095</v>
      </c>
      <c r="AI124" s="133">
        <f t="shared" si="67"/>
        <v>0.22903762603129207</v>
      </c>
      <c r="AJ124" s="132">
        <f t="shared" si="68"/>
        <v>3.9000000000000004</v>
      </c>
      <c r="AK124" s="1">
        <f t="shared" si="69"/>
        <v>4.7913695560061136</v>
      </c>
      <c r="AL124" s="1">
        <f t="shared" si="84"/>
        <v>2.2957222222222223E-2</v>
      </c>
      <c r="AM124" s="1">
        <f t="shared" si="91"/>
        <v>0.15510000000000004</v>
      </c>
      <c r="AN124" s="136">
        <f t="shared" si="85"/>
        <v>0.10640000000000001</v>
      </c>
      <c r="AO124" s="133">
        <f t="shared" si="71"/>
        <v>0.28445722222222225</v>
      </c>
      <c r="AP124" s="132">
        <f t="shared" si="86"/>
        <v>0.13774333333333333</v>
      </c>
      <c r="AQ124" s="137">
        <f t="shared" si="87"/>
        <v>2.8581741666666671</v>
      </c>
      <c r="AR124" s="137">
        <f t="shared" si="88"/>
        <v>4.147588250013759E-2</v>
      </c>
      <c r="AS124" s="1">
        <f t="shared" si="89"/>
        <v>3.7999999999999999E-2</v>
      </c>
      <c r="AT124" s="133">
        <f t="shared" si="90"/>
        <v>4.8000000000000001E-2</v>
      </c>
      <c r="AU124" s="132">
        <f t="shared" si="72"/>
        <v>6.4950623974203197</v>
      </c>
      <c r="AV124" s="1">
        <f t="shared" si="73"/>
        <v>70.2</v>
      </c>
      <c r="AW124" s="133">
        <f t="shared" si="74"/>
        <v>91.531316105117639</v>
      </c>
    </row>
    <row r="125" spans="17:49" x14ac:dyDescent="0.25">
      <c r="Q125">
        <v>118</v>
      </c>
      <c r="R125" s="132">
        <f t="shared" si="46"/>
        <v>18</v>
      </c>
      <c r="S125" s="1">
        <f t="shared" si="47"/>
        <v>3.9333333333333331</v>
      </c>
      <c r="T125" s="1">
        <f t="shared" si="76"/>
        <v>12</v>
      </c>
      <c r="U125" s="133">
        <f t="shared" si="77"/>
        <v>5.8999999999999995</v>
      </c>
      <c r="V125" s="132">
        <f>IF(Calculations!$B$17=3,2,IF((S125*R125/T125)&lt;((T125*(1-(T125/R125)))/(2*Lm*fsw)),1,2))</f>
        <v>2</v>
      </c>
      <c r="W125" s="1">
        <f t="shared" si="78"/>
        <v>0.33333333333333337</v>
      </c>
      <c r="X125" s="133">
        <f t="shared" si="79"/>
        <v>0.66666666666666663</v>
      </c>
      <c r="Y125" s="132">
        <f t="shared" si="80"/>
        <v>1.6</v>
      </c>
      <c r="Z125" s="1">
        <f t="shared" si="63"/>
        <v>6.6999999999999993</v>
      </c>
      <c r="AA125" s="1">
        <f t="shared" si="64"/>
        <v>5.9180514811323945</v>
      </c>
      <c r="AB125" s="1">
        <v>0</v>
      </c>
      <c r="AC125" s="1">
        <f t="shared" si="81"/>
        <v>2.9069366666666663</v>
      </c>
      <c r="AD125" s="133">
        <f t="shared" si="65"/>
        <v>2.9069366666666663</v>
      </c>
      <c r="AE125" s="132">
        <f t="shared" si="75"/>
        <v>1.9666666666666668</v>
      </c>
      <c r="AF125" s="1">
        <f t="shared" si="66"/>
        <v>3.4167886157098515</v>
      </c>
      <c r="AG125" s="1">
        <f t="shared" si="82"/>
        <v>1.1674444444444444E-2</v>
      </c>
      <c r="AH125" s="1">
        <f t="shared" si="83"/>
        <v>0.21941849368018246</v>
      </c>
      <c r="AI125" s="133">
        <f t="shared" si="67"/>
        <v>0.23109293812462689</v>
      </c>
      <c r="AJ125" s="132">
        <f t="shared" si="68"/>
        <v>3.9333333333333327</v>
      </c>
      <c r="AK125" s="1">
        <f t="shared" si="69"/>
        <v>4.832068800098865</v>
      </c>
      <c r="AL125" s="1">
        <f t="shared" si="84"/>
        <v>2.3348888888888884E-2</v>
      </c>
      <c r="AM125" s="1">
        <f t="shared" si="91"/>
        <v>0.15510000000000004</v>
      </c>
      <c r="AN125" s="136">
        <f t="shared" si="85"/>
        <v>0.10719999999999999</v>
      </c>
      <c r="AO125" s="133">
        <f t="shared" si="71"/>
        <v>0.28564888888888895</v>
      </c>
      <c r="AP125" s="132">
        <f t="shared" si="86"/>
        <v>0.14009333333333332</v>
      </c>
      <c r="AQ125" s="137">
        <f t="shared" si="87"/>
        <v>2.9069366666666663</v>
      </c>
      <c r="AR125" s="137">
        <f t="shared" si="88"/>
        <v>4.147588250013759E-2</v>
      </c>
      <c r="AS125" s="1">
        <f t="shared" si="89"/>
        <v>3.7999999999999999E-2</v>
      </c>
      <c r="AT125" s="133">
        <f t="shared" si="90"/>
        <v>4.8000000000000001E-2</v>
      </c>
      <c r="AU125" s="132">
        <f t="shared" si="72"/>
        <v>6.5981843761803196</v>
      </c>
      <c r="AV125" s="1">
        <f t="shared" si="73"/>
        <v>70.8</v>
      </c>
      <c r="AW125" s="133">
        <f t="shared" si="74"/>
        <v>91.47501400793719</v>
      </c>
    </row>
    <row r="126" spans="17:49" x14ac:dyDescent="0.25">
      <c r="Q126">
        <v>119</v>
      </c>
      <c r="R126" s="132">
        <f t="shared" si="46"/>
        <v>18</v>
      </c>
      <c r="S126" s="1">
        <f t="shared" si="47"/>
        <v>3.9666666666666668</v>
      </c>
      <c r="T126" s="1">
        <f t="shared" si="76"/>
        <v>12</v>
      </c>
      <c r="U126" s="133">
        <f t="shared" si="77"/>
        <v>5.95</v>
      </c>
      <c r="V126" s="132">
        <f>IF(Calculations!$B$17=3,2,IF((S126*R126/T126)&lt;((T126*(1-(T126/R126)))/(2*Lm*fsw)),1,2))</f>
        <v>2</v>
      </c>
      <c r="W126" s="1">
        <f t="shared" si="78"/>
        <v>0.33333333333333337</v>
      </c>
      <c r="X126" s="133">
        <f t="shared" si="79"/>
        <v>0.66666666666666663</v>
      </c>
      <c r="Y126" s="132">
        <f t="shared" si="80"/>
        <v>1.6</v>
      </c>
      <c r="Z126" s="1">
        <f t="shared" si="63"/>
        <v>6.75</v>
      </c>
      <c r="AA126" s="1">
        <f t="shared" si="64"/>
        <v>5.9679002449214362</v>
      </c>
      <c r="AB126" s="1">
        <v>0</v>
      </c>
      <c r="AC126" s="1">
        <f t="shared" si="81"/>
        <v>2.9561141666666675</v>
      </c>
      <c r="AD126" s="133">
        <f t="shared" si="65"/>
        <v>2.9561141666666675</v>
      </c>
      <c r="AE126" s="132">
        <f t="shared" si="75"/>
        <v>1.9833333333333336</v>
      </c>
      <c r="AF126" s="1">
        <f t="shared" si="66"/>
        <v>3.4455688129022244</v>
      </c>
      <c r="AG126" s="1">
        <f t="shared" si="82"/>
        <v>1.1871944444444444E-2</v>
      </c>
      <c r="AH126" s="1">
        <f t="shared" si="83"/>
        <v>0.22127797244018405</v>
      </c>
      <c r="AI126" s="133">
        <f t="shared" si="67"/>
        <v>0.23314991688462849</v>
      </c>
      <c r="AJ126" s="132">
        <f t="shared" si="68"/>
        <v>3.9666666666666668</v>
      </c>
      <c r="AK126" s="1">
        <f t="shared" si="69"/>
        <v>4.8727701452960908</v>
      </c>
      <c r="AL126" s="1">
        <f t="shared" si="84"/>
        <v>2.3743888888888887E-2</v>
      </c>
      <c r="AM126" s="1">
        <f t="shared" si="91"/>
        <v>0.15510000000000004</v>
      </c>
      <c r="AN126" s="136">
        <f t="shared" si="85"/>
        <v>0.108</v>
      </c>
      <c r="AO126" s="133">
        <f t="shared" si="71"/>
        <v>0.28684388888888895</v>
      </c>
      <c r="AP126" s="132">
        <f t="shared" si="86"/>
        <v>0.14246333333333336</v>
      </c>
      <c r="AQ126" s="137">
        <f t="shared" si="87"/>
        <v>2.9561141666666675</v>
      </c>
      <c r="AR126" s="137">
        <f t="shared" si="88"/>
        <v>4.147588250013759E-2</v>
      </c>
      <c r="AS126" s="1">
        <f t="shared" si="89"/>
        <v>3.7999999999999999E-2</v>
      </c>
      <c r="AT126" s="133">
        <f t="shared" si="90"/>
        <v>4.8000000000000001E-2</v>
      </c>
      <c r="AU126" s="132">
        <f t="shared" si="72"/>
        <v>6.7021613549403236</v>
      </c>
      <c r="AV126" s="1">
        <f t="shared" si="73"/>
        <v>71.400000000000006</v>
      </c>
      <c r="AW126" s="133">
        <f t="shared" si="74"/>
        <v>91.418724861554196</v>
      </c>
    </row>
    <row r="127" spans="17:49" x14ac:dyDescent="0.25">
      <c r="Q127">
        <v>120</v>
      </c>
      <c r="R127" s="132">
        <f t="shared" si="46"/>
        <v>18</v>
      </c>
      <c r="S127" s="1">
        <f t="shared" si="47"/>
        <v>4</v>
      </c>
      <c r="T127" s="1">
        <f t="shared" si="76"/>
        <v>12</v>
      </c>
      <c r="U127" s="133">
        <f t="shared" si="77"/>
        <v>6</v>
      </c>
      <c r="V127" s="132">
        <f>IF(Calculations!$B$17=3,2,IF((S127*R127/T127)&lt;((T127*(1-(T127/R127)))/(2*Lm*fsw)),1,2))</f>
        <v>2</v>
      </c>
      <c r="W127" s="1">
        <f t="shared" si="78"/>
        <v>0.33333333333333337</v>
      </c>
      <c r="X127" s="133">
        <f t="shared" si="79"/>
        <v>0.66666666666666663</v>
      </c>
      <c r="Y127" s="132">
        <f t="shared" si="80"/>
        <v>1.6</v>
      </c>
      <c r="Z127" s="1">
        <f t="shared" si="63"/>
        <v>6.8</v>
      </c>
      <c r="AA127" s="1">
        <f t="shared" si="64"/>
        <v>6.0177515180782706</v>
      </c>
      <c r="AB127" s="1">
        <v>0</v>
      </c>
      <c r="AC127" s="1">
        <f t="shared" si="81"/>
        <v>3.0057066666666667</v>
      </c>
      <c r="AD127" s="133">
        <f t="shared" si="65"/>
        <v>3.0057066666666667</v>
      </c>
      <c r="AE127" s="132">
        <f t="shared" si="75"/>
        <v>2</v>
      </c>
      <c r="AF127" s="1">
        <f t="shared" si="66"/>
        <v>3.4743504588787686</v>
      </c>
      <c r="AG127" s="1">
        <f t="shared" si="82"/>
        <v>1.2071111111111111E-2</v>
      </c>
      <c r="AH127" s="1">
        <f t="shared" si="83"/>
        <v>0.22313745120018558</v>
      </c>
      <c r="AI127" s="133">
        <f t="shared" si="67"/>
        <v>0.23520856231129669</v>
      </c>
      <c r="AJ127" s="132">
        <f t="shared" si="68"/>
        <v>4</v>
      </c>
      <c r="AK127" s="1">
        <f t="shared" si="69"/>
        <v>4.9134735393835403</v>
      </c>
      <c r="AL127" s="1">
        <f t="shared" si="84"/>
        <v>2.4142222222222218E-2</v>
      </c>
      <c r="AM127" s="1">
        <f t="shared" si="91"/>
        <v>0.15510000000000004</v>
      </c>
      <c r="AN127" s="136">
        <f t="shared" si="85"/>
        <v>0.10879999999999999</v>
      </c>
      <c r="AO127" s="133">
        <f t="shared" si="71"/>
        <v>0.28804222222222226</v>
      </c>
      <c r="AP127" s="132">
        <f t="shared" si="86"/>
        <v>0.14485333333333333</v>
      </c>
      <c r="AQ127" s="137">
        <f t="shared" si="87"/>
        <v>3.0057066666666667</v>
      </c>
      <c r="AR127" s="137">
        <f t="shared" si="88"/>
        <v>4.147588250013759E-2</v>
      </c>
      <c r="AS127" s="1">
        <f t="shared" si="89"/>
        <v>3.7999999999999999E-2</v>
      </c>
      <c r="AT127" s="133">
        <f t="shared" si="90"/>
        <v>4.8000000000000001E-2</v>
      </c>
      <c r="AU127" s="132">
        <f t="shared" si="72"/>
        <v>6.8069933337003237</v>
      </c>
      <c r="AV127" s="1">
        <f t="shared" si="73"/>
        <v>72</v>
      </c>
      <c r="AW127" s="133">
        <f t="shared" si="74"/>
        <v>91.362450150995116</v>
      </c>
    </row>
    <row r="128" spans="17:49" x14ac:dyDescent="0.25">
      <c r="Q128">
        <v>121</v>
      </c>
      <c r="R128" s="132">
        <f t="shared" si="46"/>
        <v>18</v>
      </c>
      <c r="S128" s="1">
        <f t="shared" si="47"/>
        <v>4.0333333333333332</v>
      </c>
      <c r="T128" s="1">
        <f t="shared" si="76"/>
        <v>12</v>
      </c>
      <c r="U128" s="133">
        <f t="shared" si="77"/>
        <v>6.05</v>
      </c>
      <c r="V128" s="132">
        <f>IF(Calculations!$B$17=3,2,IF((S128*R128/T128)&lt;((T128*(1-(T128/R128)))/(2*Lm*fsw)),1,2))</f>
        <v>2</v>
      </c>
      <c r="W128" s="1">
        <f t="shared" si="78"/>
        <v>0.33333333333333337</v>
      </c>
      <c r="X128" s="133">
        <f t="shared" si="79"/>
        <v>0.66666666666666663</v>
      </c>
      <c r="Y128" s="132">
        <f t="shared" si="80"/>
        <v>1.6</v>
      </c>
      <c r="Z128" s="1">
        <f t="shared" si="63"/>
        <v>6.85</v>
      </c>
      <c r="AA128" s="1">
        <f t="shared" si="64"/>
        <v>6.0676052387522157</v>
      </c>
      <c r="AB128" s="1">
        <v>0</v>
      </c>
      <c r="AC128" s="1">
        <f t="shared" si="81"/>
        <v>3.0557141666666667</v>
      </c>
      <c r="AD128" s="133">
        <f t="shared" si="65"/>
        <v>3.0557141666666667</v>
      </c>
      <c r="AE128" s="132">
        <f t="shared" si="75"/>
        <v>2.0166666666666671</v>
      </c>
      <c r="AF128" s="1">
        <f t="shared" si="66"/>
        <v>3.503133517929975</v>
      </c>
      <c r="AG128" s="1">
        <f t="shared" si="82"/>
        <v>1.2271944444444441E-2</v>
      </c>
      <c r="AH128" s="1">
        <f t="shared" si="83"/>
        <v>0.22499692996018708</v>
      </c>
      <c r="AI128" s="133">
        <f t="shared" si="67"/>
        <v>0.23726887440463151</v>
      </c>
      <c r="AJ128" s="132">
        <f t="shared" si="68"/>
        <v>4.0333333333333332</v>
      </c>
      <c r="AK128" s="1">
        <f t="shared" si="69"/>
        <v>4.9541789318603424</v>
      </c>
      <c r="AL128" s="1">
        <f t="shared" si="84"/>
        <v>2.4543888888888882E-2</v>
      </c>
      <c r="AM128" s="1">
        <f t="shared" si="91"/>
        <v>0.15510000000000004</v>
      </c>
      <c r="AN128" s="136">
        <f t="shared" si="85"/>
        <v>0.1096</v>
      </c>
      <c r="AO128" s="133">
        <f t="shared" si="71"/>
        <v>0.28924388888888897</v>
      </c>
      <c r="AP128" s="132">
        <f t="shared" si="86"/>
        <v>0.14726333333333333</v>
      </c>
      <c r="AQ128" s="137">
        <f t="shared" si="87"/>
        <v>3.0557141666666667</v>
      </c>
      <c r="AR128" s="137">
        <f t="shared" si="88"/>
        <v>4.147588250013759E-2</v>
      </c>
      <c r="AS128" s="1">
        <f t="shared" si="89"/>
        <v>3.7999999999999999E-2</v>
      </c>
      <c r="AT128" s="133">
        <f t="shared" si="90"/>
        <v>4.8000000000000001E-2</v>
      </c>
      <c r="AU128" s="132">
        <f t="shared" si="72"/>
        <v>6.9126803124603251</v>
      </c>
      <c r="AV128" s="1">
        <f t="shared" si="73"/>
        <v>72.599999999999994</v>
      </c>
      <c r="AW128" s="133">
        <f t="shared" si="74"/>
        <v>91.306191307731524</v>
      </c>
    </row>
    <row r="129" spans="17:49" x14ac:dyDescent="0.25">
      <c r="Q129">
        <v>122</v>
      </c>
      <c r="R129" s="132">
        <f t="shared" si="46"/>
        <v>18</v>
      </c>
      <c r="S129" s="1">
        <f t="shared" si="47"/>
        <v>4.0666666666666664</v>
      </c>
      <c r="T129" s="1">
        <f t="shared" si="76"/>
        <v>12</v>
      </c>
      <c r="U129" s="133">
        <f t="shared" si="77"/>
        <v>6.0999999999999988</v>
      </c>
      <c r="V129" s="132">
        <f>IF(Calculations!$B$17=3,2,IF((S129*R129/T129)&lt;((T129*(1-(T129/R129)))/(2*Lm*fsw)),1,2))</f>
        <v>2</v>
      </c>
      <c r="W129" s="1">
        <f t="shared" si="78"/>
        <v>0.33333333333333337</v>
      </c>
      <c r="X129" s="133">
        <f t="shared" si="79"/>
        <v>0.66666666666666663</v>
      </c>
      <c r="Y129" s="132">
        <f t="shared" si="80"/>
        <v>1.6</v>
      </c>
      <c r="Z129" s="1">
        <f t="shared" si="63"/>
        <v>6.8999999999999986</v>
      </c>
      <c r="AA129" s="1">
        <f t="shared" si="64"/>
        <v>6.1174613471057846</v>
      </c>
      <c r="AB129" s="1">
        <v>0</v>
      </c>
      <c r="AC129" s="1">
        <f t="shared" si="81"/>
        <v>3.1061366666666657</v>
      </c>
      <c r="AD129" s="133">
        <f t="shared" si="65"/>
        <v>3.1061366666666657</v>
      </c>
      <c r="AE129" s="132">
        <f t="shared" si="75"/>
        <v>2.0333333333333332</v>
      </c>
      <c r="AF129" s="1">
        <f t="shared" si="66"/>
        <v>3.5319179555086553</v>
      </c>
      <c r="AG129" s="1">
        <f t="shared" si="82"/>
        <v>1.2474444444444439E-2</v>
      </c>
      <c r="AH129" s="1">
        <f t="shared" si="83"/>
        <v>0.22685640872018864</v>
      </c>
      <c r="AI129" s="133">
        <f t="shared" si="67"/>
        <v>0.23933085316463307</v>
      </c>
      <c r="AJ129" s="132">
        <f t="shared" si="68"/>
        <v>4.0666666666666655</v>
      </c>
      <c r="AK129" s="1">
        <f t="shared" si="69"/>
        <v>4.9948862738693931</v>
      </c>
      <c r="AL129" s="1">
        <f t="shared" si="84"/>
        <v>2.4948888888888871E-2</v>
      </c>
      <c r="AM129" s="1">
        <f t="shared" si="91"/>
        <v>0.15510000000000004</v>
      </c>
      <c r="AN129" s="136">
        <f t="shared" si="85"/>
        <v>0.11039999999999998</v>
      </c>
      <c r="AO129" s="133">
        <f t="shared" si="71"/>
        <v>0.29044888888888892</v>
      </c>
      <c r="AP129" s="132">
        <f t="shared" si="86"/>
        <v>0.14969333333333326</v>
      </c>
      <c r="AQ129" s="137">
        <f t="shared" si="87"/>
        <v>3.1061366666666657</v>
      </c>
      <c r="AR129" s="137">
        <f t="shared" si="88"/>
        <v>4.147588250013759E-2</v>
      </c>
      <c r="AS129" s="1">
        <f t="shared" si="89"/>
        <v>3.7999999999999999E-2</v>
      </c>
      <c r="AT129" s="133">
        <f t="shared" si="90"/>
        <v>4.8000000000000001E-2</v>
      </c>
      <c r="AU129" s="132">
        <f t="shared" si="72"/>
        <v>7.0192222912203244</v>
      </c>
      <c r="AV129" s="1">
        <f t="shared" si="73"/>
        <v>73.199999999999989</v>
      </c>
      <c r="AW129" s="133">
        <f t="shared" si="74"/>
        <v>91.249949711880276</v>
      </c>
    </row>
    <row r="130" spans="17:49" x14ac:dyDescent="0.25">
      <c r="Q130">
        <v>123</v>
      </c>
      <c r="R130" s="132">
        <f t="shared" si="46"/>
        <v>18</v>
      </c>
      <c r="S130" s="1">
        <f t="shared" si="47"/>
        <v>4.0999999999999996</v>
      </c>
      <c r="T130" s="1">
        <f t="shared" si="76"/>
        <v>12</v>
      </c>
      <c r="U130" s="133">
        <f t="shared" si="77"/>
        <v>6.1499999999999995</v>
      </c>
      <c r="V130" s="132">
        <f>IF(Calculations!$B$17=3,2,IF((S130*R130/T130)&lt;((T130*(1-(T130/R130)))/(2*Lm*fsw)),1,2))</f>
        <v>2</v>
      </c>
      <c r="W130" s="1">
        <f t="shared" si="78"/>
        <v>0.33333333333333337</v>
      </c>
      <c r="X130" s="133">
        <f t="shared" si="79"/>
        <v>0.66666666666666663</v>
      </c>
      <c r="Y130" s="132">
        <f t="shared" si="80"/>
        <v>1.6</v>
      </c>
      <c r="Z130" s="1">
        <f t="shared" si="63"/>
        <v>6.9499999999999993</v>
      </c>
      <c r="AA130" s="1">
        <f t="shared" si="64"/>
        <v>6.1673197852335599</v>
      </c>
      <c r="AB130" s="1">
        <v>0</v>
      </c>
      <c r="AC130" s="1">
        <f t="shared" si="81"/>
        <v>3.1569741666666657</v>
      </c>
      <c r="AD130" s="133">
        <f t="shared" si="65"/>
        <v>3.1569741666666657</v>
      </c>
      <c r="AE130" s="132">
        <f t="shared" si="75"/>
        <v>2.0500000000000003</v>
      </c>
      <c r="AF130" s="1">
        <f t="shared" si="66"/>
        <v>3.5607037381831006</v>
      </c>
      <c r="AG130" s="1">
        <f t="shared" si="82"/>
        <v>1.2678611111111106E-2</v>
      </c>
      <c r="AH130" s="1">
        <f t="shared" si="83"/>
        <v>0.22871588748019017</v>
      </c>
      <c r="AI130" s="133">
        <f t="shared" si="67"/>
        <v>0.24139449859130127</v>
      </c>
      <c r="AJ130" s="132">
        <f t="shared" si="68"/>
        <v>4.0999999999999996</v>
      </c>
      <c r="AK130" s="1">
        <f t="shared" si="69"/>
        <v>5.0355955181311192</v>
      </c>
      <c r="AL130" s="1">
        <f t="shared" si="84"/>
        <v>2.5357222222222215E-2</v>
      </c>
      <c r="AM130" s="1">
        <f t="shared" si="91"/>
        <v>0.15510000000000004</v>
      </c>
      <c r="AN130" s="136">
        <f t="shared" si="85"/>
        <v>0.11119999999999999</v>
      </c>
      <c r="AO130" s="133">
        <f t="shared" si="71"/>
        <v>0.29165722222222223</v>
      </c>
      <c r="AP130" s="132">
        <f t="shared" si="86"/>
        <v>0.1521433333333333</v>
      </c>
      <c r="AQ130" s="137">
        <f t="shared" si="87"/>
        <v>3.1569741666666657</v>
      </c>
      <c r="AR130" s="137">
        <f t="shared" si="88"/>
        <v>4.147588250013759E-2</v>
      </c>
      <c r="AS130" s="1">
        <f t="shared" si="89"/>
        <v>3.7999999999999999E-2</v>
      </c>
      <c r="AT130" s="133">
        <f t="shared" si="90"/>
        <v>4.8000000000000001E-2</v>
      </c>
      <c r="AU130" s="132">
        <f t="shared" si="72"/>
        <v>7.1266192699803259</v>
      </c>
      <c r="AV130" s="1">
        <f t="shared" si="73"/>
        <v>73.8</v>
      </c>
      <c r="AW130" s="133">
        <f t="shared" si="74"/>
        <v>91.193726694296814</v>
      </c>
    </row>
    <row r="131" spans="17:49" x14ac:dyDescent="0.25">
      <c r="Q131">
        <v>124</v>
      </c>
      <c r="R131" s="132">
        <f t="shared" si="46"/>
        <v>18</v>
      </c>
      <c r="S131" s="1">
        <f t="shared" si="47"/>
        <v>4.1333333333333329</v>
      </c>
      <c r="T131" s="1">
        <f t="shared" si="76"/>
        <v>12</v>
      </c>
      <c r="U131" s="133">
        <f t="shared" si="77"/>
        <v>6.1999999999999993</v>
      </c>
      <c r="V131" s="132">
        <f>IF(Calculations!$B$17=3,2,IF((S131*R131/T131)&lt;((T131*(1-(T131/R131)))/(2*Lm*fsw)),1,2))</f>
        <v>2</v>
      </c>
      <c r="W131" s="1">
        <f t="shared" si="78"/>
        <v>0.33333333333333337</v>
      </c>
      <c r="X131" s="133">
        <f t="shared" si="79"/>
        <v>0.66666666666666663</v>
      </c>
      <c r="Y131" s="132">
        <f t="shared" si="80"/>
        <v>1.6</v>
      </c>
      <c r="Z131" s="1">
        <f t="shared" si="63"/>
        <v>6.9999999999999991</v>
      </c>
      <c r="AA131" s="1">
        <f t="shared" si="64"/>
        <v>6.2171804970849385</v>
      </c>
      <c r="AB131" s="1">
        <v>0</v>
      </c>
      <c r="AC131" s="1">
        <f t="shared" si="81"/>
        <v>3.2082266666666657</v>
      </c>
      <c r="AD131" s="133">
        <f t="shared" si="65"/>
        <v>3.2082266666666657</v>
      </c>
      <c r="AE131" s="132">
        <f t="shared" si="75"/>
        <v>2.0666666666666669</v>
      </c>
      <c r="AF131" s="1">
        <f t="shared" si="66"/>
        <v>3.5894908335924809</v>
      </c>
      <c r="AG131" s="1">
        <f t="shared" si="82"/>
        <v>1.2884444444444445E-2</v>
      </c>
      <c r="AH131" s="1">
        <f t="shared" si="83"/>
        <v>0.23057536624019176</v>
      </c>
      <c r="AI131" s="133">
        <f t="shared" si="67"/>
        <v>0.24345981068463621</v>
      </c>
      <c r="AJ131" s="132">
        <f t="shared" si="68"/>
        <v>4.1333333333333329</v>
      </c>
      <c r="AK131" s="1">
        <f t="shared" si="69"/>
        <v>5.076306618880392</v>
      </c>
      <c r="AL131" s="1">
        <f t="shared" si="84"/>
        <v>2.5768888888888879E-2</v>
      </c>
      <c r="AM131" s="1">
        <f t="shared" si="91"/>
        <v>0.15510000000000004</v>
      </c>
      <c r="AN131" s="136">
        <f t="shared" si="85"/>
        <v>0.11199999999999999</v>
      </c>
      <c r="AO131" s="133">
        <f t="shared" si="71"/>
        <v>0.2928688888888889</v>
      </c>
      <c r="AP131" s="132">
        <f t="shared" si="86"/>
        <v>0.1546133333333333</v>
      </c>
      <c r="AQ131" s="137">
        <f t="shared" si="87"/>
        <v>3.2082266666666657</v>
      </c>
      <c r="AR131" s="137">
        <f t="shared" si="88"/>
        <v>4.147588250013759E-2</v>
      </c>
      <c r="AS131" s="1">
        <f t="shared" si="89"/>
        <v>3.7999999999999999E-2</v>
      </c>
      <c r="AT131" s="133">
        <f t="shared" si="90"/>
        <v>4.8000000000000001E-2</v>
      </c>
      <c r="AU131" s="132">
        <f t="shared" si="72"/>
        <v>7.2348712487403271</v>
      </c>
      <c r="AV131" s="1">
        <f t="shared" si="73"/>
        <v>74.399999999999991</v>
      </c>
      <c r="AW131" s="133">
        <f t="shared" si="74"/>
        <v>91.137523538567507</v>
      </c>
    </row>
    <row r="132" spans="17:49" x14ac:dyDescent="0.25">
      <c r="Q132">
        <v>125</v>
      </c>
      <c r="R132" s="132">
        <f t="shared" si="46"/>
        <v>18</v>
      </c>
      <c r="S132" s="1">
        <f t="shared" si="47"/>
        <v>4.166666666666667</v>
      </c>
      <c r="T132" s="1">
        <f t="shared" si="76"/>
        <v>12</v>
      </c>
      <c r="U132" s="133">
        <f t="shared" si="77"/>
        <v>6.25</v>
      </c>
      <c r="V132" s="132">
        <f>IF(Calculations!$B$17=3,2,IF((S132*R132/T132)&lt;((T132*(1-(T132/R132)))/(2*Lm*fsw)),1,2))</f>
        <v>2</v>
      </c>
      <c r="W132" s="1">
        <f t="shared" si="78"/>
        <v>0.33333333333333337</v>
      </c>
      <c r="X132" s="133">
        <f t="shared" si="79"/>
        <v>0.66666666666666663</v>
      </c>
      <c r="Y132" s="132">
        <f t="shared" si="80"/>
        <v>1.6</v>
      </c>
      <c r="Z132" s="1">
        <f t="shared" si="63"/>
        <v>7.05</v>
      </c>
      <c r="AA132" s="1">
        <f t="shared" si="64"/>
        <v>6.2670434283905623</v>
      </c>
      <c r="AB132" s="1">
        <v>0</v>
      </c>
      <c r="AC132" s="1">
        <f t="shared" si="81"/>
        <v>3.2598941666666668</v>
      </c>
      <c r="AD132" s="133">
        <f t="shared" si="65"/>
        <v>3.2598941666666668</v>
      </c>
      <c r="AE132" s="132">
        <f t="shared" si="75"/>
        <v>2.0833333333333335</v>
      </c>
      <c r="AF132" s="1">
        <f t="shared" si="66"/>
        <v>3.6182792104043666</v>
      </c>
      <c r="AG132" s="1">
        <f t="shared" si="82"/>
        <v>1.3091944444444448E-2</v>
      </c>
      <c r="AH132" s="1">
        <f t="shared" si="83"/>
        <v>0.23243484500019329</v>
      </c>
      <c r="AI132" s="133">
        <f t="shared" si="67"/>
        <v>0.24552678944463774</v>
      </c>
      <c r="AJ132" s="132">
        <f t="shared" si="68"/>
        <v>4.1666666666666661</v>
      </c>
      <c r="AK132" s="1">
        <f t="shared" si="69"/>
        <v>5.1170195318064682</v>
      </c>
      <c r="AL132" s="1">
        <f t="shared" si="84"/>
        <v>2.6183888888888888E-2</v>
      </c>
      <c r="AM132" s="1">
        <f t="shared" si="91"/>
        <v>0.15510000000000004</v>
      </c>
      <c r="AN132" s="136">
        <f t="shared" si="85"/>
        <v>0.1128</v>
      </c>
      <c r="AO132" s="133">
        <f t="shared" si="71"/>
        <v>0.29408388888888892</v>
      </c>
      <c r="AP132" s="132">
        <f t="shared" si="86"/>
        <v>0.15710333333333332</v>
      </c>
      <c r="AQ132" s="137">
        <f t="shared" si="87"/>
        <v>3.2598941666666668</v>
      </c>
      <c r="AR132" s="137">
        <f t="shared" si="88"/>
        <v>4.147588250013759E-2</v>
      </c>
      <c r="AS132" s="1">
        <f t="shared" si="89"/>
        <v>3.7999999999999999E-2</v>
      </c>
      <c r="AT132" s="133">
        <f t="shared" si="90"/>
        <v>4.8000000000000001E-2</v>
      </c>
      <c r="AU132" s="132">
        <f t="shared" si="72"/>
        <v>7.3439782275003305</v>
      </c>
      <c r="AV132" s="1">
        <f t="shared" si="73"/>
        <v>75</v>
      </c>
      <c r="AW132" s="133">
        <f t="shared" si="74"/>
        <v>91.081341482906794</v>
      </c>
    </row>
    <row r="133" spans="17:49" x14ac:dyDescent="0.25">
      <c r="Q133">
        <v>126</v>
      </c>
      <c r="R133" s="132">
        <f t="shared" si="46"/>
        <v>18</v>
      </c>
      <c r="S133" s="1">
        <f t="shared" si="47"/>
        <v>4.2</v>
      </c>
      <c r="T133" s="1">
        <f t="shared" si="76"/>
        <v>12</v>
      </c>
      <c r="U133" s="133">
        <f t="shared" si="77"/>
        <v>6.3000000000000007</v>
      </c>
      <c r="V133" s="132">
        <f>IF(Calculations!$B$17=3,2,IF((S133*R133/T133)&lt;((T133*(1-(T133/R133)))/(2*Lm*fsw)),1,2))</f>
        <v>2</v>
      </c>
      <c r="W133" s="1">
        <f t="shared" si="78"/>
        <v>0.33333333333333337</v>
      </c>
      <c r="X133" s="133">
        <f t="shared" si="79"/>
        <v>0.66666666666666663</v>
      </c>
      <c r="Y133" s="132">
        <f t="shared" si="80"/>
        <v>1.6</v>
      </c>
      <c r="Z133" s="1">
        <f t="shared" si="63"/>
        <v>7.1000000000000005</v>
      </c>
      <c r="AA133" s="1">
        <f t="shared" si="64"/>
        <v>6.3169085265922078</v>
      </c>
      <c r="AB133" s="1">
        <v>0</v>
      </c>
      <c r="AC133" s="1">
        <f t="shared" si="81"/>
        <v>3.3119766666666672</v>
      </c>
      <c r="AD133" s="133">
        <f t="shared" si="65"/>
        <v>3.3119766666666672</v>
      </c>
      <c r="AE133" s="132">
        <f t="shared" si="75"/>
        <v>2.1000000000000005</v>
      </c>
      <c r="AF133" s="1">
        <f t="shared" si="66"/>
        <v>3.647068838274254</v>
      </c>
      <c r="AG133" s="1">
        <f t="shared" si="82"/>
        <v>1.3301111111111118E-2</v>
      </c>
      <c r="AH133" s="1">
        <f t="shared" si="83"/>
        <v>0.23429432376019485</v>
      </c>
      <c r="AI133" s="133">
        <f t="shared" si="67"/>
        <v>0.24759543487130597</v>
      </c>
      <c r="AJ133" s="132">
        <f t="shared" si="68"/>
        <v>4.2</v>
      </c>
      <c r="AK133" s="1">
        <f t="shared" si="69"/>
        <v>5.1577342139957372</v>
      </c>
      <c r="AL133" s="1">
        <f t="shared" si="84"/>
        <v>2.6602222222222225E-2</v>
      </c>
      <c r="AM133" s="1">
        <f t="shared" si="91"/>
        <v>0.15510000000000004</v>
      </c>
      <c r="AN133" s="136">
        <f t="shared" si="85"/>
        <v>0.11360000000000001</v>
      </c>
      <c r="AO133" s="133">
        <f t="shared" si="71"/>
        <v>0.29530222222222224</v>
      </c>
      <c r="AP133" s="132">
        <f t="shared" si="86"/>
        <v>0.15961333333333336</v>
      </c>
      <c r="AQ133" s="137">
        <f t="shared" si="87"/>
        <v>3.3119766666666672</v>
      </c>
      <c r="AR133" s="137">
        <f t="shared" si="88"/>
        <v>4.147588250013759E-2</v>
      </c>
      <c r="AS133" s="1">
        <f t="shared" si="89"/>
        <v>3.7999999999999999E-2</v>
      </c>
      <c r="AT133" s="133">
        <f t="shared" si="90"/>
        <v>4.8000000000000001E-2</v>
      </c>
      <c r="AU133" s="132">
        <f t="shared" si="72"/>
        <v>7.4539402062603344</v>
      </c>
      <c r="AV133" s="1">
        <f t="shared" si="73"/>
        <v>75.600000000000009</v>
      </c>
      <c r="AW133" s="133">
        <f t="shared" si="74"/>
        <v>91.025181721964259</v>
      </c>
    </row>
    <row r="134" spans="17:49" x14ac:dyDescent="0.25">
      <c r="Q134">
        <v>127</v>
      </c>
      <c r="R134" s="132">
        <f t="shared" si="46"/>
        <v>18</v>
      </c>
      <c r="S134" s="1">
        <f t="shared" si="47"/>
        <v>4.2333333333333334</v>
      </c>
      <c r="T134" s="1">
        <f t="shared" si="76"/>
        <v>12</v>
      </c>
      <c r="U134" s="133">
        <f t="shared" si="77"/>
        <v>6.3500000000000005</v>
      </c>
      <c r="V134" s="132">
        <f>IF(Calculations!$B$17=3,2,IF((S134*R134/T134)&lt;((T134*(1-(T134/R134)))/(2*Lm*fsw)),1,2))</f>
        <v>2</v>
      </c>
      <c r="W134" s="1">
        <f t="shared" si="78"/>
        <v>0.33333333333333337</v>
      </c>
      <c r="X134" s="133">
        <f t="shared" si="79"/>
        <v>0.66666666666666663</v>
      </c>
      <c r="Y134" s="132">
        <f t="shared" si="80"/>
        <v>1.6</v>
      </c>
      <c r="Z134" s="1">
        <f t="shared" si="63"/>
        <v>7.15</v>
      </c>
      <c r="AA134" s="1">
        <f t="shared" si="64"/>
        <v>6.3667757407759646</v>
      </c>
      <c r="AB134" s="1">
        <v>0</v>
      </c>
      <c r="AC134" s="1">
        <f t="shared" si="81"/>
        <v>3.3644741666666671</v>
      </c>
      <c r="AD134" s="133">
        <f t="shared" si="65"/>
        <v>3.3644741666666671</v>
      </c>
      <c r="AE134" s="132">
        <f t="shared" si="75"/>
        <v>2.1166666666666671</v>
      </c>
      <c r="AF134" s="1">
        <f t="shared" si="66"/>
        <v>3.6758596878069825</v>
      </c>
      <c r="AG134" s="1">
        <f t="shared" si="82"/>
        <v>1.3511944444444448E-2</v>
      </c>
      <c r="AH134" s="1">
        <f t="shared" si="83"/>
        <v>0.23615380252019644</v>
      </c>
      <c r="AI134" s="133">
        <f t="shared" si="67"/>
        <v>0.24966574696464089</v>
      </c>
      <c r="AJ134" s="132">
        <f t="shared" si="68"/>
        <v>4.2333333333333334</v>
      </c>
      <c r="AK134" s="1">
        <f t="shared" si="69"/>
        <v>5.1984506238771644</v>
      </c>
      <c r="AL134" s="1">
        <f t="shared" si="84"/>
        <v>2.7023888888888882E-2</v>
      </c>
      <c r="AM134" s="1">
        <f t="shared" si="91"/>
        <v>0.15510000000000004</v>
      </c>
      <c r="AN134" s="136">
        <f t="shared" si="85"/>
        <v>0.1144</v>
      </c>
      <c r="AO134" s="133">
        <f t="shared" si="71"/>
        <v>0.29652388888888892</v>
      </c>
      <c r="AP134" s="132">
        <f t="shared" si="86"/>
        <v>0.16214333333333336</v>
      </c>
      <c r="AQ134" s="137">
        <f t="shared" si="87"/>
        <v>3.3644741666666671</v>
      </c>
      <c r="AR134" s="137">
        <f t="shared" si="88"/>
        <v>4.147588250013759E-2</v>
      </c>
      <c r="AS134" s="1">
        <f t="shared" si="89"/>
        <v>3.7999999999999999E-2</v>
      </c>
      <c r="AT134" s="133">
        <f t="shared" si="90"/>
        <v>4.8000000000000001E-2</v>
      </c>
      <c r="AU134" s="132">
        <f t="shared" si="72"/>
        <v>7.5647571850203361</v>
      </c>
      <c r="AV134" s="1">
        <f t="shared" si="73"/>
        <v>76.2</v>
      </c>
      <c r="AW134" s="133">
        <f t="shared" si="74"/>
        <v>90.969045408546663</v>
      </c>
    </row>
    <row r="135" spans="17:49" x14ac:dyDescent="0.25">
      <c r="Q135">
        <v>128</v>
      </c>
      <c r="R135" s="132">
        <f t="shared" ref="R135:R157" si="92">VOUT</f>
        <v>18</v>
      </c>
      <c r="S135" s="1">
        <f t="shared" ref="S135:S157" si="93">Q135*$O$12</f>
        <v>4.2666666666666666</v>
      </c>
      <c r="T135" s="1">
        <f t="shared" ref="T135:T157" si="94">Vin_vari</f>
        <v>12</v>
      </c>
      <c r="U135" s="133">
        <f t="shared" ref="U135:U157" si="95">(R135*S135)/(T135*EFF_est)</f>
        <v>6.3999999999999995</v>
      </c>
      <c r="V135" s="132">
        <f>IF(Calculations!$B$17=3,2,IF((S135*R135/T135)&lt;((T135*(1-(T135/R135)))/(2*Lm*fsw)),1,2))</f>
        <v>2</v>
      </c>
      <c r="W135" s="1">
        <f t="shared" ref="W135:W157" si="96">CHOOSE(V135,SQRT((2*S135*Lm*fsw*(R135-T135))/((T135)^2)),1-(T135/R135))</f>
        <v>0.33333333333333337</v>
      </c>
      <c r="X135" s="133">
        <f t="shared" ref="X135:X157" si="97">CHOOSE(V135,(Lm*Z135*fsw)/(R135-T135),1-W135)</f>
        <v>0.66666666666666663</v>
      </c>
      <c r="Y135" s="132">
        <f t="shared" ref="Y135:Y157" si="98">(T135*W135)/(Lm*fsw)</f>
        <v>1.6</v>
      </c>
      <c r="Z135" s="1">
        <f t="shared" si="63"/>
        <v>7.1999999999999993</v>
      </c>
      <c r="AA135" s="1">
        <f t="shared" si="64"/>
        <v>6.416645021608514</v>
      </c>
      <c r="AB135" s="1">
        <v>0</v>
      </c>
      <c r="AC135" s="1">
        <f t="shared" ref="AC135:AC157" si="99">(AA135^2)*Rdcr</f>
        <v>3.4173866666666664</v>
      </c>
      <c r="AD135" s="133">
        <f t="shared" si="65"/>
        <v>3.4173866666666664</v>
      </c>
      <c r="AE135" s="132">
        <f t="shared" si="75"/>
        <v>2.1333333333333333</v>
      </c>
      <c r="AF135" s="1">
        <f t="shared" si="66"/>
        <v>3.7046517305199473</v>
      </c>
      <c r="AG135" s="1">
        <f t="shared" ref="AG135:AG157" si="100">(AF135^2)*RDS_on</f>
        <v>1.372444444444444E-2</v>
      </c>
      <c r="AH135" s="1">
        <f t="shared" ref="AH135:AH157" si="101">((R135*U135)/2)*fsw*(tr_sw+tf_sw)</f>
        <v>0.23801328128019791</v>
      </c>
      <c r="AI135" s="133">
        <f t="shared" si="67"/>
        <v>0.25173772572464237</v>
      </c>
      <c r="AJ135" s="132">
        <f t="shared" si="68"/>
        <v>4.2666666666666657</v>
      </c>
      <c r="AK135" s="1">
        <f t="shared" si="69"/>
        <v>5.239168721170266</v>
      </c>
      <c r="AL135" s="1">
        <f t="shared" ref="AL135:AL157" si="102">(AK135^2)*RDS_on_HS</f>
        <v>2.744888888888888E-2</v>
      </c>
      <c r="AM135" s="1">
        <f t="shared" si="91"/>
        <v>0.15510000000000004</v>
      </c>
      <c r="AN135" s="136">
        <f t="shared" ref="AN135:AN157" si="103">Vd_rect*t_dead*fsw*Z135</f>
        <v>0.1152</v>
      </c>
      <c r="AO135" s="133">
        <f t="shared" si="71"/>
        <v>0.29774888888888895</v>
      </c>
      <c r="AP135" s="132">
        <f t="shared" ref="AP135:AP157" si="104">(AA135^2)*Rcs</f>
        <v>0.1646933333333333</v>
      </c>
      <c r="AQ135" s="137">
        <f t="shared" ref="AQ135:AQ157" si="105">Rdcr*AA135^2</f>
        <v>3.4173866666666664</v>
      </c>
      <c r="AR135" s="137">
        <f t="shared" ref="AR135:AR157" si="106">ABS(7.759*10^-3*fsw^0.9458*(0.00787*Y135)^2.304)</f>
        <v>4.147588250013759E-2</v>
      </c>
      <c r="AS135" s="1">
        <f t="shared" ref="AS135:AS157" si="107">(Qg_tot+Qg_tot_HS)*VCC*fsw</f>
        <v>3.7999999999999999E-2</v>
      </c>
      <c r="AT135" s="133">
        <f t="shared" ref="AT135:AT157" si="108">IQ*T135</f>
        <v>4.8000000000000001E-2</v>
      </c>
      <c r="AU135" s="132">
        <f t="shared" si="72"/>
        <v>7.6764291637803357</v>
      </c>
      <c r="AV135" s="1">
        <f t="shared" si="73"/>
        <v>76.8</v>
      </c>
      <c r="AW135" s="133">
        <f t="shared" si="74"/>
        <v>90.912933655259607</v>
      </c>
    </row>
    <row r="136" spans="17:49" x14ac:dyDescent="0.25">
      <c r="Q136">
        <v>129</v>
      </c>
      <c r="R136" s="132">
        <f t="shared" si="92"/>
        <v>18</v>
      </c>
      <c r="S136" s="1">
        <f t="shared" si="93"/>
        <v>4.3</v>
      </c>
      <c r="T136" s="1">
        <f t="shared" si="94"/>
        <v>12</v>
      </c>
      <c r="U136" s="133">
        <f t="shared" si="95"/>
        <v>6.4499999999999993</v>
      </c>
      <c r="V136" s="132">
        <f>IF(Calculations!$B$17=3,2,IF((S136*R136/T136)&lt;((T136*(1-(T136/R136)))/(2*Lm*fsw)),1,2))</f>
        <v>2</v>
      </c>
      <c r="W136" s="1">
        <f t="shared" si="96"/>
        <v>0.33333333333333337</v>
      </c>
      <c r="X136" s="133">
        <f t="shared" si="97"/>
        <v>0.66666666666666663</v>
      </c>
      <c r="Y136" s="132">
        <f t="shared" si="98"/>
        <v>1.6</v>
      </c>
      <c r="Z136" s="1">
        <f t="shared" ref="Z136:Z157" si="109">CHOOSE(V136,Y136,U136+(0.5*Y136))</f>
        <v>7.2499999999999991</v>
      </c>
      <c r="AA136" s="1">
        <f t="shared" ref="AA136:AA157" si="110">CHOOSE(V136,Z136*SQRT((W136+X136)/3),SQRT((U136^2)+((Y136^2)/12)))</f>
        <v>6.4665163212763428</v>
      </c>
      <c r="AB136" s="1">
        <v>0</v>
      </c>
      <c r="AC136" s="1">
        <f t="shared" si="99"/>
        <v>3.4707141666666659</v>
      </c>
      <c r="AD136" s="133">
        <f t="shared" ref="AD136:AD157" si="111">AB136+AC136</f>
        <v>3.4707141666666659</v>
      </c>
      <c r="AE136" s="132">
        <f t="shared" si="75"/>
        <v>2.15</v>
      </c>
      <c r="AF136" s="1">
        <f t="shared" ref="AF136:AF157" si="112">CHOOSE(V136,Z136*SQRT(W136/3),SQRT(W136*((Z136^2)+((Y136^2)/3)-(Z136*Y136))))</f>
        <v>3.7334449388080051</v>
      </c>
      <c r="AG136" s="1">
        <f t="shared" si="100"/>
        <v>1.393861111111111E-2</v>
      </c>
      <c r="AH136" s="1">
        <f t="shared" si="101"/>
        <v>0.2398727600401995</v>
      </c>
      <c r="AI136" s="133">
        <f t="shared" ref="AI136:AI157" si="113">AG136+AH136</f>
        <v>0.25381137115131058</v>
      </c>
      <c r="AJ136" s="132">
        <f t="shared" ref="AJ136:AJ156" si="114">X136*U136</f>
        <v>4.2999999999999989</v>
      </c>
      <c r="AK136" s="1">
        <f t="shared" ref="AK136:AK157" si="115">CHOOSE(V136,Z136*SQRT(X136/3),SQRT(X136*((Z136^2)+((Y136^2)/3)-(Y136*Z136))))</f>
        <v>5.2798884668354695</v>
      </c>
      <c r="AL136" s="1">
        <f t="shared" si="102"/>
        <v>2.7877222222222206E-2</v>
      </c>
      <c r="AM136" s="1">
        <f t="shared" ref="AM136:AM157" si="116">CHOOSE(V136,(R136+Vd_rect)*Qrr*fsw,(R136+Vd_rect)*Qrr*fsw)</f>
        <v>0.15510000000000004</v>
      </c>
      <c r="AN136" s="136">
        <f t="shared" si="103"/>
        <v>0.11599999999999999</v>
      </c>
      <c r="AO136" s="133">
        <f t="shared" ref="AO136:AO157" si="117">AL136+AM136+AN136</f>
        <v>0.29897722222222223</v>
      </c>
      <c r="AP136" s="132">
        <f t="shared" si="104"/>
        <v>0.16726333333333329</v>
      </c>
      <c r="AQ136" s="137">
        <f t="shared" si="105"/>
        <v>3.4707141666666659</v>
      </c>
      <c r="AR136" s="137">
        <f t="shared" si="106"/>
        <v>4.147588250013759E-2</v>
      </c>
      <c r="AS136" s="1">
        <f t="shared" si="107"/>
        <v>3.7999999999999999E-2</v>
      </c>
      <c r="AT136" s="133">
        <f t="shared" si="108"/>
        <v>4.8000000000000001E-2</v>
      </c>
      <c r="AU136" s="132">
        <f t="shared" ref="AU136:AU157" si="118">AP136+AO136+AI136+AD136+AS136+AT136+AQ136+AR136</f>
        <v>7.7889561425403366</v>
      </c>
      <c r="AV136" s="1">
        <f t="shared" ref="AV136:AV157" si="119">R136*S136</f>
        <v>77.399999999999991</v>
      </c>
      <c r="AW136" s="133">
        <f t="shared" ref="AW136:AW156" si="120">(AV136/(AV136+AU136))*100</f>
        <v>90.856847536073033</v>
      </c>
    </row>
    <row r="137" spans="17:49" x14ac:dyDescent="0.25">
      <c r="Q137">
        <v>130</v>
      </c>
      <c r="R137" s="132">
        <f t="shared" si="92"/>
        <v>18</v>
      </c>
      <c r="S137" s="1">
        <f t="shared" si="93"/>
        <v>4.333333333333333</v>
      </c>
      <c r="T137" s="1">
        <f t="shared" si="94"/>
        <v>12</v>
      </c>
      <c r="U137" s="133">
        <f t="shared" si="95"/>
        <v>6.5</v>
      </c>
      <c r="V137" s="132">
        <f>IF(Calculations!$B$17=3,2,IF((S137*R137/T137)&lt;((T137*(1-(T137/R137)))/(2*Lm*fsw)),1,2))</f>
        <v>2</v>
      </c>
      <c r="W137" s="1">
        <f t="shared" si="96"/>
        <v>0.33333333333333337</v>
      </c>
      <c r="X137" s="133">
        <f t="shared" si="97"/>
        <v>0.66666666666666663</v>
      </c>
      <c r="Y137" s="132">
        <f t="shared" si="98"/>
        <v>1.6</v>
      </c>
      <c r="Z137" s="1">
        <f t="shared" si="109"/>
        <v>7.3</v>
      </c>
      <c r="AA137" s="1">
        <f t="shared" si="110"/>
        <v>6.5163895934277392</v>
      </c>
      <c r="AB137" s="1">
        <v>0</v>
      </c>
      <c r="AC137" s="1">
        <f t="shared" si="99"/>
        <v>3.5244566666666675</v>
      </c>
      <c r="AD137" s="133">
        <f t="shared" si="111"/>
        <v>3.5244566666666675</v>
      </c>
      <c r="AE137" s="132">
        <f t="shared" ref="AE137:AE157" si="121">U137*W137</f>
        <v>2.166666666666667</v>
      </c>
      <c r="AF137" s="1">
        <f t="shared" si="112"/>
        <v>3.7622392859099811</v>
      </c>
      <c r="AG137" s="1">
        <f t="shared" si="100"/>
        <v>1.4154444444444445E-2</v>
      </c>
      <c r="AH137" s="1">
        <f t="shared" si="101"/>
        <v>0.24173223880020103</v>
      </c>
      <c r="AI137" s="133">
        <f t="shared" si="113"/>
        <v>0.25588668324464547</v>
      </c>
      <c r="AJ137" s="132">
        <f t="shared" si="114"/>
        <v>4.333333333333333</v>
      </c>
      <c r="AK137" s="1">
        <f t="shared" si="115"/>
        <v>5.3206098230267633</v>
      </c>
      <c r="AL137" s="1">
        <f t="shared" si="102"/>
        <v>2.8308888888888887E-2</v>
      </c>
      <c r="AM137" s="1">
        <f t="shared" si="116"/>
        <v>0.15510000000000004</v>
      </c>
      <c r="AN137" s="136">
        <f t="shared" si="103"/>
        <v>0.1168</v>
      </c>
      <c r="AO137" s="133">
        <f t="shared" si="117"/>
        <v>0.30020888888888891</v>
      </c>
      <c r="AP137" s="132">
        <f t="shared" si="104"/>
        <v>0.16985333333333336</v>
      </c>
      <c r="AQ137" s="137">
        <f t="shared" si="105"/>
        <v>3.5244566666666675</v>
      </c>
      <c r="AR137" s="137">
        <f t="shared" si="106"/>
        <v>4.147588250013759E-2</v>
      </c>
      <c r="AS137" s="1">
        <f t="shared" si="107"/>
        <v>3.7999999999999999E-2</v>
      </c>
      <c r="AT137" s="133">
        <f t="shared" si="108"/>
        <v>4.8000000000000001E-2</v>
      </c>
      <c r="AU137" s="132">
        <f t="shared" si="118"/>
        <v>7.9023381213003407</v>
      </c>
      <c r="AV137" s="1">
        <f t="shared" si="119"/>
        <v>78</v>
      </c>
      <c r="AW137" s="133">
        <f t="shared" si="120"/>
        <v>90.800788087814709</v>
      </c>
    </row>
    <row r="138" spans="17:49" x14ac:dyDescent="0.25">
      <c r="Q138">
        <v>131</v>
      </c>
      <c r="R138" s="132">
        <f t="shared" si="92"/>
        <v>18</v>
      </c>
      <c r="S138" s="1">
        <f t="shared" si="93"/>
        <v>4.3666666666666663</v>
      </c>
      <c r="T138" s="1">
        <f t="shared" si="94"/>
        <v>12</v>
      </c>
      <c r="U138" s="133">
        <f t="shared" si="95"/>
        <v>6.55</v>
      </c>
      <c r="V138" s="132">
        <f>IF(Calculations!$B$17=3,2,IF((S138*R138/T138)&lt;((T138*(1-(T138/R138)))/(2*Lm*fsw)),1,2))</f>
        <v>2</v>
      </c>
      <c r="W138" s="1">
        <f t="shared" si="96"/>
        <v>0.33333333333333337</v>
      </c>
      <c r="X138" s="133">
        <f t="shared" si="97"/>
        <v>0.66666666666666663</v>
      </c>
      <c r="Y138" s="132">
        <f t="shared" si="98"/>
        <v>1.6</v>
      </c>
      <c r="Z138" s="1">
        <f t="shared" si="109"/>
        <v>7.35</v>
      </c>
      <c r="AA138" s="1">
        <f t="shared" si="110"/>
        <v>6.5662647931174183</v>
      </c>
      <c r="AB138" s="1">
        <v>0</v>
      </c>
      <c r="AC138" s="1">
        <f t="shared" si="99"/>
        <v>3.5786141666666671</v>
      </c>
      <c r="AD138" s="133">
        <f t="shared" si="111"/>
        <v>3.5786141666666671</v>
      </c>
      <c r="AE138" s="132">
        <f t="shared" si="121"/>
        <v>2.1833333333333336</v>
      </c>
      <c r="AF138" s="1">
        <f t="shared" si="112"/>
        <v>3.7910347458767037</v>
      </c>
      <c r="AG138" s="1">
        <f t="shared" si="100"/>
        <v>1.4371944444444444E-2</v>
      </c>
      <c r="AH138" s="1">
        <f t="shared" si="101"/>
        <v>0.24359171756020256</v>
      </c>
      <c r="AI138" s="133">
        <f t="shared" si="113"/>
        <v>0.25796366200464699</v>
      </c>
      <c r="AJ138" s="132">
        <f t="shared" si="114"/>
        <v>4.3666666666666663</v>
      </c>
      <c r="AK138" s="1">
        <f t="shared" si="115"/>
        <v>5.3613327530464741</v>
      </c>
      <c r="AL138" s="1">
        <f t="shared" si="102"/>
        <v>2.8743888888888888E-2</v>
      </c>
      <c r="AM138" s="1">
        <f t="shared" si="116"/>
        <v>0.15510000000000004</v>
      </c>
      <c r="AN138" s="136">
        <f t="shared" si="103"/>
        <v>0.1176</v>
      </c>
      <c r="AO138" s="133">
        <f t="shared" si="117"/>
        <v>0.3014438888888889</v>
      </c>
      <c r="AP138" s="132">
        <f t="shared" si="104"/>
        <v>0.17246333333333333</v>
      </c>
      <c r="AQ138" s="137">
        <f t="shared" si="105"/>
        <v>3.5786141666666671</v>
      </c>
      <c r="AR138" s="137">
        <f t="shared" si="106"/>
        <v>4.147588250013759E-2</v>
      </c>
      <c r="AS138" s="1">
        <f t="shared" si="107"/>
        <v>3.7999999999999999E-2</v>
      </c>
      <c r="AT138" s="133">
        <f t="shared" si="108"/>
        <v>4.8000000000000001E-2</v>
      </c>
      <c r="AU138" s="132">
        <f t="shared" si="118"/>
        <v>8.0165751000603418</v>
      </c>
      <c r="AV138" s="1">
        <f t="shared" si="119"/>
        <v>78.599999999999994</v>
      </c>
      <c r="AW138" s="133">
        <f t="shared" si="120"/>
        <v>90.744756311595665</v>
      </c>
    </row>
    <row r="139" spans="17:49" x14ac:dyDescent="0.25">
      <c r="Q139">
        <v>132</v>
      </c>
      <c r="R139" s="132">
        <f t="shared" si="92"/>
        <v>18</v>
      </c>
      <c r="S139" s="1">
        <f t="shared" si="93"/>
        <v>4.4000000000000004</v>
      </c>
      <c r="T139" s="1">
        <f t="shared" si="94"/>
        <v>12</v>
      </c>
      <c r="U139" s="133">
        <f t="shared" si="95"/>
        <v>6.6000000000000005</v>
      </c>
      <c r="V139" s="132">
        <f>IF(Calculations!$B$17=3,2,IF((S139*R139/T139)&lt;((T139*(1-(T139/R139)))/(2*Lm*fsw)),1,2))</f>
        <v>2</v>
      </c>
      <c r="W139" s="1">
        <f t="shared" si="96"/>
        <v>0.33333333333333337</v>
      </c>
      <c r="X139" s="133">
        <f t="shared" si="97"/>
        <v>0.66666666666666663</v>
      </c>
      <c r="Y139" s="132">
        <f t="shared" si="98"/>
        <v>1.6</v>
      </c>
      <c r="Z139" s="1">
        <f t="shared" si="109"/>
        <v>7.4</v>
      </c>
      <c r="AA139" s="1">
        <f t="shared" si="110"/>
        <v>6.6161418767536526</v>
      </c>
      <c r="AB139" s="1">
        <v>0</v>
      </c>
      <c r="AC139" s="1">
        <f t="shared" si="99"/>
        <v>3.6331866666666679</v>
      </c>
      <c r="AD139" s="133">
        <f t="shared" si="111"/>
        <v>3.6331866666666679</v>
      </c>
      <c r="AE139" s="132">
        <f t="shared" si="121"/>
        <v>2.2000000000000006</v>
      </c>
      <c r="AF139" s="1">
        <f t="shared" si="112"/>
        <v>3.819831293540477</v>
      </c>
      <c r="AG139" s="1">
        <f t="shared" si="100"/>
        <v>1.4591111111111115E-2</v>
      </c>
      <c r="AH139" s="1">
        <f t="shared" si="101"/>
        <v>0.24545119632020415</v>
      </c>
      <c r="AI139" s="133">
        <f t="shared" si="113"/>
        <v>0.26004230743131529</v>
      </c>
      <c r="AJ139" s="132">
        <f t="shared" si="114"/>
        <v>4.4000000000000004</v>
      </c>
      <c r="AK139" s="1">
        <f t="shared" si="115"/>
        <v>5.4020572213021056</v>
      </c>
      <c r="AL139" s="1">
        <f t="shared" si="102"/>
        <v>2.9182222222222227E-2</v>
      </c>
      <c r="AM139" s="1">
        <f t="shared" si="116"/>
        <v>0.15510000000000004</v>
      </c>
      <c r="AN139" s="136">
        <f t="shared" si="103"/>
        <v>0.11840000000000001</v>
      </c>
      <c r="AO139" s="133">
        <f t="shared" si="117"/>
        <v>0.3026822222222223</v>
      </c>
      <c r="AP139" s="132">
        <f t="shared" si="104"/>
        <v>0.17509333333333341</v>
      </c>
      <c r="AQ139" s="137">
        <f t="shared" si="105"/>
        <v>3.6331866666666679</v>
      </c>
      <c r="AR139" s="137">
        <f t="shared" si="106"/>
        <v>4.147588250013759E-2</v>
      </c>
      <c r="AS139" s="1">
        <f t="shared" si="107"/>
        <v>3.7999999999999999E-2</v>
      </c>
      <c r="AT139" s="133">
        <f t="shared" si="108"/>
        <v>4.8000000000000001E-2</v>
      </c>
      <c r="AU139" s="132">
        <f t="shared" si="118"/>
        <v>8.1316670788203442</v>
      </c>
      <c r="AV139" s="1">
        <f t="shared" si="119"/>
        <v>79.2</v>
      </c>
      <c r="AW139" s="133">
        <f t="shared" si="120"/>
        <v>90.688753174170841</v>
      </c>
    </row>
    <row r="140" spans="17:49" x14ac:dyDescent="0.25">
      <c r="Q140">
        <v>133</v>
      </c>
      <c r="R140" s="132">
        <f t="shared" si="92"/>
        <v>18</v>
      </c>
      <c r="S140" s="1">
        <f t="shared" si="93"/>
        <v>4.4333333333333336</v>
      </c>
      <c r="T140" s="1">
        <f t="shared" si="94"/>
        <v>12</v>
      </c>
      <c r="U140" s="133">
        <f t="shared" si="95"/>
        <v>6.6500000000000012</v>
      </c>
      <c r="V140" s="132">
        <f>IF(Calculations!$B$17=3,2,IF((S140*R140/T140)&lt;((T140*(1-(T140/R140)))/(2*Lm*fsw)),1,2))</f>
        <v>2</v>
      </c>
      <c r="W140" s="1">
        <f t="shared" si="96"/>
        <v>0.33333333333333337</v>
      </c>
      <c r="X140" s="133">
        <f t="shared" si="97"/>
        <v>0.66666666666666663</v>
      </c>
      <c r="Y140" s="132">
        <f t="shared" si="98"/>
        <v>1.6</v>
      </c>
      <c r="Z140" s="1">
        <f t="shared" si="109"/>
        <v>7.4500000000000011</v>
      </c>
      <c r="AA140" s="1">
        <f t="shared" si="110"/>
        <v>6.6660208020477514</v>
      </c>
      <c r="AB140" s="1">
        <v>0</v>
      </c>
      <c r="AC140" s="1">
        <f t="shared" si="99"/>
        <v>3.6881741666666681</v>
      </c>
      <c r="AD140" s="133">
        <f t="shared" si="111"/>
        <v>3.6881741666666681</v>
      </c>
      <c r="AE140" s="132">
        <f t="shared" si="121"/>
        <v>2.2166666666666672</v>
      </c>
      <c r="AF140" s="1">
        <f t="shared" si="112"/>
        <v>3.8486289044859148</v>
      </c>
      <c r="AG140" s="1">
        <f t="shared" si="100"/>
        <v>1.4811944444444454E-2</v>
      </c>
      <c r="AH140" s="1">
        <f t="shared" si="101"/>
        <v>0.24731067508020571</v>
      </c>
      <c r="AI140" s="133">
        <f t="shared" si="113"/>
        <v>0.26212261952465016</v>
      </c>
      <c r="AJ140" s="132">
        <f t="shared" si="114"/>
        <v>4.4333333333333336</v>
      </c>
      <c r="AK140" s="1">
        <f t="shared" si="115"/>
        <v>5.442783193265087</v>
      </c>
      <c r="AL140" s="1">
        <f t="shared" si="102"/>
        <v>2.9623888888888898E-2</v>
      </c>
      <c r="AM140" s="1">
        <f t="shared" si="116"/>
        <v>0.15510000000000004</v>
      </c>
      <c r="AN140" s="136">
        <f t="shared" si="103"/>
        <v>0.11920000000000001</v>
      </c>
      <c r="AO140" s="133">
        <f t="shared" si="117"/>
        <v>0.30392388888888894</v>
      </c>
      <c r="AP140" s="132">
        <f t="shared" si="104"/>
        <v>0.17774333333333339</v>
      </c>
      <c r="AQ140" s="137">
        <f t="shared" si="105"/>
        <v>3.6881741666666681</v>
      </c>
      <c r="AR140" s="137">
        <f t="shared" si="106"/>
        <v>4.147588250013759E-2</v>
      </c>
      <c r="AS140" s="1">
        <f t="shared" si="107"/>
        <v>3.7999999999999999E-2</v>
      </c>
      <c r="AT140" s="133">
        <f t="shared" si="108"/>
        <v>4.8000000000000001E-2</v>
      </c>
      <c r="AU140" s="132">
        <f t="shared" si="118"/>
        <v>8.2476140575803463</v>
      </c>
      <c r="AV140" s="1">
        <f t="shared" si="119"/>
        <v>79.800000000000011</v>
      </c>
      <c r="AW140" s="133">
        <f t="shared" si="120"/>
        <v>90.632779609238838</v>
      </c>
    </row>
    <row r="141" spans="17:49" x14ac:dyDescent="0.25">
      <c r="Q141">
        <v>134</v>
      </c>
      <c r="R141" s="132">
        <f t="shared" si="92"/>
        <v>18</v>
      </c>
      <c r="S141" s="1">
        <f t="shared" si="93"/>
        <v>4.4666666666666668</v>
      </c>
      <c r="T141" s="1">
        <f t="shared" si="94"/>
        <v>12</v>
      </c>
      <c r="U141" s="133">
        <f t="shared" si="95"/>
        <v>6.7</v>
      </c>
      <c r="V141" s="132">
        <f>IF(Calculations!$B$17=3,2,IF((S141*R141/T141)&lt;((T141*(1-(T141/R141)))/(2*Lm*fsw)),1,2))</f>
        <v>2</v>
      </c>
      <c r="W141" s="1">
        <f t="shared" si="96"/>
        <v>0.33333333333333337</v>
      </c>
      <c r="X141" s="133">
        <f t="shared" si="97"/>
        <v>0.66666666666666663</v>
      </c>
      <c r="Y141" s="132">
        <f t="shared" si="98"/>
        <v>1.6</v>
      </c>
      <c r="Z141" s="1">
        <f t="shared" si="109"/>
        <v>7.5</v>
      </c>
      <c r="AA141" s="1">
        <f t="shared" si="110"/>
        <v>6.715901527965797</v>
      </c>
      <c r="AB141" s="1">
        <v>0</v>
      </c>
      <c r="AC141" s="1">
        <f t="shared" si="99"/>
        <v>3.7435766666666663</v>
      </c>
      <c r="AD141" s="133">
        <f t="shared" si="111"/>
        <v>3.7435766666666663</v>
      </c>
      <c r="AE141" s="132">
        <f t="shared" si="121"/>
        <v>2.2333333333333338</v>
      </c>
      <c r="AF141" s="1">
        <f t="shared" si="112"/>
        <v>3.8774275550220723</v>
      </c>
      <c r="AG141" s="1">
        <f t="shared" si="100"/>
        <v>1.5034444444444444E-2</v>
      </c>
      <c r="AH141" s="1">
        <f t="shared" si="101"/>
        <v>0.24917015384020724</v>
      </c>
      <c r="AI141" s="133">
        <f t="shared" si="113"/>
        <v>0.2642045982846517</v>
      </c>
      <c r="AJ141" s="132">
        <f t="shared" si="114"/>
        <v>4.4666666666666668</v>
      </c>
      <c r="AK141" s="1">
        <f t="shared" si="115"/>
        <v>5.4835106354313643</v>
      </c>
      <c r="AL141" s="1">
        <f t="shared" si="102"/>
        <v>3.0068888888888885E-2</v>
      </c>
      <c r="AM141" s="1">
        <f t="shared" si="116"/>
        <v>0.15510000000000004</v>
      </c>
      <c r="AN141" s="136">
        <f t="shared" si="103"/>
        <v>0.12</v>
      </c>
      <c r="AO141" s="133">
        <f t="shared" si="117"/>
        <v>0.30516888888888893</v>
      </c>
      <c r="AP141" s="132">
        <f t="shared" si="104"/>
        <v>0.18041333333333331</v>
      </c>
      <c r="AQ141" s="137">
        <f t="shared" si="105"/>
        <v>3.7435766666666663</v>
      </c>
      <c r="AR141" s="137">
        <f t="shared" si="106"/>
        <v>4.147588250013759E-2</v>
      </c>
      <c r="AS141" s="1">
        <f t="shared" si="107"/>
        <v>3.7999999999999999E-2</v>
      </c>
      <c r="AT141" s="133">
        <f t="shared" si="108"/>
        <v>4.8000000000000001E-2</v>
      </c>
      <c r="AU141" s="132">
        <f t="shared" si="118"/>
        <v>8.3644160363403444</v>
      </c>
      <c r="AV141" s="1">
        <f t="shared" si="119"/>
        <v>80.400000000000006</v>
      </c>
      <c r="AW141" s="133">
        <f t="shared" si="120"/>
        <v>90.576836518683407</v>
      </c>
    </row>
    <row r="142" spans="17:49" x14ac:dyDescent="0.25">
      <c r="Q142">
        <v>135</v>
      </c>
      <c r="R142" s="132">
        <f t="shared" si="92"/>
        <v>18</v>
      </c>
      <c r="S142" s="1">
        <f t="shared" si="93"/>
        <v>4.5</v>
      </c>
      <c r="T142" s="1">
        <f t="shared" si="94"/>
        <v>12</v>
      </c>
      <c r="U142" s="133">
        <f t="shared" si="95"/>
        <v>6.75</v>
      </c>
      <c r="V142" s="132">
        <f>IF(Calculations!$B$17=3,2,IF((S142*R142/T142)&lt;((T142*(1-(T142/R142)))/(2*Lm*fsw)),1,2))</f>
        <v>2</v>
      </c>
      <c r="W142" s="1">
        <f t="shared" si="96"/>
        <v>0.33333333333333337</v>
      </c>
      <c r="X142" s="133">
        <f t="shared" si="97"/>
        <v>0.66666666666666663</v>
      </c>
      <c r="Y142" s="132">
        <f t="shared" si="98"/>
        <v>1.6</v>
      </c>
      <c r="Z142" s="1">
        <f t="shared" si="109"/>
        <v>7.55</v>
      </c>
      <c r="AA142" s="1">
        <f t="shared" si="110"/>
        <v>6.7657840146825059</v>
      </c>
      <c r="AB142" s="1">
        <v>0</v>
      </c>
      <c r="AC142" s="1">
        <f t="shared" si="99"/>
        <v>3.7993941666666662</v>
      </c>
      <c r="AD142" s="133">
        <f t="shared" si="111"/>
        <v>3.7993941666666662</v>
      </c>
      <c r="AE142" s="132">
        <f t="shared" si="121"/>
        <v>2.2500000000000004</v>
      </c>
      <c r="AF142" s="1">
        <f t="shared" si="112"/>
        <v>3.9062272221558119</v>
      </c>
      <c r="AG142" s="1">
        <f t="shared" si="100"/>
        <v>1.525861111111111E-2</v>
      </c>
      <c r="AH142" s="1">
        <f t="shared" si="101"/>
        <v>0.25102963260020877</v>
      </c>
      <c r="AI142" s="133">
        <f t="shared" si="113"/>
        <v>0.26628824371131987</v>
      </c>
      <c r="AJ142" s="132">
        <f t="shared" si="114"/>
        <v>4.5</v>
      </c>
      <c r="AK142" s="1">
        <f t="shared" si="115"/>
        <v>5.52423951528373</v>
      </c>
      <c r="AL142" s="1">
        <f t="shared" si="102"/>
        <v>3.051722222222222E-2</v>
      </c>
      <c r="AM142" s="1">
        <f t="shared" si="116"/>
        <v>0.15510000000000004</v>
      </c>
      <c r="AN142" s="136">
        <f t="shared" si="103"/>
        <v>0.1208</v>
      </c>
      <c r="AO142" s="133">
        <f t="shared" si="117"/>
        <v>0.30641722222222229</v>
      </c>
      <c r="AP142" s="132">
        <f t="shared" si="104"/>
        <v>0.18310333333333331</v>
      </c>
      <c r="AQ142" s="137">
        <f t="shared" si="105"/>
        <v>3.7993941666666662</v>
      </c>
      <c r="AR142" s="137">
        <f t="shared" si="106"/>
        <v>4.147588250013759E-2</v>
      </c>
      <c r="AS142" s="1">
        <f t="shared" si="107"/>
        <v>3.7999999999999999E-2</v>
      </c>
      <c r="AT142" s="133">
        <f t="shared" si="108"/>
        <v>4.8000000000000001E-2</v>
      </c>
      <c r="AU142" s="132">
        <f t="shared" si="118"/>
        <v>8.4820730151003456</v>
      </c>
      <c r="AV142" s="1">
        <f t="shared" si="119"/>
        <v>81</v>
      </c>
      <c r="AW142" s="133">
        <f t="shared" si="120"/>
        <v>90.520924773760029</v>
      </c>
    </row>
    <row r="143" spans="17:49" x14ac:dyDescent="0.25">
      <c r="Q143">
        <v>136</v>
      </c>
      <c r="R143" s="132">
        <f t="shared" si="92"/>
        <v>18</v>
      </c>
      <c r="S143" s="1">
        <f t="shared" si="93"/>
        <v>4.5333333333333332</v>
      </c>
      <c r="T143" s="1">
        <f t="shared" si="94"/>
        <v>12</v>
      </c>
      <c r="U143" s="133">
        <f t="shared" si="95"/>
        <v>6.8</v>
      </c>
      <c r="V143" s="132">
        <f>IF(Calculations!$B$17=3,2,IF((S143*R143/T143)&lt;((T143*(1-(T143/R143)))/(2*Lm*fsw)),1,2))</f>
        <v>2</v>
      </c>
      <c r="W143" s="1">
        <f t="shared" si="96"/>
        <v>0.33333333333333337</v>
      </c>
      <c r="X143" s="133">
        <f t="shared" si="97"/>
        <v>0.66666666666666663</v>
      </c>
      <c r="Y143" s="132">
        <f t="shared" si="98"/>
        <v>1.6</v>
      </c>
      <c r="Z143" s="1">
        <f t="shared" si="109"/>
        <v>7.6</v>
      </c>
      <c r="AA143" s="1">
        <f t="shared" si="110"/>
        <v>6.8156682235370969</v>
      </c>
      <c r="AB143" s="1">
        <v>0</v>
      </c>
      <c r="AC143" s="1">
        <f t="shared" si="99"/>
        <v>3.8556266666666663</v>
      </c>
      <c r="AD143" s="133">
        <f t="shared" si="111"/>
        <v>3.8556266666666663</v>
      </c>
      <c r="AE143" s="132">
        <f t="shared" si="121"/>
        <v>2.2666666666666671</v>
      </c>
      <c r="AF143" s="1">
        <f t="shared" si="112"/>
        <v>3.9350278835663217</v>
      </c>
      <c r="AG143" s="1">
        <f t="shared" si="100"/>
        <v>1.5484444444444447E-2</v>
      </c>
      <c r="AH143" s="1">
        <f t="shared" si="101"/>
        <v>0.25288911136021031</v>
      </c>
      <c r="AI143" s="133">
        <f t="shared" si="113"/>
        <v>0.26837355580465477</v>
      </c>
      <c r="AJ143" s="132">
        <f t="shared" si="114"/>
        <v>4.5333333333333332</v>
      </c>
      <c r="AK143" s="1">
        <f t="shared" si="115"/>
        <v>5.5649698012557884</v>
      </c>
      <c r="AL143" s="1">
        <f t="shared" si="102"/>
        <v>3.0968888888888893E-2</v>
      </c>
      <c r="AM143" s="1">
        <f t="shared" si="116"/>
        <v>0.15510000000000004</v>
      </c>
      <c r="AN143" s="136">
        <f t="shared" si="103"/>
        <v>0.1216</v>
      </c>
      <c r="AO143" s="133">
        <f t="shared" si="117"/>
        <v>0.30766888888888894</v>
      </c>
      <c r="AP143" s="132">
        <f t="shared" si="104"/>
        <v>0.1858133333333333</v>
      </c>
      <c r="AQ143" s="137">
        <f t="shared" si="105"/>
        <v>3.8556266666666663</v>
      </c>
      <c r="AR143" s="137">
        <f t="shared" si="106"/>
        <v>4.147588250013759E-2</v>
      </c>
      <c r="AS143" s="1">
        <f t="shared" si="107"/>
        <v>3.7999999999999999E-2</v>
      </c>
      <c r="AT143" s="133">
        <f t="shared" si="108"/>
        <v>4.8000000000000001E-2</v>
      </c>
      <c r="AU143" s="132">
        <f t="shared" si="118"/>
        <v>8.6005849938603465</v>
      </c>
      <c r="AV143" s="1">
        <f t="shared" si="119"/>
        <v>81.599999999999994</v>
      </c>
      <c r="AW143" s="133">
        <f t="shared" si="120"/>
        <v>90.465045216230294</v>
      </c>
    </row>
    <row r="144" spans="17:49" x14ac:dyDescent="0.25">
      <c r="Q144">
        <v>137</v>
      </c>
      <c r="R144" s="132">
        <f t="shared" si="92"/>
        <v>18</v>
      </c>
      <c r="S144" s="1">
        <f t="shared" si="93"/>
        <v>4.5666666666666664</v>
      </c>
      <c r="T144" s="1">
        <f t="shared" si="94"/>
        <v>12</v>
      </c>
      <c r="U144" s="133">
        <f t="shared" si="95"/>
        <v>6.8499999999999988</v>
      </c>
      <c r="V144" s="132">
        <f>IF(Calculations!$B$17=3,2,IF((S144*R144/T144)&lt;((T144*(1-(T144/R144)))/(2*Lm*fsw)),1,2))</f>
        <v>2</v>
      </c>
      <c r="W144" s="1">
        <f t="shared" si="96"/>
        <v>0.33333333333333337</v>
      </c>
      <c r="X144" s="133">
        <f t="shared" si="97"/>
        <v>0.66666666666666663</v>
      </c>
      <c r="Y144" s="132">
        <f t="shared" si="98"/>
        <v>1.6</v>
      </c>
      <c r="Z144" s="1">
        <f t="shared" si="109"/>
        <v>7.6499999999999986</v>
      </c>
      <c r="AA144" s="1">
        <f t="shared" si="110"/>
        <v>6.865554116991091</v>
      </c>
      <c r="AB144" s="1">
        <v>0</v>
      </c>
      <c r="AC144" s="1">
        <f t="shared" si="99"/>
        <v>3.9122741666666654</v>
      </c>
      <c r="AD144" s="133">
        <f t="shared" si="111"/>
        <v>3.9122741666666654</v>
      </c>
      <c r="AE144" s="132">
        <f t="shared" si="121"/>
        <v>2.2833333333333332</v>
      </c>
      <c r="AF144" s="1">
        <f t="shared" si="112"/>
        <v>3.9638295175807494</v>
      </c>
      <c r="AG144" s="1">
        <f t="shared" si="100"/>
        <v>1.5711944444444435E-2</v>
      </c>
      <c r="AH144" s="1">
        <f t="shared" si="101"/>
        <v>0.25474859012021184</v>
      </c>
      <c r="AI144" s="133">
        <f t="shared" si="113"/>
        <v>0.2704605345646563</v>
      </c>
      <c r="AJ144" s="132">
        <f t="shared" si="114"/>
        <v>4.5666666666666655</v>
      </c>
      <c r="AK144" s="1">
        <f t="shared" si="115"/>
        <v>5.6057014626974979</v>
      </c>
      <c r="AL144" s="1">
        <f t="shared" si="102"/>
        <v>3.1423888888888869E-2</v>
      </c>
      <c r="AM144" s="1">
        <f t="shared" si="116"/>
        <v>0.15510000000000004</v>
      </c>
      <c r="AN144" s="136">
        <f t="shared" si="103"/>
        <v>0.12239999999999998</v>
      </c>
      <c r="AO144" s="133">
        <f t="shared" si="117"/>
        <v>0.30892388888888889</v>
      </c>
      <c r="AP144" s="132">
        <f t="shared" si="104"/>
        <v>0.18854333333333326</v>
      </c>
      <c r="AQ144" s="137">
        <f t="shared" si="105"/>
        <v>3.9122741666666654</v>
      </c>
      <c r="AR144" s="137">
        <f t="shared" si="106"/>
        <v>4.147588250013759E-2</v>
      </c>
      <c r="AS144" s="1">
        <f t="shared" si="107"/>
        <v>3.7999999999999999E-2</v>
      </c>
      <c r="AT144" s="133">
        <f t="shared" si="108"/>
        <v>4.8000000000000001E-2</v>
      </c>
      <c r="AU144" s="132">
        <f t="shared" si="118"/>
        <v>8.7199519726203469</v>
      </c>
      <c r="AV144" s="1">
        <f t="shared" si="119"/>
        <v>82.199999999999989</v>
      </c>
      <c r="AW144" s="133">
        <f t="shared" si="120"/>
        <v>90.409198659446858</v>
      </c>
    </row>
    <row r="145" spans="17:49" x14ac:dyDescent="0.25">
      <c r="Q145">
        <v>138</v>
      </c>
      <c r="R145" s="132">
        <f t="shared" si="92"/>
        <v>18</v>
      </c>
      <c r="S145" s="1">
        <f t="shared" si="93"/>
        <v>4.5999999999999996</v>
      </c>
      <c r="T145" s="1">
        <f t="shared" si="94"/>
        <v>12</v>
      </c>
      <c r="U145" s="133">
        <f t="shared" si="95"/>
        <v>6.8999999999999995</v>
      </c>
      <c r="V145" s="132">
        <f>IF(Calculations!$B$17=3,2,IF((S145*R145/T145)&lt;((T145*(1-(T145/R145)))/(2*Lm*fsw)),1,2))</f>
        <v>2</v>
      </c>
      <c r="W145" s="1">
        <f t="shared" si="96"/>
        <v>0.33333333333333337</v>
      </c>
      <c r="X145" s="133">
        <f t="shared" si="97"/>
        <v>0.66666666666666663</v>
      </c>
      <c r="Y145" s="132">
        <f t="shared" si="98"/>
        <v>1.6</v>
      </c>
      <c r="Z145" s="1">
        <f t="shared" si="109"/>
        <v>7.6999999999999993</v>
      </c>
      <c r="AA145" s="1">
        <f t="shared" si="110"/>
        <v>6.9154416585879259</v>
      </c>
      <c r="AB145" s="1">
        <v>0</v>
      </c>
      <c r="AC145" s="1">
        <f t="shared" si="99"/>
        <v>3.9693366666666661</v>
      </c>
      <c r="AD145" s="133">
        <f t="shared" si="111"/>
        <v>3.9693366666666661</v>
      </c>
      <c r="AE145" s="132">
        <f t="shared" si="121"/>
        <v>2.3000000000000003</v>
      </c>
      <c r="AF145" s="1">
        <f t="shared" si="112"/>
        <v>3.9926321031508913</v>
      </c>
      <c r="AG145" s="1">
        <f t="shared" si="100"/>
        <v>1.5941111111111111E-2</v>
      </c>
      <c r="AH145" s="1">
        <f t="shared" si="101"/>
        <v>0.25660806888021337</v>
      </c>
      <c r="AI145" s="133">
        <f t="shared" si="113"/>
        <v>0.2725491799913245</v>
      </c>
      <c r="AJ145" s="132">
        <f t="shared" si="114"/>
        <v>4.5999999999999996</v>
      </c>
      <c r="AK145" s="1">
        <f t="shared" si="115"/>
        <v>5.6464344698422044</v>
      </c>
      <c r="AL145" s="1">
        <f t="shared" si="102"/>
        <v>3.1882222222222215E-2</v>
      </c>
      <c r="AM145" s="1">
        <f t="shared" si="116"/>
        <v>0.15510000000000004</v>
      </c>
      <c r="AN145" s="136">
        <f t="shared" si="103"/>
        <v>0.12319999999999999</v>
      </c>
      <c r="AO145" s="133">
        <f t="shared" si="117"/>
        <v>0.31018222222222225</v>
      </c>
      <c r="AP145" s="132">
        <f t="shared" si="104"/>
        <v>0.19129333333333329</v>
      </c>
      <c r="AQ145" s="137">
        <f t="shared" si="105"/>
        <v>3.9693366666666661</v>
      </c>
      <c r="AR145" s="137">
        <f t="shared" si="106"/>
        <v>4.147588250013759E-2</v>
      </c>
      <c r="AS145" s="1">
        <f t="shared" si="107"/>
        <v>3.7999999999999999E-2</v>
      </c>
      <c r="AT145" s="133">
        <f t="shared" si="108"/>
        <v>4.8000000000000001E-2</v>
      </c>
      <c r="AU145" s="132">
        <f t="shared" si="118"/>
        <v>8.8401739513803506</v>
      </c>
      <c r="AV145" s="1">
        <f t="shared" si="119"/>
        <v>82.8</v>
      </c>
      <c r="AW145" s="133">
        <f t="shared" si="120"/>
        <v>90.353385889391149</v>
      </c>
    </row>
    <row r="146" spans="17:49" x14ac:dyDescent="0.25">
      <c r="Q146">
        <v>139</v>
      </c>
      <c r="R146" s="132">
        <f t="shared" si="92"/>
        <v>18</v>
      </c>
      <c r="S146" s="1">
        <f t="shared" si="93"/>
        <v>4.6333333333333329</v>
      </c>
      <c r="T146" s="1">
        <f t="shared" si="94"/>
        <v>12</v>
      </c>
      <c r="U146" s="133">
        <f t="shared" si="95"/>
        <v>6.9499999999999993</v>
      </c>
      <c r="V146" s="132">
        <f>IF(Calculations!$B$17=3,2,IF((S146*R146/T146)&lt;((T146*(1-(T146/R146)))/(2*Lm*fsw)),1,2))</f>
        <v>2</v>
      </c>
      <c r="W146" s="1">
        <f t="shared" si="96"/>
        <v>0.33333333333333337</v>
      </c>
      <c r="X146" s="133">
        <f t="shared" si="97"/>
        <v>0.66666666666666663</v>
      </c>
      <c r="Y146" s="132">
        <f t="shared" si="98"/>
        <v>1.6</v>
      </c>
      <c r="Z146" s="1">
        <f t="shared" si="109"/>
        <v>7.7499999999999991</v>
      </c>
      <c r="AA146" s="1">
        <f t="shared" si="110"/>
        <v>6.9653308129142957</v>
      </c>
      <c r="AB146" s="1">
        <v>0</v>
      </c>
      <c r="AC146" s="1">
        <f t="shared" si="99"/>
        <v>4.0268141666666661</v>
      </c>
      <c r="AD146" s="133">
        <f t="shared" si="111"/>
        <v>4.0268141666666661</v>
      </c>
      <c r="AE146" s="132">
        <f t="shared" si="121"/>
        <v>2.3166666666666669</v>
      </c>
      <c r="AF146" s="1">
        <f t="shared" si="112"/>
        <v>4.0214356198308634</v>
      </c>
      <c r="AG146" s="1">
        <f t="shared" si="100"/>
        <v>1.6171944444444444E-2</v>
      </c>
      <c r="AH146" s="1">
        <f t="shared" si="101"/>
        <v>0.25846754764021496</v>
      </c>
      <c r="AI146" s="133">
        <f t="shared" si="113"/>
        <v>0.27463949208465938</v>
      </c>
      <c r="AJ146" s="132">
        <f t="shared" si="114"/>
        <v>4.6333333333333329</v>
      </c>
      <c r="AK146" s="1">
        <f t="shared" si="115"/>
        <v>5.6871687937750606</v>
      </c>
      <c r="AL146" s="1">
        <f t="shared" si="102"/>
        <v>3.234388888888888E-2</v>
      </c>
      <c r="AM146" s="1">
        <f t="shared" si="116"/>
        <v>0.15510000000000004</v>
      </c>
      <c r="AN146" s="136">
        <f t="shared" si="103"/>
        <v>0.12399999999999999</v>
      </c>
      <c r="AO146" s="133">
        <f t="shared" si="117"/>
        <v>0.31144388888888891</v>
      </c>
      <c r="AP146" s="132">
        <f t="shared" si="104"/>
        <v>0.19406333333333331</v>
      </c>
      <c r="AQ146" s="137">
        <f t="shared" si="105"/>
        <v>4.0268141666666661</v>
      </c>
      <c r="AR146" s="137">
        <f t="shared" si="106"/>
        <v>4.147588250013759E-2</v>
      </c>
      <c r="AS146" s="1">
        <f t="shared" si="107"/>
        <v>3.7999999999999999E-2</v>
      </c>
      <c r="AT146" s="133">
        <f t="shared" si="108"/>
        <v>4.8000000000000001E-2</v>
      </c>
      <c r="AU146" s="132">
        <f t="shared" si="118"/>
        <v>8.961250930140352</v>
      </c>
      <c r="AV146" s="1">
        <f t="shared" si="119"/>
        <v>83.399999999999991</v>
      </c>
      <c r="AW146" s="133">
        <f t="shared" si="120"/>
        <v>90.297607665666618</v>
      </c>
    </row>
    <row r="147" spans="17:49" x14ac:dyDescent="0.25">
      <c r="Q147">
        <v>140</v>
      </c>
      <c r="R147" s="132">
        <f t="shared" si="92"/>
        <v>18</v>
      </c>
      <c r="S147" s="1">
        <f t="shared" si="93"/>
        <v>4.666666666666667</v>
      </c>
      <c r="T147" s="1">
        <f t="shared" si="94"/>
        <v>12</v>
      </c>
      <c r="U147" s="133">
        <f t="shared" si="95"/>
        <v>7</v>
      </c>
      <c r="V147" s="132">
        <f>IF(Calculations!$B$17=3,2,IF((S147*R147/T147)&lt;((T147*(1-(T147/R147)))/(2*Lm*fsw)),1,2))</f>
        <v>2</v>
      </c>
      <c r="W147" s="1">
        <f t="shared" si="96"/>
        <v>0.33333333333333337</v>
      </c>
      <c r="X147" s="133">
        <f t="shared" si="97"/>
        <v>0.66666666666666663</v>
      </c>
      <c r="Y147" s="132">
        <f t="shared" si="98"/>
        <v>1.6</v>
      </c>
      <c r="Z147" s="1">
        <f t="shared" si="109"/>
        <v>7.8</v>
      </c>
      <c r="AA147" s="1">
        <f t="shared" si="110"/>
        <v>7.0152215455631426</v>
      </c>
      <c r="AB147" s="1">
        <v>0</v>
      </c>
      <c r="AC147" s="1">
        <f t="shared" si="99"/>
        <v>4.0847066666666665</v>
      </c>
      <c r="AD147" s="133">
        <f t="shared" si="111"/>
        <v>4.0847066666666665</v>
      </c>
      <c r="AE147" s="132">
        <f t="shared" si="121"/>
        <v>2.3333333333333335</v>
      </c>
      <c r="AF147" s="1">
        <f t="shared" si="112"/>
        <v>4.050240047755743</v>
      </c>
      <c r="AG147" s="1">
        <f t="shared" si="100"/>
        <v>1.6404444444444444E-2</v>
      </c>
      <c r="AH147" s="1">
        <f t="shared" si="101"/>
        <v>0.26032702640021649</v>
      </c>
      <c r="AI147" s="133">
        <f t="shared" si="113"/>
        <v>0.27673147084466093</v>
      </c>
      <c r="AJ147" s="132">
        <f t="shared" si="114"/>
        <v>4.6666666666666661</v>
      </c>
      <c r="AK147" s="1">
        <f t="shared" si="115"/>
        <v>5.7279044064028231</v>
      </c>
      <c r="AL147" s="1">
        <f t="shared" si="102"/>
        <v>3.2808888888888874E-2</v>
      </c>
      <c r="AM147" s="1">
        <f t="shared" si="116"/>
        <v>0.15510000000000004</v>
      </c>
      <c r="AN147" s="136">
        <f t="shared" si="103"/>
        <v>0.12479999999999999</v>
      </c>
      <c r="AO147" s="133">
        <f t="shared" si="117"/>
        <v>0.31270888888888893</v>
      </c>
      <c r="AP147" s="132">
        <f t="shared" si="104"/>
        <v>0.1968533333333333</v>
      </c>
      <c r="AQ147" s="137">
        <f t="shared" si="105"/>
        <v>4.0847066666666665</v>
      </c>
      <c r="AR147" s="137">
        <f t="shared" si="106"/>
        <v>4.147588250013759E-2</v>
      </c>
      <c r="AS147" s="1">
        <f t="shared" si="107"/>
        <v>3.7999999999999999E-2</v>
      </c>
      <c r="AT147" s="133">
        <f t="shared" si="108"/>
        <v>4.8000000000000001E-2</v>
      </c>
      <c r="AU147" s="132">
        <f t="shared" si="118"/>
        <v>9.0831829089003548</v>
      </c>
      <c r="AV147" s="1">
        <f t="shared" si="119"/>
        <v>84</v>
      </c>
      <c r="AW147" s="133">
        <f t="shared" si="120"/>
        <v>90.241864722449407</v>
      </c>
    </row>
    <row r="148" spans="17:49" x14ac:dyDescent="0.25">
      <c r="Q148">
        <v>141</v>
      </c>
      <c r="R148" s="132">
        <f t="shared" si="92"/>
        <v>18</v>
      </c>
      <c r="S148" s="1">
        <f t="shared" si="93"/>
        <v>4.7</v>
      </c>
      <c r="T148" s="1">
        <f t="shared" si="94"/>
        <v>12</v>
      </c>
      <c r="U148" s="133">
        <f t="shared" si="95"/>
        <v>7.0500000000000007</v>
      </c>
      <c r="V148" s="132">
        <f>IF(Calculations!$B$17=3,2,IF((S148*R148/T148)&lt;((T148*(1-(T148/R148)))/(2*Lm*fsw)),1,2))</f>
        <v>2</v>
      </c>
      <c r="W148" s="1">
        <f t="shared" si="96"/>
        <v>0.33333333333333337</v>
      </c>
      <c r="X148" s="133">
        <f t="shared" si="97"/>
        <v>0.66666666666666663</v>
      </c>
      <c r="Y148" s="132">
        <f t="shared" si="98"/>
        <v>1.6</v>
      </c>
      <c r="Z148" s="1">
        <f t="shared" si="109"/>
        <v>7.8500000000000005</v>
      </c>
      <c r="AA148" s="1">
        <f t="shared" si="110"/>
        <v>7.0651138230982049</v>
      </c>
      <c r="AB148" s="1">
        <v>0</v>
      </c>
      <c r="AC148" s="1">
        <f t="shared" si="99"/>
        <v>4.1430141666666671</v>
      </c>
      <c r="AD148" s="133">
        <f t="shared" si="111"/>
        <v>4.1430141666666671</v>
      </c>
      <c r="AE148" s="132">
        <f t="shared" si="121"/>
        <v>2.3500000000000005</v>
      </c>
      <c r="AF148" s="1">
        <f t="shared" si="112"/>
        <v>4.0790453676210952</v>
      </c>
      <c r="AG148" s="1">
        <f t="shared" si="100"/>
        <v>1.6638611111111114E-2</v>
      </c>
      <c r="AH148" s="1">
        <f t="shared" si="101"/>
        <v>0.26218650516021802</v>
      </c>
      <c r="AI148" s="133">
        <f t="shared" si="113"/>
        <v>0.27882511627132911</v>
      </c>
      <c r="AJ148" s="132">
        <f t="shared" si="114"/>
        <v>4.7</v>
      </c>
      <c r="AK148" s="1">
        <f t="shared" si="115"/>
        <v>5.768641280424899</v>
      </c>
      <c r="AL148" s="1">
        <f t="shared" si="102"/>
        <v>3.3277222222222222E-2</v>
      </c>
      <c r="AM148" s="1">
        <f t="shared" si="116"/>
        <v>0.15510000000000004</v>
      </c>
      <c r="AN148" s="136">
        <f t="shared" si="103"/>
        <v>0.12560000000000002</v>
      </c>
      <c r="AO148" s="133">
        <f t="shared" si="117"/>
        <v>0.31397722222222224</v>
      </c>
      <c r="AP148" s="132">
        <f t="shared" si="104"/>
        <v>0.19966333333333333</v>
      </c>
      <c r="AQ148" s="137">
        <f t="shared" si="105"/>
        <v>4.1430141666666671</v>
      </c>
      <c r="AR148" s="137">
        <f t="shared" si="106"/>
        <v>4.147588250013759E-2</v>
      </c>
      <c r="AS148" s="1">
        <f t="shared" si="107"/>
        <v>3.7999999999999999E-2</v>
      </c>
      <c r="AT148" s="133">
        <f t="shared" si="108"/>
        <v>4.8000000000000001E-2</v>
      </c>
      <c r="AU148" s="132">
        <f t="shared" si="118"/>
        <v>9.2059698876603555</v>
      </c>
      <c r="AV148" s="1">
        <f t="shared" si="119"/>
        <v>84.600000000000009</v>
      </c>
      <c r="AW148" s="133">
        <f t="shared" si="120"/>
        <v>90.18615776939869</v>
      </c>
    </row>
    <row r="149" spans="17:49" x14ac:dyDescent="0.25">
      <c r="Q149">
        <v>142</v>
      </c>
      <c r="R149" s="132">
        <f t="shared" si="92"/>
        <v>18</v>
      </c>
      <c r="S149" s="1">
        <f t="shared" si="93"/>
        <v>4.7333333333333334</v>
      </c>
      <c r="T149" s="1">
        <f t="shared" si="94"/>
        <v>12</v>
      </c>
      <c r="U149" s="133">
        <f t="shared" si="95"/>
        <v>7.1000000000000005</v>
      </c>
      <c r="V149" s="132">
        <f>IF(Calculations!$B$17=3,2,IF((S149*R149/T149)&lt;((T149*(1-(T149/R149)))/(2*Lm*fsw)),1,2))</f>
        <v>2</v>
      </c>
      <c r="W149" s="1">
        <f t="shared" si="96"/>
        <v>0.33333333333333337</v>
      </c>
      <c r="X149" s="133">
        <f t="shared" si="97"/>
        <v>0.66666666666666663</v>
      </c>
      <c r="Y149" s="132">
        <f t="shared" si="98"/>
        <v>1.6</v>
      </c>
      <c r="Z149" s="1">
        <f t="shared" si="109"/>
        <v>7.9</v>
      </c>
      <c r="AA149" s="1">
        <f t="shared" si="110"/>
        <v>7.1150076130200555</v>
      </c>
      <c r="AB149" s="1">
        <v>0</v>
      </c>
      <c r="AC149" s="1">
        <f t="shared" si="99"/>
        <v>4.201736666666668</v>
      </c>
      <c r="AD149" s="133">
        <f t="shared" si="111"/>
        <v>4.201736666666668</v>
      </c>
      <c r="AE149" s="132">
        <f t="shared" si="121"/>
        <v>2.3666666666666671</v>
      </c>
      <c r="AF149" s="1">
        <f t="shared" si="112"/>
        <v>4.1078515606633657</v>
      </c>
      <c r="AG149" s="1">
        <f t="shared" si="100"/>
        <v>1.6874444444444449E-2</v>
      </c>
      <c r="AH149" s="1">
        <f t="shared" si="101"/>
        <v>0.26404598392021961</v>
      </c>
      <c r="AI149" s="133">
        <f t="shared" si="113"/>
        <v>0.28092042836466408</v>
      </c>
      <c r="AJ149" s="132">
        <f t="shared" si="114"/>
        <v>4.7333333333333334</v>
      </c>
      <c r="AK149" s="1">
        <f t="shared" si="115"/>
        <v>5.8093793893056151</v>
      </c>
      <c r="AL149" s="1">
        <f t="shared" si="102"/>
        <v>3.3748888888888884E-2</v>
      </c>
      <c r="AM149" s="1">
        <f t="shared" si="116"/>
        <v>0.15510000000000004</v>
      </c>
      <c r="AN149" s="136">
        <f t="shared" si="103"/>
        <v>0.12640000000000001</v>
      </c>
      <c r="AO149" s="133">
        <f t="shared" si="117"/>
        <v>0.31524888888888891</v>
      </c>
      <c r="AP149" s="132">
        <f t="shared" si="104"/>
        <v>0.20249333333333341</v>
      </c>
      <c r="AQ149" s="137">
        <f t="shared" si="105"/>
        <v>4.201736666666668</v>
      </c>
      <c r="AR149" s="137">
        <f t="shared" si="106"/>
        <v>4.147588250013759E-2</v>
      </c>
      <c r="AS149" s="1">
        <f t="shared" si="107"/>
        <v>3.7999999999999999E-2</v>
      </c>
      <c r="AT149" s="133">
        <f t="shared" si="108"/>
        <v>4.8000000000000001E-2</v>
      </c>
      <c r="AU149" s="132">
        <f t="shared" si="118"/>
        <v>9.3296118664203611</v>
      </c>
      <c r="AV149" s="1">
        <f t="shared" si="119"/>
        <v>85.2</v>
      </c>
      <c r="AW149" s="133">
        <f t="shared" si="120"/>
        <v>90.130487492528772</v>
      </c>
    </row>
    <row r="150" spans="17:49" x14ac:dyDescent="0.25">
      <c r="Q150">
        <v>143</v>
      </c>
      <c r="R150" s="132">
        <f t="shared" si="92"/>
        <v>18</v>
      </c>
      <c r="S150" s="1">
        <f t="shared" si="93"/>
        <v>4.7666666666666666</v>
      </c>
      <c r="T150" s="1">
        <f t="shared" si="94"/>
        <v>12</v>
      </c>
      <c r="U150" s="133">
        <f t="shared" si="95"/>
        <v>7.1499999999999995</v>
      </c>
      <c r="V150" s="132">
        <f>IF(Calculations!$B$17=3,2,IF((S150*R150/T150)&lt;((T150*(1-(T150/R150)))/(2*Lm*fsw)),1,2))</f>
        <v>2</v>
      </c>
      <c r="W150" s="1">
        <f t="shared" si="96"/>
        <v>0.33333333333333337</v>
      </c>
      <c r="X150" s="133">
        <f t="shared" si="97"/>
        <v>0.66666666666666663</v>
      </c>
      <c r="Y150" s="132">
        <f t="shared" si="98"/>
        <v>1.6</v>
      </c>
      <c r="Z150" s="1">
        <f t="shared" si="109"/>
        <v>7.9499999999999993</v>
      </c>
      <c r="AA150" s="1">
        <f t="shared" si="110"/>
        <v>7.1649028837335491</v>
      </c>
      <c r="AB150" s="1">
        <v>0</v>
      </c>
      <c r="AC150" s="1">
        <f t="shared" si="99"/>
        <v>4.2608741666666665</v>
      </c>
      <c r="AD150" s="133">
        <f t="shared" si="111"/>
        <v>4.2608741666666665</v>
      </c>
      <c r="AE150" s="132">
        <f t="shared" si="121"/>
        <v>2.3833333333333333</v>
      </c>
      <c r="AF150" s="1">
        <f t="shared" si="112"/>
        <v>4.1366586086410901</v>
      </c>
      <c r="AG150" s="1">
        <f t="shared" si="100"/>
        <v>1.711194444444444E-2</v>
      </c>
      <c r="AH150" s="1">
        <f t="shared" si="101"/>
        <v>0.26590546268022108</v>
      </c>
      <c r="AI150" s="133">
        <f t="shared" si="113"/>
        <v>0.2830174071246655</v>
      </c>
      <c r="AJ150" s="132">
        <f t="shared" si="114"/>
        <v>4.7666666666666657</v>
      </c>
      <c r="AK150" s="1">
        <f t="shared" si="115"/>
        <v>5.8501187072476473</v>
      </c>
      <c r="AL150" s="1">
        <f t="shared" si="102"/>
        <v>3.4223888888888887E-2</v>
      </c>
      <c r="AM150" s="1">
        <f t="shared" si="116"/>
        <v>0.15510000000000004</v>
      </c>
      <c r="AN150" s="136">
        <f t="shared" si="103"/>
        <v>0.12719999999999998</v>
      </c>
      <c r="AO150" s="133">
        <f t="shared" si="117"/>
        <v>0.31652388888888894</v>
      </c>
      <c r="AP150" s="132">
        <f t="shared" si="104"/>
        <v>0.20534333333333332</v>
      </c>
      <c r="AQ150" s="137">
        <f t="shared" si="105"/>
        <v>4.2608741666666665</v>
      </c>
      <c r="AR150" s="137">
        <f t="shared" si="106"/>
        <v>4.147588250013759E-2</v>
      </c>
      <c r="AS150" s="1">
        <f t="shared" si="107"/>
        <v>3.7999999999999999E-2</v>
      </c>
      <c r="AT150" s="133">
        <f t="shared" si="108"/>
        <v>4.8000000000000001E-2</v>
      </c>
      <c r="AU150" s="132">
        <f t="shared" si="118"/>
        <v>9.4541088451803574</v>
      </c>
      <c r="AV150" s="1">
        <f t="shared" si="119"/>
        <v>85.8</v>
      </c>
      <c r="AW150" s="133">
        <f t="shared" si="120"/>
        <v>90.07485455504451</v>
      </c>
    </row>
    <row r="151" spans="17:49" x14ac:dyDescent="0.25">
      <c r="Q151">
        <v>144</v>
      </c>
      <c r="R151" s="132">
        <f t="shared" si="92"/>
        <v>18</v>
      </c>
      <c r="S151" s="1">
        <f t="shared" si="93"/>
        <v>4.8</v>
      </c>
      <c r="T151" s="1">
        <f t="shared" si="94"/>
        <v>12</v>
      </c>
      <c r="U151" s="133">
        <f t="shared" si="95"/>
        <v>7.1999999999999993</v>
      </c>
      <c r="V151" s="132">
        <f>IF(Calculations!$B$17=3,2,IF((S151*R151/T151)&lt;((T151*(1-(T151/R151)))/(2*Lm*fsw)),1,2))</f>
        <v>2</v>
      </c>
      <c r="W151" s="1">
        <f t="shared" si="96"/>
        <v>0.33333333333333337</v>
      </c>
      <c r="X151" s="133">
        <f t="shared" si="97"/>
        <v>0.66666666666666663</v>
      </c>
      <c r="Y151" s="132">
        <f t="shared" si="98"/>
        <v>1.6</v>
      </c>
      <c r="Z151" s="1">
        <f t="shared" si="109"/>
        <v>7.9999999999999991</v>
      </c>
      <c r="AA151" s="1">
        <f t="shared" si="110"/>
        <v>7.2147996045166298</v>
      </c>
      <c r="AB151" s="1">
        <v>0</v>
      </c>
      <c r="AC151" s="1">
        <f t="shared" si="99"/>
        <v>4.3204266666666662</v>
      </c>
      <c r="AD151" s="133">
        <f t="shared" si="111"/>
        <v>4.3204266666666662</v>
      </c>
      <c r="AE151" s="132">
        <f t="shared" si="121"/>
        <v>2.4</v>
      </c>
      <c r="AF151" s="1">
        <f t="shared" si="112"/>
        <v>4.1654664938168828</v>
      </c>
      <c r="AG151" s="1">
        <f t="shared" si="100"/>
        <v>1.7351111111111116E-2</v>
      </c>
      <c r="AH151" s="1">
        <f t="shared" si="101"/>
        <v>0.26776494144022267</v>
      </c>
      <c r="AI151" s="133">
        <f t="shared" si="113"/>
        <v>0.28511605255133377</v>
      </c>
      <c r="AJ151" s="132">
        <f t="shared" si="114"/>
        <v>4.7999999999999989</v>
      </c>
      <c r="AK151" s="1">
        <f t="shared" si="115"/>
        <v>5.890859209166539</v>
      </c>
      <c r="AL151" s="1">
        <f t="shared" si="102"/>
        <v>3.4702222222222218E-2</v>
      </c>
      <c r="AM151" s="1">
        <f t="shared" si="116"/>
        <v>0.15510000000000004</v>
      </c>
      <c r="AN151" s="136">
        <f t="shared" si="103"/>
        <v>0.12799999999999997</v>
      </c>
      <c r="AO151" s="133">
        <f t="shared" si="117"/>
        <v>0.31780222222222221</v>
      </c>
      <c r="AP151" s="132">
        <f t="shared" si="104"/>
        <v>0.20821333333333328</v>
      </c>
      <c r="AQ151" s="137">
        <f t="shared" si="105"/>
        <v>4.3204266666666662</v>
      </c>
      <c r="AR151" s="137">
        <f t="shared" si="106"/>
        <v>4.147588250013759E-2</v>
      </c>
      <c r="AS151" s="1">
        <f t="shared" si="107"/>
        <v>3.7999999999999999E-2</v>
      </c>
      <c r="AT151" s="133">
        <f t="shared" si="108"/>
        <v>4.8000000000000001E-2</v>
      </c>
      <c r="AU151" s="132">
        <f t="shared" si="118"/>
        <v>9.5794608239403587</v>
      </c>
      <c r="AV151" s="1">
        <f t="shared" si="119"/>
        <v>86.399999999999991</v>
      </c>
      <c r="AW151" s="133">
        <f t="shared" si="120"/>
        <v>90.019259598142142</v>
      </c>
    </row>
    <row r="152" spans="17:49" x14ac:dyDescent="0.25">
      <c r="Q152">
        <v>145</v>
      </c>
      <c r="R152" s="132">
        <f t="shared" si="92"/>
        <v>18</v>
      </c>
      <c r="S152" s="1">
        <f t="shared" si="93"/>
        <v>4.833333333333333</v>
      </c>
      <c r="T152" s="1">
        <f t="shared" si="94"/>
        <v>12</v>
      </c>
      <c r="U152" s="133">
        <f t="shared" si="95"/>
        <v>7.25</v>
      </c>
      <c r="V152" s="132">
        <f>IF(Calculations!$B$17=3,2,IF((S152*R152/T152)&lt;((T152*(1-(T152/R152)))/(2*Lm*fsw)),1,2))</f>
        <v>2</v>
      </c>
      <c r="W152" s="1">
        <f t="shared" si="96"/>
        <v>0.33333333333333337</v>
      </c>
      <c r="X152" s="133">
        <f t="shared" si="97"/>
        <v>0.66666666666666663</v>
      </c>
      <c r="Y152" s="132">
        <f t="shared" si="98"/>
        <v>1.6</v>
      </c>
      <c r="Z152" s="1">
        <f t="shared" si="109"/>
        <v>8.0500000000000007</v>
      </c>
      <c r="AA152" s="1">
        <f t="shared" si="110"/>
        <v>7.2646977454904018</v>
      </c>
      <c r="AB152" s="1">
        <v>0</v>
      </c>
      <c r="AC152" s="1">
        <f t="shared" si="99"/>
        <v>4.3803941666666661</v>
      </c>
      <c r="AD152" s="133">
        <f t="shared" si="111"/>
        <v>4.3803941666666661</v>
      </c>
      <c r="AE152" s="132">
        <f t="shared" si="121"/>
        <v>2.416666666666667</v>
      </c>
      <c r="AF152" s="1">
        <f t="shared" si="112"/>
        <v>4.1942751989401517</v>
      </c>
      <c r="AG152" s="1">
        <f t="shared" si="100"/>
        <v>1.7591944444444448E-2</v>
      </c>
      <c r="AH152" s="1">
        <f t="shared" si="101"/>
        <v>0.26962442020022426</v>
      </c>
      <c r="AI152" s="133">
        <f t="shared" si="113"/>
        <v>0.28721636464466871</v>
      </c>
      <c r="AJ152" s="132">
        <f t="shared" si="114"/>
        <v>4.833333333333333</v>
      </c>
      <c r="AK152" s="1">
        <f t="shared" si="115"/>
        <v>5.9316008706662737</v>
      </c>
      <c r="AL152" s="1">
        <f t="shared" si="102"/>
        <v>3.5183888888888896E-2</v>
      </c>
      <c r="AM152" s="1">
        <f t="shared" si="116"/>
        <v>0.15510000000000004</v>
      </c>
      <c r="AN152" s="136">
        <f t="shared" si="103"/>
        <v>0.12880000000000003</v>
      </c>
      <c r="AO152" s="133">
        <f t="shared" si="117"/>
        <v>0.31908388888888894</v>
      </c>
      <c r="AP152" s="132">
        <f t="shared" si="104"/>
        <v>0.21110333333333331</v>
      </c>
      <c r="AQ152" s="137">
        <f t="shared" si="105"/>
        <v>4.3803941666666661</v>
      </c>
      <c r="AR152" s="137">
        <f t="shared" si="106"/>
        <v>4.147588250013759E-2</v>
      </c>
      <c r="AS152" s="1">
        <f t="shared" si="107"/>
        <v>3.7999999999999999E-2</v>
      </c>
      <c r="AT152" s="133">
        <f t="shared" si="108"/>
        <v>4.8000000000000001E-2</v>
      </c>
      <c r="AU152" s="132">
        <f t="shared" si="118"/>
        <v>9.7056678027003613</v>
      </c>
      <c r="AV152" s="1">
        <f t="shared" si="119"/>
        <v>87</v>
      </c>
      <c r="AW152" s="133">
        <f t="shared" si="120"/>
        <v>89.963703241776955</v>
      </c>
    </row>
    <row r="153" spans="17:49" x14ac:dyDescent="0.25">
      <c r="Q153">
        <v>146</v>
      </c>
      <c r="R153" s="132">
        <f t="shared" si="92"/>
        <v>18</v>
      </c>
      <c r="S153" s="1">
        <f t="shared" si="93"/>
        <v>4.8666666666666663</v>
      </c>
      <c r="T153" s="1">
        <f t="shared" si="94"/>
        <v>12</v>
      </c>
      <c r="U153" s="133">
        <f t="shared" si="95"/>
        <v>7.3</v>
      </c>
      <c r="V153" s="132">
        <f>IF(Calculations!$B$17=3,2,IF((S153*R153/T153)&lt;((T153*(1-(T153/R153)))/(2*Lm*fsw)),1,2))</f>
        <v>2</v>
      </c>
      <c r="W153" s="1">
        <f t="shared" si="96"/>
        <v>0.33333333333333337</v>
      </c>
      <c r="X153" s="133">
        <f t="shared" si="97"/>
        <v>0.66666666666666663</v>
      </c>
      <c r="Y153" s="132">
        <f t="shared" si="98"/>
        <v>1.6</v>
      </c>
      <c r="Z153" s="1">
        <f t="shared" si="109"/>
        <v>8.1</v>
      </c>
      <c r="AA153" s="1">
        <f t="shared" si="110"/>
        <v>7.3145972775904298</v>
      </c>
      <c r="AB153" s="1">
        <v>0</v>
      </c>
      <c r="AC153" s="1">
        <f t="shared" si="99"/>
        <v>4.4407766666666664</v>
      </c>
      <c r="AD153" s="133">
        <f t="shared" si="111"/>
        <v>4.4407766666666664</v>
      </c>
      <c r="AE153" s="132">
        <f t="shared" si="121"/>
        <v>2.4333333333333336</v>
      </c>
      <c r="AF153" s="1">
        <f t="shared" si="112"/>
        <v>4.2230847072305391</v>
      </c>
      <c r="AG153" s="1">
        <f t="shared" si="100"/>
        <v>1.7834444444444448E-2</v>
      </c>
      <c r="AH153" s="1">
        <f t="shared" si="101"/>
        <v>0.27148389896022579</v>
      </c>
      <c r="AI153" s="133">
        <f t="shared" si="113"/>
        <v>0.28931834340467022</v>
      </c>
      <c r="AJ153" s="132">
        <f t="shared" si="114"/>
        <v>4.8666666666666663</v>
      </c>
      <c r="AK153" s="1">
        <f t="shared" si="115"/>
        <v>5.9723436680158395</v>
      </c>
      <c r="AL153" s="1">
        <f t="shared" si="102"/>
        <v>3.5668888888888896E-2</v>
      </c>
      <c r="AM153" s="1">
        <f t="shared" si="116"/>
        <v>0.15510000000000004</v>
      </c>
      <c r="AN153" s="136">
        <f t="shared" si="103"/>
        <v>0.12959999999999999</v>
      </c>
      <c r="AO153" s="133">
        <f t="shared" si="117"/>
        <v>0.32036888888888893</v>
      </c>
      <c r="AP153" s="132">
        <f t="shared" si="104"/>
        <v>0.21401333333333331</v>
      </c>
      <c r="AQ153" s="137">
        <f t="shared" si="105"/>
        <v>4.4407766666666664</v>
      </c>
      <c r="AR153" s="137">
        <f t="shared" si="106"/>
        <v>4.147588250013759E-2</v>
      </c>
      <c r="AS153" s="1">
        <f t="shared" si="107"/>
        <v>3.7999999999999999E-2</v>
      </c>
      <c r="AT153" s="133">
        <f t="shared" si="108"/>
        <v>4.8000000000000001E-2</v>
      </c>
      <c r="AU153" s="132">
        <f t="shared" si="118"/>
        <v>9.8327297814603618</v>
      </c>
      <c r="AV153" s="1">
        <f t="shared" si="119"/>
        <v>87.6</v>
      </c>
      <c r="AW153" s="133">
        <f t="shared" si="120"/>
        <v>89.908186085399663</v>
      </c>
    </row>
    <row r="154" spans="17:49" x14ac:dyDescent="0.25">
      <c r="Q154">
        <v>147</v>
      </c>
      <c r="R154" s="132">
        <f t="shared" si="92"/>
        <v>18</v>
      </c>
      <c r="S154" s="1">
        <f t="shared" si="93"/>
        <v>4.9000000000000004</v>
      </c>
      <c r="T154" s="1">
        <f t="shared" si="94"/>
        <v>12</v>
      </c>
      <c r="U154" s="133">
        <f t="shared" si="95"/>
        <v>7.3500000000000005</v>
      </c>
      <c r="V154" s="132">
        <f>IF(Calculations!$B$17=3,2,IF((S154*R154/T154)&lt;((T154*(1-(T154/R154)))/(2*Lm*fsw)),1,2))</f>
        <v>2</v>
      </c>
      <c r="W154" s="1">
        <f t="shared" si="96"/>
        <v>0.33333333333333337</v>
      </c>
      <c r="X154" s="133">
        <f t="shared" si="97"/>
        <v>0.66666666666666663</v>
      </c>
      <c r="Y154" s="132">
        <f t="shared" si="98"/>
        <v>1.6</v>
      </c>
      <c r="Z154" s="1">
        <f t="shared" si="109"/>
        <v>8.15</v>
      </c>
      <c r="AA154" s="1">
        <f t="shared" si="110"/>
        <v>7.364498172539208</v>
      </c>
      <c r="AB154" s="1">
        <v>0</v>
      </c>
      <c r="AC154" s="1">
        <f t="shared" si="99"/>
        <v>4.5015741666666669</v>
      </c>
      <c r="AD154" s="133">
        <f t="shared" si="111"/>
        <v>4.5015741666666669</v>
      </c>
      <c r="AE154" s="132">
        <f t="shared" si="121"/>
        <v>2.4500000000000006</v>
      </c>
      <c r="AF154" s="1">
        <f t="shared" si="112"/>
        <v>4.2518950023620192</v>
      </c>
      <c r="AG154" s="1">
        <f t="shared" si="100"/>
        <v>1.8078611111111115E-2</v>
      </c>
      <c r="AH154" s="1">
        <f t="shared" si="101"/>
        <v>0.27334337772022738</v>
      </c>
      <c r="AI154" s="133">
        <f t="shared" si="113"/>
        <v>0.29142198883133852</v>
      </c>
      <c r="AJ154" s="132">
        <f t="shared" si="114"/>
        <v>4.9000000000000004</v>
      </c>
      <c r="AK154" s="1">
        <f t="shared" si="115"/>
        <v>6.0130875781267497</v>
      </c>
      <c r="AL154" s="1">
        <f t="shared" si="102"/>
        <v>3.6157222222222216E-2</v>
      </c>
      <c r="AM154" s="1">
        <f t="shared" si="116"/>
        <v>0.15510000000000004</v>
      </c>
      <c r="AN154" s="136">
        <f t="shared" si="103"/>
        <v>0.13040000000000002</v>
      </c>
      <c r="AO154" s="133">
        <f t="shared" si="117"/>
        <v>0.32165722222222226</v>
      </c>
      <c r="AP154" s="132">
        <f t="shared" si="104"/>
        <v>0.21694333333333332</v>
      </c>
      <c r="AQ154" s="137">
        <f t="shared" si="105"/>
        <v>4.5015741666666669</v>
      </c>
      <c r="AR154" s="137">
        <f t="shared" si="106"/>
        <v>4.147588250013759E-2</v>
      </c>
      <c r="AS154" s="1">
        <f t="shared" si="107"/>
        <v>3.7999999999999999E-2</v>
      </c>
      <c r="AT154" s="133">
        <f t="shared" si="108"/>
        <v>4.8000000000000001E-2</v>
      </c>
      <c r="AU154" s="132">
        <f t="shared" si="118"/>
        <v>9.9606467602203654</v>
      </c>
      <c r="AV154" s="1">
        <f t="shared" si="119"/>
        <v>88.2</v>
      </c>
      <c r="AW154" s="133">
        <f t="shared" si="120"/>
        <v>89.852708708662547</v>
      </c>
    </row>
    <row r="155" spans="17:49" x14ac:dyDescent="0.25">
      <c r="Q155">
        <v>148</v>
      </c>
      <c r="R155" s="132">
        <f t="shared" si="92"/>
        <v>18</v>
      </c>
      <c r="S155" s="1">
        <f t="shared" si="93"/>
        <v>4.9333333333333336</v>
      </c>
      <c r="T155" s="1">
        <f t="shared" si="94"/>
        <v>12</v>
      </c>
      <c r="U155" s="133">
        <f t="shared" si="95"/>
        <v>7.4000000000000012</v>
      </c>
      <c r="V155" s="132">
        <f>IF(Calculations!$B$17=3,2,IF((S155*R155/T155)&lt;((T155*(1-(T155/R155)))/(2*Lm*fsw)),1,2))</f>
        <v>2</v>
      </c>
      <c r="W155" s="1">
        <f t="shared" si="96"/>
        <v>0.33333333333333337</v>
      </c>
      <c r="X155" s="133">
        <f t="shared" si="97"/>
        <v>0.66666666666666663</v>
      </c>
      <c r="Y155" s="132">
        <f t="shared" si="98"/>
        <v>1.6</v>
      </c>
      <c r="Z155" s="1">
        <f t="shared" si="109"/>
        <v>8.2000000000000011</v>
      </c>
      <c r="AA155" s="1">
        <f t="shared" si="110"/>
        <v>7.4144004028197283</v>
      </c>
      <c r="AB155" s="1">
        <v>0</v>
      </c>
      <c r="AC155" s="1">
        <f t="shared" si="99"/>
        <v>4.5627866666666685</v>
      </c>
      <c r="AD155" s="133">
        <f t="shared" si="111"/>
        <v>4.5627866666666685</v>
      </c>
      <c r="AE155" s="132">
        <f t="shared" si="121"/>
        <v>2.4666666666666672</v>
      </c>
      <c r="AF155" s="1">
        <f t="shared" si="112"/>
        <v>4.2807060684476408</v>
      </c>
      <c r="AG155" s="1">
        <f t="shared" si="100"/>
        <v>1.8324444444444459E-2</v>
      </c>
      <c r="AH155" s="1">
        <f t="shared" si="101"/>
        <v>0.27520285648022891</v>
      </c>
      <c r="AI155" s="133">
        <f t="shared" si="113"/>
        <v>0.29352730092467338</v>
      </c>
      <c r="AJ155" s="132">
        <f t="shared" si="114"/>
        <v>4.9333333333333336</v>
      </c>
      <c r="AK155" s="1">
        <f t="shared" si="115"/>
        <v>6.0538325785314635</v>
      </c>
      <c r="AL155" s="1">
        <f t="shared" si="102"/>
        <v>3.6648888888888904E-2</v>
      </c>
      <c r="AM155" s="1">
        <f t="shared" si="116"/>
        <v>0.15510000000000004</v>
      </c>
      <c r="AN155" s="136">
        <f t="shared" si="103"/>
        <v>0.13120000000000001</v>
      </c>
      <c r="AO155" s="133">
        <f t="shared" si="117"/>
        <v>0.32294888888888895</v>
      </c>
      <c r="AP155" s="132">
        <f t="shared" si="104"/>
        <v>0.21989333333333341</v>
      </c>
      <c r="AQ155" s="137">
        <f t="shared" si="105"/>
        <v>4.5627866666666685</v>
      </c>
      <c r="AR155" s="137">
        <f t="shared" si="106"/>
        <v>4.147588250013759E-2</v>
      </c>
      <c r="AS155" s="1">
        <f t="shared" si="107"/>
        <v>3.7999999999999999E-2</v>
      </c>
      <c r="AT155" s="133">
        <f t="shared" si="108"/>
        <v>4.8000000000000001E-2</v>
      </c>
      <c r="AU155" s="132">
        <f t="shared" si="118"/>
        <v>10.08941873898037</v>
      </c>
      <c r="AV155" s="1">
        <f t="shared" si="119"/>
        <v>88.800000000000011</v>
      </c>
      <c r="AW155" s="133">
        <f t="shared" si="120"/>
        <v>89.797271672097196</v>
      </c>
    </row>
    <row r="156" spans="17:49" x14ac:dyDescent="0.25">
      <c r="Q156">
        <v>149</v>
      </c>
      <c r="R156" s="132">
        <f t="shared" si="92"/>
        <v>18</v>
      </c>
      <c r="S156" s="1">
        <f t="shared" si="93"/>
        <v>4.9666666666666668</v>
      </c>
      <c r="T156" s="1">
        <f t="shared" si="94"/>
        <v>12</v>
      </c>
      <c r="U156" s="133">
        <f t="shared" si="95"/>
        <v>7.45</v>
      </c>
      <c r="V156" s="132">
        <f>IF(Calculations!$B$17=3,2,IF((S156*R156/T156)&lt;((T156*(1-(T156/R156)))/(2*Lm*fsw)),1,2))</f>
        <v>2</v>
      </c>
      <c r="W156" s="1">
        <f t="shared" si="96"/>
        <v>0.33333333333333337</v>
      </c>
      <c r="X156" s="133">
        <f t="shared" si="97"/>
        <v>0.66666666666666663</v>
      </c>
      <c r="Y156" s="132">
        <f t="shared" si="98"/>
        <v>1.6</v>
      </c>
      <c r="Z156" s="1">
        <f t="shared" si="109"/>
        <v>8.25</v>
      </c>
      <c r="AA156" s="1">
        <f t="shared" si="110"/>
        <v>7.4643039416501082</v>
      </c>
      <c r="AB156" s="1">
        <v>0</v>
      </c>
      <c r="AC156" s="1">
        <f t="shared" si="99"/>
        <v>4.6244141666666678</v>
      </c>
      <c r="AD156" s="133">
        <f t="shared" si="111"/>
        <v>4.6244141666666678</v>
      </c>
      <c r="AE156" s="132">
        <f t="shared" si="121"/>
        <v>2.4833333333333338</v>
      </c>
      <c r="AF156" s="1">
        <f t="shared" si="112"/>
        <v>4.3095178900248747</v>
      </c>
      <c r="AG156" s="1">
        <f t="shared" si="100"/>
        <v>1.8571944444444446E-2</v>
      </c>
      <c r="AH156" s="1">
        <f t="shared" si="101"/>
        <v>0.27706233524023044</v>
      </c>
      <c r="AI156" s="133">
        <f t="shared" si="113"/>
        <v>0.29563427968467487</v>
      </c>
      <c r="AJ156" s="132">
        <f t="shared" si="114"/>
        <v>4.9666666666666668</v>
      </c>
      <c r="AK156" s="1">
        <f t="shared" si="115"/>
        <v>6.0945786473626615</v>
      </c>
      <c r="AL156" s="1">
        <f t="shared" si="102"/>
        <v>3.7143888888888886E-2</v>
      </c>
      <c r="AM156" s="1">
        <f t="shared" si="116"/>
        <v>0.15510000000000004</v>
      </c>
      <c r="AN156" s="136">
        <f t="shared" si="103"/>
        <v>0.13200000000000001</v>
      </c>
      <c r="AO156" s="133">
        <f t="shared" si="117"/>
        <v>0.32424388888888894</v>
      </c>
      <c r="AP156" s="132">
        <f t="shared" si="104"/>
        <v>0.22286333333333339</v>
      </c>
      <c r="AQ156" s="137">
        <f t="shared" si="105"/>
        <v>4.6244141666666678</v>
      </c>
      <c r="AR156" s="137">
        <f t="shared" si="106"/>
        <v>4.147588250013759E-2</v>
      </c>
      <c r="AS156" s="1">
        <f t="shared" si="107"/>
        <v>3.7999999999999999E-2</v>
      </c>
      <c r="AT156" s="133">
        <f t="shared" si="108"/>
        <v>4.8000000000000001E-2</v>
      </c>
      <c r="AU156" s="132">
        <f t="shared" si="118"/>
        <v>10.21904571774037</v>
      </c>
      <c r="AV156" s="1">
        <f t="shared" si="119"/>
        <v>89.4</v>
      </c>
      <c r="AW156" s="133">
        <f t="shared" si="120"/>
        <v>89.741875517765038</v>
      </c>
    </row>
    <row r="157" spans="17:49" ht="15.75" thickBot="1" x14ac:dyDescent="0.3">
      <c r="Q157">
        <v>150</v>
      </c>
      <c r="R157" s="138">
        <f t="shared" si="92"/>
        <v>18</v>
      </c>
      <c r="S157" s="139">
        <f t="shared" si="93"/>
        <v>5</v>
      </c>
      <c r="T157" s="1">
        <f t="shared" si="94"/>
        <v>12</v>
      </c>
      <c r="U157" s="140">
        <f t="shared" si="95"/>
        <v>7.5</v>
      </c>
      <c r="V157" s="132">
        <f>IF(Calculations!$B$17=3,2,IF((S157*R157/T157)&lt;((T157*(1-(T157/R157)))/(2*Lm*fsw)),1,2))</f>
        <v>2</v>
      </c>
      <c r="W157" s="139">
        <f t="shared" si="96"/>
        <v>0.33333333333333337</v>
      </c>
      <c r="X157" s="133">
        <f t="shared" si="97"/>
        <v>0.66666666666666663</v>
      </c>
      <c r="Y157" s="138">
        <f t="shared" si="98"/>
        <v>1.6</v>
      </c>
      <c r="Z157" s="139">
        <f t="shared" si="109"/>
        <v>8.3000000000000007</v>
      </c>
      <c r="AA157" s="139">
        <f t="shared" si="110"/>
        <v>7.5142087629592336</v>
      </c>
      <c r="AB157" s="139">
        <v>0</v>
      </c>
      <c r="AC157" s="139">
        <f t="shared" si="99"/>
        <v>4.6864566666666674</v>
      </c>
      <c r="AD157" s="140">
        <f t="shared" si="111"/>
        <v>4.6864566666666674</v>
      </c>
      <c r="AE157" s="138">
        <f t="shared" si="121"/>
        <v>2.5000000000000004</v>
      </c>
      <c r="AF157" s="1">
        <f t="shared" si="112"/>
        <v>4.3383304520415589</v>
      </c>
      <c r="AG157" s="139">
        <f t="shared" si="100"/>
        <v>1.8821111111111115E-2</v>
      </c>
      <c r="AH157" s="139">
        <f t="shared" si="101"/>
        <v>0.27892181400023197</v>
      </c>
      <c r="AI157" s="140">
        <f t="shared" si="113"/>
        <v>0.29774292511134309</v>
      </c>
      <c r="AJ157" s="138">
        <f>X157*U157</f>
        <v>5</v>
      </c>
      <c r="AK157" s="139">
        <f t="shared" si="115"/>
        <v>6.1353257633333724</v>
      </c>
      <c r="AL157" s="1">
        <f t="shared" si="102"/>
        <v>3.764222222222223E-2</v>
      </c>
      <c r="AM157" s="1">
        <f t="shared" si="116"/>
        <v>0.15510000000000004</v>
      </c>
      <c r="AN157" s="136">
        <f t="shared" si="103"/>
        <v>0.1328</v>
      </c>
      <c r="AO157" s="133">
        <f t="shared" si="117"/>
        <v>0.32554222222222229</v>
      </c>
      <c r="AP157" s="132">
        <f t="shared" si="104"/>
        <v>0.22585333333333335</v>
      </c>
      <c r="AQ157" s="137">
        <f t="shared" si="105"/>
        <v>4.6864566666666674</v>
      </c>
      <c r="AR157" s="137">
        <f t="shared" si="106"/>
        <v>4.147588250013759E-2</v>
      </c>
      <c r="AS157" s="1">
        <f t="shared" si="107"/>
        <v>3.7999999999999999E-2</v>
      </c>
      <c r="AT157" s="140">
        <f t="shared" si="108"/>
        <v>4.8000000000000001E-2</v>
      </c>
      <c r="AU157" s="132">
        <f t="shared" si="118"/>
        <v>10.34952769650037</v>
      </c>
      <c r="AV157" s="139">
        <f t="shared" si="119"/>
        <v>90</v>
      </c>
      <c r="AW157" s="140">
        <f>(AV157/(AV157+AU157))*100</f>
        <v>89.68652076988171</v>
      </c>
    </row>
  </sheetData>
  <mergeCells count="7">
    <mergeCell ref="AP5:AT5"/>
    <mergeCell ref="A1:M1"/>
    <mergeCell ref="R5:U5"/>
    <mergeCell ref="V5:X5"/>
    <mergeCell ref="Y5:AD5"/>
    <mergeCell ref="AE5:AI5"/>
    <mergeCell ref="AJ5:AO5"/>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FC06E-D291-4622-87EE-7C1E2472768F}">
  <sheetPr codeName="Sheet8"/>
  <dimension ref="A1:AW157"/>
  <sheetViews>
    <sheetView topLeftCell="AT10" workbookViewId="0">
      <selection activeCell="BB40" sqref="BB40"/>
    </sheetView>
  </sheetViews>
  <sheetFormatPr baseColWidth="10" defaultColWidth="9.140625" defaultRowHeight="15" x14ac:dyDescent="0.25"/>
  <cols>
    <col min="10" max="10" width="10" bestFit="1" customWidth="1"/>
    <col min="25" max="25" width="12" bestFit="1" customWidth="1"/>
    <col min="39" max="39" width="11" bestFit="1" customWidth="1"/>
    <col min="40" max="40" width="16.28515625" customWidth="1"/>
    <col min="41" max="41" width="11.7109375" customWidth="1"/>
    <col min="47" max="47" width="11.7109375" customWidth="1"/>
  </cols>
  <sheetData>
    <row r="1" spans="1:49" ht="27.75" x14ac:dyDescent="0.4">
      <c r="A1" s="245" t="s">
        <v>599</v>
      </c>
      <c r="B1" s="245"/>
      <c r="C1" s="245"/>
      <c r="D1" s="245"/>
      <c r="E1" s="245"/>
      <c r="F1" s="245"/>
      <c r="G1" s="245"/>
      <c r="H1" s="245"/>
      <c r="I1" s="245"/>
      <c r="J1" s="245"/>
      <c r="K1" s="245"/>
      <c r="L1" s="245"/>
      <c r="M1" s="245"/>
    </row>
    <row r="4" spans="1:49" ht="15.75" thickBot="1" x14ac:dyDescent="0.3">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row>
    <row r="5" spans="1:49" x14ac:dyDescent="0.25">
      <c r="R5" s="246" t="s">
        <v>600</v>
      </c>
      <c r="S5" s="247"/>
      <c r="T5" s="247"/>
      <c r="U5" s="248"/>
      <c r="V5" s="246" t="s">
        <v>262</v>
      </c>
      <c r="W5" s="247"/>
      <c r="X5" s="248"/>
      <c r="Y5" s="246" t="s">
        <v>601</v>
      </c>
      <c r="Z5" s="247"/>
      <c r="AA5" s="247"/>
      <c r="AB5" s="247"/>
      <c r="AC5" s="247"/>
      <c r="AD5" s="248"/>
      <c r="AE5" s="246" t="s">
        <v>602</v>
      </c>
      <c r="AF5" s="247"/>
      <c r="AG5" s="247"/>
      <c r="AH5" s="247"/>
      <c r="AI5" s="248"/>
      <c r="AJ5" s="246" t="s">
        <v>603</v>
      </c>
      <c r="AK5" s="247"/>
      <c r="AL5" s="247"/>
      <c r="AM5" s="247"/>
      <c r="AN5" s="249"/>
      <c r="AO5" s="248"/>
      <c r="AP5" s="241" t="s">
        <v>604</v>
      </c>
      <c r="AQ5" s="242"/>
      <c r="AR5" s="242"/>
      <c r="AS5" s="243"/>
      <c r="AT5" s="244"/>
      <c r="AU5" s="129" t="s">
        <v>605</v>
      </c>
      <c r="AV5" s="130"/>
      <c r="AW5" s="131"/>
    </row>
    <row r="6" spans="1:49" ht="18" x14ac:dyDescent="0.35">
      <c r="R6" s="132" t="s">
        <v>222</v>
      </c>
      <c r="S6" s="1" t="s">
        <v>223</v>
      </c>
      <c r="T6" s="1" t="s">
        <v>606</v>
      </c>
      <c r="U6" s="133" t="s">
        <v>607</v>
      </c>
      <c r="V6" s="132" t="s">
        <v>608</v>
      </c>
      <c r="W6" s="1" t="s">
        <v>609</v>
      </c>
      <c r="X6" s="133" t="s">
        <v>610</v>
      </c>
      <c r="Y6" s="132" t="s">
        <v>611</v>
      </c>
      <c r="Z6" s="1" t="s">
        <v>612</v>
      </c>
      <c r="AA6" s="1" t="s">
        <v>613</v>
      </c>
      <c r="AB6" s="134" t="s">
        <v>614</v>
      </c>
      <c r="AC6" s="134" t="s">
        <v>615</v>
      </c>
      <c r="AD6" s="135" t="s">
        <v>616</v>
      </c>
      <c r="AE6" s="132" t="s">
        <v>617</v>
      </c>
      <c r="AF6" s="1" t="s">
        <v>618</v>
      </c>
      <c r="AG6" s="134" t="s">
        <v>619</v>
      </c>
      <c r="AH6" s="134" t="s">
        <v>620</v>
      </c>
      <c r="AI6" s="135" t="s">
        <v>621</v>
      </c>
      <c r="AJ6" s="132" t="s">
        <v>622</v>
      </c>
      <c r="AK6" s="1" t="s">
        <v>623</v>
      </c>
      <c r="AL6" s="1" t="s">
        <v>624</v>
      </c>
      <c r="AM6" s="1" t="s">
        <v>625</v>
      </c>
      <c r="AN6" s="136" t="s">
        <v>626</v>
      </c>
      <c r="AO6" s="133" t="s">
        <v>627</v>
      </c>
      <c r="AP6" s="132" t="s">
        <v>628</v>
      </c>
      <c r="AQ6" s="137" t="s">
        <v>615</v>
      </c>
      <c r="AR6" s="137" t="s">
        <v>629</v>
      </c>
      <c r="AS6" s="1" t="s">
        <v>630</v>
      </c>
      <c r="AT6" s="133" t="s">
        <v>631</v>
      </c>
      <c r="AU6" s="132" t="s">
        <v>632</v>
      </c>
      <c r="AV6" s="1" t="s">
        <v>633</v>
      </c>
      <c r="AW6" s="133" t="s">
        <v>634</v>
      </c>
    </row>
    <row r="7" spans="1:49" x14ac:dyDescent="0.25">
      <c r="Q7">
        <v>0</v>
      </c>
      <c r="R7" s="132">
        <f t="shared" ref="R7:R70" si="0">VOUT</f>
        <v>18</v>
      </c>
      <c r="S7" s="1">
        <f t="shared" ref="S7:S38" si="1">IOUT</f>
        <v>5</v>
      </c>
      <c r="T7" s="1">
        <f t="shared" ref="T7:T38" si="2">VIN_MIN+($O$12)*(Q7)</f>
        <v>11</v>
      </c>
      <c r="U7" s="133">
        <f>(R7*S7)/(T7*EFF_est)</f>
        <v>8.1818181818181817</v>
      </c>
      <c r="V7" s="132">
        <f>IF(Calculations!$B$17=3,2,IF((S7*R7/T7)&lt;((T7*(1-(T7/R7)))/(2*Lm*fsw)),1,2))</f>
        <v>2</v>
      </c>
      <c r="W7" s="1">
        <f>CHOOSE(V7,SQRT((2*S7*Lm*fsw*(R7-T7))/((T7)^2)),1-(T7/R7))</f>
        <v>0.38888888888888884</v>
      </c>
      <c r="X7" s="133">
        <f t="shared" ref="X7:X70" si="3">CHOOSE(V7,(Lm*Z7*fsw)/(R7-T7),1-W7)</f>
        <v>0.61111111111111116</v>
      </c>
      <c r="Y7" s="132">
        <f t="shared" ref="Y7:Y70" si="4">(T7*W7)/(Lm*fsw)</f>
        <v>1.7111111111111108</v>
      </c>
      <c r="Z7" s="1">
        <f>CHOOSE(V7,Y7,U7+(0.5*Y7))</f>
        <v>9.0373737373737377</v>
      </c>
      <c r="AA7" s="1">
        <f>CHOOSE(V7,Z7*SQRT((W7+X7)/3),SQRT((U7^2)+((Y7^2)/12)))</f>
        <v>8.1967152280580002</v>
      </c>
      <c r="AB7" s="1">
        <v>0</v>
      </c>
      <c r="AC7" s="1">
        <f>(AA7^2)*Rdcr</f>
        <v>5.5764496639798677</v>
      </c>
      <c r="AD7" s="133">
        <f>AB7+AC7</f>
        <v>5.5764496639798677</v>
      </c>
      <c r="AE7" s="132">
        <f>U7*W7</f>
        <v>3.1818181818181812</v>
      </c>
      <c r="AF7" s="1">
        <f>CHOOSE(V7,Z7*SQRT(W7/3),SQRT(W7*((Z7^2)+((Y7^2)/3)-(Z7*Y7))))</f>
        <v>5.1115500133909446</v>
      </c>
      <c r="AG7" s="1">
        <f t="shared" ref="AG7:AG70" si="5">(AF7^2)*RDS_on</f>
        <v>2.6127943539396965E-2</v>
      </c>
      <c r="AH7" s="1">
        <f>((R7*U7)/2)*fsw*(tr_sw+tf_sw)</f>
        <v>0.30427834254570763</v>
      </c>
      <c r="AI7" s="133">
        <f>AG7+AH7</f>
        <v>0.33040628608510458</v>
      </c>
      <c r="AJ7" s="132">
        <f>X7*U7</f>
        <v>5</v>
      </c>
      <c r="AK7" s="1">
        <f>CHOOSE(V7,Z7*SQRT(X7/3),SQRT(X7*((Z7^2)+((Y7^2)/3)-(Y7*Z7))))</f>
        <v>6.4076670474113238</v>
      </c>
      <c r="AL7" s="1">
        <f t="shared" ref="AL7:AL70" si="6">(AK7^2)*RDS_on_HS</f>
        <v>4.1058196990480952E-2</v>
      </c>
      <c r="AM7" s="1">
        <f>CHOOSE(V7,0,(R7+Vd_rect)*Qrr*fsw)</f>
        <v>0.15510000000000004</v>
      </c>
      <c r="AN7" s="136">
        <f>Vd_rect*t_dead*fsw*Z7</f>
        <v>0.14459797979797981</v>
      </c>
      <c r="AO7" s="133">
        <f>AL7+AM7+AN7</f>
        <v>0.34075617678846082</v>
      </c>
      <c r="AP7" s="132">
        <f t="shared" ref="AP7:AP70" si="7">(AA7^2)*Rcs</f>
        <v>0.2687445621195117</v>
      </c>
      <c r="AQ7" s="137">
        <f t="shared" ref="AQ7:AQ70" si="8">Rdcr*AA7^2</f>
        <v>5.5764496639798677</v>
      </c>
      <c r="AR7" s="137">
        <f t="shared" ref="AR7:AR70" si="9">ABS(7.759*10^-3*fsw^0.9458*(0.00787*Y7)^2.304)</f>
        <v>4.8414582877818024E-2</v>
      </c>
      <c r="AS7" s="1">
        <f t="shared" ref="AS7:AS70" si="10">(Qg_tot+Qg_tot_HS)*VCC*fsw</f>
        <v>3.7999999999999999E-2</v>
      </c>
      <c r="AT7" s="133">
        <f>IQ*T7</f>
        <v>4.3999999999999997E-2</v>
      </c>
      <c r="AU7" s="132">
        <f>AP7+AO7+AI7+AD7+AS7+AT7+AQ7+AR7</f>
        <v>12.22322093583063</v>
      </c>
      <c r="AV7" s="1">
        <f>R7*S7</f>
        <v>90</v>
      </c>
      <c r="AW7" s="133">
        <f>(AV7/(AV7+AU7))*100</f>
        <v>88.042618082340013</v>
      </c>
    </row>
    <row r="8" spans="1:49" x14ac:dyDescent="0.25">
      <c r="M8">
        <f>fsw</f>
        <v>250000</v>
      </c>
      <c r="Q8">
        <v>1</v>
      </c>
      <c r="R8" s="132">
        <f t="shared" si="0"/>
        <v>18</v>
      </c>
      <c r="S8" s="1">
        <f t="shared" si="1"/>
        <v>5</v>
      </c>
      <c r="T8" s="1">
        <f t="shared" si="2"/>
        <v>11.01</v>
      </c>
      <c r="U8" s="133">
        <f t="shared" ref="U8:U71" si="11">(R8*S8)/(T8*EFF_est)</f>
        <v>8.1743869209809272</v>
      </c>
      <c r="V8" s="132">
        <f>IF(Calculations!$B$17=3,2,IF((S8*R8/T8)&lt;((T8*(1-(T8/R8)))/(2*Lm*fsw)),1,2))</f>
        <v>2</v>
      </c>
      <c r="W8" s="1">
        <f t="shared" ref="W8:W71" si="12">CHOOSE(V8,SQRT((2*S8*Lm*fsw*(R8-T8))/((T8)^2)),1-(T8/R8))</f>
        <v>0.38833333333333331</v>
      </c>
      <c r="X8" s="133">
        <f t="shared" si="3"/>
        <v>0.61166666666666669</v>
      </c>
      <c r="Y8" s="132">
        <f t="shared" si="4"/>
        <v>1.7102200000000001</v>
      </c>
      <c r="Z8" s="1">
        <f t="shared" ref="Z8:Z71" si="13">CHOOSE(V8,Y8,U8+(0.5*Y8))</f>
        <v>9.029496920980927</v>
      </c>
      <c r="AA8" s="1">
        <f t="shared" ref="AA8:AA71" si="14">CHOOSE(V8,Z8*SQRT((W8+X8)/3),SQRT((U8^2)+((Y8^2)/12)))</f>
        <v>8.1892819732829683</v>
      </c>
      <c r="AB8" s="1">
        <v>0</v>
      </c>
      <c r="AC8" s="1">
        <f t="shared" ref="AC8:AC71" si="15">(AA8^2)*Rdcr</f>
        <v>5.5663401567488036</v>
      </c>
      <c r="AD8" s="133">
        <f t="shared" ref="AD8:AD71" si="16">AB8+AC8</f>
        <v>5.5663401567488036</v>
      </c>
      <c r="AE8" s="132">
        <f>U8*W8</f>
        <v>3.1743869209809263</v>
      </c>
      <c r="AF8" s="1">
        <f t="shared" ref="AF8:AF71" si="17">CHOOSE(V8,Z8*SQRT(W8/3),SQRT(W8*((Z8^2)+((Y8^2)/3)-(Z8*Y8))))</f>
        <v>5.1032654647848439</v>
      </c>
      <c r="AG8" s="1">
        <f t="shared" si="5"/>
        <v>2.6043318404065669E-2</v>
      </c>
      <c r="AH8" s="1">
        <f t="shared" ref="AH8:AH71" si="18">((R8*U8)/2)*fsw*(tr_sw+tf_sw)</f>
        <v>0.30400197711196947</v>
      </c>
      <c r="AI8" s="133">
        <f t="shared" ref="AI8:AI71" si="19">AG8+AH8</f>
        <v>0.33004529551603512</v>
      </c>
      <c r="AJ8" s="132">
        <f t="shared" ref="AJ8:AJ71" si="20">X8*U8</f>
        <v>5.0000000000000009</v>
      </c>
      <c r="AK8" s="1">
        <f t="shared" ref="AK8:AK71" si="21">CHOOSE(V8,Z8*SQRT(X8/3),SQRT(X8*((Z8^2)+((Y8^2)/3)-(Y8*Z8))))</f>
        <v>6.404765478444288</v>
      </c>
      <c r="AL8" s="1">
        <f t="shared" si="6"/>
        <v>4.1021020833871692E-2</v>
      </c>
      <c r="AM8" s="1">
        <f t="shared" ref="AM8:AM71" si="22">CHOOSE(V8,(R8+Vd_rect)*Qrr*fsw,(R8+Vd_rect)*Qrr*fsw)</f>
        <v>0.15510000000000004</v>
      </c>
      <c r="AN8" s="136">
        <f>Vd_rect*t_dead*fsw*Z8</f>
        <v>0.14447195073569483</v>
      </c>
      <c r="AO8" s="133">
        <f t="shared" ref="AO8:AO71" si="23">AL8+AM8+AN8</f>
        <v>0.34059297156956658</v>
      </c>
      <c r="AP8" s="132">
        <f t="shared" si="7"/>
        <v>0.26825735695174957</v>
      </c>
      <c r="AQ8" s="137">
        <f t="shared" si="8"/>
        <v>5.5663401567488036</v>
      </c>
      <c r="AR8" s="137">
        <f t="shared" si="9"/>
        <v>4.8356511138270705E-2</v>
      </c>
      <c r="AS8" s="1">
        <f t="shared" si="10"/>
        <v>3.7999999999999999E-2</v>
      </c>
      <c r="AT8" s="133">
        <f t="shared" ref="AT8:AT71" si="24">IQ*T8</f>
        <v>4.4040000000000003E-2</v>
      </c>
      <c r="AU8" s="132">
        <f t="shared" ref="AU8:AU71" si="25">AP8+AO8+AI8+AD8+AS8+AT8+AQ8+AR8</f>
        <v>12.20197244867323</v>
      </c>
      <c r="AV8" s="1">
        <f t="shared" ref="AV8:AV71" si="26">R8*S8</f>
        <v>90</v>
      </c>
      <c r="AW8" s="133">
        <f t="shared" ref="AW8:AW71" si="27">(AV8/(AV8+AU8))*100</f>
        <v>88.060922743148453</v>
      </c>
    </row>
    <row r="9" spans="1:49" x14ac:dyDescent="0.25">
      <c r="N9" s="1" t="s">
        <v>451</v>
      </c>
      <c r="O9" s="1">
        <f>Vin_vari</f>
        <v>12</v>
      </c>
      <c r="P9" t="s">
        <v>34</v>
      </c>
      <c r="Q9">
        <v>2</v>
      </c>
      <c r="R9" s="132">
        <f t="shared" si="0"/>
        <v>18</v>
      </c>
      <c r="S9" s="1">
        <f t="shared" si="1"/>
        <v>5</v>
      </c>
      <c r="T9" s="1">
        <f t="shared" si="2"/>
        <v>11.02</v>
      </c>
      <c r="U9" s="133">
        <f t="shared" si="11"/>
        <v>8.1669691470054442</v>
      </c>
      <c r="V9" s="132">
        <f>IF(Calculations!$B$17=3,2,IF((S9*R9/T9)&lt;((T9*(1-(T9/R9)))/(2*Lm*fsw)),1,2))</f>
        <v>2</v>
      </c>
      <c r="W9" s="1">
        <f t="shared" si="12"/>
        <v>0.38777777777777778</v>
      </c>
      <c r="X9" s="133">
        <f t="shared" si="3"/>
        <v>0.61222222222222222</v>
      </c>
      <c r="Y9" s="132">
        <f t="shared" si="4"/>
        <v>1.7093244444444444</v>
      </c>
      <c r="Z9" s="1">
        <f t="shared" si="13"/>
        <v>9.0216313692276664</v>
      </c>
      <c r="AA9" s="1">
        <f t="shared" si="14"/>
        <v>8.1818621079089802</v>
      </c>
      <c r="AB9" s="1">
        <v>0</v>
      </c>
      <c r="AC9" s="1">
        <f t="shared" si="15"/>
        <v>5.5562580068854528</v>
      </c>
      <c r="AD9" s="133">
        <f t="shared" si="16"/>
        <v>5.5562580068854528</v>
      </c>
      <c r="AE9" s="132">
        <f t="shared" ref="AE9:AE72" si="28">U9*W9</f>
        <v>3.1669691470054446</v>
      </c>
      <c r="AF9" s="1">
        <f t="shared" si="17"/>
        <v>5.0949932696433615</v>
      </c>
      <c r="AG9" s="1">
        <f t="shared" si="5"/>
        <v>2.5958956417711152E-2</v>
      </c>
      <c r="AH9" s="1">
        <f t="shared" si="18"/>
        <v>0.30372611324889137</v>
      </c>
      <c r="AI9" s="133">
        <f t="shared" si="19"/>
        <v>0.32968506966660255</v>
      </c>
      <c r="AJ9" s="132">
        <f t="shared" si="20"/>
        <v>5</v>
      </c>
      <c r="AK9" s="1">
        <f t="shared" si="21"/>
        <v>6.4018677848832226</v>
      </c>
      <c r="AL9" s="1">
        <f t="shared" si="6"/>
        <v>4.0983911135125617E-2</v>
      </c>
      <c r="AM9" s="1">
        <f t="shared" si="22"/>
        <v>0.15510000000000004</v>
      </c>
      <c r="AN9" s="136">
        <f t="shared" ref="AN9:AN72" si="29">Vd_rect*t_dead*fsw*Z9</f>
        <v>0.14434610190764266</v>
      </c>
      <c r="AO9" s="133">
        <f t="shared" si="23"/>
        <v>0.34043001304276832</v>
      </c>
      <c r="AP9" s="132">
        <f t="shared" si="7"/>
        <v>0.26777147021134712</v>
      </c>
      <c r="AQ9" s="137">
        <f t="shared" si="8"/>
        <v>5.5562580068854528</v>
      </c>
      <c r="AR9" s="137">
        <f t="shared" si="9"/>
        <v>4.8298189503119884E-2</v>
      </c>
      <c r="AS9" s="1">
        <f t="shared" si="10"/>
        <v>3.7999999999999999E-2</v>
      </c>
      <c r="AT9" s="133">
        <f t="shared" si="24"/>
        <v>4.4080000000000001E-2</v>
      </c>
      <c r="AU9" s="132">
        <f t="shared" si="25"/>
        <v>12.180780756194745</v>
      </c>
      <c r="AV9" s="1">
        <f t="shared" si="26"/>
        <v>90</v>
      </c>
      <c r="AW9" s="133">
        <f t="shared" si="27"/>
        <v>88.079186060186487</v>
      </c>
    </row>
    <row r="10" spans="1:49" x14ac:dyDescent="0.25">
      <c r="N10" s="1"/>
      <c r="O10" s="1"/>
      <c r="Q10">
        <v>3</v>
      </c>
      <c r="R10" s="132">
        <f t="shared" si="0"/>
        <v>18</v>
      </c>
      <c r="S10" s="1">
        <f t="shared" si="1"/>
        <v>5</v>
      </c>
      <c r="T10" s="1">
        <f t="shared" si="2"/>
        <v>11.03</v>
      </c>
      <c r="U10" s="133">
        <f t="shared" si="11"/>
        <v>8.1595648232094291</v>
      </c>
      <c r="V10" s="132">
        <f>IF(Calculations!$B$17=3,2,IF((S10*R10/T10)&lt;((T10*(1-(T10/R10)))/(2*Lm*fsw)),1,2))</f>
        <v>2</v>
      </c>
      <c r="W10" s="1">
        <f t="shared" si="12"/>
        <v>0.38722222222222225</v>
      </c>
      <c r="X10" s="133">
        <f t="shared" si="3"/>
        <v>0.61277777777777775</v>
      </c>
      <c r="Y10" s="132">
        <f t="shared" si="4"/>
        <v>1.7084244444444443</v>
      </c>
      <c r="Z10" s="1">
        <f t="shared" si="13"/>
        <v>9.0137770454316506</v>
      </c>
      <c r="AA10" s="1">
        <f t="shared" si="14"/>
        <v>8.1744555951872417</v>
      </c>
      <c r="AB10" s="1">
        <v>0</v>
      </c>
      <c r="AC10" s="1">
        <f t="shared" si="15"/>
        <v>5.5462031150481046</v>
      </c>
      <c r="AD10" s="133">
        <f t="shared" si="16"/>
        <v>5.5462031150481046</v>
      </c>
      <c r="AE10" s="132">
        <f t="shared" si="28"/>
        <v>3.1595648232094291</v>
      </c>
      <c r="AF10" s="1">
        <f t="shared" si="17"/>
        <v>5.0867333886814787</v>
      </c>
      <c r="AG10" s="1">
        <f t="shared" si="5"/>
        <v>2.5874856567526958E-2</v>
      </c>
      <c r="AH10" s="1">
        <f t="shared" si="18"/>
        <v>0.30345074959227408</v>
      </c>
      <c r="AI10" s="133">
        <f t="shared" si="19"/>
        <v>0.32932560615980105</v>
      </c>
      <c r="AJ10" s="132">
        <f t="shared" si="20"/>
        <v>5</v>
      </c>
      <c r="AK10" s="1">
        <f t="shared" si="21"/>
        <v>6.3989739576092219</v>
      </c>
      <c r="AL10" s="1">
        <f t="shared" si="6"/>
        <v>4.0946867710161032E-2</v>
      </c>
      <c r="AM10" s="1">
        <f t="shared" si="22"/>
        <v>0.15510000000000004</v>
      </c>
      <c r="AN10" s="136">
        <f t="shared" si="29"/>
        <v>0.14422043272690641</v>
      </c>
      <c r="AO10" s="133">
        <f t="shared" si="23"/>
        <v>0.34026730043706749</v>
      </c>
      <c r="AP10" s="132">
        <f t="shared" si="7"/>
        <v>0.26728689711075204</v>
      </c>
      <c r="AQ10" s="137">
        <f t="shared" si="8"/>
        <v>5.5462031150481046</v>
      </c>
      <c r="AR10" s="137">
        <f t="shared" si="9"/>
        <v>4.8239618559094893E-2</v>
      </c>
      <c r="AS10" s="1">
        <f t="shared" si="10"/>
        <v>3.7999999999999999E-2</v>
      </c>
      <c r="AT10" s="133">
        <f t="shared" si="24"/>
        <v>4.4119999999999999E-2</v>
      </c>
      <c r="AU10" s="132">
        <f t="shared" si="25"/>
        <v>12.159645652362926</v>
      </c>
      <c r="AV10" s="1">
        <f t="shared" si="26"/>
        <v>90</v>
      </c>
      <c r="AW10" s="133">
        <f t="shared" si="27"/>
        <v>88.097408154937469</v>
      </c>
    </row>
    <row r="11" spans="1:49" x14ac:dyDescent="0.25">
      <c r="N11" s="1" t="s">
        <v>258</v>
      </c>
      <c r="O11" s="1">
        <v>150</v>
      </c>
      <c r="Q11">
        <v>4</v>
      </c>
      <c r="R11" s="132">
        <f t="shared" si="0"/>
        <v>18</v>
      </c>
      <c r="S11" s="1">
        <f t="shared" si="1"/>
        <v>5</v>
      </c>
      <c r="T11" s="1">
        <f t="shared" si="2"/>
        <v>11.04</v>
      </c>
      <c r="U11" s="133">
        <f t="shared" si="11"/>
        <v>8.1521739130434785</v>
      </c>
      <c r="V11" s="132">
        <f>IF(Calculations!$B$17=3,2,IF((S11*R11/T11)&lt;((T11*(1-(T11/R11)))/(2*Lm*fsw)),1,2))</f>
        <v>2</v>
      </c>
      <c r="W11" s="1">
        <f t="shared" si="12"/>
        <v>0.38666666666666671</v>
      </c>
      <c r="X11" s="133">
        <f t="shared" si="3"/>
        <v>0.61333333333333329</v>
      </c>
      <c r="Y11" s="132">
        <f t="shared" si="4"/>
        <v>1.7075200000000001</v>
      </c>
      <c r="Z11" s="1">
        <f t="shared" si="13"/>
        <v>9.0059339130434779</v>
      </c>
      <c r="AA11" s="1">
        <f t="shared" si="14"/>
        <v>8.1670623985029014</v>
      </c>
      <c r="AB11" s="1">
        <v>0</v>
      </c>
      <c r="AC11" s="1">
        <f t="shared" si="15"/>
        <v>5.5361753823463173</v>
      </c>
      <c r="AD11" s="133">
        <f t="shared" si="16"/>
        <v>5.5361753823463173</v>
      </c>
      <c r="AE11" s="132">
        <f t="shared" si="28"/>
        <v>3.1521739130434789</v>
      </c>
      <c r="AF11" s="1">
        <f t="shared" si="17"/>
        <v>5.0784857827376833</v>
      </c>
      <c r="AG11" s="1">
        <f t="shared" si="5"/>
        <v>2.5791017845468781E-2</v>
      </c>
      <c r="AH11" s="1">
        <f t="shared" si="18"/>
        <v>0.30317588478286084</v>
      </c>
      <c r="AI11" s="133">
        <f t="shared" si="19"/>
        <v>0.32896690262832962</v>
      </c>
      <c r="AJ11" s="132">
        <f t="shared" si="20"/>
        <v>5</v>
      </c>
      <c r="AK11" s="1">
        <f t="shared" si="21"/>
        <v>6.3960839875326183</v>
      </c>
      <c r="AL11" s="1">
        <f t="shared" si="6"/>
        <v>4.0909890375571162E-2</v>
      </c>
      <c r="AM11" s="1">
        <f t="shared" si="22"/>
        <v>0.15510000000000004</v>
      </c>
      <c r="AN11" s="136">
        <f t="shared" si="29"/>
        <v>0.14409494260869565</v>
      </c>
      <c r="AO11" s="133">
        <f t="shared" si="23"/>
        <v>0.34010483298426686</v>
      </c>
      <c r="AP11" s="132">
        <f t="shared" si="7"/>
        <v>0.26680363288415987</v>
      </c>
      <c r="AQ11" s="137">
        <f t="shared" si="8"/>
        <v>5.5361753823463173</v>
      </c>
      <c r="AR11" s="137">
        <f t="shared" si="9"/>
        <v>4.8180798895675919E-2</v>
      </c>
      <c r="AS11" s="1">
        <f t="shared" si="10"/>
        <v>3.7999999999999999E-2</v>
      </c>
      <c r="AT11" s="133">
        <f t="shared" si="24"/>
        <v>4.4159999999999998E-2</v>
      </c>
      <c r="AU11" s="132">
        <f t="shared" si="25"/>
        <v>12.138566932085066</v>
      </c>
      <c r="AV11" s="1">
        <f t="shared" si="26"/>
        <v>90</v>
      </c>
      <c r="AW11" s="133">
        <f t="shared" si="27"/>
        <v>88.115589148459122</v>
      </c>
    </row>
    <row r="12" spans="1:49" x14ac:dyDescent="0.25">
      <c r="N12" s="1" t="s">
        <v>635</v>
      </c>
      <c r="O12" s="1">
        <f>(VIN_MAX-VIN_MIN)/(O11)</f>
        <v>0.01</v>
      </c>
      <c r="Q12">
        <v>5</v>
      </c>
      <c r="R12" s="132">
        <f t="shared" si="0"/>
        <v>18</v>
      </c>
      <c r="S12" s="1">
        <f t="shared" si="1"/>
        <v>5</v>
      </c>
      <c r="T12" s="1">
        <f t="shared" si="2"/>
        <v>11.05</v>
      </c>
      <c r="U12" s="133">
        <f t="shared" si="11"/>
        <v>8.1447963800904972</v>
      </c>
      <c r="V12" s="132">
        <f>IF(Calculations!$B$17=3,2,IF((S12*R12/T12)&lt;((T12*(1-(T12/R12)))/(2*Lm*fsw)),1,2))</f>
        <v>2</v>
      </c>
      <c r="W12" s="1">
        <f t="shared" si="12"/>
        <v>0.38611111111111107</v>
      </c>
      <c r="X12" s="133">
        <f t="shared" si="3"/>
        <v>0.61388888888888893</v>
      </c>
      <c r="Y12" s="132">
        <f t="shared" si="4"/>
        <v>1.7066111111111109</v>
      </c>
      <c r="Z12" s="1">
        <f t="shared" si="13"/>
        <v>8.9981019356460532</v>
      </c>
      <c r="AA12" s="1">
        <f t="shared" si="14"/>
        <v>8.1596824813744586</v>
      </c>
      <c r="AB12" s="1">
        <v>0</v>
      </c>
      <c r="AC12" s="1">
        <f t="shared" si="15"/>
        <v>5.5261747103384868</v>
      </c>
      <c r="AD12" s="133">
        <f t="shared" si="16"/>
        <v>5.5261747103384868</v>
      </c>
      <c r="AE12" s="132">
        <f t="shared" si="28"/>
        <v>3.1447963800904972</v>
      </c>
      <c r="AF12" s="1">
        <f t="shared" si="17"/>
        <v>5.0702504127733086</v>
      </c>
      <c r="AG12" s="1">
        <f t="shared" si="5"/>
        <v>2.5707439248227906E-2</v>
      </c>
      <c r="AH12" s="1">
        <f t="shared" si="18"/>
        <v>0.30290151746631522</v>
      </c>
      <c r="AI12" s="133">
        <f t="shared" si="19"/>
        <v>0.3286089567145431</v>
      </c>
      <c r="AJ12" s="132">
        <f t="shared" si="20"/>
        <v>5</v>
      </c>
      <c r="AK12" s="1">
        <f t="shared" si="21"/>
        <v>6.3931978655928798</v>
      </c>
      <c r="AL12" s="1">
        <f t="shared" si="6"/>
        <v>4.0872978948621352E-2</v>
      </c>
      <c r="AM12" s="1">
        <f t="shared" si="22"/>
        <v>0.15510000000000004</v>
      </c>
      <c r="AN12" s="136">
        <f t="shared" si="29"/>
        <v>0.14396963097033685</v>
      </c>
      <c r="AO12" s="133">
        <f t="shared" si="23"/>
        <v>0.33994260991895825</v>
      </c>
      <c r="AP12" s="132">
        <f t="shared" si="7"/>
        <v>0.26632167278739693</v>
      </c>
      <c r="AQ12" s="137">
        <f t="shared" si="8"/>
        <v>5.5261747103384868</v>
      </c>
      <c r="AR12" s="137">
        <f t="shared" si="9"/>
        <v>4.8121731105091527E-2</v>
      </c>
      <c r="AS12" s="1">
        <f t="shared" si="10"/>
        <v>3.7999999999999999E-2</v>
      </c>
      <c r="AT12" s="133">
        <f t="shared" si="24"/>
        <v>4.4200000000000003E-2</v>
      </c>
      <c r="AU12" s="132">
        <f t="shared" si="25"/>
        <v>12.117544391202962</v>
      </c>
      <c r="AV12" s="1">
        <f t="shared" si="26"/>
        <v>90</v>
      </c>
      <c r="AW12" s="133">
        <f t="shared" si="27"/>
        <v>88.133729161385091</v>
      </c>
    </row>
    <row r="13" spans="1:49" x14ac:dyDescent="0.25">
      <c r="Q13">
        <v>6</v>
      </c>
      <c r="R13" s="132">
        <f t="shared" si="0"/>
        <v>18</v>
      </c>
      <c r="S13" s="1">
        <f t="shared" si="1"/>
        <v>5</v>
      </c>
      <c r="T13" s="1">
        <f t="shared" si="2"/>
        <v>11.06</v>
      </c>
      <c r="U13" s="133">
        <f t="shared" si="11"/>
        <v>8.1374321880650999</v>
      </c>
      <c r="V13" s="132">
        <f>IF(Calculations!$B$17=3,2,IF((S13*R13/T13)&lt;((T13*(1-(T13/R13)))/(2*Lm*fsw)),1,2))</f>
        <v>2</v>
      </c>
      <c r="W13" s="1">
        <f t="shared" si="12"/>
        <v>0.38555555555555554</v>
      </c>
      <c r="X13" s="133">
        <f t="shared" si="3"/>
        <v>0.61444444444444446</v>
      </c>
      <c r="Y13" s="132">
        <f t="shared" si="4"/>
        <v>1.7056977777777778</v>
      </c>
      <c r="Z13" s="1">
        <f t="shared" si="13"/>
        <v>8.9902810769539894</v>
      </c>
      <c r="AA13" s="1">
        <f t="shared" si="14"/>
        <v>8.1523158074531779</v>
      </c>
      <c r="AB13" s="1">
        <v>0</v>
      </c>
      <c r="AC13" s="1">
        <f t="shared" si="15"/>
        <v>5.5162010010294305</v>
      </c>
      <c r="AD13" s="133">
        <f t="shared" si="16"/>
        <v>5.5162010010294305</v>
      </c>
      <c r="AE13" s="132">
        <f t="shared" si="28"/>
        <v>3.1374321880650995</v>
      </c>
      <c r="AF13" s="1">
        <f t="shared" si="17"/>
        <v>5.0620272398718855</v>
      </c>
      <c r="AG13" s="1">
        <f t="shared" si="5"/>
        <v>2.5624119777204978E-2</v>
      </c>
      <c r="AH13" s="1">
        <f t="shared" si="18"/>
        <v>0.30262764629319927</v>
      </c>
      <c r="AI13" s="133">
        <f t="shared" si="19"/>
        <v>0.32825176607040424</v>
      </c>
      <c r="AJ13" s="132">
        <f t="shared" si="20"/>
        <v>5</v>
      </c>
      <c r="AK13" s="1">
        <f t="shared" si="21"/>
        <v>6.3903155827584905</v>
      </c>
      <c r="AL13" s="1">
        <f t="shared" si="6"/>
        <v>4.0836133247245991E-2</v>
      </c>
      <c r="AM13" s="1">
        <f t="shared" si="22"/>
        <v>0.15510000000000004</v>
      </c>
      <c r="AN13" s="136">
        <f t="shared" si="29"/>
        <v>0.14384449723126383</v>
      </c>
      <c r="AO13" s="133">
        <f t="shared" si="23"/>
        <v>0.33978063047850987</v>
      </c>
      <c r="AP13" s="132">
        <f t="shared" si="7"/>
        <v>0.26584101209780386</v>
      </c>
      <c r="AQ13" s="137">
        <f t="shared" si="8"/>
        <v>5.5162010010294305</v>
      </c>
      <c r="AR13" s="137">
        <f t="shared" si="9"/>
        <v>4.8062415782316292E-2</v>
      </c>
      <c r="AS13" s="1">
        <f t="shared" si="10"/>
        <v>3.7999999999999999E-2</v>
      </c>
      <c r="AT13" s="133">
        <f t="shared" si="24"/>
        <v>4.4240000000000002E-2</v>
      </c>
      <c r="AU13" s="132">
        <f t="shared" si="25"/>
        <v>12.096577826487897</v>
      </c>
      <c r="AV13" s="1">
        <f t="shared" si="26"/>
        <v>90</v>
      </c>
      <c r="AW13" s="133">
        <f t="shared" si="27"/>
        <v>88.151828313926529</v>
      </c>
    </row>
    <row r="14" spans="1:49" x14ac:dyDescent="0.25">
      <c r="Q14">
        <v>7</v>
      </c>
      <c r="R14" s="132">
        <f t="shared" si="0"/>
        <v>18</v>
      </c>
      <c r="S14" s="1">
        <f t="shared" si="1"/>
        <v>5</v>
      </c>
      <c r="T14" s="1">
        <f t="shared" si="2"/>
        <v>11.07</v>
      </c>
      <c r="U14" s="133">
        <f t="shared" si="11"/>
        <v>8.1300813008130071</v>
      </c>
      <c r="V14" s="132">
        <f>IF(Calculations!$B$17=3,2,IF((S14*R14/T14)&lt;((T14*(1-(T14/R14)))/(2*Lm*fsw)),1,2))</f>
        <v>2</v>
      </c>
      <c r="W14" s="1">
        <f t="shared" si="12"/>
        <v>0.38500000000000001</v>
      </c>
      <c r="X14" s="133">
        <f t="shared" si="3"/>
        <v>0.61499999999999999</v>
      </c>
      <c r="Y14" s="132">
        <f t="shared" si="4"/>
        <v>1.7047800000000002</v>
      </c>
      <c r="Z14" s="1">
        <f t="shared" si="13"/>
        <v>8.9824713008130068</v>
      </c>
      <c r="AA14" s="1">
        <f t="shared" si="14"/>
        <v>8.1449623405224738</v>
      </c>
      <c r="AB14" s="1">
        <v>0</v>
      </c>
      <c r="AC14" s="1">
        <f t="shared" si="15"/>
        <v>5.5062541568679348</v>
      </c>
      <c r="AD14" s="133">
        <f t="shared" si="16"/>
        <v>5.5062541568679348</v>
      </c>
      <c r="AE14" s="132">
        <f t="shared" si="28"/>
        <v>3.1300813008130079</v>
      </c>
      <c r="AF14" s="1">
        <f t="shared" si="17"/>
        <v>5.0538162252384868</v>
      </c>
      <c r="AG14" s="1">
        <f t="shared" si="5"/>
        <v>2.5541058438483789E-2</v>
      </c>
      <c r="AH14" s="1">
        <f t="shared" si="18"/>
        <v>0.30235426991895054</v>
      </c>
      <c r="AI14" s="133">
        <f t="shared" si="19"/>
        <v>0.32789532835743435</v>
      </c>
      <c r="AJ14" s="132">
        <f t="shared" si="20"/>
        <v>4.9999999999999991</v>
      </c>
      <c r="AK14" s="1">
        <f t="shared" si="21"/>
        <v>6.3874371300268411</v>
      </c>
      <c r="AL14" s="1">
        <f t="shared" si="6"/>
        <v>4.079935309004553E-2</v>
      </c>
      <c r="AM14" s="1">
        <f t="shared" si="22"/>
        <v>0.15510000000000004</v>
      </c>
      <c r="AN14" s="136">
        <f t="shared" si="29"/>
        <v>0.14371954081300811</v>
      </c>
      <c r="AO14" s="133">
        <f t="shared" si="23"/>
        <v>0.33961889390305366</v>
      </c>
      <c r="AP14" s="132">
        <f t="shared" si="7"/>
        <v>0.26536164611411733</v>
      </c>
      <c r="AQ14" s="137">
        <f t="shared" si="8"/>
        <v>5.5062541568679348</v>
      </c>
      <c r="AR14" s="137">
        <f t="shared" si="9"/>
        <v>4.8002853525067779E-2</v>
      </c>
      <c r="AS14" s="1">
        <f t="shared" si="10"/>
        <v>3.7999999999999999E-2</v>
      </c>
      <c r="AT14" s="133">
        <f t="shared" si="24"/>
        <v>4.428E-2</v>
      </c>
      <c r="AU14" s="132">
        <f t="shared" si="25"/>
        <v>12.075667035635542</v>
      </c>
      <c r="AV14" s="1">
        <f t="shared" si="26"/>
        <v>90</v>
      </c>
      <c r="AW14" s="133">
        <f t="shared" si="27"/>
        <v>88.169886725873837</v>
      </c>
    </row>
    <row r="15" spans="1:49" x14ac:dyDescent="0.25">
      <c r="O15">
        <f>0.205*2.5/(Lm*fsw)</f>
        <v>0.20499999999999999</v>
      </c>
      <c r="Q15">
        <v>8</v>
      </c>
      <c r="R15" s="132">
        <f t="shared" si="0"/>
        <v>18</v>
      </c>
      <c r="S15" s="1">
        <f t="shared" si="1"/>
        <v>5</v>
      </c>
      <c r="T15" s="1">
        <f t="shared" si="2"/>
        <v>11.08</v>
      </c>
      <c r="U15" s="133">
        <f t="shared" si="11"/>
        <v>8.1227436823104693</v>
      </c>
      <c r="V15" s="132">
        <f>IF(Calculations!$B$17=3,2,IF((S15*R15/T15)&lt;((T15*(1-(T15/R15)))/(2*Lm*fsw)),1,2))</f>
        <v>2</v>
      </c>
      <c r="W15" s="1">
        <f t="shared" si="12"/>
        <v>0.38444444444444448</v>
      </c>
      <c r="X15" s="133">
        <f t="shared" si="3"/>
        <v>0.61555555555555552</v>
      </c>
      <c r="Y15" s="132">
        <f t="shared" si="4"/>
        <v>1.7038577777777779</v>
      </c>
      <c r="Z15" s="1">
        <f t="shared" si="13"/>
        <v>8.974672571199358</v>
      </c>
      <c r="AA15" s="1">
        <f t="shared" si="14"/>
        <v>8.1376220444973448</v>
      </c>
      <c r="AB15" s="1">
        <v>0</v>
      </c>
      <c r="AC15" s="1">
        <f t="shared" si="15"/>
        <v>5.4963340807443997</v>
      </c>
      <c r="AD15" s="133">
        <f t="shared" si="16"/>
        <v>5.4963340807443997</v>
      </c>
      <c r="AE15" s="132">
        <f t="shared" si="28"/>
        <v>3.1227436823104697</v>
      </c>
      <c r="AF15" s="1">
        <f t="shared" si="17"/>
        <v>5.0456173301990885</v>
      </c>
      <c r="AG15" s="1">
        <f t="shared" si="5"/>
        <v>2.545825424280538E-2</v>
      </c>
      <c r="AH15" s="1">
        <f t="shared" si="18"/>
        <v>0.30208138700386139</v>
      </c>
      <c r="AI15" s="133">
        <f t="shared" si="19"/>
        <v>0.32753964124666679</v>
      </c>
      <c r="AJ15" s="132">
        <f t="shared" si="20"/>
        <v>5</v>
      </c>
      <c r="AK15" s="1">
        <f t="shared" si="21"/>
        <v>6.3845624984241285</v>
      </c>
      <c r="AL15" s="1">
        <f t="shared" si="6"/>
        <v>4.0762638296283744E-2</v>
      </c>
      <c r="AM15" s="1">
        <f t="shared" si="22"/>
        <v>0.15510000000000004</v>
      </c>
      <c r="AN15" s="136">
        <f t="shared" si="29"/>
        <v>0.14359476113918973</v>
      </c>
      <c r="AO15" s="133">
        <f t="shared" si="23"/>
        <v>0.33945739943547348</v>
      </c>
      <c r="AP15" s="132">
        <f t="shared" si="7"/>
        <v>0.26488357015635661</v>
      </c>
      <c r="AQ15" s="137">
        <f t="shared" si="8"/>
        <v>5.4963340807443997</v>
      </c>
      <c r="AR15" s="137">
        <f t="shared" si="9"/>
        <v>4.7943044933804968E-2</v>
      </c>
      <c r="AS15" s="1">
        <f t="shared" si="10"/>
        <v>3.7999999999999999E-2</v>
      </c>
      <c r="AT15" s="133">
        <f t="shared" si="24"/>
        <v>4.4319999999999998E-2</v>
      </c>
      <c r="AU15" s="132">
        <f t="shared" si="25"/>
        <v>12.054811817261101</v>
      </c>
      <c r="AV15" s="1">
        <f t="shared" si="26"/>
        <v>90</v>
      </c>
      <c r="AW15" s="133">
        <f t="shared" si="27"/>
        <v>88.18790451659801</v>
      </c>
    </row>
    <row r="16" spans="1:49" x14ac:dyDescent="0.25">
      <c r="Q16">
        <v>9</v>
      </c>
      <c r="R16" s="132">
        <f t="shared" si="0"/>
        <v>18</v>
      </c>
      <c r="S16" s="1">
        <f t="shared" si="1"/>
        <v>5</v>
      </c>
      <c r="T16" s="1">
        <f t="shared" si="2"/>
        <v>11.09</v>
      </c>
      <c r="U16" s="133">
        <f t="shared" si="11"/>
        <v>8.1154192966636618</v>
      </c>
      <c r="V16" s="132">
        <f>IF(Calculations!$B$17=3,2,IF((S16*R16/T16)&lt;((T16*(1-(T16/R16)))/(2*Lm*fsw)),1,2))</f>
        <v>2</v>
      </c>
      <c r="W16" s="1">
        <f t="shared" si="12"/>
        <v>0.38388888888888895</v>
      </c>
      <c r="X16" s="133">
        <f t="shared" si="3"/>
        <v>0.61611111111111105</v>
      </c>
      <c r="Y16" s="132">
        <f t="shared" si="4"/>
        <v>1.7029311111111114</v>
      </c>
      <c r="Z16" s="1">
        <f t="shared" si="13"/>
        <v>8.9668848522192182</v>
      </c>
      <c r="AA16" s="1">
        <f t="shared" si="14"/>
        <v>8.1302948834237725</v>
      </c>
      <c r="AB16" s="1">
        <v>0</v>
      </c>
      <c r="AC16" s="1">
        <f t="shared" si="15"/>
        <v>5.4864406759884226</v>
      </c>
      <c r="AD16" s="133">
        <f t="shared" si="16"/>
        <v>5.4864406759884226</v>
      </c>
      <c r="AE16" s="132">
        <f t="shared" si="28"/>
        <v>3.1154192966636618</v>
      </c>
      <c r="AF16" s="1">
        <f t="shared" si="17"/>
        <v>5.037430516199918</v>
      </c>
      <c r="AG16" s="1">
        <f t="shared" si="5"/>
        <v>2.5375706205542175E-2</v>
      </c>
      <c r="AH16" s="1">
        <f t="shared" si="18"/>
        <v>0.30180899621305535</v>
      </c>
      <c r="AI16" s="133">
        <f t="shared" si="19"/>
        <v>0.32718470241859754</v>
      </c>
      <c r="AJ16" s="132">
        <f t="shared" si="20"/>
        <v>5</v>
      </c>
      <c r="AK16" s="1">
        <f t="shared" si="21"/>
        <v>6.3816916790052307</v>
      </c>
      <c r="AL16" s="1">
        <f t="shared" si="6"/>
        <v>4.0725988685884604E-2</v>
      </c>
      <c r="AM16" s="1">
        <f t="shared" si="22"/>
        <v>0.15510000000000004</v>
      </c>
      <c r="AN16" s="136">
        <f t="shared" si="29"/>
        <v>0.14347015763550749</v>
      </c>
      <c r="AO16" s="133">
        <f t="shared" si="23"/>
        <v>0.33929614632139216</v>
      </c>
      <c r="AP16" s="132">
        <f t="shared" si="7"/>
        <v>0.26440677956570713</v>
      </c>
      <c r="AQ16" s="137">
        <f t="shared" si="8"/>
        <v>5.4864406759884226</v>
      </c>
      <c r="AR16" s="137">
        <f t="shared" si="9"/>
        <v>4.7882990611725053E-2</v>
      </c>
      <c r="AS16" s="1">
        <f t="shared" si="10"/>
        <v>3.7999999999999999E-2</v>
      </c>
      <c r="AT16" s="133">
        <f t="shared" si="24"/>
        <v>4.4360000000000004E-2</v>
      </c>
      <c r="AU16" s="132">
        <f t="shared" si="25"/>
        <v>12.034011970894268</v>
      </c>
      <c r="AV16" s="1">
        <f t="shared" si="26"/>
        <v>90</v>
      </c>
      <c r="AW16" s="133">
        <f t="shared" si="27"/>
        <v>88.205881805052385</v>
      </c>
    </row>
    <row r="17" spans="17:49" x14ac:dyDescent="0.25">
      <c r="Q17">
        <v>10</v>
      </c>
      <c r="R17" s="132">
        <f t="shared" si="0"/>
        <v>18</v>
      </c>
      <c r="S17" s="1">
        <f t="shared" si="1"/>
        <v>5</v>
      </c>
      <c r="T17" s="1">
        <f t="shared" si="2"/>
        <v>11.1</v>
      </c>
      <c r="U17" s="133">
        <f t="shared" si="11"/>
        <v>8.1081081081081088</v>
      </c>
      <c r="V17" s="132">
        <f>IF(Calculations!$B$17=3,2,IF((S17*R17/T17)&lt;((T17*(1-(T17/R17)))/(2*Lm*fsw)),1,2))</f>
        <v>2</v>
      </c>
      <c r="W17" s="1">
        <f t="shared" si="12"/>
        <v>0.3833333333333333</v>
      </c>
      <c r="X17" s="133">
        <f t="shared" si="3"/>
        <v>0.6166666666666667</v>
      </c>
      <c r="Y17" s="132">
        <f t="shared" si="4"/>
        <v>1.702</v>
      </c>
      <c r="Z17" s="1">
        <f t="shared" si="13"/>
        <v>8.9591081081081079</v>
      </c>
      <c r="AA17" s="1">
        <f t="shared" si="14"/>
        <v>8.122980821478146</v>
      </c>
      <c r="AB17" s="1">
        <v>0</v>
      </c>
      <c r="AC17" s="1">
        <f t="shared" si="15"/>
        <v>5.4765738463664473</v>
      </c>
      <c r="AD17" s="133">
        <f t="shared" si="16"/>
        <v>5.4765738463664473</v>
      </c>
      <c r="AE17" s="132">
        <f t="shared" si="28"/>
        <v>3.1081081081081083</v>
      </c>
      <c r="AF17" s="1">
        <f t="shared" si="17"/>
        <v>5.0292557448068145</v>
      </c>
      <c r="AG17" s="1">
        <f t="shared" si="5"/>
        <v>2.5293413346672344E-2</v>
      </c>
      <c r="AH17" s="1">
        <f t="shared" si="18"/>
        <v>0.30153709621646707</v>
      </c>
      <c r="AI17" s="133">
        <f t="shared" si="19"/>
        <v>0.32683050956313942</v>
      </c>
      <c r="AJ17" s="132">
        <f t="shared" si="20"/>
        <v>5.0000000000000009</v>
      </c>
      <c r="AK17" s="1">
        <f t="shared" si="21"/>
        <v>6.3788246628536065</v>
      </c>
      <c r="AL17" s="1">
        <f t="shared" si="6"/>
        <v>4.0689404079429434E-2</v>
      </c>
      <c r="AM17" s="1">
        <f t="shared" si="22"/>
        <v>0.15510000000000004</v>
      </c>
      <c r="AN17" s="136">
        <f t="shared" si="29"/>
        <v>0.14334572972972973</v>
      </c>
      <c r="AO17" s="133">
        <f t="shared" si="23"/>
        <v>0.33913513380915916</v>
      </c>
      <c r="AP17" s="132">
        <f t="shared" si="7"/>
        <v>0.26393126970440711</v>
      </c>
      <c r="AQ17" s="137">
        <f t="shared" si="8"/>
        <v>5.4765738463664473</v>
      </c>
      <c r="AR17" s="137">
        <f t="shared" si="9"/>
        <v>4.7822691164760636E-2</v>
      </c>
      <c r="AS17" s="1">
        <f t="shared" si="10"/>
        <v>3.7999999999999999E-2</v>
      </c>
      <c r="AT17" s="133">
        <f t="shared" si="24"/>
        <v>4.4400000000000002E-2</v>
      </c>
      <c r="AU17" s="132">
        <f t="shared" si="25"/>
        <v>12.013267296974362</v>
      </c>
      <c r="AV17" s="1">
        <f t="shared" si="26"/>
        <v>90</v>
      </c>
      <c r="AW17" s="133">
        <f t="shared" si="27"/>
        <v>88.223818709774164</v>
      </c>
    </row>
    <row r="18" spans="17:49" x14ac:dyDescent="0.25">
      <c r="Q18">
        <v>11</v>
      </c>
      <c r="R18" s="132">
        <f t="shared" si="0"/>
        <v>18</v>
      </c>
      <c r="S18" s="1">
        <f t="shared" si="1"/>
        <v>5</v>
      </c>
      <c r="T18" s="1">
        <f t="shared" si="2"/>
        <v>11.11</v>
      </c>
      <c r="U18" s="133">
        <f t="shared" si="11"/>
        <v>8.1008100810081007</v>
      </c>
      <c r="V18" s="132">
        <f>IF(Calculations!$B$17=3,2,IF((S18*R18/T18)&lt;((T18*(1-(T18/R18)))/(2*Lm*fsw)),1,2))</f>
        <v>2</v>
      </c>
      <c r="W18" s="1">
        <f t="shared" si="12"/>
        <v>0.38277777777777777</v>
      </c>
      <c r="X18" s="133">
        <f t="shared" si="3"/>
        <v>0.61722222222222223</v>
      </c>
      <c r="Y18" s="132">
        <f t="shared" si="4"/>
        <v>1.7010644444444445</v>
      </c>
      <c r="Z18" s="1">
        <f t="shared" si="13"/>
        <v>8.951342303230323</v>
      </c>
      <c r="AA18" s="1">
        <f t="shared" si="14"/>
        <v>8.1156798229666851</v>
      </c>
      <c r="AB18" s="1">
        <v>0</v>
      </c>
      <c r="AC18" s="1">
        <f t="shared" si="15"/>
        <v>5.4667334960794109</v>
      </c>
      <c r="AD18" s="133">
        <f t="shared" si="16"/>
        <v>5.4667334960794109</v>
      </c>
      <c r="AE18" s="132">
        <f t="shared" si="28"/>
        <v>3.1008100810081007</v>
      </c>
      <c r="AF18" s="1">
        <f t="shared" si="17"/>
        <v>5.0210929777045994</v>
      </c>
      <c r="AG18" s="1">
        <f t="shared" si="5"/>
        <v>2.5211374690754441E-2</v>
      </c>
      <c r="AH18" s="1">
        <f t="shared" si="18"/>
        <v>0.30126568568881945</v>
      </c>
      <c r="AI18" s="133">
        <f t="shared" si="19"/>
        <v>0.32647706037957391</v>
      </c>
      <c r="AJ18" s="132">
        <f t="shared" si="20"/>
        <v>5</v>
      </c>
      <c r="AK18" s="1">
        <f t="shared" si="21"/>
        <v>6.3759614410811896</v>
      </c>
      <c r="AL18" s="1">
        <f t="shared" si="6"/>
        <v>4.065288429815412E-2</v>
      </c>
      <c r="AM18" s="1">
        <f t="shared" si="22"/>
        <v>0.15510000000000004</v>
      </c>
      <c r="AN18" s="136">
        <f t="shared" si="29"/>
        <v>0.14322147685168518</v>
      </c>
      <c r="AO18" s="133">
        <f t="shared" si="23"/>
        <v>0.33897436114983936</v>
      </c>
      <c r="AP18" s="132">
        <f t="shared" si="7"/>
        <v>0.26345703595563424</v>
      </c>
      <c r="AQ18" s="137">
        <f t="shared" si="8"/>
        <v>5.4667334960794109</v>
      </c>
      <c r="AR18" s="137">
        <f t="shared" si="9"/>
        <v>4.7762147201578183E-2</v>
      </c>
      <c r="AS18" s="1">
        <f t="shared" si="10"/>
        <v>3.7999999999999999E-2</v>
      </c>
      <c r="AT18" s="133">
        <f t="shared" si="24"/>
        <v>4.444E-2</v>
      </c>
      <c r="AU18" s="132">
        <f t="shared" si="25"/>
        <v>11.992577596845447</v>
      </c>
      <c r="AV18" s="1">
        <f t="shared" si="26"/>
        <v>90</v>
      </c>
      <c r="AW18" s="133">
        <f t="shared" si="27"/>
        <v>88.241715348885961</v>
      </c>
    </row>
    <row r="19" spans="17:49" x14ac:dyDescent="0.25">
      <c r="Q19">
        <v>12</v>
      </c>
      <c r="R19" s="132">
        <f t="shared" si="0"/>
        <v>18</v>
      </c>
      <c r="S19" s="1">
        <f t="shared" si="1"/>
        <v>5</v>
      </c>
      <c r="T19" s="1">
        <f t="shared" si="2"/>
        <v>11.12</v>
      </c>
      <c r="U19" s="133">
        <f t="shared" si="11"/>
        <v>8.0935251798561154</v>
      </c>
      <c r="V19" s="132">
        <f>IF(Calculations!$B$17=3,2,IF((S19*R19/T19)&lt;((T19*(1-(T19/R19)))/(2*Lm*fsw)),1,2))</f>
        <v>2</v>
      </c>
      <c r="W19" s="1">
        <f t="shared" si="12"/>
        <v>0.38222222222222224</v>
      </c>
      <c r="X19" s="133">
        <f t="shared" si="3"/>
        <v>0.61777777777777776</v>
      </c>
      <c r="Y19" s="132">
        <f t="shared" si="4"/>
        <v>1.7001244444444445</v>
      </c>
      <c r="Z19" s="1">
        <f t="shared" si="13"/>
        <v>8.9435874020783377</v>
      </c>
      <c r="AA19" s="1">
        <f t="shared" si="14"/>
        <v>8.1083918523248535</v>
      </c>
      <c r="AB19" s="1">
        <v>0</v>
      </c>
      <c r="AC19" s="1">
        <f t="shared" si="15"/>
        <v>5.4569195297603903</v>
      </c>
      <c r="AD19" s="133">
        <f t="shared" si="16"/>
        <v>5.4569195297603903</v>
      </c>
      <c r="AE19" s="132">
        <f t="shared" si="28"/>
        <v>3.0935251798561154</v>
      </c>
      <c r="AF19" s="1">
        <f t="shared" si="17"/>
        <v>5.0129421766964297</v>
      </c>
      <c r="AG19" s="1">
        <f t="shared" si="5"/>
        <v>2.5129589266901939E-2</v>
      </c>
      <c r="AH19" s="1">
        <f t="shared" si="18"/>
        <v>0.30099476330960284</v>
      </c>
      <c r="AI19" s="133">
        <f t="shared" si="19"/>
        <v>0.32612435257650479</v>
      </c>
      <c r="AJ19" s="132">
        <f t="shared" si="20"/>
        <v>5</v>
      </c>
      <c r="AK19" s="1">
        <f t="shared" si="21"/>
        <v>6.3731020048282732</v>
      </c>
      <c r="AL19" s="1">
        <f t="shared" si="6"/>
        <v>4.0616429163946158E-2</v>
      </c>
      <c r="AM19" s="1">
        <f t="shared" si="22"/>
        <v>0.15510000000000004</v>
      </c>
      <c r="AN19" s="136">
        <f t="shared" si="29"/>
        <v>0.14309739843325339</v>
      </c>
      <c r="AO19" s="133">
        <f t="shared" si="23"/>
        <v>0.33881382759719958</v>
      </c>
      <c r="AP19" s="132">
        <f t="shared" si="7"/>
        <v>0.26298407372339228</v>
      </c>
      <c r="AQ19" s="137">
        <f t="shared" si="8"/>
        <v>5.4569195297603903</v>
      </c>
      <c r="AR19" s="137">
        <f t="shared" si="9"/>
        <v>4.7701359333574257E-2</v>
      </c>
      <c r="AS19" s="1">
        <f t="shared" si="10"/>
        <v>3.7999999999999999E-2</v>
      </c>
      <c r="AT19" s="133">
        <f t="shared" si="24"/>
        <v>4.4479999999999999E-2</v>
      </c>
      <c r="AU19" s="132">
        <f t="shared" si="25"/>
        <v>11.971942672751451</v>
      </c>
      <c r="AV19" s="1">
        <f t="shared" si="26"/>
        <v>90</v>
      </c>
      <c r="AW19" s="133">
        <f t="shared" si="27"/>
        <v>88.259571840097394</v>
      </c>
    </row>
    <row r="20" spans="17:49" x14ac:dyDescent="0.25">
      <c r="Q20">
        <v>13</v>
      </c>
      <c r="R20" s="132">
        <f t="shared" si="0"/>
        <v>18</v>
      </c>
      <c r="S20" s="1">
        <f t="shared" si="1"/>
        <v>5</v>
      </c>
      <c r="T20" s="1">
        <f t="shared" si="2"/>
        <v>11.13</v>
      </c>
      <c r="U20" s="133">
        <f t="shared" si="11"/>
        <v>8.0862533692722369</v>
      </c>
      <c r="V20" s="132">
        <f>IF(Calculations!$B$17=3,2,IF((S20*R20/T20)&lt;((T20*(1-(T20/R20)))/(2*Lm*fsw)),1,2))</f>
        <v>2</v>
      </c>
      <c r="W20" s="1">
        <f t="shared" si="12"/>
        <v>0.3816666666666666</v>
      </c>
      <c r="X20" s="133">
        <f t="shared" si="3"/>
        <v>0.6183333333333334</v>
      </c>
      <c r="Y20" s="132">
        <f t="shared" si="4"/>
        <v>1.6991799999999997</v>
      </c>
      <c r="Z20" s="1">
        <f t="shared" si="13"/>
        <v>8.9358433692722361</v>
      </c>
      <c r="AA20" s="1">
        <f t="shared" si="14"/>
        <v>8.1011168741167978</v>
      </c>
      <c r="AB20" s="1">
        <v>0</v>
      </c>
      <c r="AC20" s="1">
        <f t="shared" si="15"/>
        <v>5.4471318524722934</v>
      </c>
      <c r="AD20" s="133">
        <f t="shared" si="16"/>
        <v>5.4471318524722934</v>
      </c>
      <c r="AE20" s="132">
        <f t="shared" si="28"/>
        <v>3.0862533692722365</v>
      </c>
      <c r="AF20" s="1">
        <f t="shared" si="17"/>
        <v>5.0048033037031674</v>
      </c>
      <c r="AG20" s="1">
        <f t="shared" si="5"/>
        <v>2.504805610875814E-2</v>
      </c>
      <c r="AH20" s="1">
        <f t="shared" si="18"/>
        <v>0.3007243277630533</v>
      </c>
      <c r="AI20" s="133">
        <f t="shared" si="19"/>
        <v>0.32577238387181146</v>
      </c>
      <c r="AJ20" s="132">
        <f t="shared" si="20"/>
        <v>5</v>
      </c>
      <c r="AK20" s="1">
        <f t="shared" si="21"/>
        <v>6.3702463452634071</v>
      </c>
      <c r="AL20" s="1">
        <f t="shared" si="6"/>
        <v>4.0580038499341796E-2</v>
      </c>
      <c r="AM20" s="1">
        <f t="shared" si="22"/>
        <v>0.15510000000000004</v>
      </c>
      <c r="AN20" s="136">
        <f t="shared" si="29"/>
        <v>0.14297349390835579</v>
      </c>
      <c r="AO20" s="133">
        <f t="shared" si="23"/>
        <v>0.33865353240769763</v>
      </c>
      <c r="AP20" s="132">
        <f t="shared" si="7"/>
        <v>0.26251237843239966</v>
      </c>
      <c r="AQ20" s="137">
        <f t="shared" si="8"/>
        <v>5.4471318524722934</v>
      </c>
      <c r="AR20" s="137">
        <f t="shared" si="9"/>
        <v>4.764032817487409E-2</v>
      </c>
      <c r="AS20" s="1">
        <f t="shared" si="10"/>
        <v>3.7999999999999999E-2</v>
      </c>
      <c r="AT20" s="133">
        <f t="shared" si="24"/>
        <v>4.4520000000000004E-2</v>
      </c>
      <c r="AU20" s="132">
        <f t="shared" si="25"/>
        <v>11.951362327831371</v>
      </c>
      <c r="AV20" s="1">
        <f t="shared" si="26"/>
        <v>90</v>
      </c>
      <c r="AW20" s="133">
        <f t="shared" si="27"/>
        <v>88.27738830070659</v>
      </c>
    </row>
    <row r="21" spans="17:49" x14ac:dyDescent="0.25">
      <c r="Q21">
        <v>14</v>
      </c>
      <c r="R21" s="132">
        <f t="shared" si="0"/>
        <v>18</v>
      </c>
      <c r="S21" s="1">
        <f t="shared" si="1"/>
        <v>5</v>
      </c>
      <c r="T21" s="1">
        <f t="shared" si="2"/>
        <v>11.14</v>
      </c>
      <c r="U21" s="133">
        <f t="shared" si="11"/>
        <v>8.0789946140035909</v>
      </c>
      <c r="V21" s="132">
        <f>IF(Calculations!$B$17=3,2,IF((S21*R21/T21)&lt;((T21*(1-(T21/R21)))/(2*Lm*fsw)),1,2))</f>
        <v>2</v>
      </c>
      <c r="W21" s="1">
        <f t="shared" si="12"/>
        <v>0.38111111111111107</v>
      </c>
      <c r="X21" s="133">
        <f t="shared" si="3"/>
        <v>0.61888888888888893</v>
      </c>
      <c r="Y21" s="132">
        <f t="shared" si="4"/>
        <v>1.6982311111111108</v>
      </c>
      <c r="Z21" s="1">
        <f t="shared" si="13"/>
        <v>8.9281101695591456</v>
      </c>
      <c r="AA21" s="1">
        <f t="shared" si="14"/>
        <v>8.0938548530347703</v>
      </c>
      <c r="AB21" s="1">
        <v>0</v>
      </c>
      <c r="AC21" s="1">
        <f t="shared" si="15"/>
        <v>5.4373703697055431</v>
      </c>
      <c r="AD21" s="133">
        <f t="shared" si="16"/>
        <v>5.4373703697055431</v>
      </c>
      <c r="AE21" s="132">
        <f t="shared" si="28"/>
        <v>3.0789946140035904</v>
      </c>
      <c r="AF21" s="1">
        <f t="shared" si="17"/>
        <v>4.9966763207627558</v>
      </c>
      <c r="AG21" s="1">
        <f t="shared" si="5"/>
        <v>2.4966774254471229E-2</v>
      </c>
      <c r="AH21" s="1">
        <f t="shared" si="18"/>
        <v>0.30045437773813138</v>
      </c>
      <c r="AI21" s="133">
        <f t="shared" si="19"/>
        <v>0.32542115199260263</v>
      </c>
      <c r="AJ21" s="132">
        <f t="shared" si="20"/>
        <v>5.0000000000000009</v>
      </c>
      <c r="AK21" s="1">
        <f t="shared" si="21"/>
        <v>6.3673944535832909</v>
      </c>
      <c r="AL21" s="1">
        <f t="shared" si="6"/>
        <v>4.0543712127523258E-2</v>
      </c>
      <c r="AM21" s="1">
        <f t="shared" si="22"/>
        <v>0.15510000000000004</v>
      </c>
      <c r="AN21" s="136">
        <f t="shared" si="29"/>
        <v>0.14284976271294633</v>
      </c>
      <c r="AO21" s="133">
        <f t="shared" si="23"/>
        <v>0.33849347484046965</v>
      </c>
      <c r="AP21" s="132">
        <f t="shared" si="7"/>
        <v>0.26204194552797799</v>
      </c>
      <c r="AQ21" s="137">
        <f t="shared" si="8"/>
        <v>5.4373703697055431</v>
      </c>
      <c r="AR21" s="137">
        <f t="shared" si="9"/>
        <v>4.7579054342327801E-2</v>
      </c>
      <c r="AS21" s="1">
        <f t="shared" si="10"/>
        <v>3.7999999999999999E-2</v>
      </c>
      <c r="AT21" s="133">
        <f t="shared" si="24"/>
        <v>4.4560000000000002E-2</v>
      </c>
      <c r="AU21" s="132">
        <f t="shared" si="25"/>
        <v>11.930836366114466</v>
      </c>
      <c r="AV21" s="1">
        <f t="shared" si="26"/>
        <v>90</v>
      </c>
      <c r="AW21" s="133">
        <f t="shared" si="27"/>
        <v>88.295164847601797</v>
      </c>
    </row>
    <row r="22" spans="17:49" x14ac:dyDescent="0.25">
      <c r="Q22">
        <v>15</v>
      </c>
      <c r="R22" s="132">
        <f t="shared" si="0"/>
        <v>18</v>
      </c>
      <c r="S22" s="1">
        <f t="shared" si="1"/>
        <v>5</v>
      </c>
      <c r="T22" s="1">
        <f t="shared" si="2"/>
        <v>11.15</v>
      </c>
      <c r="U22" s="133">
        <f t="shared" si="11"/>
        <v>8.071748878923767</v>
      </c>
      <c r="V22" s="132">
        <f>IF(Calculations!$B$17=3,2,IF((S22*R22/T22)&lt;((T22*(1-(T22/R22)))/(2*Lm*fsw)),1,2))</f>
        <v>2</v>
      </c>
      <c r="W22" s="1">
        <f t="shared" si="12"/>
        <v>0.38055555555555554</v>
      </c>
      <c r="X22" s="133">
        <f t="shared" si="3"/>
        <v>0.61944444444444446</v>
      </c>
      <c r="Y22" s="132">
        <f t="shared" si="4"/>
        <v>1.6972777777777779</v>
      </c>
      <c r="Z22" s="1">
        <f t="shared" si="13"/>
        <v>8.920387767812656</v>
      </c>
      <c r="AA22" s="1">
        <f t="shared" si="14"/>
        <v>8.0866057538985583</v>
      </c>
      <c r="AB22" s="1">
        <v>0</v>
      </c>
      <c r="AC22" s="1">
        <f t="shared" si="15"/>
        <v>5.4276349873757779</v>
      </c>
      <c r="AD22" s="133">
        <f t="shared" si="16"/>
        <v>5.4276349873757779</v>
      </c>
      <c r="AE22" s="132">
        <f t="shared" si="28"/>
        <v>3.0717488789237666</v>
      </c>
      <c r="AF22" s="1">
        <f t="shared" si="17"/>
        <v>4.9885611900295856</v>
      </c>
      <c r="AG22" s="1">
        <f t="shared" si="5"/>
        <v>2.4885742746669399E-2</v>
      </c>
      <c r="AH22" s="1">
        <f t="shared" si="18"/>
        <v>0.30018491192850077</v>
      </c>
      <c r="AI22" s="133">
        <f t="shared" si="19"/>
        <v>0.32507065467517016</v>
      </c>
      <c r="AJ22" s="132">
        <f t="shared" si="20"/>
        <v>5</v>
      </c>
      <c r="AK22" s="1">
        <f t="shared" si="21"/>
        <v>6.3645463210126678</v>
      </c>
      <c r="AL22" s="1">
        <f t="shared" si="6"/>
        <v>4.0507449872315887E-2</v>
      </c>
      <c r="AM22" s="1">
        <f t="shared" si="22"/>
        <v>0.15510000000000004</v>
      </c>
      <c r="AN22" s="136">
        <f t="shared" si="29"/>
        <v>0.14272620428500249</v>
      </c>
      <c r="AO22" s="133">
        <f t="shared" si="23"/>
        <v>0.33833365415731842</v>
      </c>
      <c r="AP22" s="132">
        <f t="shared" si="7"/>
        <v>0.26157277047594107</v>
      </c>
      <c r="AQ22" s="137">
        <f t="shared" si="8"/>
        <v>5.4276349873757779</v>
      </c>
      <c r="AR22" s="137">
        <f t="shared" si="9"/>
        <v>4.7517538455508788E-2</v>
      </c>
      <c r="AS22" s="1">
        <f t="shared" si="10"/>
        <v>3.7999999999999999E-2</v>
      </c>
      <c r="AT22" s="133">
        <f t="shared" si="24"/>
        <v>4.4600000000000001E-2</v>
      </c>
      <c r="AU22" s="132">
        <f t="shared" si="25"/>
        <v>11.910364592515494</v>
      </c>
      <c r="AV22" s="1">
        <f t="shared" si="26"/>
        <v>90</v>
      </c>
      <c r="AW22" s="133">
        <f t="shared" si="27"/>
        <v>88.312901597262837</v>
      </c>
    </row>
    <row r="23" spans="17:49" x14ac:dyDescent="0.25">
      <c r="Q23">
        <v>16</v>
      </c>
      <c r="R23" s="132">
        <f t="shared" si="0"/>
        <v>18</v>
      </c>
      <c r="S23" s="1">
        <f t="shared" si="1"/>
        <v>5</v>
      </c>
      <c r="T23" s="1">
        <f t="shared" si="2"/>
        <v>11.16</v>
      </c>
      <c r="U23" s="133">
        <f t="shared" si="11"/>
        <v>8.064516129032258</v>
      </c>
      <c r="V23" s="132">
        <f>IF(Calculations!$B$17=3,2,IF((S23*R23/T23)&lt;((T23*(1-(T23/R23)))/(2*Lm*fsw)),1,2))</f>
        <v>2</v>
      </c>
      <c r="W23" s="1">
        <f t="shared" si="12"/>
        <v>0.38</v>
      </c>
      <c r="X23" s="133">
        <f t="shared" si="3"/>
        <v>0.62</v>
      </c>
      <c r="Y23" s="132">
        <f t="shared" si="4"/>
        <v>1.6963200000000001</v>
      </c>
      <c r="Z23" s="1">
        <f t="shared" si="13"/>
        <v>8.912676129032258</v>
      </c>
      <c r="AA23" s="1">
        <f t="shared" si="14"/>
        <v>8.0793695416549323</v>
      </c>
      <c r="AB23" s="1">
        <v>0</v>
      </c>
      <c r="AC23" s="1">
        <f t="shared" si="15"/>
        <v>5.4179256118215795</v>
      </c>
      <c r="AD23" s="133">
        <f t="shared" si="16"/>
        <v>5.4179256118215795</v>
      </c>
      <c r="AE23" s="132">
        <f t="shared" si="28"/>
        <v>3.064516129032258</v>
      </c>
      <c r="AF23" s="1">
        <f t="shared" si="17"/>
        <v>4.9804578737738705</v>
      </c>
      <c r="AG23" s="1">
        <f t="shared" si="5"/>
        <v>2.4804960632436143E-2</v>
      </c>
      <c r="AH23" s="1">
        <f t="shared" si="18"/>
        <v>0.29991592903250747</v>
      </c>
      <c r="AI23" s="133">
        <f t="shared" si="19"/>
        <v>0.32472088966494361</v>
      </c>
      <c r="AJ23" s="132">
        <f t="shared" si="20"/>
        <v>5</v>
      </c>
      <c r="AK23" s="1">
        <f t="shared" si="21"/>
        <v>6.3617019388042131</v>
      </c>
      <c r="AL23" s="1">
        <f t="shared" si="6"/>
        <v>4.0471251558185289E-2</v>
      </c>
      <c r="AM23" s="1">
        <f t="shared" si="22"/>
        <v>0.15510000000000004</v>
      </c>
      <c r="AN23" s="136">
        <f t="shared" si="29"/>
        <v>0.14260281806451613</v>
      </c>
      <c r="AO23" s="133">
        <f t="shared" si="23"/>
        <v>0.33817406962270147</v>
      </c>
      <c r="AP23" s="132">
        <f t="shared" si="7"/>
        <v>0.26110484876248574</v>
      </c>
      <c r="AQ23" s="137">
        <f t="shared" si="8"/>
        <v>5.4179256118215795</v>
      </c>
      <c r="AR23" s="137">
        <f t="shared" si="9"/>
        <v>4.7455781136710395E-2</v>
      </c>
      <c r="AS23" s="1">
        <f t="shared" si="10"/>
        <v>3.7999999999999999E-2</v>
      </c>
      <c r="AT23" s="133">
        <f t="shared" si="24"/>
        <v>4.4639999999999999E-2</v>
      </c>
      <c r="AU23" s="132">
        <f t="shared" si="25"/>
        <v>11.889946812830001</v>
      </c>
      <c r="AV23" s="1">
        <f t="shared" si="26"/>
        <v>90</v>
      </c>
      <c r="AW23" s="133">
        <f t="shared" si="27"/>
        <v>88.33059866576275</v>
      </c>
    </row>
    <row r="24" spans="17:49" x14ac:dyDescent="0.25">
      <c r="Q24">
        <v>17</v>
      </c>
      <c r="R24" s="132">
        <f t="shared" si="0"/>
        <v>18</v>
      </c>
      <c r="S24" s="1">
        <f t="shared" si="1"/>
        <v>5</v>
      </c>
      <c r="T24" s="1">
        <f t="shared" si="2"/>
        <v>11.17</v>
      </c>
      <c r="U24" s="133">
        <f t="shared" si="11"/>
        <v>8.0572963294538944</v>
      </c>
      <c r="V24" s="132">
        <f>IF(Calculations!$B$17=3,2,IF((S24*R24/T24)&lt;((T24*(1-(T24/R24)))/(2*Lm*fsw)),1,2))</f>
        <v>2</v>
      </c>
      <c r="W24" s="1">
        <f t="shared" si="12"/>
        <v>0.37944444444444447</v>
      </c>
      <c r="X24" s="133">
        <f t="shared" si="3"/>
        <v>0.62055555555555553</v>
      </c>
      <c r="Y24" s="132">
        <f t="shared" si="4"/>
        <v>1.6953577777777777</v>
      </c>
      <c r="Z24" s="1">
        <f t="shared" si="13"/>
        <v>8.9049752183427842</v>
      </c>
      <c r="AA24" s="1">
        <f t="shared" si="14"/>
        <v>8.0721461813770752</v>
      </c>
      <c r="AB24" s="1">
        <v>0</v>
      </c>
      <c r="AC24" s="1">
        <f t="shared" si="15"/>
        <v>5.4082421498022013</v>
      </c>
      <c r="AD24" s="133">
        <f t="shared" si="16"/>
        <v>5.4082421498022013</v>
      </c>
      <c r="AE24" s="132">
        <f t="shared" si="28"/>
        <v>3.0572963294538944</v>
      </c>
      <c r="AF24" s="1">
        <f t="shared" si="17"/>
        <v>4.9723663343810296</v>
      </c>
      <c r="AG24" s="1">
        <f t="shared" si="5"/>
        <v>2.4724426963285837E-2</v>
      </c>
      <c r="AH24" s="1">
        <f t="shared" si="18"/>
        <v>0.29964742775315878</v>
      </c>
      <c r="AI24" s="133">
        <f t="shared" si="19"/>
        <v>0.32437185471644464</v>
      </c>
      <c r="AJ24" s="132">
        <f t="shared" si="20"/>
        <v>5</v>
      </c>
      <c r="AK24" s="1">
        <f t="shared" si="21"/>
        <v>6.3588612982384412</v>
      </c>
      <c r="AL24" s="1">
        <f t="shared" si="6"/>
        <v>4.0435117010234674E-2</v>
      </c>
      <c r="AM24" s="1">
        <f t="shared" si="22"/>
        <v>0.15510000000000004</v>
      </c>
      <c r="AN24" s="136">
        <f t="shared" si="29"/>
        <v>0.14247960349348454</v>
      </c>
      <c r="AO24" s="133">
        <f t="shared" si="23"/>
        <v>0.33801472050371928</v>
      </c>
      <c r="AP24" s="132">
        <f t="shared" si="7"/>
        <v>0.260638175894082</v>
      </c>
      <c r="AQ24" s="137">
        <f t="shared" si="8"/>
        <v>5.4082421498022013</v>
      </c>
      <c r="AR24" s="137">
        <f t="shared" si="9"/>
        <v>4.7393783010943574E-2</v>
      </c>
      <c r="AS24" s="1">
        <f t="shared" si="10"/>
        <v>3.7999999999999999E-2</v>
      </c>
      <c r="AT24" s="133">
        <f t="shared" si="24"/>
        <v>4.4679999999999997E-2</v>
      </c>
      <c r="AU24" s="132">
        <f t="shared" si="25"/>
        <v>11.869582833729591</v>
      </c>
      <c r="AV24" s="1">
        <f t="shared" si="26"/>
        <v>90</v>
      </c>
      <c r="AW24" s="133">
        <f t="shared" si="27"/>
        <v>88.34825616876924</v>
      </c>
    </row>
    <row r="25" spans="17:49" x14ac:dyDescent="0.25">
      <c r="Q25">
        <v>18</v>
      </c>
      <c r="R25" s="132">
        <f t="shared" si="0"/>
        <v>18</v>
      </c>
      <c r="S25" s="1">
        <f t="shared" si="1"/>
        <v>5</v>
      </c>
      <c r="T25" s="1">
        <f t="shared" si="2"/>
        <v>11.18</v>
      </c>
      <c r="U25" s="133">
        <f t="shared" si="11"/>
        <v>8.0500894454382834</v>
      </c>
      <c r="V25" s="132">
        <f>IF(Calculations!$B$17=3,2,IF((S25*R25/T25)&lt;((T25*(1-(T25/R25)))/(2*Lm*fsw)),1,2))</f>
        <v>2</v>
      </c>
      <c r="W25" s="1">
        <f t="shared" si="12"/>
        <v>0.37888888888888894</v>
      </c>
      <c r="X25" s="133">
        <f t="shared" si="3"/>
        <v>0.62111111111111106</v>
      </c>
      <c r="Y25" s="132">
        <f t="shared" si="4"/>
        <v>1.6943911111111114</v>
      </c>
      <c r="Z25" s="1">
        <f t="shared" si="13"/>
        <v>8.8972850009938398</v>
      </c>
      <c r="AA25" s="1">
        <f t="shared" si="14"/>
        <v>8.0649356382640285</v>
      </c>
      <c r="AB25" s="1">
        <v>0</v>
      </c>
      <c r="AC25" s="1">
        <f t="shared" si="15"/>
        <v>5.398584508495321</v>
      </c>
      <c r="AD25" s="133">
        <f t="shared" si="16"/>
        <v>5.398584508495321</v>
      </c>
      <c r="AE25" s="132">
        <f t="shared" si="28"/>
        <v>3.0500894454382834</v>
      </c>
      <c r="AF25" s="1">
        <f t="shared" si="17"/>
        <v>4.9642865343510634</v>
      </c>
      <c r="AG25" s="1">
        <f t="shared" si="5"/>
        <v>2.4644140795139293E-2</v>
      </c>
      <c r="AH25" s="1">
        <f t="shared" si="18"/>
        <v>0.29937940679810232</v>
      </c>
      <c r="AI25" s="133">
        <f t="shared" si="19"/>
        <v>0.32402354759324159</v>
      </c>
      <c r="AJ25" s="132">
        <f t="shared" si="20"/>
        <v>5</v>
      </c>
      <c r="AK25" s="1">
        <f t="shared" si="21"/>
        <v>6.3560243906235865</v>
      </c>
      <c r="AL25" s="1">
        <f t="shared" si="6"/>
        <v>4.0399046054201936E-2</v>
      </c>
      <c r="AM25" s="1">
        <f t="shared" si="22"/>
        <v>0.15510000000000004</v>
      </c>
      <c r="AN25" s="136">
        <f t="shared" si="29"/>
        <v>0.14235656001590144</v>
      </c>
      <c r="AO25" s="133">
        <f t="shared" si="23"/>
        <v>0.33785560607010345</v>
      </c>
      <c r="AP25" s="132">
        <f t="shared" si="7"/>
        <v>0.26017274739736485</v>
      </c>
      <c r="AQ25" s="137">
        <f t="shared" si="8"/>
        <v>5.398584508495321</v>
      </c>
      <c r="AR25" s="137">
        <f t="shared" si="9"/>
        <v>4.7331544705934481E-2</v>
      </c>
      <c r="AS25" s="1">
        <f t="shared" si="10"/>
        <v>3.7999999999999999E-2</v>
      </c>
      <c r="AT25" s="133">
        <f t="shared" si="24"/>
        <v>4.4720000000000003E-2</v>
      </c>
      <c r="AU25" s="132">
        <f t="shared" si="25"/>
        <v>11.849272462757288</v>
      </c>
      <c r="AV25" s="1">
        <f t="shared" si="26"/>
        <v>90</v>
      </c>
      <c r="AW25" s="133">
        <f t="shared" si="27"/>
        <v>88.365874221546207</v>
      </c>
    </row>
    <row r="26" spans="17:49" x14ac:dyDescent="0.25">
      <c r="Q26">
        <v>19</v>
      </c>
      <c r="R26" s="132">
        <f t="shared" si="0"/>
        <v>18</v>
      </c>
      <c r="S26" s="1">
        <f t="shared" si="1"/>
        <v>5</v>
      </c>
      <c r="T26" s="1">
        <f t="shared" si="2"/>
        <v>11.19</v>
      </c>
      <c r="U26" s="133">
        <f t="shared" si="11"/>
        <v>8.0428954423592494</v>
      </c>
      <c r="V26" s="132">
        <f>IF(Calculations!$B$17=3,2,IF((S26*R26/T26)&lt;((T26*(1-(T26/R26)))/(2*Lm*fsw)),1,2))</f>
        <v>2</v>
      </c>
      <c r="W26" s="1">
        <f t="shared" si="12"/>
        <v>0.37833333333333341</v>
      </c>
      <c r="X26" s="133">
        <f t="shared" si="3"/>
        <v>0.62166666666666659</v>
      </c>
      <c r="Y26" s="132">
        <f t="shared" si="4"/>
        <v>1.6934200000000004</v>
      </c>
      <c r="Z26" s="1">
        <f t="shared" si="13"/>
        <v>8.8896054423592492</v>
      </c>
      <c r="AA26" s="1">
        <f t="shared" si="14"/>
        <v>8.0577378776401343</v>
      </c>
      <c r="AB26" s="1">
        <v>0</v>
      </c>
      <c r="AC26" s="1">
        <f t="shared" si="15"/>
        <v>5.3889525954947937</v>
      </c>
      <c r="AD26" s="133">
        <f t="shared" si="16"/>
        <v>5.3889525954947937</v>
      </c>
      <c r="AE26" s="132">
        <f t="shared" si="28"/>
        <v>3.0428954423592498</v>
      </c>
      <c r="AF26" s="1">
        <f t="shared" si="17"/>
        <v>4.9562184362979353</v>
      </c>
      <c r="AG26" s="1">
        <f t="shared" si="5"/>
        <v>2.4564101188299554E-2</v>
      </c>
      <c r="AH26" s="1">
        <f t="shared" si="18"/>
        <v>0.29911186487960534</v>
      </c>
      <c r="AI26" s="133">
        <f t="shared" si="19"/>
        <v>0.32367596606790489</v>
      </c>
      <c r="AJ26" s="132">
        <f t="shared" si="20"/>
        <v>4.9999999999999991</v>
      </c>
      <c r="AK26" s="1">
        <f t="shared" si="21"/>
        <v>6.3531912072955086</v>
      </c>
      <c r="AL26" s="1">
        <f t="shared" si="6"/>
        <v>4.0363038516456964E-2</v>
      </c>
      <c r="AM26" s="1">
        <f t="shared" si="22"/>
        <v>0.15510000000000004</v>
      </c>
      <c r="AN26" s="136">
        <f t="shared" si="29"/>
        <v>0.142233687077748</v>
      </c>
      <c r="AO26" s="133">
        <f t="shared" si="23"/>
        <v>0.33769672559420505</v>
      </c>
      <c r="AP26" s="132">
        <f t="shared" si="7"/>
        <v>0.25970855881902616</v>
      </c>
      <c r="AQ26" s="137">
        <f t="shared" si="8"/>
        <v>5.3889525954947937</v>
      </c>
      <c r="AR26" s="137">
        <f t="shared" si="9"/>
        <v>4.7269066852121074E-2</v>
      </c>
      <c r="AS26" s="1">
        <f t="shared" si="10"/>
        <v>3.7999999999999999E-2</v>
      </c>
      <c r="AT26" s="133">
        <f t="shared" si="24"/>
        <v>4.4760000000000001E-2</v>
      </c>
      <c r="AU26" s="132">
        <f t="shared" si="25"/>
        <v>11.829015508322843</v>
      </c>
      <c r="AV26" s="1">
        <f t="shared" si="26"/>
        <v>90</v>
      </c>
      <c r="AW26" s="133">
        <f t="shared" si="27"/>
        <v>88.383452938955287</v>
      </c>
    </row>
    <row r="27" spans="17:49" x14ac:dyDescent="0.25">
      <c r="Q27">
        <v>20</v>
      </c>
      <c r="R27" s="132">
        <f t="shared" si="0"/>
        <v>18</v>
      </c>
      <c r="S27" s="1">
        <f t="shared" si="1"/>
        <v>5</v>
      </c>
      <c r="T27" s="1">
        <f t="shared" si="2"/>
        <v>11.2</v>
      </c>
      <c r="U27" s="133">
        <f t="shared" si="11"/>
        <v>8.0357142857142865</v>
      </c>
      <c r="V27" s="132">
        <f>IF(Calculations!$B$17=3,2,IF((S27*R27/T27)&lt;((T27*(1-(T27/R27)))/(2*Lm*fsw)),1,2))</f>
        <v>2</v>
      </c>
      <c r="W27" s="1">
        <f t="shared" si="12"/>
        <v>0.37777777777777777</v>
      </c>
      <c r="X27" s="133">
        <f t="shared" si="3"/>
        <v>0.62222222222222223</v>
      </c>
      <c r="Y27" s="132">
        <f t="shared" si="4"/>
        <v>1.6924444444444444</v>
      </c>
      <c r="Z27" s="1">
        <f t="shared" si="13"/>
        <v>8.8819365079365085</v>
      </c>
      <c r="AA27" s="1">
        <f t="shared" si="14"/>
        <v>8.0505528649544864</v>
      </c>
      <c r="AB27" s="1">
        <v>0</v>
      </c>
      <c r="AC27" s="1">
        <f t="shared" si="15"/>
        <v>5.3793463188084321</v>
      </c>
      <c r="AD27" s="133">
        <f t="shared" si="16"/>
        <v>5.3793463188084321</v>
      </c>
      <c r="AE27" s="132">
        <f t="shared" si="28"/>
        <v>3.035714285714286</v>
      </c>
      <c r="AF27" s="1">
        <f t="shared" si="17"/>
        <v>4.9481620029489681</v>
      </c>
      <c r="AG27" s="1">
        <f t="shared" si="5"/>
        <v>2.4484307207427943E-2</v>
      </c>
      <c r="AH27" s="1">
        <f t="shared" si="18"/>
        <v>0.29884480071453429</v>
      </c>
      <c r="AI27" s="133">
        <f t="shared" si="19"/>
        <v>0.32332910792196223</v>
      </c>
      <c r="AJ27" s="132">
        <f t="shared" si="20"/>
        <v>5.0000000000000009</v>
      </c>
      <c r="AK27" s="1">
        <f t="shared" si="21"/>
        <v>6.3503617396175924</v>
      </c>
      <c r="AL27" s="1">
        <f t="shared" si="6"/>
        <v>4.032709422399898E-2</v>
      </c>
      <c r="AM27" s="1">
        <f t="shared" si="22"/>
        <v>0.15510000000000004</v>
      </c>
      <c r="AN27" s="136">
        <f t="shared" si="29"/>
        <v>0.14211098412698414</v>
      </c>
      <c r="AO27" s="133">
        <f t="shared" si="23"/>
        <v>0.33753807835098315</v>
      </c>
      <c r="AP27" s="132">
        <f t="shared" si="7"/>
        <v>0.25924560572570754</v>
      </c>
      <c r="AQ27" s="137">
        <f t="shared" si="8"/>
        <v>5.3793463188084321</v>
      </c>
      <c r="AR27" s="137">
        <f t="shared" si="9"/>
        <v>4.7206350082651088E-2</v>
      </c>
      <c r="AS27" s="1">
        <f t="shared" si="10"/>
        <v>3.7999999999999999E-2</v>
      </c>
      <c r="AT27" s="133">
        <f t="shared" si="24"/>
        <v>4.48E-2</v>
      </c>
      <c r="AU27" s="132">
        <f t="shared" si="25"/>
        <v>11.80881177969817</v>
      </c>
      <c r="AV27" s="1">
        <f t="shared" si="26"/>
        <v>90</v>
      </c>
      <c r="AW27" s="133">
        <f t="shared" si="27"/>
        <v>88.400992435457354</v>
      </c>
    </row>
    <row r="28" spans="17:49" x14ac:dyDescent="0.25">
      <c r="Q28">
        <v>21</v>
      </c>
      <c r="R28" s="132">
        <f t="shared" si="0"/>
        <v>18</v>
      </c>
      <c r="S28" s="1">
        <f t="shared" si="1"/>
        <v>5</v>
      </c>
      <c r="T28" s="1">
        <f t="shared" si="2"/>
        <v>11.21</v>
      </c>
      <c r="U28" s="133">
        <f t="shared" si="11"/>
        <v>8.0285459411239959</v>
      </c>
      <c r="V28" s="132">
        <f>IF(Calculations!$B$17=3,2,IF((S28*R28/T28)&lt;((T28*(1-(T28/R28)))/(2*Lm*fsw)),1,2))</f>
        <v>2</v>
      </c>
      <c r="W28" s="1">
        <f t="shared" si="12"/>
        <v>0.37722222222222213</v>
      </c>
      <c r="X28" s="133">
        <f t="shared" si="3"/>
        <v>0.62277777777777787</v>
      </c>
      <c r="Y28" s="132">
        <f t="shared" si="4"/>
        <v>1.6914644444444442</v>
      </c>
      <c r="Z28" s="1">
        <f t="shared" si="13"/>
        <v>8.8742781633462187</v>
      </c>
      <c r="AA28" s="1">
        <f t="shared" si="14"/>
        <v>8.0433805657803834</v>
      </c>
      <c r="AB28" s="1">
        <v>0</v>
      </c>
      <c r="AC28" s="1">
        <f t="shared" si="15"/>
        <v>5.369765586855805</v>
      </c>
      <c r="AD28" s="133">
        <f t="shared" si="16"/>
        <v>5.369765586855805</v>
      </c>
      <c r="AE28" s="132">
        <f t="shared" si="28"/>
        <v>3.0285459411239954</v>
      </c>
      <c r="AF28" s="1">
        <f t="shared" si="17"/>
        <v>4.9401171971442155</v>
      </c>
      <c r="AG28" s="1">
        <f t="shared" si="5"/>
        <v>2.4404757921520019E-2</v>
      </c>
      <c r="AH28" s="1">
        <f t="shared" si="18"/>
        <v>0.2985782130243339</v>
      </c>
      <c r="AI28" s="133">
        <f t="shared" si="19"/>
        <v>0.32298297094585393</v>
      </c>
      <c r="AJ28" s="132">
        <f t="shared" si="20"/>
        <v>5</v>
      </c>
      <c r="AK28" s="1">
        <f t="shared" si="21"/>
        <v>6.3475359789806269</v>
      </c>
      <c r="AL28" s="1">
        <f t="shared" si="6"/>
        <v>4.0291213004453548E-2</v>
      </c>
      <c r="AM28" s="1">
        <f t="shared" si="22"/>
        <v>0.15510000000000004</v>
      </c>
      <c r="AN28" s="136">
        <f t="shared" si="29"/>
        <v>0.14198845061353951</v>
      </c>
      <c r="AO28" s="133">
        <f t="shared" si="23"/>
        <v>0.3373796636179931</v>
      </c>
      <c r="AP28" s="132">
        <f t="shared" si="7"/>
        <v>0.25878388370389421</v>
      </c>
      <c r="AQ28" s="137">
        <f t="shared" si="8"/>
        <v>5.369765586855805</v>
      </c>
      <c r="AR28" s="137">
        <f t="shared" si="9"/>
        <v>4.7143395033379033E-2</v>
      </c>
      <c r="AS28" s="1">
        <f t="shared" si="10"/>
        <v>3.7999999999999999E-2</v>
      </c>
      <c r="AT28" s="133">
        <f t="shared" si="24"/>
        <v>4.4840000000000005E-2</v>
      </c>
      <c r="AU28" s="132">
        <f t="shared" si="25"/>
        <v>11.788661087012729</v>
      </c>
      <c r="AV28" s="1">
        <f t="shared" si="26"/>
        <v>90</v>
      </c>
      <c r="AW28" s="133">
        <f t="shared" si="27"/>
        <v>88.418492825114043</v>
      </c>
    </row>
    <row r="29" spans="17:49" x14ac:dyDescent="0.25">
      <c r="Q29">
        <v>22</v>
      </c>
      <c r="R29" s="132">
        <f t="shared" si="0"/>
        <v>18</v>
      </c>
      <c r="S29" s="1">
        <f t="shared" si="1"/>
        <v>5</v>
      </c>
      <c r="T29" s="1">
        <f t="shared" si="2"/>
        <v>11.22</v>
      </c>
      <c r="U29" s="133">
        <f t="shared" si="11"/>
        <v>8.0213903743315509</v>
      </c>
      <c r="V29" s="132">
        <f>IF(Calculations!$B$17=3,2,IF((S29*R29/T29)&lt;((T29*(1-(T29/R29)))/(2*Lm*fsw)),1,2))</f>
        <v>2</v>
      </c>
      <c r="W29" s="1">
        <f t="shared" si="12"/>
        <v>0.37666666666666659</v>
      </c>
      <c r="X29" s="133">
        <f t="shared" si="3"/>
        <v>0.62333333333333341</v>
      </c>
      <c r="Y29" s="132">
        <f t="shared" si="4"/>
        <v>1.6904799999999998</v>
      </c>
      <c r="Z29" s="1">
        <f t="shared" si="13"/>
        <v>8.8666303743315513</v>
      </c>
      <c r="AA29" s="1">
        <f t="shared" si="14"/>
        <v>8.0362209458147795</v>
      </c>
      <c r="AB29" s="1">
        <v>0</v>
      </c>
      <c r="AC29" s="1">
        <f t="shared" si="15"/>
        <v>5.3602103084660317</v>
      </c>
      <c r="AD29" s="133">
        <f t="shared" si="16"/>
        <v>5.3602103084660317</v>
      </c>
      <c r="AE29" s="132">
        <f t="shared" si="28"/>
        <v>3.0213903743315504</v>
      </c>
      <c r="AF29" s="1">
        <f t="shared" si="17"/>
        <v>4.9320839818358717</v>
      </c>
      <c r="AG29" s="1">
        <f t="shared" si="5"/>
        <v>2.4325452403881988E-2</v>
      </c>
      <c r="AH29" s="1">
        <f t="shared" si="18"/>
        <v>0.29831210053500745</v>
      </c>
      <c r="AI29" s="133">
        <f t="shared" si="19"/>
        <v>0.32263755293888946</v>
      </c>
      <c r="AJ29" s="132">
        <f t="shared" si="20"/>
        <v>5.0000000000000009</v>
      </c>
      <c r="AK29" s="1">
        <f t="shared" si="21"/>
        <v>6.3447139168027276</v>
      </c>
      <c r="AL29" s="1">
        <f t="shared" si="6"/>
        <v>4.0255394686070214E-2</v>
      </c>
      <c r="AM29" s="1">
        <f t="shared" si="22"/>
        <v>0.15510000000000004</v>
      </c>
      <c r="AN29" s="136">
        <f t="shared" si="29"/>
        <v>0.14186608598930484</v>
      </c>
      <c r="AO29" s="133">
        <f t="shared" si="23"/>
        <v>0.33722148067537511</v>
      </c>
      <c r="AP29" s="132">
        <f t="shared" si="7"/>
        <v>0.25832338835980873</v>
      </c>
      <c r="AQ29" s="137">
        <f t="shared" si="8"/>
        <v>5.3602103084660317</v>
      </c>
      <c r="AR29" s="137">
        <f t="shared" si="9"/>
        <v>4.7080202342863531E-2</v>
      </c>
      <c r="AS29" s="1">
        <f t="shared" si="10"/>
        <v>3.7999999999999999E-2</v>
      </c>
      <c r="AT29" s="133">
        <f t="shared" si="24"/>
        <v>4.4880000000000003E-2</v>
      </c>
      <c r="AU29" s="132">
        <f t="shared" si="25"/>
        <v>11.768563241249</v>
      </c>
      <c r="AV29" s="1">
        <f t="shared" si="26"/>
        <v>90</v>
      </c>
      <c r="AW29" s="133">
        <f t="shared" si="27"/>
        <v>88.435954221589185</v>
      </c>
    </row>
    <row r="30" spans="17:49" x14ac:dyDescent="0.25">
      <c r="Q30">
        <v>23</v>
      </c>
      <c r="R30" s="132">
        <f t="shared" si="0"/>
        <v>18</v>
      </c>
      <c r="S30" s="1">
        <f t="shared" si="1"/>
        <v>5</v>
      </c>
      <c r="T30" s="1">
        <f t="shared" si="2"/>
        <v>11.23</v>
      </c>
      <c r="U30" s="133">
        <f t="shared" si="11"/>
        <v>8.0142475512021374</v>
      </c>
      <c r="V30" s="132">
        <f>IF(Calculations!$B$17=3,2,IF((S30*R30/T30)&lt;((T30*(1-(T30/R30)))/(2*Lm*fsw)),1,2))</f>
        <v>2</v>
      </c>
      <c r="W30" s="1">
        <f t="shared" si="12"/>
        <v>0.37611111111111106</v>
      </c>
      <c r="X30" s="133">
        <f t="shared" si="3"/>
        <v>0.62388888888888894</v>
      </c>
      <c r="Y30" s="132">
        <f t="shared" si="4"/>
        <v>1.6894911111111111</v>
      </c>
      <c r="Z30" s="1">
        <f t="shared" si="13"/>
        <v>8.8589931067576924</v>
      </c>
      <c r="AA30" s="1">
        <f t="shared" si="14"/>
        <v>8.0290739708777377</v>
      </c>
      <c r="AB30" s="1">
        <v>0</v>
      </c>
      <c r="AC30" s="1">
        <f t="shared" si="15"/>
        <v>5.3506803928755913</v>
      </c>
      <c r="AD30" s="133">
        <f t="shared" si="16"/>
        <v>5.3506803928755913</v>
      </c>
      <c r="AE30" s="132">
        <f t="shared" si="28"/>
        <v>3.0142475512021369</v>
      </c>
      <c r="AF30" s="1">
        <f t="shared" si="17"/>
        <v>4.9240623200876454</v>
      </c>
      <c r="AG30" s="1">
        <f t="shared" si="5"/>
        <v>2.4246389732106927E-2</v>
      </c>
      <c r="AH30" s="1">
        <f t="shared" si="18"/>
        <v>0.29804646197709556</v>
      </c>
      <c r="AI30" s="133">
        <f t="shared" si="19"/>
        <v>0.32229285170920247</v>
      </c>
      <c r="AJ30" s="132">
        <f t="shared" si="20"/>
        <v>5.0000000000000009</v>
      </c>
      <c r="AK30" s="1">
        <f t="shared" si="21"/>
        <v>6.341895544529212</v>
      </c>
      <c r="AL30" s="1">
        <f t="shared" si="6"/>
        <v>4.0219639097719473E-2</v>
      </c>
      <c r="AM30" s="1">
        <f t="shared" si="22"/>
        <v>0.15510000000000004</v>
      </c>
      <c r="AN30" s="136">
        <f t="shared" si="29"/>
        <v>0.14174388970812307</v>
      </c>
      <c r="AO30" s="133">
        <f t="shared" si="23"/>
        <v>0.33706352880584256</v>
      </c>
      <c r="AP30" s="132">
        <f t="shared" si="7"/>
        <v>0.25786411531930559</v>
      </c>
      <c r="AQ30" s="137">
        <f t="shared" si="8"/>
        <v>5.3506803928755913</v>
      </c>
      <c r="AR30" s="137">
        <f t="shared" si="9"/>
        <v>4.7016772652364355E-2</v>
      </c>
      <c r="AS30" s="1">
        <f t="shared" si="10"/>
        <v>3.7999999999999999E-2</v>
      </c>
      <c r="AT30" s="133">
        <f t="shared" si="24"/>
        <v>4.4920000000000002E-2</v>
      </c>
      <c r="AU30" s="132">
        <f t="shared" si="25"/>
        <v>11.748518054237898</v>
      </c>
      <c r="AV30" s="1">
        <f t="shared" si="26"/>
        <v>90</v>
      </c>
      <c r="AW30" s="133">
        <f t="shared" si="27"/>
        <v>88.453376738150368</v>
      </c>
    </row>
    <row r="31" spans="17:49" x14ac:dyDescent="0.25">
      <c r="Q31">
        <v>24</v>
      </c>
      <c r="R31" s="132">
        <f t="shared" si="0"/>
        <v>18</v>
      </c>
      <c r="S31" s="1">
        <f t="shared" si="1"/>
        <v>5</v>
      </c>
      <c r="T31" s="1">
        <f t="shared" si="2"/>
        <v>11.24</v>
      </c>
      <c r="U31" s="133">
        <f t="shared" si="11"/>
        <v>8.0071174377224192</v>
      </c>
      <c r="V31" s="132">
        <f>IF(Calculations!$B$17=3,2,IF((S31*R31/T31)&lt;((T31*(1-(T31/R31)))/(2*Lm*fsw)),1,2))</f>
        <v>2</v>
      </c>
      <c r="W31" s="1">
        <f t="shared" si="12"/>
        <v>0.37555555555555553</v>
      </c>
      <c r="X31" s="133">
        <f t="shared" si="3"/>
        <v>0.62444444444444447</v>
      </c>
      <c r="Y31" s="132">
        <f t="shared" si="4"/>
        <v>1.6884977777777777</v>
      </c>
      <c r="Z31" s="1">
        <f t="shared" si="13"/>
        <v>8.8513663266113074</v>
      </c>
      <c r="AA31" s="1">
        <f t="shared" si="14"/>
        <v>8.0219396069118982</v>
      </c>
      <c r="AB31" s="1">
        <v>0</v>
      </c>
      <c r="AC31" s="1">
        <f t="shared" si="15"/>
        <v>5.3411757497261716</v>
      </c>
      <c r="AD31" s="133">
        <f t="shared" si="16"/>
        <v>5.3411757497261716</v>
      </c>
      <c r="AE31" s="132">
        <f t="shared" si="28"/>
        <v>3.0071174377224197</v>
      </c>
      <c r="AF31" s="1">
        <f t="shared" si="17"/>
        <v>4.9160521750741699</v>
      </c>
      <c r="AG31" s="1">
        <f t="shared" si="5"/>
        <v>2.4167568988051478E-2</v>
      </c>
      <c r="AH31" s="1">
        <f t="shared" si="18"/>
        <v>0.29778129608565684</v>
      </c>
      <c r="AI31" s="133">
        <f t="shared" si="19"/>
        <v>0.32194886507370835</v>
      </c>
      <c r="AJ31" s="132">
        <f t="shared" si="20"/>
        <v>5</v>
      </c>
      <c r="AK31" s="1">
        <f t="shared" si="21"/>
        <v>6.3390808536325141</v>
      </c>
      <c r="AL31" s="1">
        <f t="shared" si="6"/>
        <v>4.0183946068890322E-2</v>
      </c>
      <c r="AM31" s="1">
        <f t="shared" si="22"/>
        <v>0.15510000000000004</v>
      </c>
      <c r="AN31" s="136">
        <f t="shared" si="29"/>
        <v>0.14162186122578091</v>
      </c>
      <c r="AO31" s="133">
        <f t="shared" si="23"/>
        <v>0.33690580729467129</v>
      </c>
      <c r="AP31" s="132">
        <f t="shared" si="7"/>
        <v>0.2574060602277673</v>
      </c>
      <c r="AQ31" s="137">
        <f t="shared" si="8"/>
        <v>5.3411757497261716</v>
      </c>
      <c r="AR31" s="137">
        <f t="shared" si="9"/>
        <v>4.6953106605840324E-2</v>
      </c>
      <c r="AS31" s="1">
        <f t="shared" si="10"/>
        <v>3.7999999999999999E-2</v>
      </c>
      <c r="AT31" s="133">
        <f t="shared" si="24"/>
        <v>4.496E-2</v>
      </c>
      <c r="AU31" s="132">
        <f t="shared" si="25"/>
        <v>11.728525338654331</v>
      </c>
      <c r="AV31" s="1">
        <f t="shared" si="26"/>
        <v>90</v>
      </c>
      <c r="AW31" s="133">
        <f t="shared" si="27"/>
        <v>88.470760487670432</v>
      </c>
    </row>
    <row r="32" spans="17:49" x14ac:dyDescent="0.25">
      <c r="Q32">
        <v>25</v>
      </c>
      <c r="R32" s="132">
        <f t="shared" si="0"/>
        <v>18</v>
      </c>
      <c r="S32" s="1">
        <f t="shared" si="1"/>
        <v>5</v>
      </c>
      <c r="T32" s="1">
        <f t="shared" si="2"/>
        <v>11.25</v>
      </c>
      <c r="U32" s="133">
        <f t="shared" si="11"/>
        <v>8</v>
      </c>
      <c r="V32" s="132">
        <f>IF(Calculations!$B$17=3,2,IF((S32*R32/T32)&lt;((T32*(1-(T32/R32)))/(2*Lm*fsw)),1,2))</f>
        <v>2</v>
      </c>
      <c r="W32" s="1">
        <f t="shared" si="12"/>
        <v>0.375</v>
      </c>
      <c r="X32" s="133">
        <f t="shared" si="3"/>
        <v>0.625</v>
      </c>
      <c r="Y32" s="132">
        <f t="shared" si="4"/>
        <v>1.6875</v>
      </c>
      <c r="Z32" s="1">
        <f t="shared" si="13"/>
        <v>8.84375</v>
      </c>
      <c r="AA32" s="1">
        <f t="shared" si="14"/>
        <v>8.0148178199819373</v>
      </c>
      <c r="AB32" s="1">
        <v>0</v>
      </c>
      <c r="AC32" s="1">
        <f t="shared" si="15"/>
        <v>5.331696289062501</v>
      </c>
      <c r="AD32" s="133">
        <f t="shared" si="16"/>
        <v>5.331696289062501</v>
      </c>
      <c r="AE32" s="132">
        <f t="shared" si="28"/>
        <v>3</v>
      </c>
      <c r="AF32" s="1">
        <f t="shared" si="17"/>
        <v>4.9080535100803964</v>
      </c>
      <c r="AG32" s="1">
        <f t="shared" si="5"/>
        <v>2.4088989257812502E-2</v>
      </c>
      <c r="AH32" s="1">
        <f t="shared" si="18"/>
        <v>0.29751660160024745</v>
      </c>
      <c r="AI32" s="133">
        <f t="shared" si="19"/>
        <v>0.32160559085805995</v>
      </c>
      <c r="AJ32" s="132">
        <f t="shared" si="20"/>
        <v>5</v>
      </c>
      <c r="AK32" s="1">
        <f t="shared" si="21"/>
        <v>6.336269835612077</v>
      </c>
      <c r="AL32" s="1">
        <f t="shared" si="6"/>
        <v>4.0148315429687498E-2</v>
      </c>
      <c r="AM32" s="1">
        <f t="shared" si="22"/>
        <v>0.15510000000000004</v>
      </c>
      <c r="AN32" s="136">
        <f t="shared" si="29"/>
        <v>0.14150000000000001</v>
      </c>
      <c r="AO32" s="133">
        <f t="shared" si="23"/>
        <v>0.33674831542968753</v>
      </c>
      <c r="AP32" s="132">
        <f t="shared" si="7"/>
        <v>0.25694921875000004</v>
      </c>
      <c r="AQ32" s="137">
        <f t="shared" si="8"/>
        <v>5.331696289062501</v>
      </c>
      <c r="AR32" s="137">
        <f t="shared" si="9"/>
        <v>4.6889204849945673E-2</v>
      </c>
      <c r="AS32" s="1">
        <f t="shared" si="10"/>
        <v>3.7999999999999999E-2</v>
      </c>
      <c r="AT32" s="133">
        <f t="shared" si="24"/>
        <v>4.4999999999999998E-2</v>
      </c>
      <c r="AU32" s="132">
        <f t="shared" si="25"/>
        <v>11.708584908012694</v>
      </c>
      <c r="AV32" s="1">
        <f t="shared" si="26"/>
        <v>90</v>
      </c>
      <c r="AW32" s="133">
        <f t="shared" si="27"/>
        <v>88.488105582628862</v>
      </c>
    </row>
    <row r="33" spans="17:49" x14ac:dyDescent="0.25">
      <c r="Q33">
        <v>26</v>
      </c>
      <c r="R33" s="132">
        <f t="shared" si="0"/>
        <v>18</v>
      </c>
      <c r="S33" s="1">
        <f t="shared" si="1"/>
        <v>5</v>
      </c>
      <c r="T33" s="1">
        <f t="shared" si="2"/>
        <v>11.26</v>
      </c>
      <c r="U33" s="133">
        <f t="shared" si="11"/>
        <v>7.9928952042628776</v>
      </c>
      <c r="V33" s="132">
        <f>IF(Calculations!$B$17=3,2,IF((S33*R33/T33)&lt;((T33*(1-(T33/R33)))/(2*Lm*fsw)),1,2))</f>
        <v>2</v>
      </c>
      <c r="W33" s="1">
        <f t="shared" si="12"/>
        <v>0.37444444444444447</v>
      </c>
      <c r="X33" s="133">
        <f t="shared" si="3"/>
        <v>0.62555555555555553</v>
      </c>
      <c r="Y33" s="132">
        <f t="shared" si="4"/>
        <v>1.6864977777777779</v>
      </c>
      <c r="Z33" s="1">
        <f t="shared" si="13"/>
        <v>8.8361440931517663</v>
      </c>
      <c r="AA33" s="1">
        <f t="shared" si="14"/>
        <v>8.0077085762740285</v>
      </c>
      <c r="AB33" s="1">
        <v>0</v>
      </c>
      <c r="AC33" s="1">
        <f t="shared" si="15"/>
        <v>5.3222419213302086</v>
      </c>
      <c r="AD33" s="133">
        <f t="shared" si="16"/>
        <v>5.3222419213302086</v>
      </c>
      <c r="AE33" s="132">
        <f t="shared" si="28"/>
        <v>2.9928952042628776</v>
      </c>
      <c r="AF33" s="1">
        <f t="shared" si="17"/>
        <v>4.9000662885009918</v>
      </c>
      <c r="AG33" s="1">
        <f t="shared" si="5"/>
        <v>2.4010649631703886E-2</v>
      </c>
      <c r="AH33" s="1">
        <f t="shared" si="18"/>
        <v>0.29725237726490084</v>
      </c>
      <c r="AI33" s="133">
        <f t="shared" si="19"/>
        <v>0.32126302689660474</v>
      </c>
      <c r="AJ33" s="132">
        <f t="shared" si="20"/>
        <v>5</v>
      </c>
      <c r="AK33" s="1">
        <f t="shared" si="21"/>
        <v>6.333462481994248</v>
      </c>
      <c r="AL33" s="1">
        <f t="shared" si="6"/>
        <v>4.0112747010828745E-2</v>
      </c>
      <c r="AM33" s="1">
        <f t="shared" si="22"/>
        <v>0.15510000000000004</v>
      </c>
      <c r="AN33" s="136">
        <f t="shared" si="29"/>
        <v>0.14137830549042826</v>
      </c>
      <c r="AO33" s="133">
        <f t="shared" si="23"/>
        <v>0.33659105250125709</v>
      </c>
      <c r="AP33" s="132">
        <f t="shared" si="7"/>
        <v>0.25649358657013049</v>
      </c>
      <c r="AQ33" s="137">
        <f t="shared" si="8"/>
        <v>5.3222419213302086</v>
      </c>
      <c r="AR33" s="137">
        <f t="shared" si="9"/>
        <v>4.6825068034027813E-2</v>
      </c>
      <c r="AS33" s="1">
        <f t="shared" si="10"/>
        <v>3.7999999999999999E-2</v>
      </c>
      <c r="AT33" s="133">
        <f t="shared" si="24"/>
        <v>4.5039999999999997E-2</v>
      </c>
      <c r="AU33" s="132">
        <f t="shared" si="25"/>
        <v>11.688696576662437</v>
      </c>
      <c r="AV33" s="1">
        <f t="shared" si="26"/>
        <v>90</v>
      </c>
      <c r="AW33" s="133">
        <f t="shared" si="27"/>
        <v>88.50541213511336</v>
      </c>
    </row>
    <row r="34" spans="17:49" x14ac:dyDescent="0.25">
      <c r="Q34">
        <v>27</v>
      </c>
      <c r="R34" s="132">
        <f t="shared" si="0"/>
        <v>18</v>
      </c>
      <c r="S34" s="1">
        <f t="shared" si="1"/>
        <v>5</v>
      </c>
      <c r="T34" s="1">
        <f t="shared" si="2"/>
        <v>11.27</v>
      </c>
      <c r="U34" s="133">
        <f t="shared" si="11"/>
        <v>7.9858030168589176</v>
      </c>
      <c r="V34" s="132">
        <f>IF(Calculations!$B$17=3,2,IF((S34*R34/T34)&lt;((T34*(1-(T34/R34)))/(2*Lm*fsw)),1,2))</f>
        <v>2</v>
      </c>
      <c r="W34" s="1">
        <f t="shared" si="12"/>
        <v>0.37388888888888894</v>
      </c>
      <c r="X34" s="133">
        <f t="shared" si="3"/>
        <v>0.62611111111111106</v>
      </c>
      <c r="Y34" s="132">
        <f t="shared" si="4"/>
        <v>1.6854911111111111</v>
      </c>
      <c r="Z34" s="1">
        <f t="shared" si="13"/>
        <v>8.8285485724144728</v>
      </c>
      <c r="AA34" s="1">
        <f t="shared" si="14"/>
        <v>8.0006118420953189</v>
      </c>
      <c r="AB34" s="1">
        <v>0</v>
      </c>
      <c r="AC34" s="1">
        <f t="shared" si="15"/>
        <v>5.3128125573736957</v>
      </c>
      <c r="AD34" s="133">
        <f t="shared" si="16"/>
        <v>5.3128125573736957</v>
      </c>
      <c r="AE34" s="132">
        <f t="shared" si="28"/>
        <v>2.985803016858918</v>
      </c>
      <c r="AF34" s="1">
        <f t="shared" si="17"/>
        <v>4.8920904738397457</v>
      </c>
      <c r="AG34" s="1">
        <f t="shared" si="5"/>
        <v>2.3932549204233589E-2</v>
      </c>
      <c r="AH34" s="1">
        <f t="shared" si="18"/>
        <v>0.29698862182810853</v>
      </c>
      <c r="AI34" s="133">
        <f t="shared" si="19"/>
        <v>0.32092117103234213</v>
      </c>
      <c r="AJ34" s="132">
        <f t="shared" si="20"/>
        <v>5</v>
      </c>
      <c r="AK34" s="1">
        <f t="shared" si="21"/>
        <v>6.3306587843321864</v>
      </c>
      <c r="AL34" s="1">
        <f t="shared" si="6"/>
        <v>4.0077240643642278E-2</v>
      </c>
      <c r="AM34" s="1">
        <f t="shared" si="22"/>
        <v>0.15510000000000004</v>
      </c>
      <c r="AN34" s="136">
        <f t="shared" si="29"/>
        <v>0.14125677715863158</v>
      </c>
      <c r="AO34" s="133">
        <f t="shared" si="23"/>
        <v>0.33643401780227389</v>
      </c>
      <c r="AP34" s="132">
        <f t="shared" si="7"/>
        <v>0.2560391593915034</v>
      </c>
      <c r="AQ34" s="137">
        <f t="shared" si="8"/>
        <v>5.3128125573736957</v>
      </c>
      <c r="AR34" s="137">
        <f t="shared" si="9"/>
        <v>4.6760696810124402E-2</v>
      </c>
      <c r="AS34" s="1">
        <f t="shared" si="10"/>
        <v>3.7999999999999999E-2</v>
      </c>
      <c r="AT34" s="133">
        <f t="shared" si="24"/>
        <v>4.5080000000000002E-2</v>
      </c>
      <c r="AU34" s="132">
        <f t="shared" si="25"/>
        <v>11.668860159783636</v>
      </c>
      <c r="AV34" s="1">
        <f t="shared" si="26"/>
        <v>90</v>
      </c>
      <c r="AW34" s="133">
        <f t="shared" si="27"/>
        <v>88.522680256821261</v>
      </c>
    </row>
    <row r="35" spans="17:49" x14ac:dyDescent="0.25">
      <c r="Q35">
        <v>28</v>
      </c>
      <c r="R35" s="132">
        <f t="shared" si="0"/>
        <v>18</v>
      </c>
      <c r="S35" s="1">
        <f t="shared" si="1"/>
        <v>5</v>
      </c>
      <c r="T35" s="1">
        <f t="shared" si="2"/>
        <v>11.28</v>
      </c>
      <c r="U35" s="133">
        <f t="shared" si="11"/>
        <v>7.9787234042553195</v>
      </c>
      <c r="V35" s="132">
        <f>IF(Calculations!$B$17=3,2,IF((S35*R35/T35)&lt;((T35*(1-(T35/R35)))/(2*Lm*fsw)),1,2))</f>
        <v>2</v>
      </c>
      <c r="W35" s="1">
        <f t="shared" si="12"/>
        <v>0.37333333333333341</v>
      </c>
      <c r="X35" s="133">
        <f t="shared" si="3"/>
        <v>0.62666666666666659</v>
      </c>
      <c r="Y35" s="132">
        <f t="shared" si="4"/>
        <v>1.6844800000000002</v>
      </c>
      <c r="Z35" s="1">
        <f t="shared" si="13"/>
        <v>8.8209634042553198</v>
      </c>
      <c r="AA35" s="1">
        <f t="shared" si="14"/>
        <v>7.9935275838734006</v>
      </c>
      <c r="AB35" s="1">
        <v>0</v>
      </c>
      <c r="AC35" s="1">
        <f t="shared" si="15"/>
        <v>5.303408108434029</v>
      </c>
      <c r="AD35" s="133">
        <f t="shared" si="16"/>
        <v>5.303408108434029</v>
      </c>
      <c r="AE35" s="132">
        <f t="shared" si="28"/>
        <v>2.9787234042553199</v>
      </c>
      <c r="AF35" s="1">
        <f t="shared" si="17"/>
        <v>4.8841260297089768</v>
      </c>
      <c r="AG35" s="1">
        <f t="shared" si="5"/>
        <v>2.3854687074080772E-2</v>
      </c>
      <c r="AH35" s="1">
        <f t="shared" si="18"/>
        <v>0.29672533404279994</v>
      </c>
      <c r="AI35" s="133">
        <f t="shared" si="19"/>
        <v>0.32058002111688072</v>
      </c>
      <c r="AJ35" s="132">
        <f t="shared" si="20"/>
        <v>5</v>
      </c>
      <c r="AK35" s="1">
        <f t="shared" si="21"/>
        <v>6.3278587342057619</v>
      </c>
      <c r="AL35" s="1">
        <f t="shared" si="6"/>
        <v>4.0041796160064147E-2</v>
      </c>
      <c r="AM35" s="1">
        <f t="shared" si="22"/>
        <v>0.15510000000000004</v>
      </c>
      <c r="AN35" s="136">
        <f t="shared" si="29"/>
        <v>0.14113541446808511</v>
      </c>
      <c r="AO35" s="133">
        <f t="shared" si="23"/>
        <v>0.3362772106281493</v>
      </c>
      <c r="AP35" s="132">
        <f t="shared" si="7"/>
        <v>0.25558593293657972</v>
      </c>
      <c r="AQ35" s="137">
        <f t="shared" si="8"/>
        <v>5.303408108434029</v>
      </c>
      <c r="AR35" s="137">
        <f t="shared" si="9"/>
        <v>4.6696091832960661E-2</v>
      </c>
      <c r="AS35" s="1">
        <f t="shared" si="10"/>
        <v>3.7999999999999999E-2</v>
      </c>
      <c r="AT35" s="133">
        <f t="shared" si="24"/>
        <v>4.512E-2</v>
      </c>
      <c r="AU35" s="132">
        <f t="shared" si="25"/>
        <v>11.649075473382629</v>
      </c>
      <c r="AV35" s="1">
        <f t="shared" si="26"/>
        <v>90</v>
      </c>
      <c r="AW35" s="133">
        <f t="shared" si="27"/>
        <v>88.539910059060986</v>
      </c>
    </row>
    <row r="36" spans="17:49" x14ac:dyDescent="0.25">
      <c r="Q36">
        <v>29</v>
      </c>
      <c r="R36" s="132">
        <f t="shared" si="0"/>
        <v>18</v>
      </c>
      <c r="S36" s="1">
        <f t="shared" si="1"/>
        <v>5</v>
      </c>
      <c r="T36" s="1">
        <f t="shared" si="2"/>
        <v>11.29</v>
      </c>
      <c r="U36" s="133">
        <f t="shared" si="11"/>
        <v>7.9716563330380872</v>
      </c>
      <c r="V36" s="132">
        <f>IF(Calculations!$B$17=3,2,IF((S36*R36/T36)&lt;((T36*(1-(T36/R36)))/(2*Lm*fsw)),1,2))</f>
        <v>2</v>
      </c>
      <c r="W36" s="1">
        <f t="shared" si="12"/>
        <v>0.37277777777777787</v>
      </c>
      <c r="X36" s="133">
        <f t="shared" si="3"/>
        <v>0.62722222222222213</v>
      </c>
      <c r="Y36" s="132">
        <f t="shared" si="4"/>
        <v>1.6834644444444447</v>
      </c>
      <c r="Z36" s="1">
        <f t="shared" si="13"/>
        <v>8.8133885552603104</v>
      </c>
      <c r="AA36" s="1">
        <f t="shared" si="14"/>
        <v>7.986455768155774</v>
      </c>
      <c r="AB36" s="1">
        <v>0</v>
      </c>
      <c r="AC36" s="1">
        <f t="shared" si="15"/>
        <v>5.294028486146817</v>
      </c>
      <c r="AD36" s="133">
        <f t="shared" si="16"/>
        <v>5.294028486146817</v>
      </c>
      <c r="AE36" s="132">
        <f t="shared" si="28"/>
        <v>2.9716563330380876</v>
      </c>
      <c r="AF36" s="1">
        <f t="shared" si="17"/>
        <v>4.876172919828937</v>
      </c>
      <c r="AG36" s="1">
        <f t="shared" si="5"/>
        <v>2.377706234407306E-2</v>
      </c>
      <c r="AH36" s="1">
        <f t="shared" si="18"/>
        <v>0.29646251266632273</v>
      </c>
      <c r="AI36" s="133">
        <f t="shared" si="19"/>
        <v>0.32023957501039579</v>
      </c>
      <c r="AJ36" s="132">
        <f t="shared" si="20"/>
        <v>4.9999999999999991</v>
      </c>
      <c r="AK36" s="1">
        <f t="shared" si="21"/>
        <v>6.325062323221454</v>
      </c>
      <c r="AL36" s="1">
        <f t="shared" si="6"/>
        <v>4.0006413392635581E-2</v>
      </c>
      <c r="AM36" s="1">
        <f t="shared" si="22"/>
        <v>0.15510000000000004</v>
      </c>
      <c r="AN36" s="136">
        <f t="shared" si="29"/>
        <v>0.14101421688416496</v>
      </c>
      <c r="AO36" s="133">
        <f t="shared" si="23"/>
        <v>0.33612063027680061</v>
      </c>
      <c r="AP36" s="132">
        <f t="shared" si="7"/>
        <v>0.25513390294683452</v>
      </c>
      <c r="AQ36" s="137">
        <f t="shared" si="8"/>
        <v>5.294028486146817</v>
      </c>
      <c r="AR36" s="137">
        <f t="shared" si="9"/>
        <v>4.663125375994618E-2</v>
      </c>
      <c r="AS36" s="1">
        <f t="shared" si="10"/>
        <v>3.7999999999999999E-2</v>
      </c>
      <c r="AT36" s="133">
        <f t="shared" si="24"/>
        <v>4.5159999999999999E-2</v>
      </c>
      <c r="AU36" s="132">
        <f t="shared" si="25"/>
        <v>11.629342334287612</v>
      </c>
      <c r="AV36" s="1">
        <f t="shared" si="26"/>
        <v>90</v>
      </c>
      <c r="AW36" s="133">
        <f t="shared" si="27"/>
        <v>88.557101652753573</v>
      </c>
    </row>
    <row r="37" spans="17:49" x14ac:dyDescent="0.25">
      <c r="Q37">
        <v>30</v>
      </c>
      <c r="R37" s="132">
        <f t="shared" si="0"/>
        <v>18</v>
      </c>
      <c r="S37" s="1">
        <f t="shared" si="1"/>
        <v>5</v>
      </c>
      <c r="T37" s="1">
        <f t="shared" si="2"/>
        <v>11.3</v>
      </c>
      <c r="U37" s="133">
        <f t="shared" si="11"/>
        <v>7.9646017699115035</v>
      </c>
      <c r="V37" s="132">
        <f>IF(Calculations!$B$17=3,2,IF((S37*R37/T37)&lt;((T37*(1-(T37/R37)))/(2*Lm*fsw)),1,2))</f>
        <v>2</v>
      </c>
      <c r="W37" s="1">
        <f t="shared" si="12"/>
        <v>0.37222222222222223</v>
      </c>
      <c r="X37" s="133">
        <f t="shared" si="3"/>
        <v>0.62777777777777777</v>
      </c>
      <c r="Y37" s="132">
        <f t="shared" si="4"/>
        <v>1.6824444444444446</v>
      </c>
      <c r="Z37" s="1">
        <f t="shared" si="13"/>
        <v>8.8058239921337265</v>
      </c>
      <c r="AA37" s="1">
        <f t="shared" si="14"/>
        <v>7.9793963616093349</v>
      </c>
      <c r="AB37" s="1">
        <v>0</v>
      </c>
      <c r="AC37" s="1">
        <f t="shared" si="15"/>
        <v>5.2846736025401366</v>
      </c>
      <c r="AD37" s="133">
        <f t="shared" si="16"/>
        <v>5.2846736025401366</v>
      </c>
      <c r="AE37" s="132">
        <f t="shared" si="28"/>
        <v>2.9646017699115044</v>
      </c>
      <c r="AF37" s="1">
        <f t="shared" si="17"/>
        <v>4.8682311080272198</v>
      </c>
      <c r="AG37" s="1">
        <f t="shared" si="5"/>
        <v>2.3699674121163933E-2</v>
      </c>
      <c r="AH37" s="1">
        <f t="shared" si="18"/>
        <v>0.29620015646042325</v>
      </c>
      <c r="AI37" s="133">
        <f t="shared" si="19"/>
        <v>0.31989983058158716</v>
      </c>
      <c r="AJ37" s="132">
        <f t="shared" si="20"/>
        <v>4.9999999999999991</v>
      </c>
      <c r="AK37" s="1">
        <f t="shared" si="21"/>
        <v>6.3222695430122533</v>
      </c>
      <c r="AL37" s="1">
        <f t="shared" si="6"/>
        <v>3.9971092174500365E-2</v>
      </c>
      <c r="AM37" s="1">
        <f t="shared" si="22"/>
        <v>0.15510000000000004</v>
      </c>
      <c r="AN37" s="136">
        <f t="shared" si="29"/>
        <v>0.14089318387413963</v>
      </c>
      <c r="AO37" s="133">
        <f t="shared" si="23"/>
        <v>0.33596427604864004</v>
      </c>
      <c r="AP37" s="132">
        <f t="shared" si="7"/>
        <v>0.25468306518265715</v>
      </c>
      <c r="AQ37" s="137">
        <f t="shared" si="8"/>
        <v>5.2846736025401366</v>
      </c>
      <c r="AR37" s="137">
        <f t="shared" si="9"/>
        <v>4.6566183251172615E-2</v>
      </c>
      <c r="AS37" s="1">
        <f t="shared" si="10"/>
        <v>3.7999999999999999E-2</v>
      </c>
      <c r="AT37" s="133">
        <f t="shared" si="24"/>
        <v>4.5200000000000004E-2</v>
      </c>
      <c r="AU37" s="132">
        <f t="shared" si="25"/>
        <v>11.609660560144331</v>
      </c>
      <c r="AV37" s="1">
        <f t="shared" si="26"/>
        <v>90</v>
      </c>
      <c r="AW37" s="133">
        <f t="shared" si="27"/>
        <v>88.574255148434048</v>
      </c>
    </row>
    <row r="38" spans="17:49" x14ac:dyDescent="0.25">
      <c r="Q38">
        <v>31</v>
      </c>
      <c r="R38" s="132">
        <f t="shared" si="0"/>
        <v>18</v>
      </c>
      <c r="S38" s="1">
        <f t="shared" si="1"/>
        <v>5</v>
      </c>
      <c r="T38" s="1">
        <f t="shared" si="2"/>
        <v>11.31</v>
      </c>
      <c r="U38" s="133">
        <f t="shared" si="11"/>
        <v>7.957559681697612</v>
      </c>
      <c r="V38" s="132">
        <f>IF(Calculations!$B$17=3,2,IF((S38*R38/T38)&lt;((T38*(1-(T38/R38)))/(2*Lm*fsw)),1,2))</f>
        <v>2</v>
      </c>
      <c r="W38" s="1">
        <f t="shared" si="12"/>
        <v>0.37166666666666659</v>
      </c>
      <c r="X38" s="133">
        <f t="shared" si="3"/>
        <v>0.62833333333333341</v>
      </c>
      <c r="Y38" s="132">
        <f t="shared" si="4"/>
        <v>1.6814199999999997</v>
      </c>
      <c r="Z38" s="1">
        <f t="shared" si="13"/>
        <v>8.7982696816976116</v>
      </c>
      <c r="AA38" s="1">
        <f t="shared" si="14"/>
        <v>7.9723493310198554</v>
      </c>
      <c r="AB38" s="1">
        <v>0</v>
      </c>
      <c r="AC38" s="1">
        <f t="shared" si="15"/>
        <v>5.2753433700324575</v>
      </c>
      <c r="AD38" s="133">
        <f t="shared" si="16"/>
        <v>5.2753433700324575</v>
      </c>
      <c r="AE38" s="132">
        <f t="shared" si="28"/>
        <v>2.957559681697612</v>
      </c>
      <c r="AF38" s="1">
        <f t="shared" si="17"/>
        <v>4.8603005582381833</v>
      </c>
      <c r="AG38" s="1">
        <f t="shared" si="5"/>
        <v>2.3622521516410398E-2</v>
      </c>
      <c r="AH38" s="1">
        <f t="shared" si="18"/>
        <v>0.29593826419122754</v>
      </c>
      <c r="AI38" s="133">
        <f t="shared" si="19"/>
        <v>0.31956078570763796</v>
      </c>
      <c r="AJ38" s="132">
        <f t="shared" si="20"/>
        <v>5</v>
      </c>
      <c r="AK38" s="1">
        <f t="shared" si="21"/>
        <v>6.3194803852375658</v>
      </c>
      <c r="AL38" s="1">
        <f t="shared" si="6"/>
        <v>3.993583233940233E-2</v>
      </c>
      <c r="AM38" s="1">
        <f t="shared" si="22"/>
        <v>0.15510000000000004</v>
      </c>
      <c r="AN38" s="136">
        <f t="shared" si="29"/>
        <v>0.1407723149071618</v>
      </c>
      <c r="AO38" s="133">
        <f t="shared" si="23"/>
        <v>0.33580814724656416</v>
      </c>
      <c r="AP38" s="132">
        <f t="shared" si="7"/>
        <v>0.25423341542325095</v>
      </c>
      <c r="AQ38" s="137">
        <f t="shared" si="8"/>
        <v>5.2753433700324575</v>
      </c>
      <c r="AR38" s="137">
        <f t="shared" si="9"/>
        <v>4.6500880969410123E-2</v>
      </c>
      <c r="AS38" s="1">
        <f t="shared" si="10"/>
        <v>3.7999999999999999E-2</v>
      </c>
      <c r="AT38" s="133">
        <f t="shared" si="24"/>
        <v>4.5240000000000002E-2</v>
      </c>
      <c r="AU38" s="132">
        <f t="shared" si="25"/>
        <v>11.590029969411777</v>
      </c>
      <c r="AV38" s="1">
        <f t="shared" si="26"/>
        <v>90</v>
      </c>
      <c r="AW38" s="133">
        <f t="shared" si="27"/>
        <v>88.591370656252906</v>
      </c>
    </row>
    <row r="39" spans="17:49" x14ac:dyDescent="0.25">
      <c r="Q39">
        <v>32</v>
      </c>
      <c r="R39" s="132">
        <f t="shared" si="0"/>
        <v>18</v>
      </c>
      <c r="S39" s="1">
        <f t="shared" ref="S39:S70" si="30">IOUT</f>
        <v>5</v>
      </c>
      <c r="T39" s="1">
        <f t="shared" ref="T39:T70" si="31">VIN_MIN+($O$12)*(Q39)</f>
        <v>11.32</v>
      </c>
      <c r="U39" s="133">
        <f t="shared" si="11"/>
        <v>7.9505300353356887</v>
      </c>
      <c r="V39" s="132">
        <f>IF(Calculations!$B$17=3,2,IF((S39*R39/T39)&lt;((T39*(1-(T39/R39)))/(2*Lm*fsw)),1,2))</f>
        <v>2</v>
      </c>
      <c r="W39" s="1">
        <f t="shared" si="12"/>
        <v>0.37111111111111106</v>
      </c>
      <c r="X39" s="133">
        <f t="shared" si="3"/>
        <v>0.62888888888888894</v>
      </c>
      <c r="Y39" s="132">
        <f t="shared" si="4"/>
        <v>1.6803911111111109</v>
      </c>
      <c r="Z39" s="1">
        <f t="shared" si="13"/>
        <v>8.7907255908912436</v>
      </c>
      <c r="AA39" s="1">
        <f t="shared" si="14"/>
        <v>7.9653146432914586</v>
      </c>
      <c r="AB39" s="1">
        <v>0</v>
      </c>
      <c r="AC39" s="1">
        <f t="shared" si="15"/>
        <v>5.2660377014305668</v>
      </c>
      <c r="AD39" s="133">
        <f t="shared" si="16"/>
        <v>5.2660377014305668</v>
      </c>
      <c r="AE39" s="132">
        <f t="shared" si="28"/>
        <v>2.9505300353356887</v>
      </c>
      <c r="AF39" s="1">
        <f t="shared" si="17"/>
        <v>4.8523812345023547</v>
      </c>
      <c r="AG39" s="1">
        <f t="shared" si="5"/>
        <v>2.3545603644950595E-2</v>
      </c>
      <c r="AH39" s="1">
        <f t="shared" si="18"/>
        <v>0.29567683462922112</v>
      </c>
      <c r="AI39" s="133">
        <f t="shared" si="19"/>
        <v>0.31922243827417174</v>
      </c>
      <c r="AJ39" s="132">
        <f t="shared" si="20"/>
        <v>5</v>
      </c>
      <c r="AK39" s="1">
        <f t="shared" si="21"/>
        <v>6.3166948415831161</v>
      </c>
      <c r="AL39" s="1">
        <f t="shared" si="6"/>
        <v>3.9900633721682753E-2</v>
      </c>
      <c r="AM39" s="1">
        <f t="shared" si="22"/>
        <v>0.15510000000000004</v>
      </c>
      <c r="AN39" s="136">
        <f t="shared" si="29"/>
        <v>0.14065160945425989</v>
      </c>
      <c r="AO39" s="133">
        <f t="shared" si="23"/>
        <v>0.33565224317594267</v>
      </c>
      <c r="AP39" s="132">
        <f t="shared" si="7"/>
        <v>0.25378494946653335</v>
      </c>
      <c r="AQ39" s="137">
        <f t="shared" si="8"/>
        <v>5.2660377014305668</v>
      </c>
      <c r="AR39" s="137">
        <f t="shared" si="9"/>
        <v>4.6435347580105139E-2</v>
      </c>
      <c r="AS39" s="1">
        <f t="shared" si="10"/>
        <v>3.7999999999999999E-2</v>
      </c>
      <c r="AT39" s="133">
        <f t="shared" si="24"/>
        <v>4.5280000000000001E-2</v>
      </c>
      <c r="AU39" s="132">
        <f t="shared" si="25"/>
        <v>11.570450381357889</v>
      </c>
      <c r="AV39" s="1">
        <f t="shared" si="26"/>
        <v>90</v>
      </c>
      <c r="AW39" s="133">
        <f t="shared" si="27"/>
        <v>88.608448285977559</v>
      </c>
    </row>
    <row r="40" spans="17:49" x14ac:dyDescent="0.25">
      <c r="Q40">
        <v>33</v>
      </c>
      <c r="R40" s="132">
        <f t="shared" si="0"/>
        <v>18</v>
      </c>
      <c r="S40" s="1">
        <f t="shared" si="30"/>
        <v>5</v>
      </c>
      <c r="T40" s="1">
        <f t="shared" si="31"/>
        <v>11.33</v>
      </c>
      <c r="U40" s="133">
        <f t="shared" si="11"/>
        <v>7.9435127978817297</v>
      </c>
      <c r="V40" s="132">
        <f>IF(Calculations!$B$17=3,2,IF((S40*R40/T40)&lt;((T40*(1-(T40/R40)))/(2*Lm*fsw)),1,2))</f>
        <v>2</v>
      </c>
      <c r="W40" s="1">
        <f t="shared" si="12"/>
        <v>0.37055555555555553</v>
      </c>
      <c r="X40" s="133">
        <f t="shared" si="3"/>
        <v>0.62944444444444447</v>
      </c>
      <c r="Y40" s="132">
        <f t="shared" si="4"/>
        <v>1.6793577777777777</v>
      </c>
      <c r="Z40" s="1">
        <f t="shared" si="13"/>
        <v>8.7831916867706177</v>
      </c>
      <c r="AA40" s="1">
        <f t="shared" si="14"/>
        <v>7.9582922654461106</v>
      </c>
      <c r="AB40" s="1">
        <v>0</v>
      </c>
      <c r="AC40" s="1">
        <f t="shared" si="15"/>
        <v>5.2567565099275289</v>
      </c>
      <c r="AD40" s="133">
        <f t="shared" si="16"/>
        <v>5.2567565099275289</v>
      </c>
      <c r="AE40" s="132">
        <f t="shared" si="28"/>
        <v>2.9435127978817297</v>
      </c>
      <c r="AF40" s="1">
        <f t="shared" si="17"/>
        <v>4.8444731009658479</v>
      </c>
      <c r="AG40" s="1">
        <f t="shared" si="5"/>
        <v>2.346891962598166E-2</v>
      </c>
      <c r="AH40" s="1">
        <f t="shared" si="18"/>
        <v>0.29541586654923063</v>
      </c>
      <c r="AI40" s="133">
        <f t="shared" si="19"/>
        <v>0.31888478617521232</v>
      </c>
      <c r="AJ40" s="132">
        <f t="shared" si="20"/>
        <v>5</v>
      </c>
      <c r="AK40" s="1">
        <f t="shared" si="21"/>
        <v>6.313912903760845</v>
      </c>
      <c r="AL40" s="1">
        <f t="shared" si="6"/>
        <v>3.9865496156277706E-2</v>
      </c>
      <c r="AM40" s="1">
        <f t="shared" si="22"/>
        <v>0.15510000000000004</v>
      </c>
      <c r="AN40" s="136">
        <f t="shared" si="29"/>
        <v>0.14053106698832987</v>
      </c>
      <c r="AO40" s="133">
        <f t="shared" si="23"/>
        <v>0.33549656314460763</v>
      </c>
      <c r="AP40" s="132">
        <f t="shared" si="7"/>
        <v>0.25333766312903755</v>
      </c>
      <c r="AQ40" s="137">
        <f t="shared" si="8"/>
        <v>5.2567565099275289</v>
      </c>
      <c r="AR40" s="137">
        <f t="shared" si="9"/>
        <v>4.6369583751377251E-2</v>
      </c>
      <c r="AS40" s="1">
        <f t="shared" si="10"/>
        <v>3.7999999999999999E-2</v>
      </c>
      <c r="AT40" s="133">
        <f t="shared" si="24"/>
        <v>4.5319999999999999E-2</v>
      </c>
      <c r="AU40" s="132">
        <f t="shared" si="25"/>
        <v>11.550921616055293</v>
      </c>
      <c r="AV40" s="1">
        <f t="shared" si="26"/>
        <v>90</v>
      </c>
      <c r="AW40" s="133">
        <f t="shared" si="27"/>
        <v>88.62548814699376</v>
      </c>
    </row>
    <row r="41" spans="17:49" x14ac:dyDescent="0.25">
      <c r="Q41">
        <v>34</v>
      </c>
      <c r="R41" s="132">
        <f t="shared" si="0"/>
        <v>18</v>
      </c>
      <c r="S41" s="1">
        <f t="shared" si="30"/>
        <v>5</v>
      </c>
      <c r="T41" s="1">
        <f t="shared" si="31"/>
        <v>11.34</v>
      </c>
      <c r="U41" s="133">
        <f t="shared" si="11"/>
        <v>7.9365079365079367</v>
      </c>
      <c r="V41" s="132">
        <f>IF(Calculations!$B$17=3,2,IF((S41*R41/T41)&lt;((T41*(1-(T41/R41)))/(2*Lm*fsw)),1,2))</f>
        <v>2</v>
      </c>
      <c r="W41" s="1">
        <f t="shared" si="12"/>
        <v>0.37</v>
      </c>
      <c r="X41" s="133">
        <f t="shared" si="3"/>
        <v>0.63</v>
      </c>
      <c r="Y41" s="132">
        <f t="shared" si="4"/>
        <v>1.67832</v>
      </c>
      <c r="Z41" s="1">
        <f t="shared" si="13"/>
        <v>8.7756679365079364</v>
      </c>
      <c r="AA41" s="1">
        <f t="shared" si="14"/>
        <v>7.9512821646231036</v>
      </c>
      <c r="AB41" s="1">
        <v>0</v>
      </c>
      <c r="AC41" s="1">
        <f t="shared" si="15"/>
        <v>5.2474997091006381</v>
      </c>
      <c r="AD41" s="133">
        <f t="shared" si="16"/>
        <v>5.2474997091006381</v>
      </c>
      <c r="AE41" s="132">
        <f t="shared" si="28"/>
        <v>2.9365079365079367</v>
      </c>
      <c r="AF41" s="1">
        <f t="shared" si="17"/>
        <v>4.8365761218797934</v>
      </c>
      <c r="AG41" s="1">
        <f t="shared" si="5"/>
        <v>2.3392468582737781E-2</v>
      </c>
      <c r="AH41" s="1">
        <f t="shared" si="18"/>
        <v>0.29515535873040422</v>
      </c>
      <c r="AI41" s="133">
        <f t="shared" si="19"/>
        <v>0.31854782731314202</v>
      </c>
      <c r="AJ41" s="132">
        <f t="shared" si="20"/>
        <v>5</v>
      </c>
      <c r="AK41" s="1">
        <f t="shared" si="21"/>
        <v>6.3111345635088218</v>
      </c>
      <c r="AL41" s="1">
        <f t="shared" si="6"/>
        <v>3.9830419478715691E-2</v>
      </c>
      <c r="AM41" s="1">
        <f t="shared" si="22"/>
        <v>0.15510000000000004</v>
      </c>
      <c r="AN41" s="136">
        <f t="shared" si="29"/>
        <v>0.14041068698412698</v>
      </c>
      <c r="AO41" s="133">
        <f t="shared" si="23"/>
        <v>0.33534110646284271</v>
      </c>
      <c r="AP41" s="132">
        <f t="shared" si="7"/>
        <v>0.25289155224581389</v>
      </c>
      <c r="AQ41" s="137">
        <f t="shared" si="8"/>
        <v>5.2474997091006381</v>
      </c>
      <c r="AR41" s="137">
        <f t="shared" si="9"/>
        <v>4.6303590154016132E-2</v>
      </c>
      <c r="AS41" s="1">
        <f t="shared" si="10"/>
        <v>3.7999999999999999E-2</v>
      </c>
      <c r="AT41" s="133">
        <f t="shared" si="24"/>
        <v>4.5359999999999998E-2</v>
      </c>
      <c r="AU41" s="132">
        <f t="shared" si="25"/>
        <v>11.531443494377092</v>
      </c>
      <c r="AV41" s="1">
        <f t="shared" si="26"/>
        <v>90</v>
      </c>
      <c r="AW41" s="133">
        <f t="shared" si="27"/>
        <v>88.642490348307007</v>
      </c>
    </row>
    <row r="42" spans="17:49" x14ac:dyDescent="0.25">
      <c r="Q42">
        <v>35</v>
      </c>
      <c r="R42" s="132">
        <f t="shared" si="0"/>
        <v>18</v>
      </c>
      <c r="S42" s="1">
        <f t="shared" si="30"/>
        <v>5</v>
      </c>
      <c r="T42" s="1">
        <f t="shared" si="31"/>
        <v>11.35</v>
      </c>
      <c r="U42" s="133">
        <f t="shared" si="11"/>
        <v>7.929515418502203</v>
      </c>
      <c r="V42" s="132">
        <f>IF(Calculations!$B$17=3,2,IF((S42*R42/T42)&lt;((T42*(1-(T42/R42)))/(2*Lm*fsw)),1,2))</f>
        <v>2</v>
      </c>
      <c r="W42" s="1">
        <f t="shared" si="12"/>
        <v>0.36944444444444446</v>
      </c>
      <c r="X42" s="133">
        <f t="shared" si="3"/>
        <v>0.63055555555555554</v>
      </c>
      <c r="Y42" s="132">
        <f t="shared" si="4"/>
        <v>1.6772777777777779</v>
      </c>
      <c r="Z42" s="1">
        <f t="shared" si="13"/>
        <v>8.7681543073910913</v>
      </c>
      <c r="AA42" s="1">
        <f t="shared" si="14"/>
        <v>7.9442843080785508</v>
      </c>
      <c r="AB42" s="1">
        <v>0</v>
      </c>
      <c r="AC42" s="1">
        <f t="shared" si="15"/>
        <v>5.2382672129093972</v>
      </c>
      <c r="AD42" s="133">
        <f t="shared" si="16"/>
        <v>5.2382672129093972</v>
      </c>
      <c r="AE42" s="132">
        <f t="shared" si="28"/>
        <v>2.929515418502203</v>
      </c>
      <c r="AF42" s="1">
        <f t="shared" si="17"/>
        <v>4.8286902615997427</v>
      </c>
      <c r="AG42" s="1">
        <f t="shared" si="5"/>
        <v>2.331624964246819E-2</v>
      </c>
      <c r="AH42" s="1">
        <f t="shared" si="18"/>
        <v>0.2948953099561924</v>
      </c>
      <c r="AI42" s="133">
        <f t="shared" si="19"/>
        <v>0.3182115595986606</v>
      </c>
      <c r="AJ42" s="132">
        <f t="shared" si="20"/>
        <v>5</v>
      </c>
      <c r="AK42" s="1">
        <f t="shared" si="21"/>
        <v>6.3083598125911369</v>
      </c>
      <c r="AL42" s="1">
        <f t="shared" si="6"/>
        <v>3.9795403525114889E-2</v>
      </c>
      <c r="AM42" s="1">
        <f t="shared" si="22"/>
        <v>0.15510000000000004</v>
      </c>
      <c r="AN42" s="136">
        <f t="shared" si="29"/>
        <v>0.14029046891825747</v>
      </c>
      <c r="AO42" s="133">
        <f t="shared" si="23"/>
        <v>0.33518587244337239</v>
      </c>
      <c r="AP42" s="132">
        <f t="shared" si="7"/>
        <v>0.25244661267033242</v>
      </c>
      <c r="AQ42" s="137">
        <f t="shared" si="8"/>
        <v>5.2382672129093972</v>
      </c>
      <c r="AR42" s="137">
        <f t="shared" si="9"/>
        <v>4.6237367461478815E-2</v>
      </c>
      <c r="AS42" s="1">
        <f t="shared" si="10"/>
        <v>3.7999999999999999E-2</v>
      </c>
      <c r="AT42" s="133">
        <f t="shared" si="24"/>
        <v>4.5400000000000003E-2</v>
      </c>
      <c r="AU42" s="132">
        <f t="shared" si="25"/>
        <v>11.512015837992639</v>
      </c>
      <c r="AV42" s="1">
        <f t="shared" si="26"/>
        <v>90</v>
      </c>
      <c r="AW42" s="133">
        <f t="shared" si="27"/>
        <v>88.659454998544064</v>
      </c>
    </row>
    <row r="43" spans="17:49" x14ac:dyDescent="0.25">
      <c r="Q43">
        <v>36</v>
      </c>
      <c r="R43" s="132">
        <f t="shared" si="0"/>
        <v>18</v>
      </c>
      <c r="S43" s="1">
        <f t="shared" si="30"/>
        <v>5</v>
      </c>
      <c r="T43" s="1">
        <f t="shared" si="31"/>
        <v>11.36</v>
      </c>
      <c r="U43" s="133">
        <f t="shared" si="11"/>
        <v>7.922535211267606</v>
      </c>
      <c r="V43" s="132">
        <f>IF(Calculations!$B$17=3,2,IF((S43*R43/T43)&lt;((T43*(1-(T43/R43)))/(2*Lm*fsw)),1,2))</f>
        <v>2</v>
      </c>
      <c r="W43" s="1">
        <f t="shared" si="12"/>
        <v>0.36888888888888893</v>
      </c>
      <c r="X43" s="133">
        <f t="shared" si="3"/>
        <v>0.63111111111111107</v>
      </c>
      <c r="Y43" s="132">
        <f t="shared" si="4"/>
        <v>1.6762311111111114</v>
      </c>
      <c r="Z43" s="1">
        <f t="shared" si="13"/>
        <v>8.7606507668231615</v>
      </c>
      <c r="AA43" s="1">
        <f t="shared" si="14"/>
        <v>7.9372986631848779</v>
      </c>
      <c r="AB43" s="1">
        <v>0</v>
      </c>
      <c r="AC43" s="1">
        <f t="shared" si="15"/>
        <v>5.2290589356935051</v>
      </c>
      <c r="AD43" s="133">
        <f t="shared" si="16"/>
        <v>5.2290589356935051</v>
      </c>
      <c r="AE43" s="132">
        <f t="shared" si="28"/>
        <v>2.922535211267606</v>
      </c>
      <c r="AF43" s="1">
        <f t="shared" si="17"/>
        <v>4.8208154845851112</v>
      </c>
      <c r="AG43" s="1">
        <f t="shared" si="5"/>
        <v>2.3240261936415582E-2</v>
      </c>
      <c r="AH43" s="1">
        <f t="shared" si="18"/>
        <v>0.29463571901432956</v>
      </c>
      <c r="AI43" s="133">
        <f t="shared" si="19"/>
        <v>0.31787598095074515</v>
      </c>
      <c r="AJ43" s="132">
        <f t="shared" si="20"/>
        <v>5</v>
      </c>
      <c r="AK43" s="1">
        <f t="shared" si="21"/>
        <v>6.3055886427978214</v>
      </c>
      <c r="AL43" s="1">
        <f t="shared" si="6"/>
        <v>3.9760448132180867E-2</v>
      </c>
      <c r="AM43" s="1">
        <f t="shared" si="22"/>
        <v>0.15510000000000004</v>
      </c>
      <c r="AN43" s="136">
        <f t="shared" si="29"/>
        <v>0.1401704122691706</v>
      </c>
      <c r="AO43" s="133">
        <f t="shared" si="23"/>
        <v>0.33503086040135149</v>
      </c>
      <c r="AP43" s="132">
        <f t="shared" si="7"/>
        <v>0.2520028402743858</v>
      </c>
      <c r="AQ43" s="137">
        <f t="shared" si="8"/>
        <v>5.2290589356935051</v>
      </c>
      <c r="AR43" s="137">
        <f t="shared" si="9"/>
        <v>4.6170916349886515E-2</v>
      </c>
      <c r="AS43" s="1">
        <f t="shared" si="10"/>
        <v>3.7999999999999999E-2</v>
      </c>
      <c r="AT43" s="133">
        <f t="shared" si="24"/>
        <v>4.5440000000000001E-2</v>
      </c>
      <c r="AU43" s="132">
        <f t="shared" si="25"/>
        <v>11.49263846936338</v>
      </c>
      <c r="AV43" s="1">
        <f t="shared" si="26"/>
        <v>90</v>
      </c>
      <c r="AW43" s="133">
        <f t="shared" si="27"/>
        <v>88.676382205954212</v>
      </c>
    </row>
    <row r="44" spans="17:49" x14ac:dyDescent="0.25">
      <c r="Q44">
        <v>37</v>
      </c>
      <c r="R44" s="132">
        <f t="shared" si="0"/>
        <v>18</v>
      </c>
      <c r="S44" s="1">
        <f t="shared" si="30"/>
        <v>5</v>
      </c>
      <c r="T44" s="1">
        <f t="shared" si="31"/>
        <v>11.37</v>
      </c>
      <c r="U44" s="133">
        <f t="shared" si="11"/>
        <v>7.9155672823219003</v>
      </c>
      <c r="V44" s="132">
        <f>IF(Calculations!$B$17=3,2,IF((S44*R44/T44)&lt;((T44*(1-(T44/R44)))/(2*Lm*fsw)),1,2))</f>
        <v>2</v>
      </c>
      <c r="W44" s="1">
        <f t="shared" si="12"/>
        <v>0.3683333333333334</v>
      </c>
      <c r="X44" s="133">
        <f t="shared" si="3"/>
        <v>0.6316666666666666</v>
      </c>
      <c r="Y44" s="132">
        <f t="shared" si="4"/>
        <v>1.6751800000000003</v>
      </c>
      <c r="Z44" s="1">
        <f t="shared" si="13"/>
        <v>8.7531572823219008</v>
      </c>
      <c r="AA44" s="1">
        <f t="shared" si="14"/>
        <v>7.9303251974303208</v>
      </c>
      <c r="AB44" s="1">
        <v>0</v>
      </c>
      <c r="AC44" s="1">
        <f t="shared" si="15"/>
        <v>5.2198747921708559</v>
      </c>
      <c r="AD44" s="133">
        <f t="shared" si="16"/>
        <v>5.2198747921708559</v>
      </c>
      <c r="AE44" s="132">
        <f t="shared" si="28"/>
        <v>2.9155672823219003</v>
      </c>
      <c r="AF44" s="1">
        <f t="shared" si="17"/>
        <v>4.812951755398589</v>
      </c>
      <c r="AG44" s="1">
        <f t="shared" si="5"/>
        <v>2.3164504599794359E-2</v>
      </c>
      <c r="AH44" s="1">
        <f t="shared" si="18"/>
        <v>0.29437658469681477</v>
      </c>
      <c r="AI44" s="133">
        <f t="shared" si="19"/>
        <v>0.31754108929660912</v>
      </c>
      <c r="AJ44" s="132">
        <f t="shared" si="20"/>
        <v>5</v>
      </c>
      <c r="AK44" s="1">
        <f t="shared" si="21"/>
        <v>6.3028210459447358</v>
      </c>
      <c r="AL44" s="1">
        <f t="shared" si="6"/>
        <v>3.9725553137203898E-2</v>
      </c>
      <c r="AM44" s="1">
        <f t="shared" si="22"/>
        <v>0.15510000000000004</v>
      </c>
      <c r="AN44" s="136">
        <f t="shared" si="29"/>
        <v>0.14005051651715042</v>
      </c>
      <c r="AO44" s="133">
        <f t="shared" si="23"/>
        <v>0.33487606965435435</v>
      </c>
      <c r="AP44" s="132">
        <f t="shared" si="7"/>
        <v>0.25156023094799301</v>
      </c>
      <c r="AQ44" s="137">
        <f t="shared" si="8"/>
        <v>5.2198747921708559</v>
      </c>
      <c r="AR44" s="137">
        <f t="shared" si="9"/>
        <v>4.6104237498022213E-2</v>
      </c>
      <c r="AS44" s="1">
        <f t="shared" si="10"/>
        <v>3.7999999999999999E-2</v>
      </c>
      <c r="AT44" s="133">
        <f t="shared" si="24"/>
        <v>4.548E-2</v>
      </c>
      <c r="AU44" s="132">
        <f t="shared" si="25"/>
        <v>11.473311211738691</v>
      </c>
      <c r="AV44" s="1">
        <f t="shared" si="26"/>
        <v>90</v>
      </c>
      <c r="AW44" s="133">
        <f t="shared" si="27"/>
        <v>88.693272078410871</v>
      </c>
    </row>
    <row r="45" spans="17:49" x14ac:dyDescent="0.25">
      <c r="Q45">
        <v>38</v>
      </c>
      <c r="R45" s="132">
        <f t="shared" si="0"/>
        <v>18</v>
      </c>
      <c r="S45" s="1">
        <f t="shared" si="30"/>
        <v>5</v>
      </c>
      <c r="T45" s="1">
        <f t="shared" si="31"/>
        <v>11.38</v>
      </c>
      <c r="U45" s="133">
        <f t="shared" si="11"/>
        <v>7.9086115992970116</v>
      </c>
      <c r="V45" s="132">
        <f>IF(Calculations!$B$17=3,2,IF((S45*R45/T45)&lt;((T45*(1-(T45/R45)))/(2*Lm*fsw)),1,2))</f>
        <v>2</v>
      </c>
      <c r="W45" s="1">
        <f t="shared" si="12"/>
        <v>0.36777777777777776</v>
      </c>
      <c r="X45" s="133">
        <f t="shared" si="3"/>
        <v>0.63222222222222224</v>
      </c>
      <c r="Y45" s="132">
        <f t="shared" si="4"/>
        <v>1.6741244444444443</v>
      </c>
      <c r="Z45" s="1">
        <f t="shared" si="13"/>
        <v>8.7456738215192331</v>
      </c>
      <c r="AA45" s="1">
        <f t="shared" si="14"/>
        <v>7.923363878418419</v>
      </c>
      <c r="AB45" s="1">
        <v>0</v>
      </c>
      <c r="AC45" s="1">
        <f t="shared" si="15"/>
        <v>5.2107146974355389</v>
      </c>
      <c r="AD45" s="133">
        <f t="shared" si="16"/>
        <v>5.2107146974355389</v>
      </c>
      <c r="AE45" s="132">
        <f t="shared" si="28"/>
        <v>2.9086115992970121</v>
      </c>
      <c r="AF45" s="1">
        <f t="shared" si="17"/>
        <v>4.8050990387055759</v>
      </c>
      <c r="AG45" s="1">
        <f t="shared" si="5"/>
        <v>2.308897677176925E-2</v>
      </c>
      <c r="AH45" s="1">
        <f t="shared" si="18"/>
        <v>0.29411790579989311</v>
      </c>
      <c r="AI45" s="133">
        <f t="shared" si="19"/>
        <v>0.31720688257166235</v>
      </c>
      <c r="AJ45" s="132">
        <f t="shared" si="20"/>
        <v>5</v>
      </c>
      <c r="AK45" s="1">
        <f t="shared" si="21"/>
        <v>6.3000570138734862</v>
      </c>
      <c r="AL45" s="1">
        <f t="shared" si="6"/>
        <v>3.969071837805651E-2</v>
      </c>
      <c r="AM45" s="1">
        <f t="shared" si="22"/>
        <v>0.15510000000000004</v>
      </c>
      <c r="AN45" s="136">
        <f t="shared" si="29"/>
        <v>0.13993078114430774</v>
      </c>
      <c r="AO45" s="133">
        <f t="shared" si="23"/>
        <v>0.3347214995223643</v>
      </c>
      <c r="AP45" s="132">
        <f t="shared" si="7"/>
        <v>0.25111878059930309</v>
      </c>
      <c r="AQ45" s="137">
        <f t="shared" si="8"/>
        <v>5.2107146974355389</v>
      </c>
      <c r="AR45" s="137">
        <f t="shared" si="9"/>
        <v>4.6037331587326966E-2</v>
      </c>
      <c r="AS45" s="1">
        <f t="shared" si="10"/>
        <v>3.7999999999999999E-2</v>
      </c>
      <c r="AT45" s="133">
        <f t="shared" si="24"/>
        <v>4.5520000000000005E-2</v>
      </c>
      <c r="AU45" s="132">
        <f t="shared" si="25"/>
        <v>11.454033889151734</v>
      </c>
      <c r="AV45" s="1">
        <f t="shared" si="26"/>
        <v>90</v>
      </c>
      <c r="AW45" s="133">
        <f t="shared" si="27"/>
        <v>88.710124723412804</v>
      </c>
    </row>
    <row r="46" spans="17:49" x14ac:dyDescent="0.25">
      <c r="Q46">
        <v>39</v>
      </c>
      <c r="R46" s="132">
        <f t="shared" si="0"/>
        <v>18</v>
      </c>
      <c r="S46" s="1">
        <f t="shared" si="30"/>
        <v>5</v>
      </c>
      <c r="T46" s="1">
        <f t="shared" si="31"/>
        <v>11.39</v>
      </c>
      <c r="U46" s="133">
        <f t="shared" si="11"/>
        <v>7.9016681299385425</v>
      </c>
      <c r="V46" s="132">
        <f>IF(Calculations!$B$17=3,2,IF((S46*R46/T46)&lt;((T46*(1-(T46/R46)))/(2*Lm*fsw)),1,2))</f>
        <v>2</v>
      </c>
      <c r="W46" s="1">
        <f t="shared" si="12"/>
        <v>0.36722222222222223</v>
      </c>
      <c r="X46" s="133">
        <f t="shared" si="3"/>
        <v>0.63277777777777777</v>
      </c>
      <c r="Y46" s="132">
        <f t="shared" si="4"/>
        <v>1.6730644444444445</v>
      </c>
      <c r="Z46" s="1">
        <f t="shared" si="13"/>
        <v>8.7382003521607654</v>
      </c>
      <c r="AA46" s="1">
        <f t="shared" si="14"/>
        <v>7.9164146738675294</v>
      </c>
      <c r="AB46" s="1">
        <v>0</v>
      </c>
      <c r="AC46" s="1">
        <f t="shared" si="15"/>
        <v>5.2015785669558872</v>
      </c>
      <c r="AD46" s="133">
        <f t="shared" si="16"/>
        <v>5.2015785669558872</v>
      </c>
      <c r="AE46" s="132">
        <f t="shared" si="28"/>
        <v>2.9016681299385425</v>
      </c>
      <c r="AF46" s="1">
        <f t="shared" si="17"/>
        <v>4.7972572992736193</v>
      </c>
      <c r="AG46" s="1">
        <f t="shared" si="5"/>
        <v>2.3013677595434021E-2</v>
      </c>
      <c r="AH46" s="1">
        <f t="shared" si="18"/>
        <v>0.29385968112403721</v>
      </c>
      <c r="AI46" s="133">
        <f t="shared" si="19"/>
        <v>0.31687335871947125</v>
      </c>
      <c r="AJ46" s="132">
        <f t="shared" si="20"/>
        <v>5</v>
      </c>
      <c r="AK46" s="1">
        <f t="shared" si="21"/>
        <v>6.2972965384513326</v>
      </c>
      <c r="AL46" s="1">
        <f t="shared" si="6"/>
        <v>3.9655943693191135E-2</v>
      </c>
      <c r="AM46" s="1">
        <f t="shared" si="22"/>
        <v>0.15510000000000004</v>
      </c>
      <c r="AN46" s="136">
        <f t="shared" si="29"/>
        <v>0.13981120563457225</v>
      </c>
      <c r="AO46" s="133">
        <f t="shared" si="23"/>
        <v>0.33456714932776344</v>
      </c>
      <c r="AP46" s="132">
        <f t="shared" si="7"/>
        <v>0.25067848515450059</v>
      </c>
      <c r="AQ46" s="137">
        <f t="shared" si="8"/>
        <v>5.2015785669558872</v>
      </c>
      <c r="AR46" s="137">
        <f t="shared" si="9"/>
        <v>4.59701993018976E-2</v>
      </c>
      <c r="AS46" s="1">
        <f t="shared" si="10"/>
        <v>3.7999999999999999E-2</v>
      </c>
      <c r="AT46" s="133">
        <f t="shared" si="24"/>
        <v>4.5560000000000003E-2</v>
      </c>
      <c r="AU46" s="132">
        <f t="shared" si="25"/>
        <v>11.434806326415409</v>
      </c>
      <c r="AV46" s="1">
        <f t="shared" si="26"/>
        <v>90</v>
      </c>
      <c r="AW46" s="133">
        <f t="shared" si="27"/>
        <v>88.72694024808564</v>
      </c>
    </row>
    <row r="47" spans="17:49" x14ac:dyDescent="0.25">
      <c r="Q47">
        <v>40</v>
      </c>
      <c r="R47" s="132">
        <f t="shared" si="0"/>
        <v>18</v>
      </c>
      <c r="S47" s="1">
        <f t="shared" si="30"/>
        <v>5</v>
      </c>
      <c r="T47" s="1">
        <f t="shared" si="31"/>
        <v>11.4</v>
      </c>
      <c r="U47" s="133">
        <f t="shared" si="11"/>
        <v>7.8947368421052628</v>
      </c>
      <c r="V47" s="132">
        <f>IF(Calculations!$B$17=3,2,IF((S47*R47/T47)&lt;((T47*(1-(T47/R47)))/(2*Lm*fsw)),1,2))</f>
        <v>2</v>
      </c>
      <c r="W47" s="1">
        <f t="shared" si="12"/>
        <v>0.3666666666666667</v>
      </c>
      <c r="X47" s="133">
        <f t="shared" si="3"/>
        <v>0.6333333333333333</v>
      </c>
      <c r="Y47" s="132">
        <f t="shared" si="4"/>
        <v>1.6720000000000002</v>
      </c>
      <c r="Z47" s="1">
        <f t="shared" si="13"/>
        <v>8.7307368421052622</v>
      </c>
      <c r="AA47" s="1">
        <f t="shared" si="14"/>
        <v>7.9094775516103155</v>
      </c>
      <c r="AB47" s="1">
        <v>0</v>
      </c>
      <c r="AC47" s="1">
        <f t="shared" si="15"/>
        <v>5.1924663165724843</v>
      </c>
      <c r="AD47" s="133">
        <f t="shared" si="16"/>
        <v>5.1924663165724843</v>
      </c>
      <c r="AE47" s="132">
        <f t="shared" si="28"/>
        <v>2.8947368421052633</v>
      </c>
      <c r="AF47" s="1">
        <f t="shared" si="17"/>
        <v>4.7894265019718265</v>
      </c>
      <c r="AG47" s="1">
        <f t="shared" si="5"/>
        <v>2.2938606217790085E-2</v>
      </c>
      <c r="AH47" s="1">
        <f t="shared" si="18"/>
        <v>0.29360190947392839</v>
      </c>
      <c r="AI47" s="133">
        <f t="shared" si="19"/>
        <v>0.31654051569171848</v>
      </c>
      <c r="AJ47" s="132">
        <f t="shared" si="20"/>
        <v>5</v>
      </c>
      <c r="AK47" s="1">
        <f t="shared" si="21"/>
        <v>6.2945396115710812</v>
      </c>
      <c r="AL47" s="1">
        <f t="shared" si="6"/>
        <v>3.9621228921637421E-2</v>
      </c>
      <c r="AM47" s="1">
        <f t="shared" si="22"/>
        <v>0.15510000000000004</v>
      </c>
      <c r="AN47" s="136">
        <f t="shared" si="29"/>
        <v>0.13969178947368419</v>
      </c>
      <c r="AO47" s="133">
        <f t="shared" si="23"/>
        <v>0.33441301839532167</v>
      </c>
      <c r="AP47" s="132">
        <f t="shared" si="7"/>
        <v>0.25023934055771008</v>
      </c>
      <c r="AQ47" s="137">
        <f t="shared" si="8"/>
        <v>5.1924663165724843</v>
      </c>
      <c r="AR47" s="137">
        <f t="shared" si="9"/>
        <v>4.5902841328483046E-2</v>
      </c>
      <c r="AS47" s="1">
        <f t="shared" si="10"/>
        <v>3.7999999999999999E-2</v>
      </c>
      <c r="AT47" s="133">
        <f t="shared" si="24"/>
        <v>4.5600000000000002E-2</v>
      </c>
      <c r="AU47" s="132">
        <f t="shared" si="25"/>
        <v>11.415628349118203</v>
      </c>
      <c r="AV47" s="1">
        <f t="shared" si="26"/>
        <v>90</v>
      </c>
      <c r="AW47" s="133">
        <f t="shared" si="27"/>
        <v>88.743718759183267</v>
      </c>
    </row>
    <row r="48" spans="17:49" x14ac:dyDescent="0.25">
      <c r="Q48">
        <v>41</v>
      </c>
      <c r="R48" s="132">
        <f t="shared" si="0"/>
        <v>18</v>
      </c>
      <c r="S48" s="1">
        <f t="shared" si="30"/>
        <v>5</v>
      </c>
      <c r="T48" s="1">
        <f t="shared" si="31"/>
        <v>11.41</v>
      </c>
      <c r="U48" s="133">
        <f t="shared" si="11"/>
        <v>7.8878177037686239</v>
      </c>
      <c r="V48" s="132">
        <f>IF(Calculations!$B$17=3,2,IF((S48*R48/T48)&lt;((T48*(1-(T48/R48)))/(2*Lm*fsw)),1,2))</f>
        <v>2</v>
      </c>
      <c r="W48" s="1">
        <f t="shared" si="12"/>
        <v>0.36611111111111105</v>
      </c>
      <c r="X48" s="133">
        <f t="shared" si="3"/>
        <v>0.63388888888888895</v>
      </c>
      <c r="Y48" s="132">
        <f t="shared" si="4"/>
        <v>1.6709311111111109</v>
      </c>
      <c r="Z48" s="1">
        <f t="shared" si="13"/>
        <v>8.7232832593241802</v>
      </c>
      <c r="AA48" s="1">
        <f t="shared" si="14"/>
        <v>7.9025524795932638</v>
      </c>
      <c r="AB48" s="1">
        <v>0</v>
      </c>
      <c r="AC48" s="1">
        <f t="shared" si="15"/>
        <v>5.1833778624962292</v>
      </c>
      <c r="AD48" s="133">
        <f t="shared" si="16"/>
        <v>5.1833778624962292</v>
      </c>
      <c r="AE48" s="132">
        <f t="shared" si="28"/>
        <v>2.8878177037686235</v>
      </c>
      <c r="AF48" s="1">
        <f t="shared" si="17"/>
        <v>4.7816066117703233</v>
      </c>
      <c r="AG48" s="1">
        <f t="shared" si="5"/>
        <v>2.2863761789725674E-2</v>
      </c>
      <c r="AH48" s="1">
        <f t="shared" si="18"/>
        <v>0.29334458965843846</v>
      </c>
      <c r="AI48" s="133">
        <f t="shared" si="19"/>
        <v>0.31620835144816412</v>
      </c>
      <c r="AJ48" s="132">
        <f t="shared" si="20"/>
        <v>5</v>
      </c>
      <c r="AK48" s="1">
        <f t="shared" si="21"/>
        <v>6.291786225151009</v>
      </c>
      <c r="AL48" s="1">
        <f t="shared" si="6"/>
        <v>3.9586573902999987E-2</v>
      </c>
      <c r="AM48" s="1">
        <f t="shared" si="22"/>
        <v>0.15510000000000004</v>
      </c>
      <c r="AN48" s="136">
        <f t="shared" si="29"/>
        <v>0.13957253214918688</v>
      </c>
      <c r="AO48" s="133">
        <f t="shared" si="23"/>
        <v>0.33425910605218689</v>
      </c>
      <c r="AP48" s="132">
        <f t="shared" si="7"/>
        <v>0.24980134277090257</v>
      </c>
      <c r="AQ48" s="137">
        <f t="shared" si="8"/>
        <v>5.1833778624962292</v>
      </c>
      <c r="AR48" s="137">
        <f t="shared" si="9"/>
        <v>4.583525835648182E-2</v>
      </c>
      <c r="AS48" s="1">
        <f t="shared" si="10"/>
        <v>3.7999999999999999E-2</v>
      </c>
      <c r="AT48" s="133">
        <f t="shared" si="24"/>
        <v>4.564E-2</v>
      </c>
      <c r="AU48" s="132">
        <f t="shared" si="25"/>
        <v>11.396499783620193</v>
      </c>
      <c r="AV48" s="1">
        <f t="shared" si="26"/>
        <v>90</v>
      </c>
      <c r="AW48" s="133">
        <f t="shared" si="27"/>
        <v>88.76046036308918</v>
      </c>
    </row>
    <row r="49" spans="17:49" x14ac:dyDescent="0.25">
      <c r="Q49">
        <v>42</v>
      </c>
      <c r="R49" s="132">
        <f t="shared" si="0"/>
        <v>18</v>
      </c>
      <c r="S49" s="1">
        <f t="shared" si="30"/>
        <v>5</v>
      </c>
      <c r="T49" s="1">
        <f t="shared" si="31"/>
        <v>11.42</v>
      </c>
      <c r="U49" s="133">
        <f t="shared" si="11"/>
        <v>7.8809106830122593</v>
      </c>
      <c r="V49" s="132">
        <f>IF(Calculations!$B$17=3,2,IF((S49*R49/T49)&lt;((T49*(1-(T49/R49)))/(2*Lm*fsw)),1,2))</f>
        <v>2</v>
      </c>
      <c r="W49" s="1">
        <f t="shared" si="12"/>
        <v>0.36555555555555552</v>
      </c>
      <c r="X49" s="133">
        <f t="shared" si="3"/>
        <v>0.63444444444444448</v>
      </c>
      <c r="Y49" s="132">
        <f t="shared" si="4"/>
        <v>1.6698577777777774</v>
      </c>
      <c r="Z49" s="1">
        <f t="shared" si="13"/>
        <v>8.7158395719011477</v>
      </c>
      <c r="AA49" s="1">
        <f t="shared" si="14"/>
        <v>7.8956394258761904</v>
      </c>
      <c r="AB49" s="1">
        <v>0</v>
      </c>
      <c r="AC49" s="1">
        <f t="shared" si="15"/>
        <v>5.1743131213063913</v>
      </c>
      <c r="AD49" s="133">
        <f t="shared" si="16"/>
        <v>5.1743131213063913</v>
      </c>
      <c r="AE49" s="132">
        <f t="shared" si="28"/>
        <v>2.8809106830122588</v>
      </c>
      <c r="AF49" s="1">
        <f t="shared" si="17"/>
        <v>4.7737975937396717</v>
      </c>
      <c r="AG49" s="1">
        <f t="shared" si="5"/>
        <v>2.2789143465994682E-2</v>
      </c>
      <c r="AH49" s="1">
        <f t="shared" si="18"/>
        <v>0.29308772049061149</v>
      </c>
      <c r="AI49" s="133">
        <f t="shared" si="19"/>
        <v>0.31587686395660619</v>
      </c>
      <c r="AJ49" s="132">
        <f t="shared" si="20"/>
        <v>5</v>
      </c>
      <c r="AK49" s="1">
        <f t="shared" si="21"/>
        <v>6.2890363711347561</v>
      </c>
      <c r="AL49" s="1">
        <f t="shared" si="6"/>
        <v>3.9551978477455819E-2</v>
      </c>
      <c r="AM49" s="1">
        <f t="shared" si="22"/>
        <v>0.15510000000000004</v>
      </c>
      <c r="AN49" s="136">
        <f t="shared" si="29"/>
        <v>0.13945343315041836</v>
      </c>
      <c r="AO49" s="133">
        <f t="shared" si="23"/>
        <v>0.33410541162787422</v>
      </c>
      <c r="AP49" s="132">
        <f t="shared" si="7"/>
        <v>0.24936448777380199</v>
      </c>
      <c r="AQ49" s="137">
        <f t="shared" si="8"/>
        <v>5.1743131213063913</v>
      </c>
      <c r="AR49" s="137">
        <f t="shared" si="9"/>
        <v>4.5767451077938892E-2</v>
      </c>
      <c r="AS49" s="1">
        <f t="shared" si="10"/>
        <v>3.7999999999999999E-2</v>
      </c>
      <c r="AT49" s="133">
        <f t="shared" si="24"/>
        <v>4.5679999999999998E-2</v>
      </c>
      <c r="AU49" s="132">
        <f t="shared" si="25"/>
        <v>11.377420457049006</v>
      </c>
      <c r="AV49" s="1">
        <f t="shared" si="26"/>
        <v>90</v>
      </c>
      <c r="AW49" s="133">
        <f t="shared" si="27"/>
        <v>88.777165165817848</v>
      </c>
    </row>
    <row r="50" spans="17:49" x14ac:dyDescent="0.25">
      <c r="Q50">
        <v>43</v>
      </c>
      <c r="R50" s="132">
        <f t="shared" si="0"/>
        <v>18</v>
      </c>
      <c r="S50" s="1">
        <f t="shared" si="30"/>
        <v>5</v>
      </c>
      <c r="T50" s="1">
        <f t="shared" si="31"/>
        <v>11.43</v>
      </c>
      <c r="U50" s="133">
        <f t="shared" si="11"/>
        <v>7.8740157480314963</v>
      </c>
      <c r="V50" s="132">
        <f>IF(Calculations!$B$17=3,2,IF((S50*R50/T50)&lt;((T50*(1-(T50/R50)))/(2*Lm*fsw)),1,2))</f>
        <v>2</v>
      </c>
      <c r="W50" s="1">
        <f t="shared" si="12"/>
        <v>0.36499999999999999</v>
      </c>
      <c r="X50" s="133">
        <f t="shared" si="3"/>
        <v>0.63500000000000001</v>
      </c>
      <c r="Y50" s="132">
        <f t="shared" si="4"/>
        <v>1.6687799999999999</v>
      </c>
      <c r="Z50" s="1">
        <f t="shared" si="13"/>
        <v>8.7084057480314954</v>
      </c>
      <c r="AA50" s="1">
        <f t="shared" si="14"/>
        <v>7.8887383586317528</v>
      </c>
      <c r="AB50" s="1">
        <v>0</v>
      </c>
      <c r="AC50" s="1">
        <f t="shared" si="15"/>
        <v>5.1652720099486844</v>
      </c>
      <c r="AD50" s="133">
        <f t="shared" si="16"/>
        <v>5.1652720099486844</v>
      </c>
      <c r="AE50" s="132">
        <f t="shared" si="28"/>
        <v>2.8740157480314963</v>
      </c>
      <c r="AF50" s="1">
        <f t="shared" si="17"/>
        <v>4.7659994130503218</v>
      </c>
      <c r="AG50" s="1">
        <f t="shared" si="5"/>
        <v>2.2714750405196011E-2</v>
      </c>
      <c r="AH50" s="1">
        <f t="shared" si="18"/>
        <v>0.29283130078764513</v>
      </c>
      <c r="AI50" s="133">
        <f t="shared" si="19"/>
        <v>0.31554605119284113</v>
      </c>
      <c r="AJ50" s="132">
        <f t="shared" si="20"/>
        <v>5</v>
      </c>
      <c r="AK50" s="1">
        <f t="shared" si="21"/>
        <v>6.2862900414912426</v>
      </c>
      <c r="AL50" s="1">
        <f t="shared" si="6"/>
        <v>3.9517442485751973E-2</v>
      </c>
      <c r="AM50" s="1">
        <f t="shared" si="22"/>
        <v>0.15510000000000004</v>
      </c>
      <c r="AN50" s="136">
        <f t="shared" si="29"/>
        <v>0.13933449196850392</v>
      </c>
      <c r="AO50" s="133">
        <f t="shared" si="23"/>
        <v>0.33395193445425597</v>
      </c>
      <c r="AP50" s="132">
        <f t="shared" si="7"/>
        <v>0.24892877156379201</v>
      </c>
      <c r="AQ50" s="137">
        <f t="shared" si="8"/>
        <v>5.1652720099486844</v>
      </c>
      <c r="AR50" s="137">
        <f t="shared" si="9"/>
        <v>4.56994201875425E-2</v>
      </c>
      <c r="AS50" s="1">
        <f t="shared" si="10"/>
        <v>3.7999999999999999E-2</v>
      </c>
      <c r="AT50" s="133">
        <f t="shared" si="24"/>
        <v>4.5719999999999997E-2</v>
      </c>
      <c r="AU50" s="132">
        <f t="shared" si="25"/>
        <v>11.358390197295801</v>
      </c>
      <c r="AV50" s="1">
        <f t="shared" si="26"/>
        <v>90</v>
      </c>
      <c r="AW50" s="133">
        <f t="shared" si="27"/>
        <v>88.793833273016162</v>
      </c>
    </row>
    <row r="51" spans="17:49" x14ac:dyDescent="0.25">
      <c r="Q51">
        <v>44</v>
      </c>
      <c r="R51" s="132">
        <f t="shared" si="0"/>
        <v>18</v>
      </c>
      <c r="S51" s="1">
        <f t="shared" si="30"/>
        <v>5</v>
      </c>
      <c r="T51" s="1">
        <f t="shared" si="31"/>
        <v>11.44</v>
      </c>
      <c r="U51" s="133">
        <f t="shared" si="11"/>
        <v>7.8671328671328675</v>
      </c>
      <c r="V51" s="132">
        <f>IF(Calculations!$B$17=3,2,IF((S51*R51/T51)&lt;((T51*(1-(T51/R51)))/(2*Lm*fsw)),1,2))</f>
        <v>2</v>
      </c>
      <c r="W51" s="1">
        <f t="shared" si="12"/>
        <v>0.36444444444444446</v>
      </c>
      <c r="X51" s="133">
        <f t="shared" si="3"/>
        <v>0.63555555555555554</v>
      </c>
      <c r="Y51" s="132">
        <f t="shared" si="4"/>
        <v>1.6676977777777779</v>
      </c>
      <c r="Z51" s="1">
        <f t="shared" si="13"/>
        <v>8.7009817560217559</v>
      </c>
      <c r="AA51" s="1">
        <f t="shared" si="14"/>
        <v>7.8818492461449647</v>
      </c>
      <c r="AB51" s="1">
        <v>0</v>
      </c>
      <c r="AC51" s="1">
        <f t="shared" si="15"/>
        <v>5.1562544457333441</v>
      </c>
      <c r="AD51" s="133">
        <f t="shared" si="16"/>
        <v>5.1562544457333441</v>
      </c>
      <c r="AE51" s="132">
        <f t="shared" si="28"/>
        <v>2.8671328671328675</v>
      </c>
      <c r="AF51" s="1">
        <f t="shared" si="17"/>
        <v>4.7582120349720478</v>
      </c>
      <c r="AG51" s="1">
        <f t="shared" si="5"/>
        <v>2.2640581769752834E-2</v>
      </c>
      <c r="AH51" s="1">
        <f t="shared" si="18"/>
        <v>0.29257532937087277</v>
      </c>
      <c r="AI51" s="133">
        <f t="shared" si="19"/>
        <v>0.31521591114062558</v>
      </c>
      <c r="AJ51" s="132">
        <f t="shared" si="20"/>
        <v>5</v>
      </c>
      <c r="AK51" s="1">
        <f t="shared" si="21"/>
        <v>6.2835472282145783</v>
      </c>
      <c r="AL51" s="1">
        <f t="shared" si="6"/>
        <v>3.9482965769203113E-2</v>
      </c>
      <c r="AM51" s="1">
        <f t="shared" si="22"/>
        <v>0.15510000000000004</v>
      </c>
      <c r="AN51" s="136">
        <f t="shared" si="29"/>
        <v>0.13921570809634809</v>
      </c>
      <c r="AO51" s="133">
        <f t="shared" si="23"/>
        <v>0.33379867386555123</v>
      </c>
      <c r="AP51" s="132">
        <f t="shared" si="7"/>
        <v>0.2484941901558238</v>
      </c>
      <c r="AQ51" s="137">
        <f t="shared" si="8"/>
        <v>5.1562544457333441</v>
      </c>
      <c r="AR51" s="137">
        <f t="shared" si="9"/>
        <v>4.5631166382621172E-2</v>
      </c>
      <c r="AS51" s="1">
        <f t="shared" si="10"/>
        <v>3.7999999999999999E-2</v>
      </c>
      <c r="AT51" s="133">
        <f t="shared" si="24"/>
        <v>4.5760000000000002E-2</v>
      </c>
      <c r="AU51" s="132">
        <f t="shared" si="25"/>
        <v>11.33940883301131</v>
      </c>
      <c r="AV51" s="1">
        <f t="shared" si="26"/>
        <v>90</v>
      </c>
      <c r="AW51" s="133">
        <f t="shared" si="27"/>
        <v>88.810464789964811</v>
      </c>
    </row>
    <row r="52" spans="17:49" x14ac:dyDescent="0.25">
      <c r="Q52">
        <v>45</v>
      </c>
      <c r="R52" s="132">
        <f t="shared" si="0"/>
        <v>18</v>
      </c>
      <c r="S52" s="1">
        <f t="shared" si="30"/>
        <v>5</v>
      </c>
      <c r="T52" s="1">
        <f t="shared" si="31"/>
        <v>11.45</v>
      </c>
      <c r="U52" s="133">
        <f t="shared" si="11"/>
        <v>7.860262008733625</v>
      </c>
      <c r="V52" s="132">
        <f>IF(Calculations!$B$17=3,2,IF((S52*R52/T52)&lt;((T52*(1-(T52/R52)))/(2*Lm*fsw)),1,2))</f>
        <v>2</v>
      </c>
      <c r="W52" s="1">
        <f t="shared" si="12"/>
        <v>0.36388888888888893</v>
      </c>
      <c r="X52" s="133">
        <f t="shared" si="3"/>
        <v>0.63611111111111107</v>
      </c>
      <c r="Y52" s="132">
        <f t="shared" si="4"/>
        <v>1.666611111111111</v>
      </c>
      <c r="Z52" s="1">
        <f t="shared" si="13"/>
        <v>8.6935675642891805</v>
      </c>
      <c r="AA52" s="1">
        <f t="shared" si="14"/>
        <v>7.8749720568127151</v>
      </c>
      <c r="AB52" s="1">
        <v>0</v>
      </c>
      <c r="AC52" s="1">
        <f t="shared" si="15"/>
        <v>5.1472603463332307</v>
      </c>
      <c r="AD52" s="133">
        <f t="shared" si="16"/>
        <v>5.1472603463332307</v>
      </c>
      <c r="AE52" s="132">
        <f t="shared" si="28"/>
        <v>2.860262008733625</v>
      </c>
      <c r="AF52" s="1">
        <f t="shared" si="17"/>
        <v>4.7504354248733884</v>
      </c>
      <c r="AG52" s="1">
        <f t="shared" si="5"/>
        <v>2.2566636725892011E-2</v>
      </c>
      <c r="AH52" s="1">
        <f t="shared" si="18"/>
        <v>0.29231980506574534</v>
      </c>
      <c r="AI52" s="133">
        <f t="shared" si="19"/>
        <v>0.31488644179163733</v>
      </c>
      <c r="AJ52" s="132">
        <f t="shared" si="20"/>
        <v>5</v>
      </c>
      <c r="AK52" s="1">
        <f t="shared" si="21"/>
        <v>6.2808079233239633</v>
      </c>
      <c r="AL52" s="1">
        <f t="shared" si="6"/>
        <v>3.9448548169689075E-2</v>
      </c>
      <c r="AM52" s="1">
        <f t="shared" si="22"/>
        <v>0.15510000000000004</v>
      </c>
      <c r="AN52" s="136">
        <f t="shared" si="29"/>
        <v>0.13909708102862689</v>
      </c>
      <c r="AO52" s="133">
        <f t="shared" si="23"/>
        <v>0.33364562919831597</v>
      </c>
      <c r="AP52" s="132">
        <f t="shared" si="7"/>
        <v>0.24806073958232436</v>
      </c>
      <c r="AQ52" s="137">
        <f t="shared" si="8"/>
        <v>5.1472603463332307</v>
      </c>
      <c r="AR52" s="137">
        <f t="shared" si="9"/>
        <v>4.5562690363140528E-2</v>
      </c>
      <c r="AS52" s="1">
        <f t="shared" si="10"/>
        <v>3.7999999999999999E-2</v>
      </c>
      <c r="AT52" s="133">
        <f t="shared" si="24"/>
        <v>4.58E-2</v>
      </c>
      <c r="AU52" s="132">
        <f t="shared" si="25"/>
        <v>11.320476193601881</v>
      </c>
      <c r="AV52" s="1">
        <f t="shared" si="26"/>
        <v>90</v>
      </c>
      <c r="AW52" s="133">
        <f t="shared" si="27"/>
        <v>88.827059821579553</v>
      </c>
    </row>
    <row r="53" spans="17:49" x14ac:dyDescent="0.25">
      <c r="Q53">
        <v>46</v>
      </c>
      <c r="R53" s="132">
        <f t="shared" si="0"/>
        <v>18</v>
      </c>
      <c r="S53" s="1">
        <f t="shared" si="30"/>
        <v>5</v>
      </c>
      <c r="T53" s="1">
        <f t="shared" si="31"/>
        <v>11.46</v>
      </c>
      <c r="U53" s="133">
        <f t="shared" si="11"/>
        <v>7.8534031413612562</v>
      </c>
      <c r="V53" s="132">
        <f>IF(Calculations!$B$17=3,2,IF((S53*R53/T53)&lt;((T53*(1-(T53/R53)))/(2*Lm*fsw)),1,2))</f>
        <v>2</v>
      </c>
      <c r="W53" s="1">
        <f t="shared" si="12"/>
        <v>0.36333333333333329</v>
      </c>
      <c r="X53" s="133">
        <f t="shared" si="3"/>
        <v>0.63666666666666671</v>
      </c>
      <c r="Y53" s="132">
        <f t="shared" si="4"/>
        <v>1.6655200000000001</v>
      </c>
      <c r="Z53" s="1">
        <f t="shared" si="13"/>
        <v>8.6861631413612557</v>
      </c>
      <c r="AA53" s="1">
        <f t="shared" si="14"/>
        <v>7.8681067591432807</v>
      </c>
      <c r="AB53" s="1">
        <v>0</v>
      </c>
      <c r="AC53" s="1">
        <f t="shared" si="15"/>
        <v>5.1382896297819229</v>
      </c>
      <c r="AD53" s="133">
        <f t="shared" si="16"/>
        <v>5.1382896297819229</v>
      </c>
      <c r="AE53" s="132">
        <f t="shared" si="28"/>
        <v>2.8534031413612562</v>
      </c>
      <c r="AF53" s="1">
        <f t="shared" si="17"/>
        <v>4.7426695482210937</v>
      </c>
      <c r="AG53" s="1">
        <f t="shared" si="5"/>
        <v>2.2492914443623672E-2</v>
      </c>
      <c r="AH53" s="1">
        <f t="shared" si="18"/>
        <v>0.29206472670181355</v>
      </c>
      <c r="AI53" s="133">
        <f t="shared" si="19"/>
        <v>0.31455764114543722</v>
      </c>
      <c r="AJ53" s="132">
        <f t="shared" si="20"/>
        <v>5</v>
      </c>
      <c r="AK53" s="1">
        <f t="shared" si="21"/>
        <v>6.2780721188636006</v>
      </c>
      <c r="AL53" s="1">
        <f t="shared" si="6"/>
        <v>3.9414189529652498E-2</v>
      </c>
      <c r="AM53" s="1">
        <f t="shared" si="22"/>
        <v>0.15510000000000004</v>
      </c>
      <c r="AN53" s="136">
        <f t="shared" si="29"/>
        <v>0.1389786102617801</v>
      </c>
      <c r="AO53" s="133">
        <f t="shared" si="23"/>
        <v>0.33349279979143265</v>
      </c>
      <c r="AP53" s="132">
        <f t="shared" si="7"/>
        <v>0.24762841589310472</v>
      </c>
      <c r="AQ53" s="137">
        <f t="shared" si="8"/>
        <v>5.1382896297819229</v>
      </c>
      <c r="AR53" s="137">
        <f t="shared" si="9"/>
        <v>4.5493992831700622E-2</v>
      </c>
      <c r="AS53" s="1">
        <f t="shared" si="10"/>
        <v>3.7999999999999999E-2</v>
      </c>
      <c r="AT53" s="133">
        <f t="shared" si="24"/>
        <v>4.5840000000000006E-2</v>
      </c>
      <c r="AU53" s="132">
        <f t="shared" si="25"/>
        <v>11.30159210922552</v>
      </c>
      <c r="AV53" s="1">
        <f t="shared" si="26"/>
        <v>90</v>
      </c>
      <c r="AW53" s="133">
        <f t="shared" si="27"/>
        <v>88.843618472412643</v>
      </c>
    </row>
    <row r="54" spans="17:49" x14ac:dyDescent="0.25">
      <c r="Q54">
        <v>47</v>
      </c>
      <c r="R54" s="132">
        <f t="shared" si="0"/>
        <v>18</v>
      </c>
      <c r="S54" s="1">
        <f t="shared" si="30"/>
        <v>5</v>
      </c>
      <c r="T54" s="1">
        <f t="shared" si="31"/>
        <v>11.47</v>
      </c>
      <c r="U54" s="133">
        <f t="shared" si="11"/>
        <v>7.8465562336530077</v>
      </c>
      <c r="V54" s="132">
        <f>IF(Calculations!$B$17=3,2,IF((S54*R54/T54)&lt;((T54*(1-(T54/R54)))/(2*Lm*fsw)),1,2))</f>
        <v>2</v>
      </c>
      <c r="W54" s="1">
        <f t="shared" si="12"/>
        <v>0.36277777777777775</v>
      </c>
      <c r="X54" s="133">
        <f t="shared" si="3"/>
        <v>0.63722222222222225</v>
      </c>
      <c r="Y54" s="132">
        <f t="shared" si="4"/>
        <v>1.6644244444444443</v>
      </c>
      <c r="Z54" s="1">
        <f t="shared" si="13"/>
        <v>8.6787684558752289</v>
      </c>
      <c r="AA54" s="1">
        <f t="shared" si="14"/>
        <v>7.8612533217558616</v>
      </c>
      <c r="AB54" s="1">
        <v>0</v>
      </c>
      <c r="AC54" s="1">
        <f t="shared" si="15"/>
        <v>5.1293422144718583</v>
      </c>
      <c r="AD54" s="133">
        <f t="shared" si="16"/>
        <v>5.1293422144718583</v>
      </c>
      <c r="AE54" s="132">
        <f t="shared" si="28"/>
        <v>2.8465562336530077</v>
      </c>
      <c r="AF54" s="1">
        <f t="shared" si="17"/>
        <v>4.7349143705795811</v>
      </c>
      <c r="AG54" s="1">
        <f t="shared" si="5"/>
        <v>2.2419414096721033E-2</v>
      </c>
      <c r="AH54" s="1">
        <f t="shared" si="18"/>
        <v>0.29181009311270995</v>
      </c>
      <c r="AI54" s="133">
        <f t="shared" si="19"/>
        <v>0.31422950720943099</v>
      </c>
      <c r="AJ54" s="132">
        <f t="shared" si="20"/>
        <v>5</v>
      </c>
      <c r="AK54" s="1">
        <f t="shared" si="21"/>
        <v>6.2753398069026129</v>
      </c>
      <c r="AL54" s="1">
        <f t="shared" si="6"/>
        <v>3.9379889692096527E-2</v>
      </c>
      <c r="AM54" s="1">
        <f t="shared" si="22"/>
        <v>0.15510000000000004</v>
      </c>
      <c r="AN54" s="136">
        <f t="shared" si="29"/>
        <v>0.13886029529400368</v>
      </c>
      <c r="AO54" s="133">
        <f t="shared" si="23"/>
        <v>0.33334018498610024</v>
      </c>
      <c r="AP54" s="132">
        <f t="shared" si="7"/>
        <v>0.24719721515527027</v>
      </c>
      <c r="AQ54" s="137">
        <f t="shared" si="8"/>
        <v>5.1293422144718583</v>
      </c>
      <c r="AR54" s="137">
        <f t="shared" si="9"/>
        <v>4.5425074493532037E-2</v>
      </c>
      <c r="AS54" s="1">
        <f t="shared" si="10"/>
        <v>3.7999999999999999E-2</v>
      </c>
      <c r="AT54" s="133">
        <f t="shared" si="24"/>
        <v>4.5880000000000004E-2</v>
      </c>
      <c r="AU54" s="132">
        <f t="shared" si="25"/>
        <v>11.28275641078805</v>
      </c>
      <c r="AV54" s="1">
        <f t="shared" si="26"/>
        <v>90</v>
      </c>
      <c r="AW54" s="133">
        <f t="shared" si="27"/>
        <v>88.860140846654247</v>
      </c>
    </row>
    <row r="55" spans="17:49" x14ac:dyDescent="0.25">
      <c r="Q55">
        <v>48</v>
      </c>
      <c r="R55" s="132">
        <f t="shared" si="0"/>
        <v>18</v>
      </c>
      <c r="S55" s="1">
        <f t="shared" si="30"/>
        <v>5</v>
      </c>
      <c r="T55" s="1">
        <f t="shared" si="31"/>
        <v>11.48</v>
      </c>
      <c r="U55" s="133">
        <f t="shared" si="11"/>
        <v>7.8397212543554007</v>
      </c>
      <c r="V55" s="132">
        <f>IF(Calculations!$B$17=3,2,IF((S55*R55/T55)&lt;((T55*(1-(T55/R55)))/(2*Lm*fsw)),1,2))</f>
        <v>2</v>
      </c>
      <c r="W55" s="1">
        <f t="shared" si="12"/>
        <v>0.36222222222222222</v>
      </c>
      <c r="X55" s="133">
        <f t="shared" si="3"/>
        <v>0.63777777777777778</v>
      </c>
      <c r="Y55" s="132">
        <f t="shared" si="4"/>
        <v>1.6633244444444444</v>
      </c>
      <c r="Z55" s="1">
        <f t="shared" si="13"/>
        <v>8.6713834765776223</v>
      </c>
      <c r="AA55" s="1">
        <f t="shared" si="14"/>
        <v>7.8544117133800899</v>
      </c>
      <c r="AB55" s="1">
        <v>0</v>
      </c>
      <c r="AC55" s="1">
        <f t="shared" si="15"/>
        <v>5.120418019152436</v>
      </c>
      <c r="AD55" s="133">
        <f t="shared" si="16"/>
        <v>5.120418019152436</v>
      </c>
      <c r="AE55" s="132">
        <f t="shared" si="28"/>
        <v>2.8397212543554007</v>
      </c>
      <c r="AF55" s="1">
        <f t="shared" si="17"/>
        <v>4.7271698576103702</v>
      </c>
      <c r="AG55" s="1">
        <f t="shared" si="5"/>
        <v>2.2346134862700047E-2</v>
      </c>
      <c r="AH55" s="1">
        <f t="shared" si="18"/>
        <v>0.291555903136131</v>
      </c>
      <c r="AI55" s="133">
        <f t="shared" si="19"/>
        <v>0.31390203799883104</v>
      </c>
      <c r="AJ55" s="132">
        <f t="shared" si="20"/>
        <v>5</v>
      </c>
      <c r="AK55" s="1">
        <f t="shared" si="21"/>
        <v>6.2726109795349414</v>
      </c>
      <c r="AL55" s="1">
        <f t="shared" si="6"/>
        <v>3.9345648500582302E-2</v>
      </c>
      <c r="AM55" s="1">
        <f t="shared" si="22"/>
        <v>0.15510000000000004</v>
      </c>
      <c r="AN55" s="136">
        <f t="shared" si="29"/>
        <v>0.13874213562524196</v>
      </c>
      <c r="AO55" s="133">
        <f t="shared" si="23"/>
        <v>0.33318778412582428</v>
      </c>
      <c r="AP55" s="132">
        <f t="shared" si="7"/>
        <v>0.24676713345312945</v>
      </c>
      <c r="AQ55" s="137">
        <f t="shared" si="8"/>
        <v>5.120418019152436</v>
      </c>
      <c r="AR55" s="137">
        <f t="shared" si="9"/>
        <v>4.5355936056493525E-2</v>
      </c>
      <c r="AS55" s="1">
        <f t="shared" si="10"/>
        <v>3.7999999999999999E-2</v>
      </c>
      <c r="AT55" s="133">
        <f t="shared" si="24"/>
        <v>4.5920000000000002E-2</v>
      </c>
      <c r="AU55" s="132">
        <f t="shared" si="25"/>
        <v>11.26396892993915</v>
      </c>
      <c r="AV55" s="1">
        <f t="shared" si="26"/>
        <v>90</v>
      </c>
      <c r="AW55" s="133">
        <f t="shared" si="27"/>
        <v>88.876627048133699</v>
      </c>
    </row>
    <row r="56" spans="17:49" x14ac:dyDescent="0.25">
      <c r="Q56">
        <v>49</v>
      </c>
      <c r="R56" s="132">
        <f t="shared" si="0"/>
        <v>18</v>
      </c>
      <c r="S56" s="1">
        <f t="shared" si="30"/>
        <v>5</v>
      </c>
      <c r="T56" s="1">
        <f t="shared" si="31"/>
        <v>11.49</v>
      </c>
      <c r="U56" s="133">
        <f t="shared" si="11"/>
        <v>7.8328981723237598</v>
      </c>
      <c r="V56" s="132">
        <f>IF(Calculations!$B$17=3,2,IF((S56*R56/T56)&lt;((T56*(1-(T56/R56)))/(2*Lm*fsw)),1,2))</f>
        <v>2</v>
      </c>
      <c r="W56" s="1">
        <f t="shared" si="12"/>
        <v>0.36166666666666669</v>
      </c>
      <c r="X56" s="133">
        <f t="shared" si="3"/>
        <v>0.63833333333333331</v>
      </c>
      <c r="Y56" s="132">
        <f t="shared" si="4"/>
        <v>1.6622200000000003</v>
      </c>
      <c r="Z56" s="1">
        <f t="shared" si="13"/>
        <v>8.6640081723237596</v>
      </c>
      <c r="AA56" s="1">
        <f t="shared" si="14"/>
        <v>7.8475819028555689</v>
      </c>
      <c r="AB56" s="1">
        <v>0</v>
      </c>
      <c r="AC56" s="1">
        <f t="shared" si="15"/>
        <v>5.1115169629281771</v>
      </c>
      <c r="AD56" s="133">
        <f t="shared" si="16"/>
        <v>5.1115169629281771</v>
      </c>
      <c r="AE56" s="132">
        <f t="shared" si="28"/>
        <v>2.8328981723237598</v>
      </c>
      <c r="AF56" s="1">
        <f t="shared" si="17"/>
        <v>4.7194359750715433</v>
      </c>
      <c r="AG56" s="1">
        <f t="shared" si="5"/>
        <v>2.2273075922799489E-2</v>
      </c>
      <c r="AH56" s="1">
        <f t="shared" si="18"/>
        <v>0.29130215561381928</v>
      </c>
      <c r="AI56" s="133">
        <f t="shared" si="19"/>
        <v>0.31357523153661876</v>
      </c>
      <c r="AJ56" s="132">
        <f t="shared" si="20"/>
        <v>5</v>
      </c>
      <c r="AK56" s="1">
        <f t="shared" si="21"/>
        <v>6.2698856288792655</v>
      </c>
      <c r="AL56" s="1">
        <f t="shared" si="6"/>
        <v>3.9311465799226744E-2</v>
      </c>
      <c r="AM56" s="1">
        <f t="shared" si="22"/>
        <v>0.15510000000000004</v>
      </c>
      <c r="AN56" s="136">
        <f t="shared" si="29"/>
        <v>0.13862413075718016</v>
      </c>
      <c r="AO56" s="133">
        <f t="shared" si="23"/>
        <v>0.33303559655640697</v>
      </c>
      <c r="AP56" s="132">
        <f t="shared" si="7"/>
        <v>0.24633816688810492</v>
      </c>
      <c r="AQ56" s="137">
        <f t="shared" si="8"/>
        <v>5.1115169629281771</v>
      </c>
      <c r="AR56" s="137">
        <f t="shared" si="9"/>
        <v>4.528657823106854E-2</v>
      </c>
      <c r="AS56" s="1">
        <f t="shared" si="10"/>
        <v>3.7999999999999999E-2</v>
      </c>
      <c r="AT56" s="133">
        <f t="shared" si="24"/>
        <v>4.5960000000000001E-2</v>
      </c>
      <c r="AU56" s="132">
        <f t="shared" si="25"/>
        <v>11.245229499068556</v>
      </c>
      <c r="AV56" s="1">
        <f t="shared" si="26"/>
        <v>90</v>
      </c>
      <c r="AW56" s="133">
        <f t="shared" si="27"/>
        <v>88.893077180320873</v>
      </c>
    </row>
    <row r="57" spans="17:49" x14ac:dyDescent="0.25">
      <c r="Q57">
        <v>50</v>
      </c>
      <c r="R57" s="132">
        <f t="shared" si="0"/>
        <v>18</v>
      </c>
      <c r="S57" s="1">
        <f t="shared" si="30"/>
        <v>5</v>
      </c>
      <c r="T57" s="1">
        <f t="shared" si="31"/>
        <v>11.5</v>
      </c>
      <c r="U57" s="133">
        <f t="shared" si="11"/>
        <v>7.8260869565217392</v>
      </c>
      <c r="V57" s="132">
        <f>IF(Calculations!$B$17=3,2,IF((S57*R57/T57)&lt;((T57*(1-(T57/R57)))/(2*Lm*fsw)),1,2))</f>
        <v>2</v>
      </c>
      <c r="W57" s="1">
        <f t="shared" si="12"/>
        <v>0.36111111111111116</v>
      </c>
      <c r="X57" s="133">
        <f t="shared" si="3"/>
        <v>0.63888888888888884</v>
      </c>
      <c r="Y57" s="132">
        <f t="shared" si="4"/>
        <v>1.6611111111111114</v>
      </c>
      <c r="Z57" s="1">
        <f t="shared" si="13"/>
        <v>8.6566425120772941</v>
      </c>
      <c r="AA57" s="1">
        <f t="shared" si="14"/>
        <v>7.840763859131398</v>
      </c>
      <c r="AB57" s="1">
        <v>0</v>
      </c>
      <c r="AC57" s="1">
        <f t="shared" si="15"/>
        <v>5.1026389652568716</v>
      </c>
      <c r="AD57" s="133">
        <f t="shared" si="16"/>
        <v>5.1026389652568716</v>
      </c>
      <c r="AE57" s="132">
        <f t="shared" si="28"/>
        <v>2.8260869565217397</v>
      </c>
      <c r="AF57" s="1">
        <f t="shared" si="17"/>
        <v>4.7117126888171939</v>
      </c>
      <c r="AG57" s="1">
        <f t="shared" si="5"/>
        <v>2.220023646196095E-2</v>
      </c>
      <c r="AH57" s="1">
        <f t="shared" si="18"/>
        <v>0.2910488493915464</v>
      </c>
      <c r="AI57" s="133">
        <f t="shared" si="19"/>
        <v>0.31324908585350736</v>
      </c>
      <c r="AJ57" s="132">
        <f t="shared" si="20"/>
        <v>5</v>
      </c>
      <c r="AK57" s="1">
        <f t="shared" si="21"/>
        <v>6.2671637470789072</v>
      </c>
      <c r="AL57" s="1">
        <f t="shared" si="6"/>
        <v>3.9277341432700126E-2</v>
      </c>
      <c r="AM57" s="1">
        <f t="shared" si="22"/>
        <v>0.15510000000000004</v>
      </c>
      <c r="AN57" s="136">
        <f t="shared" si="29"/>
        <v>0.13850628019323671</v>
      </c>
      <c r="AO57" s="133">
        <f t="shared" si="23"/>
        <v>0.33288362162593688</v>
      </c>
      <c r="AP57" s="132">
        <f t="shared" si="7"/>
        <v>0.24591031157864437</v>
      </c>
      <c r="AQ57" s="137">
        <f t="shared" si="8"/>
        <v>5.1026389652568716</v>
      </c>
      <c r="AR57" s="137">
        <f t="shared" si="9"/>
        <v>4.5217001730361785E-2</v>
      </c>
      <c r="AS57" s="1">
        <f t="shared" si="10"/>
        <v>3.7999999999999999E-2</v>
      </c>
      <c r="AT57" s="133">
        <f t="shared" si="24"/>
        <v>4.5999999999999999E-2</v>
      </c>
      <c r="AU57" s="132">
        <f t="shared" si="25"/>
        <v>11.226537951302195</v>
      </c>
      <c r="AV57" s="1">
        <f t="shared" si="26"/>
        <v>90</v>
      </c>
      <c r="AW57" s="133">
        <f t="shared" si="27"/>
        <v>88.909491346327556</v>
      </c>
    </row>
    <row r="58" spans="17:49" x14ac:dyDescent="0.25">
      <c r="Q58">
        <v>51</v>
      </c>
      <c r="R58" s="132">
        <f t="shared" si="0"/>
        <v>18</v>
      </c>
      <c r="S58" s="1">
        <f t="shared" si="30"/>
        <v>5</v>
      </c>
      <c r="T58" s="1">
        <f t="shared" si="31"/>
        <v>11.51</v>
      </c>
      <c r="U58" s="133">
        <f t="shared" si="11"/>
        <v>7.8192875760208516</v>
      </c>
      <c r="V58" s="132">
        <f>IF(Calculations!$B$17=3,2,IF((S58*R58/T58)&lt;((T58*(1-(T58/R58)))/(2*Lm*fsw)),1,2))</f>
        <v>2</v>
      </c>
      <c r="W58" s="1">
        <f t="shared" si="12"/>
        <v>0.36055555555555552</v>
      </c>
      <c r="X58" s="133">
        <f t="shared" si="3"/>
        <v>0.63944444444444448</v>
      </c>
      <c r="Y58" s="132">
        <f t="shared" si="4"/>
        <v>1.6599977777777777</v>
      </c>
      <c r="Z58" s="1">
        <f t="shared" si="13"/>
        <v>8.649286464909741</v>
      </c>
      <c r="AA58" s="1">
        <f t="shared" si="14"/>
        <v>7.8339575512657058</v>
      </c>
      <c r="AB58" s="1">
        <v>0</v>
      </c>
      <c r="AC58" s="1">
        <f t="shared" si="15"/>
        <v>5.0937839459477372</v>
      </c>
      <c r="AD58" s="133">
        <f t="shared" si="16"/>
        <v>5.0937839459477372</v>
      </c>
      <c r="AE58" s="132">
        <f t="shared" si="28"/>
        <v>2.8192875760208511</v>
      </c>
      <c r="AF58" s="1">
        <f t="shared" si="17"/>
        <v>4.7039999647968864</v>
      </c>
      <c r="AG58" s="1">
        <f t="shared" si="5"/>
        <v>2.2127615668809112E-2</v>
      </c>
      <c r="AH58" s="1">
        <f t="shared" si="18"/>
        <v>0.29079598331909501</v>
      </c>
      <c r="AI58" s="133">
        <f t="shared" si="19"/>
        <v>0.31292359898790412</v>
      </c>
      <c r="AJ58" s="132">
        <f t="shared" si="20"/>
        <v>5</v>
      </c>
      <c r="AK58" s="1">
        <f t="shared" si="21"/>
        <v>6.2644453263017521</v>
      </c>
      <c r="AL58" s="1">
        <f t="shared" si="6"/>
        <v>3.9243275246223869E-2</v>
      </c>
      <c r="AM58" s="1">
        <f t="shared" si="22"/>
        <v>0.15510000000000004</v>
      </c>
      <c r="AN58" s="136">
        <f t="shared" si="29"/>
        <v>0.13838858343855587</v>
      </c>
      <c r="AO58" s="133">
        <f t="shared" si="23"/>
        <v>0.33273185868477978</v>
      </c>
      <c r="AP58" s="132">
        <f t="shared" si="7"/>
        <v>0.24548356366013191</v>
      </c>
      <c r="AQ58" s="137">
        <f t="shared" si="8"/>
        <v>5.0937839459477372</v>
      </c>
      <c r="AR58" s="137">
        <f t="shared" si="9"/>
        <v>4.5147207270096669E-2</v>
      </c>
      <c r="AS58" s="1">
        <f t="shared" si="10"/>
        <v>3.7999999999999999E-2</v>
      </c>
      <c r="AT58" s="133">
        <f t="shared" si="24"/>
        <v>4.6039999999999998E-2</v>
      </c>
      <c r="AU58" s="132">
        <f t="shared" si="25"/>
        <v>11.207894120498386</v>
      </c>
      <c r="AV58" s="1">
        <f t="shared" si="26"/>
        <v>90</v>
      </c>
      <c r="AW58" s="133">
        <f t="shared" si="27"/>
        <v>88.925869648908773</v>
      </c>
    </row>
    <row r="59" spans="17:49" x14ac:dyDescent="0.25">
      <c r="Q59">
        <v>52</v>
      </c>
      <c r="R59" s="132">
        <f t="shared" si="0"/>
        <v>18</v>
      </c>
      <c r="S59" s="1">
        <f t="shared" si="30"/>
        <v>5</v>
      </c>
      <c r="T59" s="1">
        <f t="shared" si="31"/>
        <v>11.52</v>
      </c>
      <c r="U59" s="133">
        <f t="shared" si="11"/>
        <v>7.8125</v>
      </c>
      <c r="V59" s="132">
        <f>IF(Calculations!$B$17=3,2,IF((S59*R59/T59)&lt;((T59*(1-(T59/R59)))/(2*Lm*fsw)),1,2))</f>
        <v>2</v>
      </c>
      <c r="W59" s="1">
        <f t="shared" si="12"/>
        <v>0.36</v>
      </c>
      <c r="X59" s="133">
        <f t="shared" si="3"/>
        <v>0.64</v>
      </c>
      <c r="Y59" s="132">
        <f t="shared" si="4"/>
        <v>1.6588799999999999</v>
      </c>
      <c r="Z59" s="1">
        <f t="shared" si="13"/>
        <v>8.64194</v>
      </c>
      <c r="AA59" s="1">
        <f t="shared" si="14"/>
        <v>7.8271629484251823</v>
      </c>
      <c r="AB59" s="1">
        <v>0</v>
      </c>
      <c r="AC59" s="1">
        <f t="shared" si="15"/>
        <v>5.0849518251595995</v>
      </c>
      <c r="AD59" s="133">
        <f t="shared" si="16"/>
        <v>5.0849518251595995</v>
      </c>
      <c r="AE59" s="132">
        <f t="shared" si="28"/>
        <v>2.8125</v>
      </c>
      <c r="AF59" s="1">
        <f t="shared" si="17"/>
        <v>4.6962977690551098</v>
      </c>
      <c r="AG59" s="1">
        <f t="shared" si="5"/>
        <v>2.2055212735632001E-2</v>
      </c>
      <c r="AH59" s="1">
        <f t="shared" si="18"/>
        <v>0.29054355625024164</v>
      </c>
      <c r="AI59" s="133">
        <f t="shared" si="19"/>
        <v>0.31259876898587363</v>
      </c>
      <c r="AJ59" s="132">
        <f t="shared" si="20"/>
        <v>5</v>
      </c>
      <c r="AK59" s="1">
        <f t="shared" si="21"/>
        <v>6.2617303587401461</v>
      </c>
      <c r="AL59" s="1">
        <f t="shared" si="6"/>
        <v>3.9209267085568003E-2</v>
      </c>
      <c r="AM59" s="1">
        <f t="shared" si="22"/>
        <v>0.15510000000000004</v>
      </c>
      <c r="AN59" s="136">
        <f t="shared" si="29"/>
        <v>0.13827104000000001</v>
      </c>
      <c r="AO59" s="133">
        <f t="shared" si="23"/>
        <v>0.33258030708556807</v>
      </c>
      <c r="AP59" s="132">
        <f t="shared" si="7"/>
        <v>0.24505791928479997</v>
      </c>
      <c r="AQ59" s="137">
        <f t="shared" si="8"/>
        <v>5.0849518251595995</v>
      </c>
      <c r="AR59" s="137">
        <f t="shared" si="9"/>
        <v>4.5077195568611728E-2</v>
      </c>
      <c r="AS59" s="1">
        <f t="shared" si="10"/>
        <v>3.7999999999999999E-2</v>
      </c>
      <c r="AT59" s="133">
        <f t="shared" si="24"/>
        <v>4.6079999999999996E-2</v>
      </c>
      <c r="AU59" s="132">
        <f t="shared" si="25"/>
        <v>11.189297841244052</v>
      </c>
      <c r="AV59" s="1">
        <f t="shared" si="26"/>
        <v>90</v>
      </c>
      <c r="AW59" s="133">
        <f t="shared" si="27"/>
        <v>88.942212190464105</v>
      </c>
    </row>
    <row r="60" spans="17:49" x14ac:dyDescent="0.25">
      <c r="Q60">
        <v>53</v>
      </c>
      <c r="R60" s="132">
        <f t="shared" si="0"/>
        <v>18</v>
      </c>
      <c r="S60" s="1">
        <f t="shared" si="30"/>
        <v>5</v>
      </c>
      <c r="T60" s="1">
        <f t="shared" si="31"/>
        <v>11.53</v>
      </c>
      <c r="U60" s="133">
        <f t="shared" si="11"/>
        <v>7.8057241977450138</v>
      </c>
      <c r="V60" s="132">
        <f>IF(Calculations!$B$17=3,2,IF((S60*R60/T60)&lt;((T60*(1-(T60/R60)))/(2*Lm*fsw)),1,2))</f>
        <v>2</v>
      </c>
      <c r="W60" s="1">
        <f t="shared" si="12"/>
        <v>0.35944444444444446</v>
      </c>
      <c r="X60" s="133">
        <f t="shared" si="3"/>
        <v>0.64055555555555554</v>
      </c>
      <c r="Y60" s="132">
        <f t="shared" si="4"/>
        <v>1.6577577777777777</v>
      </c>
      <c r="Z60" s="1">
        <f t="shared" si="13"/>
        <v>8.6346030866339021</v>
      </c>
      <c r="AA60" s="1">
        <f t="shared" si="14"/>
        <v>7.8203800198846221</v>
      </c>
      <c r="AB60" s="1">
        <v>0</v>
      </c>
      <c r="AC60" s="1">
        <f t="shared" si="15"/>
        <v>5.0761425233990805</v>
      </c>
      <c r="AD60" s="133">
        <f t="shared" si="16"/>
        <v>5.0761425233990805</v>
      </c>
      <c r="AE60" s="132">
        <f t="shared" si="28"/>
        <v>2.8057241977450134</v>
      </c>
      <c r="AF60" s="1">
        <f t="shared" si="17"/>
        <v>4.6886060677307357</v>
      </c>
      <c r="AG60" s="1">
        <f t="shared" si="5"/>
        <v>2.1983026858361475E-2</v>
      </c>
      <c r="AH60" s="1">
        <f t="shared" si="18"/>
        <v>0.29029156704273928</v>
      </c>
      <c r="AI60" s="133">
        <f t="shared" si="19"/>
        <v>0.31227459390110074</v>
      </c>
      <c r="AJ60" s="132">
        <f t="shared" si="20"/>
        <v>5</v>
      </c>
      <c r="AK60" s="1">
        <f t="shared" si="21"/>
        <v>6.2590188366108244</v>
      </c>
      <c r="AL60" s="1">
        <f t="shared" si="6"/>
        <v>3.9175316797049123E-2</v>
      </c>
      <c r="AM60" s="1">
        <f t="shared" si="22"/>
        <v>0.15510000000000004</v>
      </c>
      <c r="AN60" s="136">
        <f t="shared" si="29"/>
        <v>0.13815364938614244</v>
      </c>
      <c r="AO60" s="133">
        <f t="shared" si="23"/>
        <v>0.33242896618319162</v>
      </c>
      <c r="AP60" s="132">
        <f t="shared" si="7"/>
        <v>0.24463337462164242</v>
      </c>
      <c r="AQ60" s="137">
        <f t="shared" si="8"/>
        <v>5.0761425233990805</v>
      </c>
      <c r="AR60" s="137">
        <f t="shared" si="9"/>
        <v>4.5006967346857281E-2</v>
      </c>
      <c r="AS60" s="1">
        <f t="shared" si="10"/>
        <v>3.7999999999999999E-2</v>
      </c>
      <c r="AT60" s="133">
        <f t="shared" si="24"/>
        <v>4.6120000000000001E-2</v>
      </c>
      <c r="AU60" s="132">
        <f t="shared" si="25"/>
        <v>11.170748948850953</v>
      </c>
      <c r="AV60" s="1">
        <f t="shared" si="26"/>
        <v>90</v>
      </c>
      <c r="AW60" s="133">
        <f t="shared" si="27"/>
        <v>88.958519073039028</v>
      </c>
    </row>
    <row r="61" spans="17:49" x14ac:dyDescent="0.25">
      <c r="Q61">
        <v>54</v>
      </c>
      <c r="R61" s="132">
        <f t="shared" si="0"/>
        <v>18</v>
      </c>
      <c r="S61" s="1">
        <f t="shared" si="30"/>
        <v>5</v>
      </c>
      <c r="T61" s="1">
        <f t="shared" si="31"/>
        <v>11.54</v>
      </c>
      <c r="U61" s="133">
        <f t="shared" si="11"/>
        <v>7.7989601386481811</v>
      </c>
      <c r="V61" s="132">
        <f>IF(Calculations!$B$17=3,2,IF((S61*R61/T61)&lt;((T61*(1-(T61/R61)))/(2*Lm*fsw)),1,2))</f>
        <v>2</v>
      </c>
      <c r="W61" s="1">
        <f t="shared" si="12"/>
        <v>0.35888888888888892</v>
      </c>
      <c r="X61" s="133">
        <f t="shared" si="3"/>
        <v>0.64111111111111108</v>
      </c>
      <c r="Y61" s="132">
        <f t="shared" si="4"/>
        <v>1.6566311111111112</v>
      </c>
      <c r="Z61" s="1">
        <f t="shared" si="13"/>
        <v>8.6272756942037372</v>
      </c>
      <c r="AA61" s="1">
        <f t="shared" si="14"/>
        <v>7.8136087350264534</v>
      </c>
      <c r="AB61" s="1">
        <v>0</v>
      </c>
      <c r="AC61" s="1">
        <f t="shared" si="15"/>
        <v>5.0673559615187811</v>
      </c>
      <c r="AD61" s="133">
        <f t="shared" si="16"/>
        <v>5.0673559615187811</v>
      </c>
      <c r="AE61" s="132">
        <f t="shared" si="28"/>
        <v>2.7989601386481806</v>
      </c>
      <c r="AF61" s="1">
        <f t="shared" si="17"/>
        <v>4.6809248270564838</v>
      </c>
      <c r="AG61" s="1">
        <f t="shared" si="5"/>
        <v>2.1911057236553774E-2</v>
      </c>
      <c r="AH61" s="1">
        <f t="shared" si="18"/>
        <v>0.29004001455830014</v>
      </c>
      <c r="AI61" s="133">
        <f t="shared" si="19"/>
        <v>0.31195107179485393</v>
      </c>
      <c r="AJ61" s="132">
        <f t="shared" si="20"/>
        <v>5</v>
      </c>
      <c r="AK61" s="1">
        <f t="shared" si="21"/>
        <v>6.256310752154814</v>
      </c>
      <c r="AL61" s="1">
        <f t="shared" si="6"/>
        <v>3.9141424227527935E-2</v>
      </c>
      <c r="AM61" s="1">
        <f t="shared" si="22"/>
        <v>0.15510000000000004</v>
      </c>
      <c r="AN61" s="136">
        <f t="shared" si="29"/>
        <v>0.13803641110725981</v>
      </c>
      <c r="AO61" s="133">
        <f t="shared" si="23"/>
        <v>0.33227783533478783</v>
      </c>
      <c r="AP61" s="132">
        <f t="shared" si="7"/>
        <v>0.24420992585632678</v>
      </c>
      <c r="AQ61" s="137">
        <f t="shared" si="8"/>
        <v>5.0673559615187811</v>
      </c>
      <c r="AR61" s="137">
        <f t="shared" si="9"/>
        <v>4.4936523328392486E-2</v>
      </c>
      <c r="AS61" s="1">
        <f t="shared" si="10"/>
        <v>3.7999999999999999E-2</v>
      </c>
      <c r="AT61" s="133">
        <f t="shared" si="24"/>
        <v>4.616E-2</v>
      </c>
      <c r="AU61" s="132">
        <f t="shared" si="25"/>
        <v>11.152247279351922</v>
      </c>
      <c r="AV61" s="1">
        <f t="shared" si="26"/>
        <v>90</v>
      </c>
      <c r="AW61" s="133">
        <f t="shared" si="27"/>
        <v>88.974790398326206</v>
      </c>
    </row>
    <row r="62" spans="17:49" x14ac:dyDescent="0.25">
      <c r="Q62">
        <v>55</v>
      </c>
      <c r="R62" s="132">
        <f t="shared" si="0"/>
        <v>18</v>
      </c>
      <c r="S62" s="1">
        <f t="shared" si="30"/>
        <v>5</v>
      </c>
      <c r="T62" s="1">
        <f t="shared" si="31"/>
        <v>11.55</v>
      </c>
      <c r="U62" s="133">
        <f t="shared" si="11"/>
        <v>7.7922077922077921</v>
      </c>
      <c r="V62" s="132">
        <f>IF(Calculations!$B$17=3,2,IF((S62*R62/T62)&lt;((T62*(1-(T62/R62)))/(2*Lm*fsw)),1,2))</f>
        <v>2</v>
      </c>
      <c r="W62" s="1">
        <f t="shared" si="12"/>
        <v>0.35833333333333328</v>
      </c>
      <c r="X62" s="133">
        <f t="shared" si="3"/>
        <v>0.64166666666666672</v>
      </c>
      <c r="Y62" s="132">
        <f t="shared" si="4"/>
        <v>1.6555</v>
      </c>
      <c r="Z62" s="1">
        <f t="shared" si="13"/>
        <v>8.6199577922077921</v>
      </c>
      <c r="AA62" s="1">
        <f t="shared" si="14"/>
        <v>7.8068490633402901</v>
      </c>
      <c r="AB62" s="1">
        <v>0</v>
      </c>
      <c r="AC62" s="1">
        <f t="shared" si="15"/>
        <v>5.0585920607155046</v>
      </c>
      <c r="AD62" s="133">
        <f t="shared" si="16"/>
        <v>5.0585920607155046</v>
      </c>
      <c r="AE62" s="132">
        <f t="shared" si="28"/>
        <v>2.7922077922077917</v>
      </c>
      <c r="AF62" s="1">
        <f t="shared" si="17"/>
        <v>4.673254013358374</v>
      </c>
      <c r="AG62" s="1">
        <f t="shared" si="5"/>
        <v>2.1839303073370151E-2</v>
      </c>
      <c r="AH62" s="1">
        <f t="shared" si="18"/>
        <v>0.28978889766257865</v>
      </c>
      <c r="AI62" s="133">
        <f t="shared" si="19"/>
        <v>0.31162820073594882</v>
      </c>
      <c r="AJ62" s="132">
        <f t="shared" si="20"/>
        <v>5</v>
      </c>
      <c r="AK62" s="1">
        <f t="shared" si="21"/>
        <v>6.2536060976373484</v>
      </c>
      <c r="AL62" s="1">
        <f t="shared" si="6"/>
        <v>3.9107589224407033E-2</v>
      </c>
      <c r="AM62" s="1">
        <f t="shared" si="22"/>
        <v>0.15510000000000004</v>
      </c>
      <c r="AN62" s="136">
        <f t="shared" si="29"/>
        <v>0.13791932467532467</v>
      </c>
      <c r="AO62" s="133">
        <f t="shared" si="23"/>
        <v>0.3321269138997317</v>
      </c>
      <c r="AP62" s="132">
        <f t="shared" si="7"/>
        <v>0.24378756919110864</v>
      </c>
      <c r="AQ62" s="137">
        <f t="shared" si="8"/>
        <v>5.0585920607155046</v>
      </c>
      <c r="AR62" s="137">
        <f t="shared" si="9"/>
        <v>4.4865864239382026E-2</v>
      </c>
      <c r="AS62" s="1">
        <f t="shared" si="10"/>
        <v>3.7999999999999999E-2</v>
      </c>
      <c r="AT62" s="133">
        <f t="shared" si="24"/>
        <v>4.6200000000000005E-2</v>
      </c>
      <c r="AU62" s="132">
        <f t="shared" si="25"/>
        <v>11.133792669497181</v>
      </c>
      <c r="AV62" s="1">
        <f t="shared" si="26"/>
        <v>90</v>
      </c>
      <c r="AW62" s="133">
        <f t="shared" si="27"/>
        <v>88.991026267666882</v>
      </c>
    </row>
    <row r="63" spans="17:49" x14ac:dyDescent="0.25">
      <c r="Q63">
        <v>56</v>
      </c>
      <c r="R63" s="132">
        <f t="shared" si="0"/>
        <v>18</v>
      </c>
      <c r="S63" s="1">
        <f t="shared" si="30"/>
        <v>5</v>
      </c>
      <c r="T63" s="1">
        <f t="shared" si="31"/>
        <v>11.56</v>
      </c>
      <c r="U63" s="133">
        <f t="shared" si="11"/>
        <v>7.7854671280276815</v>
      </c>
      <c r="V63" s="132">
        <f>IF(Calculations!$B$17=3,2,IF((S63*R63/T63)&lt;((T63*(1-(T63/R63)))/(2*Lm*fsw)),1,2))</f>
        <v>2</v>
      </c>
      <c r="W63" s="1">
        <f t="shared" si="12"/>
        <v>0.35777777777777775</v>
      </c>
      <c r="X63" s="133">
        <f t="shared" si="3"/>
        <v>0.64222222222222225</v>
      </c>
      <c r="Y63" s="132">
        <f t="shared" si="4"/>
        <v>1.6543644444444443</v>
      </c>
      <c r="Z63" s="1">
        <f t="shared" si="13"/>
        <v>8.6126493502499031</v>
      </c>
      <c r="AA63" s="1">
        <f t="shared" si="14"/>
        <v>7.8001009744224739</v>
      </c>
      <c r="AB63" s="1">
        <v>0</v>
      </c>
      <c r="AC63" s="1">
        <f t="shared" si="15"/>
        <v>5.0498507425284735</v>
      </c>
      <c r="AD63" s="133">
        <f t="shared" si="16"/>
        <v>5.0498507425284735</v>
      </c>
      <c r="AE63" s="132">
        <f t="shared" si="28"/>
        <v>2.7854671280276815</v>
      </c>
      <c r="AF63" s="1">
        <f t="shared" si="17"/>
        <v>4.6655935930552079</v>
      </c>
      <c r="AG63" s="1">
        <f t="shared" si="5"/>
        <v>2.1767763575557805E-2</v>
      </c>
      <c r="AH63" s="1">
        <f t="shared" si="18"/>
        <v>0.28953821522515427</v>
      </c>
      <c r="AI63" s="133">
        <f t="shared" si="19"/>
        <v>0.31130597880071209</v>
      </c>
      <c r="AJ63" s="132">
        <f t="shared" si="20"/>
        <v>5</v>
      </c>
      <c r="AK63" s="1">
        <f t="shared" si="21"/>
        <v>6.2509048653477857</v>
      </c>
      <c r="AL63" s="1">
        <f t="shared" si="6"/>
        <v>3.9073811635628619E-2</v>
      </c>
      <c r="AM63" s="1">
        <f t="shared" si="22"/>
        <v>0.15510000000000004</v>
      </c>
      <c r="AN63" s="136">
        <f t="shared" si="29"/>
        <v>0.13780238960399846</v>
      </c>
      <c r="AO63" s="133">
        <f t="shared" si="23"/>
        <v>0.33197620123962712</v>
      </c>
      <c r="AP63" s="132">
        <f t="shared" si="7"/>
        <v>0.2433663008447457</v>
      </c>
      <c r="AQ63" s="137">
        <f t="shared" si="8"/>
        <v>5.0498507425284735</v>
      </c>
      <c r="AR63" s="137">
        <f t="shared" si="9"/>
        <v>4.47949908085927E-2</v>
      </c>
      <c r="AS63" s="1">
        <f t="shared" si="10"/>
        <v>3.7999999999999999E-2</v>
      </c>
      <c r="AT63" s="133">
        <f t="shared" si="24"/>
        <v>4.6240000000000003E-2</v>
      </c>
      <c r="AU63" s="132">
        <f t="shared" si="25"/>
        <v>11.115384956750624</v>
      </c>
      <c r="AV63" s="1">
        <f t="shared" si="26"/>
        <v>90</v>
      </c>
      <c r="AW63" s="133">
        <f t="shared" si="27"/>
        <v>89.007226782052072</v>
      </c>
    </row>
    <row r="64" spans="17:49" x14ac:dyDescent="0.25">
      <c r="Q64">
        <v>57</v>
      </c>
      <c r="R64" s="132">
        <f t="shared" si="0"/>
        <v>18</v>
      </c>
      <c r="S64" s="1">
        <f t="shared" si="30"/>
        <v>5</v>
      </c>
      <c r="T64" s="1">
        <f t="shared" si="31"/>
        <v>11.57</v>
      </c>
      <c r="U64" s="133">
        <f t="shared" si="11"/>
        <v>7.7787381158167674</v>
      </c>
      <c r="V64" s="132">
        <f>IF(Calculations!$B$17=3,2,IF((S64*R64/T64)&lt;((T64*(1-(T64/R64)))/(2*Lm*fsw)),1,2))</f>
        <v>2</v>
      </c>
      <c r="W64" s="1">
        <f t="shared" si="12"/>
        <v>0.35722222222222222</v>
      </c>
      <c r="X64" s="133">
        <f t="shared" si="3"/>
        <v>0.64277777777777778</v>
      </c>
      <c r="Y64" s="132">
        <f t="shared" si="4"/>
        <v>1.6532244444444444</v>
      </c>
      <c r="Z64" s="1">
        <f t="shared" si="13"/>
        <v>8.6053503380389902</v>
      </c>
      <c r="AA64" s="1">
        <f t="shared" si="14"/>
        <v>7.7933644379756153</v>
      </c>
      <c r="AB64" s="1">
        <v>0</v>
      </c>
      <c r="AC64" s="1">
        <f t="shared" si="15"/>
        <v>5.0411319288375473</v>
      </c>
      <c r="AD64" s="133">
        <f t="shared" si="16"/>
        <v>5.0411319288375473</v>
      </c>
      <c r="AE64" s="132">
        <f t="shared" si="28"/>
        <v>2.7787381158167674</v>
      </c>
      <c r="AF64" s="1">
        <f t="shared" si="17"/>
        <v>4.6579435326580203</v>
      </c>
      <c r="AG64" s="1">
        <f t="shared" si="5"/>
        <v>2.1696437953430677E-2</v>
      </c>
      <c r="AH64" s="1">
        <f t="shared" si="18"/>
        <v>0.28928796611951463</v>
      </c>
      <c r="AI64" s="133">
        <f t="shared" si="19"/>
        <v>0.31098440407294531</v>
      </c>
      <c r="AJ64" s="132">
        <f t="shared" si="20"/>
        <v>5</v>
      </c>
      <c r="AK64" s="1">
        <f t="shared" si="21"/>
        <v>6.2482070475995206</v>
      </c>
      <c r="AL64" s="1">
        <f t="shared" si="6"/>
        <v>3.9040091309672321E-2</v>
      </c>
      <c r="AM64" s="1">
        <f t="shared" si="22"/>
        <v>0.15510000000000004</v>
      </c>
      <c r="AN64" s="136">
        <f t="shared" si="29"/>
        <v>0.13768560540862385</v>
      </c>
      <c r="AO64" s="133">
        <f t="shared" si="23"/>
        <v>0.3318256967182962</v>
      </c>
      <c r="AP64" s="132">
        <f t="shared" si="7"/>
        <v>0.24294611705241193</v>
      </c>
      <c r="AQ64" s="137">
        <f t="shared" si="8"/>
        <v>5.0411319288375473</v>
      </c>
      <c r="AR64" s="137">
        <f t="shared" si="9"/>
        <v>4.4723903767390522E-2</v>
      </c>
      <c r="AS64" s="1">
        <f t="shared" si="10"/>
        <v>3.7999999999999999E-2</v>
      </c>
      <c r="AT64" s="133">
        <f t="shared" si="24"/>
        <v>4.6280000000000002E-2</v>
      </c>
      <c r="AU64" s="132">
        <f t="shared" si="25"/>
        <v>11.097023979286138</v>
      </c>
      <c r="AV64" s="1">
        <f t="shared" si="26"/>
        <v>90</v>
      </c>
      <c r="AW64" s="133">
        <f t="shared" si="27"/>
        <v>89.023392042123987</v>
      </c>
    </row>
    <row r="65" spans="17:49" x14ac:dyDescent="0.25">
      <c r="Q65">
        <v>58</v>
      </c>
      <c r="R65" s="132">
        <f t="shared" si="0"/>
        <v>18</v>
      </c>
      <c r="S65" s="1">
        <f t="shared" si="30"/>
        <v>5</v>
      </c>
      <c r="T65" s="1">
        <f t="shared" si="31"/>
        <v>11.58</v>
      </c>
      <c r="U65" s="133">
        <f t="shared" si="11"/>
        <v>7.7720207253886011</v>
      </c>
      <c r="V65" s="132">
        <f>IF(Calculations!$B$17=3,2,IF((S65*R65/T65)&lt;((T65*(1-(T65/R65)))/(2*Lm*fsw)),1,2))</f>
        <v>2</v>
      </c>
      <c r="W65" s="1">
        <f t="shared" si="12"/>
        <v>0.35666666666666669</v>
      </c>
      <c r="X65" s="133">
        <f t="shared" si="3"/>
        <v>0.64333333333333331</v>
      </c>
      <c r="Y65" s="132">
        <f t="shared" si="4"/>
        <v>1.6520800000000002</v>
      </c>
      <c r="Z65" s="1">
        <f t="shared" si="13"/>
        <v>8.598060725388601</v>
      </c>
      <c r="AA65" s="1">
        <f t="shared" si="14"/>
        <v>7.7866394238081487</v>
      </c>
      <c r="AB65" s="1">
        <v>0</v>
      </c>
      <c r="AC65" s="1">
        <f t="shared" si="15"/>
        <v>5.0324355418614743</v>
      </c>
      <c r="AD65" s="133">
        <f t="shared" si="16"/>
        <v>5.0324355418614743</v>
      </c>
      <c r="AE65" s="132">
        <f t="shared" si="28"/>
        <v>2.7720207253886011</v>
      </c>
      <c r="AF65" s="1">
        <f t="shared" si="17"/>
        <v>4.6503037987695501</v>
      </c>
      <c r="AG65" s="1">
        <f t="shared" si="5"/>
        <v>2.1625325420850508E-2</v>
      </c>
      <c r="AH65" s="1">
        <f t="shared" si="18"/>
        <v>0.28903814922303833</v>
      </c>
      <c r="AI65" s="133">
        <f t="shared" si="19"/>
        <v>0.31066347464388883</v>
      </c>
      <c r="AJ65" s="132">
        <f t="shared" si="20"/>
        <v>5</v>
      </c>
      <c r="AK65" s="1">
        <f t="shared" si="21"/>
        <v>6.2455126367298934</v>
      </c>
      <c r="AL65" s="1">
        <f t="shared" si="6"/>
        <v>3.9006428095552784E-2</v>
      </c>
      <c r="AM65" s="1">
        <f t="shared" si="22"/>
        <v>0.15510000000000004</v>
      </c>
      <c r="AN65" s="136">
        <f t="shared" si="29"/>
        <v>0.13756897160621762</v>
      </c>
      <c r="AO65" s="133">
        <f t="shared" si="23"/>
        <v>0.33167539970177046</v>
      </c>
      <c r="AP65" s="132">
        <f t="shared" si="7"/>
        <v>0.24252701406561319</v>
      </c>
      <c r="AQ65" s="137">
        <f t="shared" si="8"/>
        <v>5.0324355418614743</v>
      </c>
      <c r="AR65" s="137">
        <f t="shared" si="9"/>
        <v>4.4652603849736863E-2</v>
      </c>
      <c r="AS65" s="1">
        <f t="shared" si="10"/>
        <v>3.7999999999999999E-2</v>
      </c>
      <c r="AT65" s="133">
        <f t="shared" si="24"/>
        <v>4.632E-2</v>
      </c>
      <c r="AU65" s="132">
        <f t="shared" si="25"/>
        <v>11.078709575983959</v>
      </c>
      <c r="AV65" s="1">
        <f t="shared" si="26"/>
        <v>90</v>
      </c>
      <c r="AW65" s="133">
        <f t="shared" si="27"/>
        <v>89.039522148177255</v>
      </c>
    </row>
    <row r="66" spans="17:49" x14ac:dyDescent="0.25">
      <c r="Q66">
        <v>59</v>
      </c>
      <c r="R66" s="132">
        <f t="shared" si="0"/>
        <v>18</v>
      </c>
      <c r="S66" s="1">
        <f t="shared" si="30"/>
        <v>5</v>
      </c>
      <c r="T66" s="1">
        <f t="shared" si="31"/>
        <v>11.59</v>
      </c>
      <c r="U66" s="133">
        <f t="shared" si="11"/>
        <v>7.7653149266609143</v>
      </c>
      <c r="V66" s="132">
        <f>IF(Calculations!$B$17=3,2,IF((S66*R66/T66)&lt;((T66*(1-(T66/R66)))/(2*Lm*fsw)),1,2))</f>
        <v>2</v>
      </c>
      <c r="W66" s="1">
        <f t="shared" si="12"/>
        <v>0.35611111111111116</v>
      </c>
      <c r="X66" s="133">
        <f t="shared" si="3"/>
        <v>0.64388888888888884</v>
      </c>
      <c r="Y66" s="132">
        <f t="shared" si="4"/>
        <v>1.6509311111111113</v>
      </c>
      <c r="Z66" s="1">
        <f t="shared" si="13"/>
        <v>8.5907804822164699</v>
      </c>
      <c r="AA66" s="1">
        <f t="shared" si="14"/>
        <v>7.7799259018338782</v>
      </c>
      <c r="AB66" s="1">
        <v>0</v>
      </c>
      <c r="AC66" s="1">
        <f t="shared" si="15"/>
        <v>5.0237615041561323</v>
      </c>
      <c r="AD66" s="133">
        <f t="shared" si="16"/>
        <v>5.0237615041561323</v>
      </c>
      <c r="AE66" s="132">
        <f t="shared" si="28"/>
        <v>2.7653149266609147</v>
      </c>
      <c r="AF66" s="1">
        <f t="shared" si="17"/>
        <v>4.6426743580837151</v>
      </c>
      <c r="AG66" s="1">
        <f t="shared" si="5"/>
        <v>2.1554425195208036E-2</v>
      </c>
      <c r="AH66" s="1">
        <f t="shared" si="18"/>
        <v>0.28878876341697868</v>
      </c>
      <c r="AI66" s="133">
        <f t="shared" si="19"/>
        <v>0.31034318861218674</v>
      </c>
      <c r="AJ66" s="132">
        <f t="shared" si="20"/>
        <v>4.9999999999999991</v>
      </c>
      <c r="AK66" s="1">
        <f t="shared" si="21"/>
        <v>6.242821625100115</v>
      </c>
      <c r="AL66" s="1">
        <f t="shared" si="6"/>
        <v>3.897282184281764E-2</v>
      </c>
      <c r="AM66" s="1">
        <f t="shared" si="22"/>
        <v>0.15510000000000004</v>
      </c>
      <c r="AN66" s="136">
        <f t="shared" si="29"/>
        <v>0.13745248771546353</v>
      </c>
      <c r="AO66" s="133">
        <f t="shared" si="23"/>
        <v>0.33152530955828119</v>
      </c>
      <c r="AP66" s="132">
        <f t="shared" si="7"/>
        <v>0.24210898815210274</v>
      </c>
      <c r="AQ66" s="137">
        <f t="shared" si="8"/>
        <v>5.0237615041561323</v>
      </c>
      <c r="AR66" s="137">
        <f t="shared" si="9"/>
        <v>4.4581091792185515E-2</v>
      </c>
      <c r="AS66" s="1">
        <f t="shared" si="10"/>
        <v>3.7999999999999999E-2</v>
      </c>
      <c r="AT66" s="133">
        <f t="shared" si="24"/>
        <v>4.6359999999999998E-2</v>
      </c>
      <c r="AU66" s="132">
        <f t="shared" si="25"/>
        <v>11.060441586427022</v>
      </c>
      <c r="AV66" s="1">
        <f t="shared" si="26"/>
        <v>90</v>
      </c>
      <c r="AW66" s="133">
        <f t="shared" si="27"/>
        <v>89.055617200160256</v>
      </c>
    </row>
    <row r="67" spans="17:49" x14ac:dyDescent="0.25">
      <c r="Q67">
        <v>60</v>
      </c>
      <c r="R67" s="132">
        <f t="shared" si="0"/>
        <v>18</v>
      </c>
      <c r="S67" s="1">
        <f t="shared" si="30"/>
        <v>5</v>
      </c>
      <c r="T67" s="1">
        <f t="shared" si="31"/>
        <v>11.6</v>
      </c>
      <c r="U67" s="133">
        <f t="shared" si="11"/>
        <v>7.7586206896551726</v>
      </c>
      <c r="V67" s="132">
        <f>IF(Calculations!$B$17=3,2,IF((S67*R67/T67)&lt;((T67*(1-(T67/R67)))/(2*Lm*fsw)),1,2))</f>
        <v>2</v>
      </c>
      <c r="W67" s="1">
        <f t="shared" si="12"/>
        <v>0.35555555555555562</v>
      </c>
      <c r="X67" s="133">
        <f t="shared" si="3"/>
        <v>0.64444444444444438</v>
      </c>
      <c r="Y67" s="132">
        <f t="shared" si="4"/>
        <v>1.649777777777778</v>
      </c>
      <c r="Z67" s="1">
        <f t="shared" si="13"/>
        <v>8.5835095785440618</v>
      </c>
      <c r="AA67" s="1">
        <f t="shared" si="14"/>
        <v>7.7732238420715394</v>
      </c>
      <c r="AB67" s="1">
        <v>0</v>
      </c>
      <c r="AC67" s="1">
        <f t="shared" si="15"/>
        <v>5.0151097386128027</v>
      </c>
      <c r="AD67" s="133">
        <f t="shared" si="16"/>
        <v>5.0151097386128027</v>
      </c>
      <c r="AE67" s="132">
        <f t="shared" si="28"/>
        <v>2.758620689655173</v>
      </c>
      <c r="AF67" s="1">
        <f t="shared" si="17"/>
        <v>4.6350551773850812</v>
      </c>
      <c r="AG67" s="1">
        <f t="shared" si="5"/>
        <v>2.148373649740425E-2</v>
      </c>
      <c r="AH67" s="1">
        <f t="shared" si="18"/>
        <v>0.28853980758644687</v>
      </c>
      <c r="AI67" s="133">
        <f t="shared" si="19"/>
        <v>0.31002354408385113</v>
      </c>
      <c r="AJ67" s="132">
        <f t="shared" si="20"/>
        <v>5</v>
      </c>
      <c r="AK67" s="1">
        <f t="shared" si="21"/>
        <v>6.2401340050951779</v>
      </c>
      <c r="AL67" s="1">
        <f t="shared" si="6"/>
        <v>3.893927240154519E-2</v>
      </c>
      <c r="AM67" s="1">
        <f t="shared" si="22"/>
        <v>0.15510000000000004</v>
      </c>
      <c r="AN67" s="136">
        <f t="shared" si="29"/>
        <v>0.13733615325670498</v>
      </c>
      <c r="AO67" s="133">
        <f t="shared" si="23"/>
        <v>0.33137542565825018</v>
      </c>
      <c r="AP67" s="132">
        <f t="shared" si="7"/>
        <v>0.24169203559579772</v>
      </c>
      <c r="AQ67" s="137">
        <f t="shared" si="8"/>
        <v>5.0151097386128027</v>
      </c>
      <c r="AR67" s="137">
        <f t="shared" si="9"/>
        <v>4.450936833387921E-2</v>
      </c>
      <c r="AS67" s="1">
        <f t="shared" si="10"/>
        <v>3.7999999999999999E-2</v>
      </c>
      <c r="AT67" s="133">
        <f t="shared" si="24"/>
        <v>4.6399999999999997E-2</v>
      </c>
      <c r="AU67" s="132">
        <f t="shared" si="25"/>
        <v>11.042219850897384</v>
      </c>
      <c r="AV67" s="1">
        <f t="shared" si="26"/>
        <v>90</v>
      </c>
      <c r="AW67" s="133">
        <f t="shared" si="27"/>
        <v>89.071677297676359</v>
      </c>
    </row>
    <row r="68" spans="17:49" x14ac:dyDescent="0.25">
      <c r="Q68">
        <v>61</v>
      </c>
      <c r="R68" s="132">
        <f t="shared" si="0"/>
        <v>18</v>
      </c>
      <c r="S68" s="1">
        <f t="shared" si="30"/>
        <v>5</v>
      </c>
      <c r="T68" s="1">
        <f t="shared" si="31"/>
        <v>11.61</v>
      </c>
      <c r="U68" s="133">
        <f t="shared" si="11"/>
        <v>7.7519379844961245</v>
      </c>
      <c r="V68" s="132">
        <f>IF(Calculations!$B$17=3,2,IF((S68*R68/T68)&lt;((T68*(1-(T68/R68)))/(2*Lm*fsw)),1,2))</f>
        <v>2</v>
      </c>
      <c r="W68" s="1">
        <f t="shared" si="12"/>
        <v>0.35499999999999998</v>
      </c>
      <c r="X68" s="133">
        <f t="shared" si="3"/>
        <v>0.64500000000000002</v>
      </c>
      <c r="Y68" s="132">
        <f t="shared" si="4"/>
        <v>1.6486199999999998</v>
      </c>
      <c r="Z68" s="1">
        <f t="shared" si="13"/>
        <v>8.5762479844961241</v>
      </c>
      <c r="AA68" s="1">
        <f t="shared" si="14"/>
        <v>7.7665332146443458</v>
      </c>
      <c r="AB68" s="1">
        <v>0</v>
      </c>
      <c r="AC68" s="1">
        <f t="shared" si="15"/>
        <v>5.0064801684564282</v>
      </c>
      <c r="AD68" s="133">
        <f t="shared" si="16"/>
        <v>5.0064801684564282</v>
      </c>
      <c r="AE68" s="132">
        <f t="shared" si="28"/>
        <v>2.751937984496124</v>
      </c>
      <c r="AF68" s="1">
        <f t="shared" si="17"/>
        <v>4.6274462235483309</v>
      </c>
      <c r="AG68" s="1">
        <f t="shared" si="5"/>
        <v>2.141325855183171E-2</v>
      </c>
      <c r="AH68" s="1">
        <f t="shared" si="18"/>
        <v>0.28829128062039483</v>
      </c>
      <c r="AI68" s="133">
        <f t="shared" si="19"/>
        <v>0.30970453917222651</v>
      </c>
      <c r="AJ68" s="132">
        <f t="shared" si="20"/>
        <v>5</v>
      </c>
      <c r="AK68" s="1">
        <f t="shared" si="21"/>
        <v>6.2374497691237663</v>
      </c>
      <c r="AL68" s="1">
        <f t="shared" si="6"/>
        <v>3.8905779622342124E-2</v>
      </c>
      <c r="AM68" s="1">
        <f t="shared" si="22"/>
        <v>0.15510000000000004</v>
      </c>
      <c r="AN68" s="136">
        <f t="shared" si="29"/>
        <v>0.13721996775193798</v>
      </c>
      <c r="AO68" s="133">
        <f t="shared" si="23"/>
        <v>0.33122574737428012</v>
      </c>
      <c r="AP68" s="132">
        <f t="shared" si="7"/>
        <v>0.24127615269669533</v>
      </c>
      <c r="AQ68" s="137">
        <f t="shared" si="8"/>
        <v>5.0064801684564282</v>
      </c>
      <c r="AR68" s="137">
        <f t="shared" si="9"/>
        <v>4.4437434216546792E-2</v>
      </c>
      <c r="AS68" s="1">
        <f t="shared" si="10"/>
        <v>3.7999999999999999E-2</v>
      </c>
      <c r="AT68" s="133">
        <f t="shared" si="24"/>
        <v>4.6440000000000002E-2</v>
      </c>
      <c r="AU68" s="132">
        <f t="shared" si="25"/>
        <v>11.024044210372605</v>
      </c>
      <c r="AV68" s="1">
        <f t="shared" si="26"/>
        <v>90</v>
      </c>
      <c r="AW68" s="133">
        <f t="shared" si="27"/>
        <v>89.087702539985315</v>
      </c>
    </row>
    <row r="69" spans="17:49" x14ac:dyDescent="0.25">
      <c r="Q69">
        <v>62</v>
      </c>
      <c r="R69" s="132">
        <f t="shared" si="0"/>
        <v>18</v>
      </c>
      <c r="S69" s="1">
        <f t="shared" si="30"/>
        <v>5</v>
      </c>
      <c r="T69" s="1">
        <f t="shared" si="31"/>
        <v>11.62</v>
      </c>
      <c r="U69" s="133">
        <f t="shared" si="11"/>
        <v>7.7452667814113605</v>
      </c>
      <c r="V69" s="132">
        <f>IF(Calculations!$B$17=3,2,IF((S69*R69/T69)&lt;((T69*(1-(T69/R69)))/(2*Lm*fsw)),1,2))</f>
        <v>2</v>
      </c>
      <c r="W69" s="1">
        <f t="shared" si="12"/>
        <v>0.35444444444444445</v>
      </c>
      <c r="X69" s="133">
        <f t="shared" si="3"/>
        <v>0.64555555555555555</v>
      </c>
      <c r="Y69" s="132">
        <f t="shared" si="4"/>
        <v>1.6474577777777779</v>
      </c>
      <c r="Z69" s="1">
        <f t="shared" si="13"/>
        <v>8.5689956703002501</v>
      </c>
      <c r="AA69" s="1">
        <f t="shared" si="14"/>
        <v>7.759853989779554</v>
      </c>
      <c r="AB69" s="1">
        <v>0</v>
      </c>
      <c r="AC69" s="1">
        <f t="shared" si="15"/>
        <v>4.9978727172439061</v>
      </c>
      <c r="AD69" s="133">
        <f t="shared" si="16"/>
        <v>4.9978727172439061</v>
      </c>
      <c r="AE69" s="132">
        <f t="shared" si="28"/>
        <v>2.74526678141136</v>
      </c>
      <c r="AF69" s="1">
        <f t="shared" si="17"/>
        <v>4.6198474635377496</v>
      </c>
      <c r="AG69" s="1">
        <f t="shared" si="5"/>
        <v>2.1342990586356182E-2</v>
      </c>
      <c r="AH69" s="1">
        <f t="shared" si="18"/>
        <v>0.28804318141159935</v>
      </c>
      <c r="AI69" s="133">
        <f t="shared" si="19"/>
        <v>0.30938617199795554</v>
      </c>
      <c r="AJ69" s="132">
        <f t="shared" si="20"/>
        <v>5.0000000000000009</v>
      </c>
      <c r="AK69" s="1">
        <f t="shared" si="21"/>
        <v>6.2347689096181824</v>
      </c>
      <c r="AL69" s="1">
        <f t="shared" si="6"/>
        <v>3.8872343356341502E-2</v>
      </c>
      <c r="AM69" s="1">
        <f t="shared" si="22"/>
        <v>0.15510000000000004</v>
      </c>
      <c r="AN69" s="136">
        <f t="shared" si="29"/>
        <v>0.13710393072480401</v>
      </c>
      <c r="AO69" s="133">
        <f t="shared" si="23"/>
        <v>0.33107627408114559</v>
      </c>
      <c r="AP69" s="132">
        <f t="shared" si="7"/>
        <v>0.24086133577079066</v>
      </c>
      <c r="AQ69" s="137">
        <f t="shared" si="8"/>
        <v>4.9978727172439061</v>
      </c>
      <c r="AR69" s="137">
        <f t="shared" si="9"/>
        <v>4.4365290184498932E-2</v>
      </c>
      <c r="AS69" s="1">
        <f t="shared" si="10"/>
        <v>3.7999999999999999E-2</v>
      </c>
      <c r="AT69" s="133">
        <f t="shared" si="24"/>
        <v>4.648E-2</v>
      </c>
      <c r="AU69" s="132">
        <f t="shared" si="25"/>
        <v>11.005914506522204</v>
      </c>
      <c r="AV69" s="1">
        <f t="shared" si="26"/>
        <v>90</v>
      </c>
      <c r="AW69" s="133">
        <f t="shared" si="27"/>
        <v>89.103693026004407</v>
      </c>
    </row>
    <row r="70" spans="17:49" x14ac:dyDescent="0.25">
      <c r="Q70">
        <v>63</v>
      </c>
      <c r="R70" s="132">
        <f t="shared" si="0"/>
        <v>18</v>
      </c>
      <c r="S70" s="1">
        <f t="shared" si="30"/>
        <v>5</v>
      </c>
      <c r="T70" s="1">
        <f t="shared" si="31"/>
        <v>11.63</v>
      </c>
      <c r="U70" s="133">
        <f t="shared" si="11"/>
        <v>7.7386070507308675</v>
      </c>
      <c r="V70" s="132">
        <f>IF(Calculations!$B$17=3,2,IF((S70*R70/T70)&lt;((T70*(1-(T70/R70)))/(2*Lm*fsw)),1,2))</f>
        <v>2</v>
      </c>
      <c r="W70" s="1">
        <f t="shared" si="12"/>
        <v>0.35388888888888881</v>
      </c>
      <c r="X70" s="133">
        <f t="shared" si="3"/>
        <v>0.64611111111111119</v>
      </c>
      <c r="Y70" s="132">
        <f t="shared" si="4"/>
        <v>1.6462911111111107</v>
      </c>
      <c r="Z70" s="1">
        <f t="shared" si="13"/>
        <v>8.5617526062864222</v>
      </c>
      <c r="AA70" s="1">
        <f t="shared" si="14"/>
        <v>7.7531861378080213</v>
      </c>
      <c r="AB70" s="1">
        <v>0</v>
      </c>
      <c r="AC70" s="1">
        <f t="shared" si="15"/>
        <v>4.989287308862373</v>
      </c>
      <c r="AD70" s="133">
        <f t="shared" si="16"/>
        <v>4.989287308862373</v>
      </c>
      <c r="AE70" s="132">
        <f t="shared" si="28"/>
        <v>2.7386070507308675</v>
      </c>
      <c r="AF70" s="1">
        <f t="shared" si="17"/>
        <v>4.6122588644066864</v>
      </c>
      <c r="AG70" s="1">
        <f t="shared" si="5"/>
        <v>2.1272931832298055E-2</v>
      </c>
      <c r="AH70" s="1">
        <f t="shared" si="18"/>
        <v>0.28779550885664518</v>
      </c>
      <c r="AI70" s="133">
        <f t="shared" si="19"/>
        <v>0.30906844068894324</v>
      </c>
      <c r="AJ70" s="132">
        <f t="shared" si="20"/>
        <v>5</v>
      </c>
      <c r="AK70" s="1">
        <f t="shared" si="21"/>
        <v>6.232091419034254</v>
      </c>
      <c r="AL70" s="1">
        <f t="shared" si="6"/>
        <v>3.8838963455200382E-2</v>
      </c>
      <c r="AM70" s="1">
        <f t="shared" si="22"/>
        <v>0.15510000000000004</v>
      </c>
      <c r="AN70" s="136">
        <f t="shared" si="29"/>
        <v>0.13698804170058276</v>
      </c>
      <c r="AO70" s="133">
        <f t="shared" si="23"/>
        <v>0.33092700515578322</v>
      </c>
      <c r="AP70" s="132">
        <f t="shared" si="7"/>
        <v>0.24044758114999384</v>
      </c>
      <c r="AQ70" s="137">
        <f t="shared" si="8"/>
        <v>4.989287308862373</v>
      </c>
      <c r="AR70" s="137">
        <f t="shared" si="9"/>
        <v>4.4292936984625296E-2</v>
      </c>
      <c r="AS70" s="1">
        <f t="shared" si="10"/>
        <v>3.7999999999999999E-2</v>
      </c>
      <c r="AT70" s="133">
        <f t="shared" si="24"/>
        <v>4.6520000000000006E-2</v>
      </c>
      <c r="AU70" s="132">
        <f t="shared" si="25"/>
        <v>10.987830581704092</v>
      </c>
      <c r="AV70" s="1">
        <f t="shared" si="26"/>
        <v>90</v>
      </c>
      <c r="AW70" s="133">
        <f t="shared" si="27"/>
        <v>89.11964885430983</v>
      </c>
    </row>
    <row r="71" spans="17:49" x14ac:dyDescent="0.25">
      <c r="Q71">
        <v>64</v>
      </c>
      <c r="R71" s="132">
        <f t="shared" ref="R71:R134" si="32">VOUT</f>
        <v>18</v>
      </c>
      <c r="S71" s="1">
        <f t="shared" ref="S71:S102" si="33">IOUT</f>
        <v>5</v>
      </c>
      <c r="T71" s="1">
        <f t="shared" ref="T71:T102" si="34">VIN_MIN+($O$12)*(Q71)</f>
        <v>11.64</v>
      </c>
      <c r="U71" s="133">
        <f t="shared" si="11"/>
        <v>7.731958762886598</v>
      </c>
      <c r="V71" s="132">
        <f>IF(Calculations!$B$17=3,2,IF((S71*R71/T71)&lt;((T71*(1-(T71/R71)))/(2*Lm*fsw)),1,2))</f>
        <v>2</v>
      </c>
      <c r="W71" s="1">
        <f t="shared" si="12"/>
        <v>0.35333333333333328</v>
      </c>
      <c r="X71" s="133">
        <f t="shared" ref="X71:X134" si="35">CHOOSE(V71,(Lm*Z71*fsw)/(R71-T71),1-W71)</f>
        <v>0.64666666666666672</v>
      </c>
      <c r="Y71" s="132">
        <f t="shared" ref="Y71:Y134" si="36">(T71*W71)/(Lm*fsw)</f>
        <v>1.6451199999999997</v>
      </c>
      <c r="Z71" s="1">
        <f t="shared" si="13"/>
        <v>8.5545187628865982</v>
      </c>
      <c r="AA71" s="1">
        <f t="shared" si="14"/>
        <v>7.7465296291637706</v>
      </c>
      <c r="AB71" s="1">
        <v>0</v>
      </c>
      <c r="AC71" s="1">
        <f t="shared" si="15"/>
        <v>4.9807238675275123</v>
      </c>
      <c r="AD71" s="133">
        <f t="shared" si="16"/>
        <v>4.9807238675275123</v>
      </c>
      <c r="AE71" s="132">
        <f t="shared" si="28"/>
        <v>2.7319587628865976</v>
      </c>
      <c r="AF71" s="1">
        <f t="shared" si="17"/>
        <v>4.6046803932970528</v>
      </c>
      <c r="AG71" s="1">
        <f t="shared" ref="AG71:AG134" si="37">(AF71^2)*RDS_on</f>
        <v>2.1203081524414302E-2</v>
      </c>
      <c r="AH71" s="1">
        <f t="shared" si="18"/>
        <v>0.28754826185590926</v>
      </c>
      <c r="AI71" s="133">
        <f t="shared" si="19"/>
        <v>0.30875134338032356</v>
      </c>
      <c r="AJ71" s="132">
        <f t="shared" si="20"/>
        <v>5.0000000000000009</v>
      </c>
      <c r="AK71" s="1">
        <f t="shared" si="21"/>
        <v>6.2294172898512654</v>
      </c>
      <c r="AL71" s="1">
        <f t="shared" ref="AL71:AL134" si="38">(AK71^2)*RDS_on_HS</f>
        <v>3.880563977109789E-2</v>
      </c>
      <c r="AM71" s="1">
        <f t="shared" si="22"/>
        <v>0.15510000000000004</v>
      </c>
      <c r="AN71" s="136">
        <f t="shared" si="29"/>
        <v>0.13687230020618557</v>
      </c>
      <c r="AO71" s="133">
        <f t="shared" si="23"/>
        <v>0.3307779399772835</v>
      </c>
      <c r="AP71" s="132">
        <f t="shared" ref="AP71:AP134" si="39">(AA71^2)*Rcs</f>
        <v>0.24003488518204877</v>
      </c>
      <c r="AQ71" s="137">
        <f t="shared" ref="AQ71:AQ134" si="40">Rdcr*AA71^2</f>
        <v>4.9807238675275123</v>
      </c>
      <c r="AR71" s="137">
        <f t="shared" ref="AR71:AR134" si="41">ABS(7.759*10^-3*fsw^0.9458*(0.00787*Y71)^2.304)</f>
        <v>4.422037536639141E-2</v>
      </c>
      <c r="AS71" s="1">
        <f t="shared" ref="AS71:AS134" si="42">(Qg_tot+Qg_tot_HS)*VCC*fsw</f>
        <v>3.7999999999999999E-2</v>
      </c>
      <c r="AT71" s="133">
        <f t="shared" si="24"/>
        <v>4.6560000000000004E-2</v>
      </c>
      <c r="AU71" s="132">
        <f t="shared" si="25"/>
        <v>10.969792278961071</v>
      </c>
      <c r="AV71" s="1">
        <f t="shared" si="26"/>
        <v>90</v>
      </c>
      <c r="AW71" s="133">
        <f t="shared" si="27"/>
        <v>89.135570123137882</v>
      </c>
    </row>
    <row r="72" spans="17:49" x14ac:dyDescent="0.25">
      <c r="Q72">
        <v>65</v>
      </c>
      <c r="R72" s="132">
        <f t="shared" si="32"/>
        <v>18</v>
      </c>
      <c r="S72" s="1">
        <f t="shared" si="33"/>
        <v>5</v>
      </c>
      <c r="T72" s="1">
        <f t="shared" si="34"/>
        <v>11.65</v>
      </c>
      <c r="U72" s="133">
        <f t="shared" ref="U72:U135" si="43">(R72*S72)/(T72*EFF_est)</f>
        <v>7.7253218884120169</v>
      </c>
      <c r="V72" s="132">
        <f>IF(Calculations!$B$17=3,2,IF((S72*R72/T72)&lt;((T72*(1-(T72/R72)))/(2*Lm*fsw)),1,2))</f>
        <v>2</v>
      </c>
      <c r="W72" s="1">
        <f t="shared" ref="W72:W135" si="44">CHOOSE(V72,SQRT((2*S72*Lm*fsw*(R72-T72))/((T72)^2)),1-(T72/R72))</f>
        <v>0.35277777777777775</v>
      </c>
      <c r="X72" s="133">
        <f t="shared" si="35"/>
        <v>0.64722222222222225</v>
      </c>
      <c r="Y72" s="132">
        <f t="shared" si="36"/>
        <v>1.6439444444444444</v>
      </c>
      <c r="Z72" s="1">
        <f t="shared" ref="Z72:Z135" si="45">CHOOSE(V72,Y72,U72+(0.5*Y72))</f>
        <v>8.5472941106342386</v>
      </c>
      <c r="AA72" s="1">
        <f t="shared" ref="AA72:AA135" si="46">CHOOSE(V72,Z72*SQRT((W72+X72)/3),SQRT((U72^2)+((Y72^2)/12)))</f>
        <v>7.7398844343835522</v>
      </c>
      <c r="AB72" s="1">
        <v>0</v>
      </c>
      <c r="AC72" s="1">
        <f t="shared" ref="AC72:AC135" si="47">(AA72^2)*Rdcr</f>
        <v>4.9721823177818631</v>
      </c>
      <c r="AD72" s="133">
        <f t="shared" ref="AD72:AD135" si="48">AB72+AC72</f>
        <v>4.9721823177818631</v>
      </c>
      <c r="AE72" s="132">
        <f t="shared" si="28"/>
        <v>2.7253218884120169</v>
      </c>
      <c r="AF72" s="1">
        <f t="shared" ref="AF72:AF135" si="49">CHOOSE(V72,Z72*SQRT(W72/3),SQRT(W72*((Z72^2)+((Y72^2)/3)-(Z72*Y72))))</f>
        <v>4.5971120174387821</v>
      </c>
      <c r="AG72" s="1">
        <f t="shared" si="37"/>
        <v>2.1133438900880069E-2</v>
      </c>
      <c r="AH72" s="1">
        <f t="shared" ref="AH72:AH135" si="50">((R72*U72)/2)*fsw*(tr_sw+tf_sw)</f>
        <v>0.28730143931354363</v>
      </c>
      <c r="AI72" s="133">
        <f t="shared" ref="AI72:AI135" si="51">AG72+AH72</f>
        <v>0.30843487821442372</v>
      </c>
      <c r="AJ72" s="132">
        <f t="shared" ref="AJ72:AJ135" si="52">X72*U72</f>
        <v>5</v>
      </c>
      <c r="AK72" s="1">
        <f t="shared" ref="AK72:AK135" si="53">CHOOSE(V72,Z72*SQRT(X72/3),SQRT(X72*((Z72^2)+((Y72^2)/3)-(Y72*Z72))))</f>
        <v>6.226746514571853</v>
      </c>
      <c r="AL72" s="1">
        <f t="shared" si="38"/>
        <v>3.8772372156732723E-2</v>
      </c>
      <c r="AM72" s="1">
        <f t="shared" ref="AM72:AM135" si="54">CHOOSE(V72,(R72+Vd_rect)*Qrr*fsw,(R72+Vd_rect)*Qrr*fsw)</f>
        <v>0.15510000000000004</v>
      </c>
      <c r="AN72" s="136">
        <f t="shared" si="29"/>
        <v>0.13675670577014781</v>
      </c>
      <c r="AO72" s="133">
        <f t="shared" ref="AO72:AO135" si="55">AL72+AM72+AN72</f>
        <v>0.33062907792688057</v>
      </c>
      <c r="AP72" s="132">
        <f t="shared" si="39"/>
        <v>0.2396232442304512</v>
      </c>
      <c r="AQ72" s="137">
        <f t="shared" si="40"/>
        <v>4.9721823177818631</v>
      </c>
      <c r="AR72" s="137">
        <f t="shared" si="41"/>
        <v>4.4147606081834559E-2</v>
      </c>
      <c r="AS72" s="1">
        <f t="shared" si="42"/>
        <v>3.7999999999999999E-2</v>
      </c>
      <c r="AT72" s="133">
        <f t="shared" ref="AT72:AT135" si="56">IQ*T72</f>
        <v>4.6600000000000003E-2</v>
      </c>
      <c r="AU72" s="132">
        <f t="shared" ref="AU72:AU135" si="57">AP72+AO72+AI72+AD72+AS72+AT72+AQ72+AR72</f>
        <v>10.951799442017316</v>
      </c>
      <c r="AV72" s="1">
        <f t="shared" ref="AV72:AV135" si="58">R72*S72</f>
        <v>90</v>
      </c>
      <c r="AW72" s="133">
        <f t="shared" ref="AW72:AW135" si="59">(AV72/(AV72+AU72))*100</f>
        <v>89.151456930386274</v>
      </c>
    </row>
    <row r="73" spans="17:49" x14ac:dyDescent="0.25">
      <c r="Q73">
        <v>66</v>
      </c>
      <c r="R73" s="132">
        <f t="shared" si="32"/>
        <v>18</v>
      </c>
      <c r="S73" s="1">
        <f t="shared" si="33"/>
        <v>5</v>
      </c>
      <c r="T73" s="1">
        <f t="shared" si="34"/>
        <v>11.66</v>
      </c>
      <c r="U73" s="133">
        <f t="shared" si="43"/>
        <v>7.7186963979416809</v>
      </c>
      <c r="V73" s="132">
        <f>IF(Calculations!$B$17=3,2,IF((S73*R73/T73)&lt;((T73*(1-(T73/R73)))/(2*Lm*fsw)),1,2))</f>
        <v>2</v>
      </c>
      <c r="W73" s="1">
        <f t="shared" si="44"/>
        <v>0.35222222222222221</v>
      </c>
      <c r="X73" s="133">
        <f t="shared" si="35"/>
        <v>0.64777777777777779</v>
      </c>
      <c r="Y73" s="132">
        <f t="shared" si="36"/>
        <v>1.6427644444444442</v>
      </c>
      <c r="Z73" s="1">
        <f t="shared" si="45"/>
        <v>8.5400786201639036</v>
      </c>
      <c r="AA73" s="1">
        <f t="shared" si="46"/>
        <v>7.7332505241064133</v>
      </c>
      <c r="AB73" s="1">
        <v>0</v>
      </c>
      <c r="AC73" s="1">
        <f t="shared" si="47"/>
        <v>4.9636625844931466</v>
      </c>
      <c r="AD73" s="133">
        <f t="shared" si="48"/>
        <v>4.9636625844931466</v>
      </c>
      <c r="AE73" s="132">
        <f t="shared" ref="AE73:AE136" si="60">U73*W73</f>
        <v>2.7186963979416809</v>
      </c>
      <c r="AF73" s="1">
        <f t="shared" si="49"/>
        <v>4.5895537041493242</v>
      </c>
      <c r="AG73" s="1">
        <f t="shared" si="37"/>
        <v>2.1064003203270783E-2</v>
      </c>
      <c r="AH73" s="1">
        <f t="shared" si="50"/>
        <v>0.28705504013746003</v>
      </c>
      <c r="AI73" s="133">
        <f t="shared" si="51"/>
        <v>0.30811904334073081</v>
      </c>
      <c r="AJ73" s="132">
        <f t="shared" si="52"/>
        <v>5</v>
      </c>
      <c r="AK73" s="1">
        <f t="shared" si="53"/>
        <v>6.2240790857219466</v>
      </c>
      <c r="AL73" s="1">
        <f t="shared" si="38"/>
        <v>3.8739160465321339E-2</v>
      </c>
      <c r="AM73" s="1">
        <f t="shared" si="54"/>
        <v>0.15510000000000004</v>
      </c>
      <c r="AN73" s="136">
        <f t="shared" ref="AN73:AN136" si="61">Vd_rect*t_dead*fsw*Z73</f>
        <v>0.13664125792262247</v>
      </c>
      <c r="AO73" s="133">
        <f t="shared" si="55"/>
        <v>0.33048041838794384</v>
      </c>
      <c r="AP73" s="132">
        <f t="shared" si="39"/>
        <v>0.23921265467436847</v>
      </c>
      <c r="AQ73" s="137">
        <f t="shared" si="40"/>
        <v>4.9636625844931466</v>
      </c>
      <c r="AR73" s="137">
        <f t="shared" si="41"/>
        <v>4.4074629885561031E-2</v>
      </c>
      <c r="AS73" s="1">
        <f t="shared" si="42"/>
        <v>3.7999999999999999E-2</v>
      </c>
      <c r="AT73" s="133">
        <f t="shared" si="56"/>
        <v>4.6640000000000001E-2</v>
      </c>
      <c r="AU73" s="132">
        <f t="shared" si="57"/>
        <v>10.933851915274897</v>
      </c>
      <c r="AV73" s="1">
        <f t="shared" si="58"/>
        <v>90</v>
      </c>
      <c r="AW73" s="133">
        <f t="shared" si="59"/>
        <v>89.167309373615396</v>
      </c>
    </row>
    <row r="74" spans="17:49" x14ac:dyDescent="0.25">
      <c r="Q74">
        <v>67</v>
      </c>
      <c r="R74" s="132">
        <f t="shared" si="32"/>
        <v>18</v>
      </c>
      <c r="S74" s="1">
        <f t="shared" si="33"/>
        <v>5</v>
      </c>
      <c r="T74" s="1">
        <f t="shared" si="34"/>
        <v>11.67</v>
      </c>
      <c r="U74" s="133">
        <f t="shared" si="43"/>
        <v>7.7120822622107967</v>
      </c>
      <c r="V74" s="132">
        <f>IF(Calculations!$B$17=3,2,IF((S74*R74/T74)&lt;((T74*(1-(T74/R74)))/(2*Lm*fsw)),1,2))</f>
        <v>2</v>
      </c>
      <c r="W74" s="1">
        <f t="shared" si="44"/>
        <v>0.35166666666666668</v>
      </c>
      <c r="X74" s="133">
        <f t="shared" si="35"/>
        <v>0.64833333333333332</v>
      </c>
      <c r="Y74" s="132">
        <f t="shared" si="36"/>
        <v>1.64158</v>
      </c>
      <c r="Z74" s="1">
        <f t="shared" si="45"/>
        <v>8.5328722622107964</v>
      </c>
      <c r="AA74" s="1">
        <f t="shared" si="46"/>
        <v>7.7266278690732699</v>
      </c>
      <c r="AB74" s="1">
        <v>0</v>
      </c>
      <c r="AC74" s="1">
        <f t="shared" si="47"/>
        <v>4.9551645928525989</v>
      </c>
      <c r="AD74" s="133">
        <f t="shared" si="48"/>
        <v>4.9551645928525989</v>
      </c>
      <c r="AE74" s="132">
        <f t="shared" si="60"/>
        <v>2.7120822622107972</v>
      </c>
      <c r="AF74" s="1">
        <f t="shared" si="49"/>
        <v>4.5820054208331245</v>
      </c>
      <c r="AG74" s="1">
        <f t="shared" si="37"/>
        <v>2.0994773676544138E-2</v>
      </c>
      <c r="AH74" s="1">
        <f t="shared" si="50"/>
        <v>0.28680906323931304</v>
      </c>
      <c r="AI74" s="133">
        <f t="shared" si="51"/>
        <v>0.30780383691585717</v>
      </c>
      <c r="AJ74" s="132">
        <f t="shared" si="52"/>
        <v>5</v>
      </c>
      <c r="AK74" s="1">
        <f t="shared" si="53"/>
        <v>6.2214149958506688</v>
      </c>
      <c r="AL74" s="1">
        <f t="shared" si="38"/>
        <v>3.8706004550595578E-2</v>
      </c>
      <c r="AM74" s="1">
        <f t="shared" si="54"/>
        <v>0.15510000000000004</v>
      </c>
      <c r="AN74" s="136">
        <f t="shared" si="61"/>
        <v>0.13652595619537275</v>
      </c>
      <c r="AO74" s="133">
        <f t="shared" si="55"/>
        <v>0.33033196074596838</v>
      </c>
      <c r="AP74" s="132">
        <f t="shared" si="39"/>
        <v>0.23880311290855899</v>
      </c>
      <c r="AQ74" s="137">
        <f t="shared" si="40"/>
        <v>4.9551645928525989</v>
      </c>
      <c r="AR74" s="137">
        <f t="shared" si="41"/>
        <v>4.4001447534742236E-2</v>
      </c>
      <c r="AS74" s="1">
        <f t="shared" si="42"/>
        <v>3.7999999999999999E-2</v>
      </c>
      <c r="AT74" s="133">
        <f t="shared" si="56"/>
        <v>4.6679999999999999E-2</v>
      </c>
      <c r="AU74" s="132">
        <f t="shared" si="57"/>
        <v>10.915949543810324</v>
      </c>
      <c r="AV74" s="1">
        <f t="shared" si="58"/>
        <v>90</v>
      </c>
      <c r="AW74" s="133">
        <f t="shared" si="59"/>
        <v>89.183127550049534</v>
      </c>
    </row>
    <row r="75" spans="17:49" x14ac:dyDescent="0.25">
      <c r="Q75">
        <v>68</v>
      </c>
      <c r="R75" s="132">
        <f t="shared" si="32"/>
        <v>18</v>
      </c>
      <c r="S75" s="1">
        <f t="shared" si="33"/>
        <v>5</v>
      </c>
      <c r="T75" s="1">
        <f t="shared" si="34"/>
        <v>11.68</v>
      </c>
      <c r="U75" s="133">
        <f t="shared" si="43"/>
        <v>7.7054794520547949</v>
      </c>
      <c r="V75" s="132">
        <f>IF(Calculations!$B$17=3,2,IF((S75*R75/T75)&lt;((T75*(1-(T75/R75)))/(2*Lm*fsw)),1,2))</f>
        <v>2</v>
      </c>
      <c r="W75" s="1">
        <f t="shared" si="44"/>
        <v>0.35111111111111115</v>
      </c>
      <c r="X75" s="133">
        <f t="shared" si="35"/>
        <v>0.64888888888888885</v>
      </c>
      <c r="Y75" s="132">
        <f t="shared" si="36"/>
        <v>1.6403911111111114</v>
      </c>
      <c r="Z75" s="1">
        <f t="shared" si="45"/>
        <v>8.5256750076103511</v>
      </c>
      <c r="AA75" s="1">
        <f t="shared" si="46"/>
        <v>7.7200164401264733</v>
      </c>
      <c r="AB75" s="1">
        <v>0</v>
      </c>
      <c r="AC75" s="1">
        <f t="shared" si="47"/>
        <v>4.9466882683733111</v>
      </c>
      <c r="AD75" s="133">
        <f t="shared" si="48"/>
        <v>4.9466882683733111</v>
      </c>
      <c r="AE75" s="132">
        <f t="shared" si="60"/>
        <v>2.7054794520547949</v>
      </c>
      <c r="AF75" s="1">
        <f t="shared" si="49"/>
        <v>4.5744671349811128</v>
      </c>
      <c r="AG75" s="1">
        <f t="shared" si="37"/>
        <v>2.0925749569022312E-2</v>
      </c>
      <c r="AH75" s="1">
        <f t="shared" si="50"/>
        <v>0.2865635075344849</v>
      </c>
      <c r="AI75" s="133">
        <f t="shared" si="51"/>
        <v>0.30748925710350722</v>
      </c>
      <c r="AJ75" s="132">
        <f t="shared" si="52"/>
        <v>5</v>
      </c>
      <c r="AK75" s="1">
        <f t="shared" si="53"/>
        <v>6.2187542375302725</v>
      </c>
      <c r="AL75" s="1">
        <f t="shared" si="38"/>
        <v>3.8672904266800721E-2</v>
      </c>
      <c r="AM75" s="1">
        <f t="shared" si="54"/>
        <v>0.15510000000000004</v>
      </c>
      <c r="AN75" s="136">
        <f t="shared" si="61"/>
        <v>0.13641080012176562</v>
      </c>
      <c r="AO75" s="133">
        <f t="shared" si="55"/>
        <v>0.33018370438856637</v>
      </c>
      <c r="AP75" s="132">
        <f t="shared" si="39"/>
        <v>0.23839461534329209</v>
      </c>
      <c r="AQ75" s="137">
        <f t="shared" si="40"/>
        <v>4.9466882683733111</v>
      </c>
      <c r="AR75" s="137">
        <f t="shared" si="41"/>
        <v>4.3928059789111143E-2</v>
      </c>
      <c r="AS75" s="1">
        <f t="shared" si="42"/>
        <v>3.7999999999999999E-2</v>
      </c>
      <c r="AT75" s="133">
        <f t="shared" si="56"/>
        <v>4.6719999999999998E-2</v>
      </c>
      <c r="AU75" s="132">
        <f t="shared" si="57"/>
        <v>10.898092173371099</v>
      </c>
      <c r="AV75" s="1">
        <f t="shared" si="58"/>
        <v>90</v>
      </c>
      <c r="AW75" s="133">
        <f t="shared" si="59"/>
        <v>89.198911556578167</v>
      </c>
    </row>
    <row r="76" spans="17:49" x14ac:dyDescent="0.25">
      <c r="Q76">
        <v>69</v>
      </c>
      <c r="R76" s="132">
        <f t="shared" si="32"/>
        <v>18</v>
      </c>
      <c r="S76" s="1">
        <f t="shared" si="33"/>
        <v>5</v>
      </c>
      <c r="T76" s="1">
        <f t="shared" si="34"/>
        <v>11.69</v>
      </c>
      <c r="U76" s="133">
        <f t="shared" si="43"/>
        <v>7.6988879384088964</v>
      </c>
      <c r="V76" s="132">
        <f>IF(Calculations!$B$17=3,2,IF((S76*R76/T76)&lt;((T76*(1-(T76/R76)))/(2*Lm*fsw)),1,2))</f>
        <v>2</v>
      </c>
      <c r="W76" s="1">
        <f t="shared" si="44"/>
        <v>0.35055555555555562</v>
      </c>
      <c r="X76" s="133">
        <f t="shared" si="35"/>
        <v>0.64944444444444438</v>
      </c>
      <c r="Y76" s="132">
        <f t="shared" si="36"/>
        <v>1.639197777777778</v>
      </c>
      <c r="Z76" s="1">
        <f t="shared" si="45"/>
        <v>8.5184868272977852</v>
      </c>
      <c r="AA76" s="1">
        <f t="shared" si="46"/>
        <v>7.713416208209388</v>
      </c>
      <c r="AB76" s="1">
        <v>0</v>
      </c>
      <c r="AC76" s="1">
        <f t="shared" si="47"/>
        <v>4.9382335368885855</v>
      </c>
      <c r="AD76" s="133">
        <f t="shared" si="48"/>
        <v>4.9382335368885855</v>
      </c>
      <c r="AE76" s="132">
        <f t="shared" si="60"/>
        <v>2.6988879384088968</v>
      </c>
      <c r="AF76" s="1">
        <f t="shared" si="49"/>
        <v>4.5669388141701814</v>
      </c>
      <c r="AG76" s="1">
        <f t="shared" si="37"/>
        <v>2.0856930132374142E-2</v>
      </c>
      <c r="AH76" s="1">
        <f t="shared" si="50"/>
        <v>0.28631837194206872</v>
      </c>
      <c r="AI76" s="133">
        <f t="shared" si="51"/>
        <v>0.30717530207444288</v>
      </c>
      <c r="AJ76" s="132">
        <f t="shared" si="52"/>
        <v>4.9999999999999991</v>
      </c>
      <c r="AK76" s="1">
        <f t="shared" si="53"/>
        <v>6.2160968033560371</v>
      </c>
      <c r="AL76" s="1">
        <f t="shared" si="38"/>
        <v>3.8639859468693145E-2</v>
      </c>
      <c r="AM76" s="1">
        <f t="shared" si="54"/>
        <v>0.15510000000000004</v>
      </c>
      <c r="AN76" s="136">
        <f t="shared" si="61"/>
        <v>0.13629578923676455</v>
      </c>
      <c r="AO76" s="133">
        <f t="shared" si="55"/>
        <v>0.33003564870545776</v>
      </c>
      <c r="AP76" s="132">
        <f t="shared" si="39"/>
        <v>0.23798715840426918</v>
      </c>
      <c r="AQ76" s="137">
        <f t="shared" si="40"/>
        <v>4.9382335368885855</v>
      </c>
      <c r="AR76" s="137">
        <f t="shared" si="41"/>
        <v>4.3854467410959386E-2</v>
      </c>
      <c r="AS76" s="1">
        <f t="shared" si="42"/>
        <v>3.7999999999999999E-2</v>
      </c>
      <c r="AT76" s="133">
        <f t="shared" si="56"/>
        <v>4.6759999999999996E-2</v>
      </c>
      <c r="AU76" s="132">
        <f t="shared" si="57"/>
        <v>10.880279650372302</v>
      </c>
      <c r="AV76" s="1">
        <f t="shared" si="58"/>
        <v>90</v>
      </c>
      <c r="AW76" s="133">
        <f t="shared" si="59"/>
        <v>89.214661489757134</v>
      </c>
    </row>
    <row r="77" spans="17:49" x14ac:dyDescent="0.25">
      <c r="Q77">
        <v>70</v>
      </c>
      <c r="R77" s="132">
        <f t="shared" si="32"/>
        <v>18</v>
      </c>
      <c r="S77" s="1">
        <f t="shared" si="33"/>
        <v>5</v>
      </c>
      <c r="T77" s="1">
        <f t="shared" si="34"/>
        <v>11.7</v>
      </c>
      <c r="U77" s="133">
        <f t="shared" si="43"/>
        <v>7.6923076923076925</v>
      </c>
      <c r="V77" s="132">
        <f>IF(Calculations!$B$17=3,2,IF((S77*R77/T77)&lt;((T77*(1-(T77/R77)))/(2*Lm*fsw)),1,2))</f>
        <v>2</v>
      </c>
      <c r="W77" s="1">
        <f t="shared" si="44"/>
        <v>0.35000000000000009</v>
      </c>
      <c r="X77" s="133">
        <f t="shared" si="35"/>
        <v>0.64999999999999991</v>
      </c>
      <c r="Y77" s="132">
        <f t="shared" si="36"/>
        <v>1.6380000000000003</v>
      </c>
      <c r="Z77" s="1">
        <f t="shared" si="45"/>
        <v>8.5113076923076925</v>
      </c>
      <c r="AA77" s="1">
        <f t="shared" si="46"/>
        <v>7.7068271443659677</v>
      </c>
      <c r="AB77" s="1">
        <v>0</v>
      </c>
      <c r="AC77" s="1">
        <f t="shared" si="47"/>
        <v>4.9298003245502962</v>
      </c>
      <c r="AD77" s="133">
        <f t="shared" si="48"/>
        <v>4.9298003245502962</v>
      </c>
      <c r="AE77" s="132">
        <f t="shared" si="60"/>
        <v>2.692307692307693</v>
      </c>
      <c r="AF77" s="1">
        <f t="shared" si="49"/>
        <v>4.5594204260626849</v>
      </c>
      <c r="AG77" s="1">
        <f t="shared" si="37"/>
        <v>2.0788314621597637E-2</v>
      </c>
      <c r="AH77" s="1">
        <f t="shared" si="50"/>
        <v>0.2860736553848533</v>
      </c>
      <c r="AI77" s="133">
        <f t="shared" si="51"/>
        <v>0.30686197000645093</v>
      </c>
      <c r="AJ77" s="132">
        <f t="shared" si="52"/>
        <v>4.9999999999999991</v>
      </c>
      <c r="AK77" s="1">
        <f t="shared" si="53"/>
        <v>6.2134426859462097</v>
      </c>
      <c r="AL77" s="1">
        <f t="shared" si="38"/>
        <v>3.8606870011538445E-2</v>
      </c>
      <c r="AM77" s="1">
        <f t="shared" si="54"/>
        <v>0.15510000000000004</v>
      </c>
      <c r="AN77" s="136">
        <f t="shared" si="61"/>
        <v>0.13618092307692309</v>
      </c>
      <c r="AO77" s="133">
        <f t="shared" si="55"/>
        <v>0.32988779308846161</v>
      </c>
      <c r="AP77" s="132">
        <f t="shared" si="39"/>
        <v>0.23758073853254438</v>
      </c>
      <c r="AQ77" s="137">
        <f t="shared" si="40"/>
        <v>4.9298003245502962</v>
      </c>
      <c r="AR77" s="137">
        <f t="shared" si="41"/>
        <v>4.3780671165133365E-2</v>
      </c>
      <c r="AS77" s="1">
        <f t="shared" si="42"/>
        <v>3.7999999999999999E-2</v>
      </c>
      <c r="AT77" s="133">
        <f t="shared" si="56"/>
        <v>4.6800000000000001E-2</v>
      </c>
      <c r="AU77" s="132">
        <f t="shared" si="57"/>
        <v>10.862511821893182</v>
      </c>
      <c r="AV77" s="1">
        <f t="shared" si="58"/>
        <v>90</v>
      </c>
      <c r="AW77" s="133">
        <f t="shared" si="59"/>
        <v>89.230377445809978</v>
      </c>
    </row>
    <row r="78" spans="17:49" x14ac:dyDescent="0.25">
      <c r="Q78">
        <v>71</v>
      </c>
      <c r="R78" s="132">
        <f t="shared" si="32"/>
        <v>18</v>
      </c>
      <c r="S78" s="1">
        <f t="shared" si="33"/>
        <v>5</v>
      </c>
      <c r="T78" s="1">
        <f t="shared" si="34"/>
        <v>11.71</v>
      </c>
      <c r="U78" s="133">
        <f t="shared" si="43"/>
        <v>7.6857386848847131</v>
      </c>
      <c r="V78" s="132">
        <f>IF(Calculations!$B$17=3,2,IF((S78*R78/T78)&lt;((T78*(1-(T78/R78)))/(2*Lm*fsw)),1,2))</f>
        <v>2</v>
      </c>
      <c r="W78" s="1">
        <f t="shared" si="44"/>
        <v>0.34944444444444445</v>
      </c>
      <c r="X78" s="133">
        <f t="shared" si="35"/>
        <v>0.65055555555555555</v>
      </c>
      <c r="Y78" s="132">
        <f t="shared" si="36"/>
        <v>1.6367977777777778</v>
      </c>
      <c r="Z78" s="1">
        <f t="shared" si="45"/>
        <v>8.5041375737736011</v>
      </c>
      <c r="AA78" s="1">
        <f t="shared" si="46"/>
        <v>7.7002492197403321</v>
      </c>
      <c r="AB78" s="1">
        <v>0</v>
      </c>
      <c r="AC78" s="1">
        <f t="shared" si="47"/>
        <v>4.9213885578272629</v>
      </c>
      <c r="AD78" s="133">
        <f t="shared" si="48"/>
        <v>4.9213885578272629</v>
      </c>
      <c r="AE78" s="132">
        <f t="shared" si="60"/>
        <v>2.6857386848847136</v>
      </c>
      <c r="AF78" s="1">
        <f t="shared" si="49"/>
        <v>4.5519119384059179</v>
      </c>
      <c r="AG78" s="1">
        <f t="shared" si="37"/>
        <v>2.071990229500232E-2</v>
      </c>
      <c r="AH78" s="1">
        <f t="shared" si="50"/>
        <v>0.28582935678930682</v>
      </c>
      <c r="AI78" s="133">
        <f t="shared" si="51"/>
        <v>0.30654925908430913</v>
      </c>
      <c r="AJ78" s="132">
        <f t="shared" si="52"/>
        <v>4.9999999999999991</v>
      </c>
      <c r="AK78" s="1">
        <f t="shared" si="53"/>
        <v>6.2107918779419142</v>
      </c>
      <c r="AL78" s="1">
        <f t="shared" si="38"/>
        <v>3.8573935751109248E-2</v>
      </c>
      <c r="AM78" s="1">
        <f t="shared" si="54"/>
        <v>0.15510000000000004</v>
      </c>
      <c r="AN78" s="136">
        <f t="shared" si="61"/>
        <v>0.13606620118037763</v>
      </c>
      <c r="AO78" s="133">
        <f t="shared" si="55"/>
        <v>0.32974013693148696</v>
      </c>
      <c r="AP78" s="132">
        <f t="shared" si="39"/>
        <v>0.23717535218444638</v>
      </c>
      <c r="AQ78" s="137">
        <f t="shared" si="40"/>
        <v>4.9213885578272629</v>
      </c>
      <c r="AR78" s="137">
        <f t="shared" si="41"/>
        <v>4.3706671819030408E-2</v>
      </c>
      <c r="AS78" s="1">
        <f t="shared" si="42"/>
        <v>3.7999999999999999E-2</v>
      </c>
      <c r="AT78" s="133">
        <f t="shared" si="56"/>
        <v>4.6840000000000007E-2</v>
      </c>
      <c r="AU78" s="132">
        <f t="shared" si="57"/>
        <v>10.8447885356738</v>
      </c>
      <c r="AV78" s="1">
        <f t="shared" si="58"/>
        <v>90</v>
      </c>
      <c r="AW78" s="133">
        <f t="shared" si="59"/>
        <v>89.246059520629103</v>
      </c>
    </row>
    <row r="79" spans="17:49" x14ac:dyDescent="0.25">
      <c r="Q79">
        <v>72</v>
      </c>
      <c r="R79" s="132">
        <f t="shared" si="32"/>
        <v>18</v>
      </c>
      <c r="S79" s="1">
        <f t="shared" si="33"/>
        <v>5</v>
      </c>
      <c r="T79" s="1">
        <f t="shared" si="34"/>
        <v>11.72</v>
      </c>
      <c r="U79" s="133">
        <f t="shared" si="43"/>
        <v>7.6791808873720129</v>
      </c>
      <c r="V79" s="132">
        <f>IF(Calculations!$B$17=3,2,IF((S79*R79/T79)&lt;((T79*(1-(T79/R79)))/(2*Lm*fsw)),1,2))</f>
        <v>2</v>
      </c>
      <c r="W79" s="1">
        <f t="shared" si="44"/>
        <v>0.3488888888888888</v>
      </c>
      <c r="X79" s="133">
        <f t="shared" si="35"/>
        <v>0.6511111111111112</v>
      </c>
      <c r="Y79" s="132">
        <f t="shared" si="36"/>
        <v>1.6355911111111108</v>
      </c>
      <c r="Z79" s="1">
        <f t="shared" si="45"/>
        <v>8.4969764429275685</v>
      </c>
      <c r="AA79" s="1">
        <f t="shared" si="46"/>
        <v>7.6936824055763502</v>
      </c>
      <c r="AB79" s="1">
        <v>0</v>
      </c>
      <c r="AC79" s="1">
        <f t="shared" si="47"/>
        <v>4.9129981635036328</v>
      </c>
      <c r="AD79" s="133">
        <f t="shared" si="48"/>
        <v>4.9129981635036328</v>
      </c>
      <c r="AE79" s="132">
        <f t="shared" si="60"/>
        <v>2.6791808873720129</v>
      </c>
      <c r="AF79" s="1">
        <f t="shared" si="49"/>
        <v>4.5444133190316185</v>
      </c>
      <c r="AG79" s="1">
        <f t="shared" si="37"/>
        <v>2.0651692414191972E-2</v>
      </c>
      <c r="AH79" s="1">
        <f t="shared" si="50"/>
        <v>0.28558547508556176</v>
      </c>
      <c r="AI79" s="133">
        <f t="shared" si="51"/>
        <v>0.30623716749975372</v>
      </c>
      <c r="AJ79" s="132">
        <f t="shared" si="52"/>
        <v>5</v>
      </c>
      <c r="AK79" s="1">
        <f t="shared" si="53"/>
        <v>6.2081443720070748</v>
      </c>
      <c r="AL79" s="1">
        <f t="shared" si="38"/>
        <v>3.8541056543683117E-2</v>
      </c>
      <c r="AM79" s="1">
        <f t="shared" si="54"/>
        <v>0.15510000000000004</v>
      </c>
      <c r="AN79" s="136">
        <f t="shared" si="61"/>
        <v>0.13595162308684111</v>
      </c>
      <c r="AO79" s="133">
        <f t="shared" si="55"/>
        <v>0.3295926796305243</v>
      </c>
      <c r="AP79" s="132">
        <f t="shared" si="39"/>
        <v>0.23677099583150038</v>
      </c>
      <c r="AQ79" s="137">
        <f t="shared" si="40"/>
        <v>4.9129981635036328</v>
      </c>
      <c r="AR79" s="137">
        <f t="shared" si="41"/>
        <v>4.3632470142596073E-2</v>
      </c>
      <c r="AS79" s="1">
        <f t="shared" si="42"/>
        <v>3.7999999999999999E-2</v>
      </c>
      <c r="AT79" s="133">
        <f t="shared" si="56"/>
        <v>4.6880000000000005E-2</v>
      </c>
      <c r="AU79" s="132">
        <f t="shared" si="57"/>
        <v>10.827109640111638</v>
      </c>
      <c r="AV79" s="1">
        <f t="shared" si="58"/>
        <v>90</v>
      </c>
      <c r="AW79" s="133">
        <f t="shared" si="59"/>
        <v>89.26170780977705</v>
      </c>
    </row>
    <row r="80" spans="17:49" x14ac:dyDescent="0.25">
      <c r="Q80">
        <v>73</v>
      </c>
      <c r="R80" s="132">
        <f t="shared" si="32"/>
        <v>18</v>
      </c>
      <c r="S80" s="1">
        <f t="shared" si="33"/>
        <v>5</v>
      </c>
      <c r="T80" s="1">
        <f t="shared" si="34"/>
        <v>11.73</v>
      </c>
      <c r="U80" s="133">
        <f t="shared" si="43"/>
        <v>7.6726342710997439</v>
      </c>
      <c r="V80" s="132">
        <f>IF(Calculations!$B$17=3,2,IF((S80*R80/T80)&lt;((T80*(1-(T80/R80)))/(2*Lm*fsw)),1,2))</f>
        <v>2</v>
      </c>
      <c r="W80" s="1">
        <f t="shared" si="44"/>
        <v>0.34833333333333327</v>
      </c>
      <c r="X80" s="133">
        <f t="shared" si="35"/>
        <v>0.65166666666666673</v>
      </c>
      <c r="Y80" s="132">
        <f t="shared" si="36"/>
        <v>1.6343799999999997</v>
      </c>
      <c r="Z80" s="1">
        <f t="shared" si="45"/>
        <v>8.489824271099744</v>
      </c>
      <c r="AA80" s="1">
        <f t="shared" si="46"/>
        <v>7.687126673217219</v>
      </c>
      <c r="AB80" s="1">
        <v>0</v>
      </c>
      <c r="AC80" s="1">
        <f t="shared" si="47"/>
        <v>4.9046290686772736</v>
      </c>
      <c r="AD80" s="133">
        <f t="shared" si="48"/>
        <v>4.9046290686772736</v>
      </c>
      <c r="AE80" s="132">
        <f t="shared" si="60"/>
        <v>2.6726342710997435</v>
      </c>
      <c r="AF80" s="1">
        <f t="shared" si="49"/>
        <v>4.5369245358554497</v>
      </c>
      <c r="AG80" s="1">
        <f t="shared" si="37"/>
        <v>2.0583684244047187E-2</v>
      </c>
      <c r="AH80" s="1">
        <f t="shared" si="50"/>
        <v>0.28534200920739838</v>
      </c>
      <c r="AI80" s="133">
        <f t="shared" si="51"/>
        <v>0.30592569345144555</v>
      </c>
      <c r="AJ80" s="132">
        <f t="shared" si="52"/>
        <v>5</v>
      </c>
      <c r="AK80" s="1">
        <f t="shared" si="53"/>
        <v>6.2055001608283309</v>
      </c>
      <c r="AL80" s="1">
        <f t="shared" si="38"/>
        <v>3.8508232246040441E-2</v>
      </c>
      <c r="AM80" s="1">
        <f t="shared" si="54"/>
        <v>0.15510000000000004</v>
      </c>
      <c r="AN80" s="136">
        <f t="shared" si="61"/>
        <v>0.13583718833759592</v>
      </c>
      <c r="AO80" s="133">
        <f t="shared" si="55"/>
        <v>0.32944542058363641</v>
      </c>
      <c r="AP80" s="132">
        <f t="shared" si="39"/>
        <v>0.23636766596035053</v>
      </c>
      <c r="AQ80" s="137">
        <f t="shared" si="40"/>
        <v>4.9046290686772736</v>
      </c>
      <c r="AR80" s="137">
        <f t="shared" si="41"/>
        <v>4.355806690831987E-2</v>
      </c>
      <c r="AS80" s="1">
        <f t="shared" si="42"/>
        <v>3.7999999999999999E-2</v>
      </c>
      <c r="AT80" s="133">
        <f t="shared" si="56"/>
        <v>4.6920000000000003E-2</v>
      </c>
      <c r="AU80" s="132">
        <f t="shared" si="57"/>
        <v>10.8094749842583</v>
      </c>
      <c r="AV80" s="1">
        <f t="shared" si="58"/>
        <v>90</v>
      </c>
      <c r="AW80" s="133">
        <f t="shared" si="59"/>
        <v>89.277322408487663</v>
      </c>
    </row>
    <row r="81" spans="17:49" x14ac:dyDescent="0.25">
      <c r="Q81">
        <v>74</v>
      </c>
      <c r="R81" s="132">
        <f t="shared" si="32"/>
        <v>18</v>
      </c>
      <c r="S81" s="1">
        <f t="shared" si="33"/>
        <v>5</v>
      </c>
      <c r="T81" s="1">
        <f t="shared" si="34"/>
        <v>11.74</v>
      </c>
      <c r="U81" s="133">
        <f t="shared" si="43"/>
        <v>7.6660988074957412</v>
      </c>
      <c r="V81" s="132">
        <f>IF(Calculations!$B$17=3,2,IF((S81*R81/T81)&lt;((T81*(1-(T81/R81)))/(2*Lm*fsw)),1,2))</f>
        <v>2</v>
      </c>
      <c r="W81" s="1">
        <f t="shared" si="44"/>
        <v>0.34777777777777774</v>
      </c>
      <c r="X81" s="133">
        <f t="shared" si="35"/>
        <v>0.65222222222222226</v>
      </c>
      <c r="Y81" s="132">
        <f t="shared" si="36"/>
        <v>1.6331644444444442</v>
      </c>
      <c r="Z81" s="1">
        <f t="shared" si="45"/>
        <v>8.4826810297179627</v>
      </c>
      <c r="AA81" s="1">
        <f t="shared" si="46"/>
        <v>7.6805819941050535</v>
      </c>
      <c r="AB81" s="1">
        <v>0</v>
      </c>
      <c r="AC81" s="1">
        <f t="shared" si="47"/>
        <v>4.8962812007581737</v>
      </c>
      <c r="AD81" s="133">
        <f t="shared" si="48"/>
        <v>4.8962812007581737</v>
      </c>
      <c r="AE81" s="132">
        <f t="shared" si="60"/>
        <v>2.6660988074957408</v>
      </c>
      <c r="AF81" s="1">
        <f t="shared" si="49"/>
        <v>4.5294455568765004</v>
      </c>
      <c r="AG81" s="1">
        <f t="shared" si="37"/>
        <v>2.051587705270827E-2</v>
      </c>
      <c r="AH81" s="1">
        <f t="shared" si="50"/>
        <v>0.28509895809223029</v>
      </c>
      <c r="AI81" s="133">
        <f t="shared" si="51"/>
        <v>0.30561483514493859</v>
      </c>
      <c r="AJ81" s="132">
        <f t="shared" si="52"/>
        <v>5</v>
      </c>
      <c r="AK81" s="1">
        <f t="shared" si="53"/>
        <v>6.2028592371149678</v>
      </c>
      <c r="AL81" s="1">
        <f t="shared" si="38"/>
        <v>3.8475462715462476E-2</v>
      </c>
      <c r="AM81" s="1">
        <f t="shared" si="54"/>
        <v>0.15510000000000004</v>
      </c>
      <c r="AN81" s="136">
        <f t="shared" si="61"/>
        <v>0.13572289647548741</v>
      </c>
      <c r="AO81" s="133">
        <f t="shared" si="55"/>
        <v>0.32929835919094996</v>
      </c>
      <c r="AP81" s="132">
        <f t="shared" si="39"/>
        <v>0.23596535907268304</v>
      </c>
      <c r="AQ81" s="137">
        <f t="shared" si="40"/>
        <v>4.8962812007581737</v>
      </c>
      <c r="AR81" s="137">
        <f t="shared" si="41"/>
        <v>4.3483462891232096E-2</v>
      </c>
      <c r="AS81" s="1">
        <f t="shared" si="42"/>
        <v>3.7999999999999999E-2</v>
      </c>
      <c r="AT81" s="133">
        <f t="shared" si="56"/>
        <v>4.6960000000000002E-2</v>
      </c>
      <c r="AU81" s="132">
        <f t="shared" si="57"/>
        <v>10.791884417816151</v>
      </c>
      <c r="AV81" s="1">
        <f t="shared" si="58"/>
        <v>90</v>
      </c>
      <c r="AW81" s="133">
        <f t="shared" si="59"/>
        <v>89.292903411667382</v>
      </c>
    </row>
    <row r="82" spans="17:49" x14ac:dyDescent="0.25">
      <c r="Q82">
        <v>75</v>
      </c>
      <c r="R82" s="132">
        <f t="shared" si="32"/>
        <v>18</v>
      </c>
      <c r="S82" s="1">
        <f t="shared" si="33"/>
        <v>5</v>
      </c>
      <c r="T82" s="1">
        <f t="shared" si="34"/>
        <v>11.75</v>
      </c>
      <c r="U82" s="133">
        <f t="shared" si="43"/>
        <v>7.6595744680851068</v>
      </c>
      <c r="V82" s="132">
        <f>IF(Calculations!$B$17=3,2,IF((S82*R82/T82)&lt;((T82*(1-(T82/R82)))/(2*Lm*fsw)),1,2))</f>
        <v>2</v>
      </c>
      <c r="W82" s="1">
        <f t="shared" si="44"/>
        <v>0.34722222222222221</v>
      </c>
      <c r="X82" s="133">
        <f t="shared" si="35"/>
        <v>0.65277777777777779</v>
      </c>
      <c r="Y82" s="132">
        <f t="shared" si="36"/>
        <v>1.6319444444444442</v>
      </c>
      <c r="Z82" s="1">
        <f t="shared" si="45"/>
        <v>8.4755466903073291</v>
      </c>
      <c r="AA82" s="1">
        <f t="shared" si="46"/>
        <v>7.6740483397804669</v>
      </c>
      <c r="AB82" s="1">
        <v>0</v>
      </c>
      <c r="AC82" s="1">
        <f t="shared" si="47"/>
        <v>4.8879544874668497</v>
      </c>
      <c r="AD82" s="133">
        <f t="shared" si="48"/>
        <v>4.8879544874668497</v>
      </c>
      <c r="AE82" s="132">
        <f t="shared" si="60"/>
        <v>2.6595744680851063</v>
      </c>
      <c r="AF82" s="1">
        <f t="shared" si="49"/>
        <v>4.5219763501767787</v>
      </c>
      <c r="AG82" s="1">
        <f t="shared" si="37"/>
        <v>2.0448270111558104E-2</v>
      </c>
      <c r="AH82" s="1">
        <f t="shared" si="50"/>
        <v>0.28485632068108796</v>
      </c>
      <c r="AI82" s="133">
        <f t="shared" si="51"/>
        <v>0.30530459079264605</v>
      </c>
      <c r="AJ82" s="132">
        <f t="shared" si="52"/>
        <v>5</v>
      </c>
      <c r="AK82" s="1">
        <f t="shared" si="53"/>
        <v>6.2002215935988305</v>
      </c>
      <c r="AL82" s="1">
        <f t="shared" si="38"/>
        <v>3.8442747809729221E-2</v>
      </c>
      <c r="AM82" s="1">
        <f t="shared" si="54"/>
        <v>0.15510000000000004</v>
      </c>
      <c r="AN82" s="136">
        <f t="shared" si="61"/>
        <v>0.13560874704491727</v>
      </c>
      <c r="AO82" s="133">
        <f t="shared" si="55"/>
        <v>0.32915149485464656</v>
      </c>
      <c r="AP82" s="132">
        <f t="shared" si="39"/>
        <v>0.23556407168514937</v>
      </c>
      <c r="AQ82" s="137">
        <f t="shared" si="40"/>
        <v>4.8879544874668497</v>
      </c>
      <c r="AR82" s="137">
        <f t="shared" si="41"/>
        <v>4.340865886889974E-2</v>
      </c>
      <c r="AS82" s="1">
        <f t="shared" si="42"/>
        <v>3.7999999999999999E-2</v>
      </c>
      <c r="AT82" s="133">
        <f t="shared" si="56"/>
        <v>4.7E-2</v>
      </c>
      <c r="AU82" s="132">
        <f t="shared" si="57"/>
        <v>10.774337791135041</v>
      </c>
      <c r="AV82" s="1">
        <f t="shared" si="58"/>
        <v>90</v>
      </c>
      <c r="AW82" s="133">
        <f t="shared" si="59"/>
        <v>89.308450913896408</v>
      </c>
    </row>
    <row r="83" spans="17:49" x14ac:dyDescent="0.25">
      <c r="Q83">
        <v>76</v>
      </c>
      <c r="R83" s="132">
        <f t="shared" si="32"/>
        <v>18</v>
      </c>
      <c r="S83" s="1">
        <f t="shared" si="33"/>
        <v>5</v>
      </c>
      <c r="T83" s="1">
        <f t="shared" si="34"/>
        <v>11.76</v>
      </c>
      <c r="U83" s="133">
        <f t="shared" si="43"/>
        <v>7.6530612244897958</v>
      </c>
      <c r="V83" s="132">
        <f>IF(Calculations!$B$17=3,2,IF((S83*R83/T83)&lt;((T83*(1-(T83/R83)))/(2*Lm*fsw)),1,2))</f>
        <v>2</v>
      </c>
      <c r="W83" s="1">
        <f t="shared" si="44"/>
        <v>0.34666666666666668</v>
      </c>
      <c r="X83" s="133">
        <f t="shared" si="35"/>
        <v>0.65333333333333332</v>
      </c>
      <c r="Y83" s="132">
        <f t="shared" si="36"/>
        <v>1.6307200000000002</v>
      </c>
      <c r="Z83" s="1">
        <f t="shared" si="45"/>
        <v>8.468421224489795</v>
      </c>
      <c r="AA83" s="1">
        <f t="shared" si="46"/>
        <v>7.6675256818821662</v>
      </c>
      <c r="AB83" s="1">
        <v>0</v>
      </c>
      <c r="AC83" s="1">
        <f t="shared" si="47"/>
        <v>4.8796488568327749</v>
      </c>
      <c r="AD83" s="133">
        <f t="shared" si="48"/>
        <v>4.8796488568327749</v>
      </c>
      <c r="AE83" s="132">
        <f t="shared" si="60"/>
        <v>2.6530612244897958</v>
      </c>
      <c r="AF83" s="1">
        <f t="shared" si="49"/>
        <v>4.5145168839207095</v>
      </c>
      <c r="AG83" s="1">
        <f t="shared" si="37"/>
        <v>2.0380862695205153E-2</v>
      </c>
      <c r="AH83" s="1">
        <f t="shared" si="50"/>
        <v>0.28461409591860409</v>
      </c>
      <c r="AI83" s="133">
        <f t="shared" si="51"/>
        <v>0.30499495861380926</v>
      </c>
      <c r="AJ83" s="132">
        <f t="shared" si="52"/>
        <v>5</v>
      </c>
      <c r="AK83" s="1">
        <f t="shared" si="53"/>
        <v>6.1975872230342519</v>
      </c>
      <c r="AL83" s="1">
        <f t="shared" si="38"/>
        <v>3.841008738711741E-2</v>
      </c>
      <c r="AM83" s="1">
        <f t="shared" si="54"/>
        <v>0.15510000000000004</v>
      </c>
      <c r="AN83" s="136">
        <f t="shared" si="61"/>
        <v>0.13549473959183672</v>
      </c>
      <c r="AO83" s="133">
        <f t="shared" si="55"/>
        <v>0.32900482697895417</v>
      </c>
      <c r="AP83" s="132">
        <f t="shared" si="39"/>
        <v>0.23516380032929032</v>
      </c>
      <c r="AQ83" s="137">
        <f t="shared" si="40"/>
        <v>4.8796488568327749</v>
      </c>
      <c r="AR83" s="137">
        <f t="shared" si="41"/>
        <v>4.3333655621423911E-2</v>
      </c>
      <c r="AS83" s="1">
        <f t="shared" si="42"/>
        <v>3.7999999999999999E-2</v>
      </c>
      <c r="AT83" s="133">
        <f t="shared" si="56"/>
        <v>4.7039999999999998E-2</v>
      </c>
      <c r="AU83" s="132">
        <f t="shared" si="57"/>
        <v>10.756834955209028</v>
      </c>
      <c r="AV83" s="1">
        <f t="shared" si="58"/>
        <v>90</v>
      </c>
      <c r="AW83" s="133">
        <f t="shared" si="59"/>
        <v>89.323965009429955</v>
      </c>
    </row>
    <row r="84" spans="17:49" x14ac:dyDescent="0.25">
      <c r="Q84">
        <v>77</v>
      </c>
      <c r="R84" s="132">
        <f t="shared" si="32"/>
        <v>18</v>
      </c>
      <c r="S84" s="1">
        <f t="shared" si="33"/>
        <v>5</v>
      </c>
      <c r="T84" s="1">
        <f t="shared" si="34"/>
        <v>11.77</v>
      </c>
      <c r="U84" s="133">
        <f t="shared" si="43"/>
        <v>7.646559048428208</v>
      </c>
      <c r="V84" s="132">
        <f>IF(Calculations!$B$17=3,2,IF((S84*R84/T84)&lt;((T84*(1-(T84/R84)))/(2*Lm*fsw)),1,2))</f>
        <v>2</v>
      </c>
      <c r="W84" s="1">
        <f t="shared" si="44"/>
        <v>0.34611111111111115</v>
      </c>
      <c r="X84" s="133">
        <f t="shared" si="35"/>
        <v>0.65388888888888885</v>
      </c>
      <c r="Y84" s="132">
        <f t="shared" si="36"/>
        <v>1.6294911111111112</v>
      </c>
      <c r="Z84" s="1">
        <f t="shared" si="45"/>
        <v>8.4613046039837627</v>
      </c>
      <c r="AA84" s="1">
        <f t="shared" si="46"/>
        <v>7.661013992146545</v>
      </c>
      <c r="AB84" s="1">
        <v>0</v>
      </c>
      <c r="AC84" s="1">
        <f t="shared" si="47"/>
        <v>4.8713642371928074</v>
      </c>
      <c r="AD84" s="133">
        <f t="shared" si="48"/>
        <v>4.8713642371928074</v>
      </c>
      <c r="AE84" s="132">
        <f t="shared" si="60"/>
        <v>2.646559048428208</v>
      </c>
      <c r="AF84" s="1">
        <f t="shared" si="49"/>
        <v>4.507067126354638</v>
      </c>
      <c r="AG84" s="1">
        <f t="shared" si="37"/>
        <v>2.0313654081466657E-2</v>
      </c>
      <c r="AH84" s="1">
        <f t="shared" si="50"/>
        <v>0.28437228275299775</v>
      </c>
      <c r="AI84" s="133">
        <f t="shared" si="51"/>
        <v>0.30468593683446443</v>
      </c>
      <c r="AJ84" s="132">
        <f t="shared" si="52"/>
        <v>5</v>
      </c>
      <c r="AK84" s="1">
        <f t="shared" si="53"/>
        <v>6.1949561181979709</v>
      </c>
      <c r="AL84" s="1">
        <f t="shared" si="38"/>
        <v>3.8377481306398474E-2</v>
      </c>
      <c r="AM84" s="1">
        <f t="shared" si="54"/>
        <v>0.15510000000000004</v>
      </c>
      <c r="AN84" s="136">
        <f t="shared" si="61"/>
        <v>0.13538087366374021</v>
      </c>
      <c r="AO84" s="133">
        <f t="shared" si="55"/>
        <v>0.32885835497013871</v>
      </c>
      <c r="AP84" s="132">
        <f t="shared" si="39"/>
        <v>0.23476454155146059</v>
      </c>
      <c r="AQ84" s="137">
        <f t="shared" si="40"/>
        <v>4.8713642371928074</v>
      </c>
      <c r="AR84" s="137">
        <f t="shared" si="41"/>
        <v>4.3258453931434883E-2</v>
      </c>
      <c r="AS84" s="1">
        <f t="shared" si="42"/>
        <v>3.7999999999999999E-2</v>
      </c>
      <c r="AT84" s="133">
        <f t="shared" si="56"/>
        <v>4.7079999999999997E-2</v>
      </c>
      <c r="AU84" s="132">
        <f t="shared" si="57"/>
        <v>10.739375761673115</v>
      </c>
      <c r="AV84" s="1">
        <f t="shared" si="58"/>
        <v>90</v>
      </c>
      <c r="AW84" s="133">
        <f t="shared" si="59"/>
        <v>89.339445792199385</v>
      </c>
    </row>
    <row r="85" spans="17:49" x14ac:dyDescent="0.25">
      <c r="Q85">
        <v>78</v>
      </c>
      <c r="R85" s="132">
        <f t="shared" si="32"/>
        <v>18</v>
      </c>
      <c r="S85" s="1">
        <f t="shared" si="33"/>
        <v>5</v>
      </c>
      <c r="T85" s="1">
        <f t="shared" si="34"/>
        <v>11.78</v>
      </c>
      <c r="U85" s="133">
        <f t="shared" si="43"/>
        <v>7.6400679117147714</v>
      </c>
      <c r="V85" s="132">
        <f>IF(Calculations!$B$17=3,2,IF((S85*R85/T85)&lt;((T85*(1-(T85/R85)))/(2*Lm*fsw)),1,2))</f>
        <v>2</v>
      </c>
      <c r="W85" s="1">
        <f t="shared" si="44"/>
        <v>0.34555555555555562</v>
      </c>
      <c r="X85" s="133">
        <f t="shared" si="35"/>
        <v>0.65444444444444438</v>
      </c>
      <c r="Y85" s="132">
        <f t="shared" si="36"/>
        <v>1.6282577777777778</v>
      </c>
      <c r="Z85" s="1">
        <f t="shared" si="45"/>
        <v>8.4541968006036612</v>
      </c>
      <c r="AA85" s="1">
        <f t="shared" si="46"/>
        <v>7.6545132424072664</v>
      </c>
      <c r="AB85" s="1">
        <v>0</v>
      </c>
      <c r="AC85" s="1">
        <f t="shared" si="47"/>
        <v>4.8631005571896209</v>
      </c>
      <c r="AD85" s="133">
        <f t="shared" si="48"/>
        <v>4.8631005571896209</v>
      </c>
      <c r="AE85" s="132">
        <f t="shared" si="60"/>
        <v>2.6400679117147714</v>
      </c>
      <c r="AF85" s="1">
        <f t="shared" si="49"/>
        <v>4.4996270458063199</v>
      </c>
      <c r="AG85" s="1">
        <f t="shared" si="37"/>
        <v>2.0246643551351709E-2</v>
      </c>
      <c r="AH85" s="1">
        <f t="shared" si="50"/>
        <v>0.28413088013605975</v>
      </c>
      <c r="AI85" s="133">
        <f t="shared" si="51"/>
        <v>0.30437752368741144</v>
      </c>
      <c r="AJ85" s="132">
        <f t="shared" si="52"/>
        <v>5</v>
      </c>
      <c r="AK85" s="1">
        <f t="shared" si="53"/>
        <v>6.192328271889056</v>
      </c>
      <c r="AL85" s="1">
        <f t="shared" si="38"/>
        <v>3.8344929426836503E-2</v>
      </c>
      <c r="AM85" s="1">
        <f t="shared" si="54"/>
        <v>0.15510000000000004</v>
      </c>
      <c r="AN85" s="136">
        <f t="shared" si="61"/>
        <v>0.13526714880965859</v>
      </c>
      <c r="AO85" s="133">
        <f t="shared" si="55"/>
        <v>0.32871207823649518</v>
      </c>
      <c r="AP85" s="132">
        <f t="shared" si="39"/>
        <v>0.23436629191275282</v>
      </c>
      <c r="AQ85" s="137">
        <f t="shared" si="40"/>
        <v>4.8631005571896209</v>
      </c>
      <c r="AR85" s="137">
        <f t="shared" si="41"/>
        <v>4.3183054584089352E-2</v>
      </c>
      <c r="AS85" s="1">
        <f t="shared" si="42"/>
        <v>3.7999999999999999E-2</v>
      </c>
      <c r="AT85" s="133">
        <f t="shared" si="56"/>
        <v>4.7119999999999995E-2</v>
      </c>
      <c r="AU85" s="132">
        <f t="shared" si="57"/>
        <v>10.72196006279999</v>
      </c>
      <c r="AV85" s="1">
        <f t="shared" si="58"/>
        <v>90</v>
      </c>
      <c r="AW85" s="133">
        <f t="shared" si="59"/>
        <v>89.354893355813502</v>
      </c>
    </row>
    <row r="86" spans="17:49" x14ac:dyDescent="0.25">
      <c r="Q86">
        <v>79</v>
      </c>
      <c r="R86" s="132">
        <f t="shared" si="32"/>
        <v>18</v>
      </c>
      <c r="S86" s="1">
        <f t="shared" si="33"/>
        <v>5</v>
      </c>
      <c r="T86" s="1">
        <f t="shared" si="34"/>
        <v>11.79</v>
      </c>
      <c r="U86" s="133">
        <f t="shared" si="43"/>
        <v>7.6335877862595423</v>
      </c>
      <c r="V86" s="132">
        <f>IF(Calculations!$B$17=3,2,IF((S86*R86/T86)&lt;((T86*(1-(T86/R86)))/(2*Lm*fsw)),1,2))</f>
        <v>2</v>
      </c>
      <c r="W86" s="1">
        <f t="shared" si="44"/>
        <v>0.34500000000000008</v>
      </c>
      <c r="X86" s="133">
        <f t="shared" si="35"/>
        <v>0.65499999999999992</v>
      </c>
      <c r="Y86" s="132">
        <f t="shared" si="36"/>
        <v>1.6270200000000004</v>
      </c>
      <c r="Z86" s="1">
        <f t="shared" si="45"/>
        <v>8.4470977862595422</v>
      </c>
      <c r="AA86" s="1">
        <f t="shared" si="46"/>
        <v>7.6480234045948663</v>
      </c>
      <c r="AB86" s="1">
        <v>0</v>
      </c>
      <c r="AC86" s="1">
        <f t="shared" si="47"/>
        <v>4.8548577457701603</v>
      </c>
      <c r="AD86" s="133">
        <f t="shared" si="48"/>
        <v>4.8548577457701603</v>
      </c>
      <c r="AE86" s="132">
        <f t="shared" si="60"/>
        <v>2.6335877862595427</v>
      </c>
      <c r="AF86" s="1">
        <f t="shared" si="49"/>
        <v>4.4921966106844264</v>
      </c>
      <c r="AG86" s="1">
        <f t="shared" si="37"/>
        <v>2.017983038904465E-2</v>
      </c>
      <c r="AH86" s="1">
        <f t="shared" si="50"/>
        <v>0.28388988702313694</v>
      </c>
      <c r="AI86" s="133">
        <f t="shared" si="51"/>
        <v>0.30406971741218158</v>
      </c>
      <c r="AJ86" s="132">
        <f t="shared" si="52"/>
        <v>4.9999999999999991</v>
      </c>
      <c r="AK86" s="1">
        <f t="shared" si="53"/>
        <v>6.1897036769288238</v>
      </c>
      <c r="AL86" s="1">
        <f t="shared" si="38"/>
        <v>3.8312431608186204E-2</v>
      </c>
      <c r="AM86" s="1">
        <f t="shared" si="54"/>
        <v>0.15510000000000004</v>
      </c>
      <c r="AN86" s="136">
        <f t="shared" si="61"/>
        <v>0.13515356458015268</v>
      </c>
      <c r="AO86" s="133">
        <f t="shared" si="55"/>
        <v>0.32856599618833893</v>
      </c>
      <c r="AP86" s="132">
        <f t="shared" si="39"/>
        <v>0.2339690479889234</v>
      </c>
      <c r="AQ86" s="137">
        <f t="shared" si="40"/>
        <v>4.8548577457701603</v>
      </c>
      <c r="AR86" s="137">
        <f t="shared" si="41"/>
        <v>4.310745836706676E-2</v>
      </c>
      <c r="AS86" s="1">
        <f t="shared" si="42"/>
        <v>3.7999999999999999E-2</v>
      </c>
      <c r="AT86" s="133">
        <f t="shared" si="56"/>
        <v>4.7160000000000001E-2</v>
      </c>
      <c r="AU86" s="132">
        <f t="shared" si="57"/>
        <v>10.70458771149683</v>
      </c>
      <c r="AV86" s="1">
        <f t="shared" si="58"/>
        <v>90</v>
      </c>
      <c r="AW86" s="133">
        <f t="shared" si="59"/>
        <v>89.370307793559689</v>
      </c>
    </row>
    <row r="87" spans="17:49" x14ac:dyDescent="0.25">
      <c r="Q87">
        <v>80</v>
      </c>
      <c r="R87" s="132">
        <f t="shared" si="32"/>
        <v>18</v>
      </c>
      <c r="S87" s="1">
        <f t="shared" si="33"/>
        <v>5</v>
      </c>
      <c r="T87" s="1">
        <f t="shared" si="34"/>
        <v>11.8</v>
      </c>
      <c r="U87" s="133">
        <f t="shared" si="43"/>
        <v>7.6271186440677958</v>
      </c>
      <c r="V87" s="132">
        <f>IF(Calculations!$B$17=3,2,IF((S87*R87/T87)&lt;((T87*(1-(T87/R87)))/(2*Lm*fsw)),1,2))</f>
        <v>2</v>
      </c>
      <c r="W87" s="1">
        <f t="shared" si="44"/>
        <v>0.34444444444444444</v>
      </c>
      <c r="X87" s="133">
        <f t="shared" si="35"/>
        <v>0.65555555555555556</v>
      </c>
      <c r="Y87" s="132">
        <f t="shared" si="36"/>
        <v>1.625777777777778</v>
      </c>
      <c r="Z87" s="1">
        <f t="shared" si="45"/>
        <v>8.4400075329566846</v>
      </c>
      <c r="AA87" s="1">
        <f t="shared" si="46"/>
        <v>7.6415444507363546</v>
      </c>
      <c r="AB87" s="1">
        <v>0</v>
      </c>
      <c r="AC87" s="1">
        <f t="shared" si="47"/>
        <v>4.8466357321841045</v>
      </c>
      <c r="AD87" s="133">
        <f t="shared" si="48"/>
        <v>4.8466357321841045</v>
      </c>
      <c r="AE87" s="132">
        <f t="shared" si="60"/>
        <v>2.6271186440677963</v>
      </c>
      <c r="AF87" s="1">
        <f t="shared" si="49"/>
        <v>4.4847757894780562</v>
      </c>
      <c r="AG87" s="1">
        <f t="shared" si="37"/>
        <v>2.0113213881888522E-2</v>
      </c>
      <c r="AH87" s="1">
        <f t="shared" si="50"/>
        <v>0.2836493023731172</v>
      </c>
      <c r="AI87" s="133">
        <f t="shared" si="51"/>
        <v>0.30376251625500572</v>
      </c>
      <c r="AJ87" s="132">
        <f t="shared" si="52"/>
        <v>4.9999999999999991</v>
      </c>
      <c r="AK87" s="1">
        <f t="shared" si="53"/>
        <v>6.1870823261607768</v>
      </c>
      <c r="AL87" s="1">
        <f t="shared" si="38"/>
        <v>3.8279987710691049E-2</v>
      </c>
      <c r="AM87" s="1">
        <f t="shared" si="54"/>
        <v>0.15510000000000004</v>
      </c>
      <c r="AN87" s="136">
        <f t="shared" si="61"/>
        <v>0.13504012052730696</v>
      </c>
      <c r="AO87" s="133">
        <f t="shared" si="55"/>
        <v>0.32842010823799805</v>
      </c>
      <c r="AP87" s="132">
        <f t="shared" si="39"/>
        <v>0.2335728063703183</v>
      </c>
      <c r="AQ87" s="137">
        <f t="shared" si="40"/>
        <v>4.8466357321841045</v>
      </c>
      <c r="AR87" s="137">
        <f t="shared" si="41"/>
        <v>4.3031666070565085E-2</v>
      </c>
      <c r="AS87" s="1">
        <f t="shared" si="42"/>
        <v>3.7999999999999999E-2</v>
      </c>
      <c r="AT87" s="133">
        <f t="shared" si="56"/>
        <v>4.7200000000000006E-2</v>
      </c>
      <c r="AU87" s="132">
        <f t="shared" si="57"/>
        <v>10.687258561302096</v>
      </c>
      <c r="AV87" s="1">
        <f t="shared" si="58"/>
        <v>90</v>
      </c>
      <c r="AW87" s="133">
        <f t="shared" si="59"/>
        <v>89.385689198405075</v>
      </c>
    </row>
    <row r="88" spans="17:49" x14ac:dyDescent="0.25">
      <c r="Q88">
        <v>81</v>
      </c>
      <c r="R88" s="132">
        <f t="shared" si="32"/>
        <v>18</v>
      </c>
      <c r="S88" s="1">
        <f t="shared" si="33"/>
        <v>5</v>
      </c>
      <c r="T88" s="1">
        <f t="shared" si="34"/>
        <v>11.81</v>
      </c>
      <c r="U88" s="133">
        <f t="shared" si="43"/>
        <v>7.6206604572396275</v>
      </c>
      <c r="V88" s="132">
        <f>IF(Calculations!$B$17=3,2,IF((S88*R88/T88)&lt;((T88*(1-(T88/R88)))/(2*Lm*fsw)),1,2))</f>
        <v>2</v>
      </c>
      <c r="W88" s="1">
        <f t="shared" si="44"/>
        <v>0.34388888888888891</v>
      </c>
      <c r="X88" s="133">
        <f t="shared" si="35"/>
        <v>0.65611111111111109</v>
      </c>
      <c r="Y88" s="132">
        <f t="shared" si="36"/>
        <v>1.6245311111111114</v>
      </c>
      <c r="Z88" s="1">
        <f t="shared" si="45"/>
        <v>8.4329260127951837</v>
      </c>
      <c r="AA88" s="1">
        <f t="shared" si="46"/>
        <v>7.6350763529548074</v>
      </c>
      <c r="AB88" s="1">
        <v>0</v>
      </c>
      <c r="AC88" s="1">
        <f t="shared" si="47"/>
        <v>4.8384344459823243</v>
      </c>
      <c r="AD88" s="133">
        <f t="shared" si="48"/>
        <v>4.8384344459823243</v>
      </c>
      <c r="AE88" s="132">
        <f t="shared" si="60"/>
        <v>2.6206604572396275</v>
      </c>
      <c r="AF88" s="1">
        <f t="shared" si="49"/>
        <v>4.4773645507562287</v>
      </c>
      <c r="AG88" s="1">
        <f t="shared" si="37"/>
        <v>2.0046793320368527E-2</v>
      </c>
      <c r="AH88" s="1">
        <f t="shared" si="50"/>
        <v>0.28340912514841521</v>
      </c>
      <c r="AI88" s="133">
        <f t="shared" si="51"/>
        <v>0.30345591846878373</v>
      </c>
      <c r="AJ88" s="132">
        <f t="shared" si="52"/>
        <v>5</v>
      </c>
      <c r="AK88" s="1">
        <f t="shared" si="53"/>
        <v>6.1844642124505134</v>
      </c>
      <c r="AL88" s="1">
        <f t="shared" si="38"/>
        <v>3.8247597595081145E-2</v>
      </c>
      <c r="AM88" s="1">
        <f t="shared" si="54"/>
        <v>0.15510000000000004</v>
      </c>
      <c r="AN88" s="136">
        <f t="shared" si="61"/>
        <v>0.13492681620472294</v>
      </c>
      <c r="AO88" s="133">
        <f t="shared" si="55"/>
        <v>0.32827441379980415</v>
      </c>
      <c r="AP88" s="132">
        <f t="shared" si="39"/>
        <v>0.23317756366179873</v>
      </c>
      <c r="AQ88" s="137">
        <f t="shared" si="40"/>
        <v>4.8384344459823243</v>
      </c>
      <c r="AR88" s="137">
        <f t="shared" si="41"/>
        <v>4.2955678487297727E-2</v>
      </c>
      <c r="AS88" s="1">
        <f t="shared" si="42"/>
        <v>3.7999999999999999E-2</v>
      </c>
      <c r="AT88" s="133">
        <f t="shared" si="56"/>
        <v>4.7240000000000004E-2</v>
      </c>
      <c r="AU88" s="132">
        <f t="shared" si="57"/>
        <v>10.669972466382333</v>
      </c>
      <c r="AV88" s="1">
        <f t="shared" si="58"/>
        <v>90</v>
      </c>
      <c r="AW88" s="133">
        <f t="shared" si="59"/>
        <v>89.401037662997823</v>
      </c>
    </row>
    <row r="89" spans="17:49" x14ac:dyDescent="0.25">
      <c r="Q89">
        <v>82</v>
      </c>
      <c r="R89" s="132">
        <f t="shared" si="32"/>
        <v>18</v>
      </c>
      <c r="S89" s="1">
        <f t="shared" si="33"/>
        <v>5</v>
      </c>
      <c r="T89" s="1">
        <f t="shared" si="34"/>
        <v>11.82</v>
      </c>
      <c r="U89" s="133">
        <f t="shared" si="43"/>
        <v>7.6142131979695433</v>
      </c>
      <c r="V89" s="132">
        <f>IF(Calculations!$B$17=3,2,IF((S89*R89/T89)&lt;((T89*(1-(T89/R89)))/(2*Lm*fsw)),1,2))</f>
        <v>2</v>
      </c>
      <c r="W89" s="1">
        <f t="shared" si="44"/>
        <v>0.34333333333333327</v>
      </c>
      <c r="X89" s="133">
        <f t="shared" si="35"/>
        <v>0.65666666666666673</v>
      </c>
      <c r="Y89" s="132">
        <f t="shared" si="36"/>
        <v>1.6232799999999998</v>
      </c>
      <c r="Z89" s="1">
        <f t="shared" si="45"/>
        <v>8.425853197969543</v>
      </c>
      <c r="AA89" s="1">
        <f t="shared" si="46"/>
        <v>7.6286190834689682</v>
      </c>
      <c r="AB89" s="1">
        <v>0</v>
      </c>
      <c r="AC89" s="1">
        <f t="shared" si="47"/>
        <v>4.8302538170153548</v>
      </c>
      <c r="AD89" s="133">
        <f t="shared" si="48"/>
        <v>4.8302538170153548</v>
      </c>
      <c r="AE89" s="132">
        <f t="shared" si="60"/>
        <v>2.6142131979695429</v>
      </c>
      <c r="AF89" s="1">
        <f t="shared" si="49"/>
        <v>4.4699628631673933</v>
      </c>
      <c r="AG89" s="1">
        <f t="shared" si="37"/>
        <v>1.9980567998095642E-2</v>
      </c>
      <c r="AH89" s="1">
        <f t="shared" si="50"/>
        <v>0.28316935431495627</v>
      </c>
      <c r="AI89" s="133">
        <f t="shared" si="51"/>
        <v>0.30314992231305193</v>
      </c>
      <c r="AJ89" s="132">
        <f t="shared" si="52"/>
        <v>5.0000000000000009</v>
      </c>
      <c r="AK89" s="1">
        <f t="shared" si="53"/>
        <v>6.1818493286856544</v>
      </c>
      <c r="AL89" s="1">
        <f t="shared" si="38"/>
        <v>3.821526112257128E-2</v>
      </c>
      <c r="AM89" s="1">
        <f t="shared" si="54"/>
        <v>0.15510000000000004</v>
      </c>
      <c r="AN89" s="136">
        <f t="shared" si="61"/>
        <v>0.1348136511675127</v>
      </c>
      <c r="AO89" s="133">
        <f t="shared" si="55"/>
        <v>0.32812891229008401</v>
      </c>
      <c r="AP89" s="132">
        <f t="shared" si="39"/>
        <v>0.2327833164826677</v>
      </c>
      <c r="AQ89" s="137">
        <f t="shared" si="40"/>
        <v>4.8302538170153548</v>
      </c>
      <c r="AR89" s="137">
        <f t="shared" si="41"/>
        <v>4.287949641248931E-2</v>
      </c>
      <c r="AS89" s="1">
        <f t="shared" si="42"/>
        <v>3.7999999999999999E-2</v>
      </c>
      <c r="AT89" s="133">
        <f t="shared" si="56"/>
        <v>4.7280000000000003E-2</v>
      </c>
      <c r="AU89" s="132">
        <f t="shared" si="57"/>
        <v>10.652729281529002</v>
      </c>
      <c r="AV89" s="1">
        <f t="shared" si="58"/>
        <v>90</v>
      </c>
      <c r="AW89" s="133">
        <f t="shared" si="59"/>
        <v>89.416353279668186</v>
      </c>
    </row>
    <row r="90" spans="17:49" x14ac:dyDescent="0.25">
      <c r="Q90">
        <v>83</v>
      </c>
      <c r="R90" s="132">
        <f t="shared" si="32"/>
        <v>18</v>
      </c>
      <c r="S90" s="1">
        <f t="shared" si="33"/>
        <v>5</v>
      </c>
      <c r="T90" s="1">
        <f t="shared" si="34"/>
        <v>11.83</v>
      </c>
      <c r="U90" s="133">
        <f t="shared" si="43"/>
        <v>7.6077768385460693</v>
      </c>
      <c r="V90" s="132">
        <f>IF(Calculations!$B$17=3,2,IF((S90*R90/T90)&lt;((T90*(1-(T90/R90)))/(2*Lm*fsw)),1,2))</f>
        <v>2</v>
      </c>
      <c r="W90" s="1">
        <f t="shared" si="44"/>
        <v>0.34277777777777774</v>
      </c>
      <c r="X90" s="133">
        <f t="shared" si="35"/>
        <v>0.65722222222222226</v>
      </c>
      <c r="Y90" s="132">
        <f t="shared" si="36"/>
        <v>1.6220244444444443</v>
      </c>
      <c r="Z90" s="1">
        <f t="shared" si="45"/>
        <v>8.418789060768292</v>
      </c>
      <c r="AA90" s="1">
        <f t="shared" si="46"/>
        <v>7.6221726145928566</v>
      </c>
      <c r="AB90" s="1">
        <v>0</v>
      </c>
      <c r="AC90" s="1">
        <f t="shared" si="47"/>
        <v>4.8220937754318927</v>
      </c>
      <c r="AD90" s="133">
        <f t="shared" si="48"/>
        <v>4.8220937754318927</v>
      </c>
      <c r="AE90" s="132">
        <f t="shared" si="60"/>
        <v>2.6077768385460689</v>
      </c>
      <c r="AF90" s="1">
        <f t="shared" si="49"/>
        <v>4.4625706954389353</v>
      </c>
      <c r="AG90" s="1">
        <f t="shared" si="37"/>
        <v>1.9914537211790342E-2</v>
      </c>
      <c r="AH90" s="1">
        <f t="shared" si="50"/>
        <v>0.28292998884216258</v>
      </c>
      <c r="AI90" s="133">
        <f t="shared" si="51"/>
        <v>0.3028445260539529</v>
      </c>
      <c r="AJ90" s="132">
        <f t="shared" si="52"/>
        <v>5</v>
      </c>
      <c r="AK90" s="1">
        <f t="shared" si="53"/>
        <v>6.1792376677757721</v>
      </c>
      <c r="AL90" s="1">
        <f t="shared" si="38"/>
        <v>3.8182978154858965E-2</v>
      </c>
      <c r="AM90" s="1">
        <f t="shared" si="54"/>
        <v>0.15510000000000004</v>
      </c>
      <c r="AN90" s="136">
        <f t="shared" si="61"/>
        <v>0.13470062497229268</v>
      </c>
      <c r="AO90" s="133">
        <f t="shared" si="55"/>
        <v>0.32798360312715169</v>
      </c>
      <c r="AP90" s="132">
        <f t="shared" si="39"/>
        <v>0.23239006146659721</v>
      </c>
      <c r="AQ90" s="137">
        <f t="shared" si="40"/>
        <v>4.8220937754318927</v>
      </c>
      <c r="AR90" s="137">
        <f t="shared" si="41"/>
        <v>4.2803120643872497E-2</v>
      </c>
      <c r="AS90" s="1">
        <f t="shared" si="42"/>
        <v>3.7999999999999999E-2</v>
      </c>
      <c r="AT90" s="133">
        <f t="shared" si="56"/>
        <v>4.7320000000000001E-2</v>
      </c>
      <c r="AU90" s="132">
        <f t="shared" si="57"/>
        <v>10.635528862155359</v>
      </c>
      <c r="AV90" s="1">
        <f t="shared" si="58"/>
        <v>90</v>
      </c>
      <c r="AW90" s="133">
        <f t="shared" si="59"/>
        <v>89.431636140429816</v>
      </c>
    </row>
    <row r="91" spans="17:49" x14ac:dyDescent="0.25">
      <c r="Q91">
        <v>84</v>
      </c>
      <c r="R91" s="132">
        <f t="shared" si="32"/>
        <v>18</v>
      </c>
      <c r="S91" s="1">
        <f t="shared" si="33"/>
        <v>5</v>
      </c>
      <c r="T91" s="1">
        <f t="shared" si="34"/>
        <v>11.84</v>
      </c>
      <c r="U91" s="133">
        <f t="shared" si="43"/>
        <v>7.6013513513513518</v>
      </c>
      <c r="V91" s="132">
        <f>IF(Calculations!$B$17=3,2,IF((S91*R91/T91)&lt;((T91*(1-(T91/R91)))/(2*Lm*fsw)),1,2))</f>
        <v>2</v>
      </c>
      <c r="W91" s="1">
        <f t="shared" si="44"/>
        <v>0.34222222222222221</v>
      </c>
      <c r="X91" s="133">
        <f t="shared" si="35"/>
        <v>0.65777777777777779</v>
      </c>
      <c r="Y91" s="132">
        <f t="shared" si="36"/>
        <v>1.6207644444444445</v>
      </c>
      <c r="Z91" s="1">
        <f t="shared" si="45"/>
        <v>8.4117335735735743</v>
      </c>
      <c r="AA91" s="1">
        <f t="shared" si="46"/>
        <v>7.6157369187353741</v>
      </c>
      <c r="AB91" s="1">
        <v>0</v>
      </c>
      <c r="AC91" s="1">
        <f t="shared" si="47"/>
        <v>4.8139542516772842</v>
      </c>
      <c r="AD91" s="133">
        <f t="shared" si="48"/>
        <v>4.8139542516772842</v>
      </c>
      <c r="AE91" s="132">
        <f t="shared" si="60"/>
        <v>2.6013513513513513</v>
      </c>
      <c r="AF91" s="1">
        <f t="shared" si="49"/>
        <v>4.4551880163766882</v>
      </c>
      <c r="AG91" s="1">
        <f t="shared" si="37"/>
        <v>1.9848700261266446E-2</v>
      </c>
      <c r="AH91" s="1">
        <f t="shared" si="50"/>
        <v>0.28269102770293775</v>
      </c>
      <c r="AI91" s="133">
        <f t="shared" si="51"/>
        <v>0.3025397279642042</v>
      </c>
      <c r="AJ91" s="132">
        <f t="shared" si="52"/>
        <v>5</v>
      </c>
      <c r="AK91" s="1">
        <f t="shared" si="53"/>
        <v>6.1766292226523136</v>
      </c>
      <c r="AL91" s="1">
        <f t="shared" si="38"/>
        <v>3.8150748554122524E-2</v>
      </c>
      <c r="AM91" s="1">
        <f t="shared" si="54"/>
        <v>0.15510000000000004</v>
      </c>
      <c r="AN91" s="136">
        <f t="shared" si="61"/>
        <v>0.1345877371771772</v>
      </c>
      <c r="AO91" s="133">
        <f t="shared" si="55"/>
        <v>0.32783848573129976</v>
      </c>
      <c r="AP91" s="132">
        <f t="shared" si="39"/>
        <v>0.23199779526155587</v>
      </c>
      <c r="AQ91" s="137">
        <f t="shared" si="40"/>
        <v>4.8139542516772842</v>
      </c>
      <c r="AR91" s="137">
        <f t="shared" si="41"/>
        <v>4.2726551981683639E-2</v>
      </c>
      <c r="AS91" s="1">
        <f t="shared" si="42"/>
        <v>3.7999999999999999E-2</v>
      </c>
      <c r="AT91" s="133">
        <f t="shared" si="56"/>
        <v>4.7359999999999999E-2</v>
      </c>
      <c r="AU91" s="132">
        <f t="shared" si="57"/>
        <v>10.618371064293314</v>
      </c>
      <c r="AV91" s="1">
        <f t="shared" si="58"/>
        <v>90</v>
      </c>
      <c r="AW91" s="133">
        <f t="shared" si="59"/>
        <v>89.446886336980782</v>
      </c>
    </row>
    <row r="92" spans="17:49" x14ac:dyDescent="0.25">
      <c r="Q92">
        <v>85</v>
      </c>
      <c r="R92" s="132">
        <f t="shared" si="32"/>
        <v>18</v>
      </c>
      <c r="S92" s="1">
        <f t="shared" si="33"/>
        <v>5</v>
      </c>
      <c r="T92" s="1">
        <f t="shared" si="34"/>
        <v>11.85</v>
      </c>
      <c r="U92" s="133">
        <f t="shared" si="43"/>
        <v>7.59493670886076</v>
      </c>
      <c r="V92" s="132">
        <f>IF(Calculations!$B$17=3,2,IF((S92*R92/T92)&lt;((T92*(1-(T92/R92)))/(2*Lm*fsw)),1,2))</f>
        <v>2</v>
      </c>
      <c r="W92" s="1">
        <f t="shared" si="44"/>
        <v>0.34166666666666667</v>
      </c>
      <c r="X92" s="133">
        <f t="shared" si="35"/>
        <v>0.65833333333333333</v>
      </c>
      <c r="Y92" s="132">
        <f t="shared" si="36"/>
        <v>1.6194999999999999</v>
      </c>
      <c r="Z92" s="1">
        <f t="shared" si="45"/>
        <v>8.4046867088607602</v>
      </c>
      <c r="AA92" s="1">
        <f t="shared" si="46"/>
        <v>7.609311968399906</v>
      </c>
      <c r="AB92" s="1">
        <v>0</v>
      </c>
      <c r="AC92" s="1">
        <f t="shared" si="47"/>
        <v>4.8058351764920264</v>
      </c>
      <c r="AD92" s="133">
        <f t="shared" si="48"/>
        <v>4.8058351764920264</v>
      </c>
      <c r="AE92" s="132">
        <f t="shared" si="60"/>
        <v>2.5949367088607596</v>
      </c>
      <c r="AF92" s="1">
        <f t="shared" si="49"/>
        <v>4.4478147948644366</v>
      </c>
      <c r="AG92" s="1">
        <f t="shared" si="37"/>
        <v>1.9783056449414971E-2</v>
      </c>
      <c r="AH92" s="1">
        <f t="shared" si="50"/>
        <v>0.28245246987365263</v>
      </c>
      <c r="AI92" s="133">
        <f t="shared" si="51"/>
        <v>0.3022355263230676</v>
      </c>
      <c r="AJ92" s="132">
        <f t="shared" si="52"/>
        <v>5</v>
      </c>
      <c r="AK92" s="1">
        <f t="shared" si="53"/>
        <v>6.1740239862685247</v>
      </c>
      <c r="AL92" s="1">
        <f t="shared" si="38"/>
        <v>3.8118572183019082E-2</v>
      </c>
      <c r="AM92" s="1">
        <f t="shared" si="54"/>
        <v>0.15510000000000004</v>
      </c>
      <c r="AN92" s="136">
        <f t="shared" si="61"/>
        <v>0.13447498734177216</v>
      </c>
      <c r="AO92" s="133">
        <f t="shared" si="55"/>
        <v>0.32769355952479129</v>
      </c>
      <c r="AP92" s="132">
        <f t="shared" si="39"/>
        <v>0.23160651452973621</v>
      </c>
      <c r="AQ92" s="137">
        <f t="shared" si="40"/>
        <v>4.8058351764920264</v>
      </c>
      <c r="AR92" s="137">
        <f t="shared" si="41"/>
        <v>4.2649791228659341E-2</v>
      </c>
      <c r="AS92" s="1">
        <f t="shared" si="42"/>
        <v>3.7999999999999999E-2</v>
      </c>
      <c r="AT92" s="133">
        <f t="shared" si="56"/>
        <v>4.7399999999999998E-2</v>
      </c>
      <c r="AU92" s="132">
        <f t="shared" si="57"/>
        <v>10.601255744590306</v>
      </c>
      <c r="AV92" s="1">
        <f t="shared" si="58"/>
        <v>90</v>
      </c>
      <c r="AW92" s="133">
        <f t="shared" si="59"/>
        <v>89.462103960704908</v>
      </c>
    </row>
    <row r="93" spans="17:49" x14ac:dyDescent="0.25">
      <c r="Q93">
        <v>86</v>
      </c>
      <c r="R93" s="132">
        <f t="shared" si="32"/>
        <v>18</v>
      </c>
      <c r="S93" s="1">
        <f t="shared" si="33"/>
        <v>5</v>
      </c>
      <c r="T93" s="1">
        <f t="shared" si="34"/>
        <v>11.86</v>
      </c>
      <c r="U93" s="133">
        <f t="shared" si="43"/>
        <v>7.5885328836424959</v>
      </c>
      <c r="V93" s="132">
        <f>IF(Calculations!$B$17=3,2,IF((S93*R93/T93)&lt;((T93*(1-(T93/R93)))/(2*Lm*fsw)),1,2))</f>
        <v>2</v>
      </c>
      <c r="W93" s="1">
        <f t="shared" si="44"/>
        <v>0.34111111111111114</v>
      </c>
      <c r="X93" s="133">
        <f t="shared" si="35"/>
        <v>0.65888888888888886</v>
      </c>
      <c r="Y93" s="132">
        <f t="shared" si="36"/>
        <v>1.6182311111111112</v>
      </c>
      <c r="Z93" s="1">
        <f t="shared" si="45"/>
        <v>8.3976484391980506</v>
      </c>
      <c r="AA93" s="1">
        <f t="shared" si="46"/>
        <v>7.6028977361839356</v>
      </c>
      <c r="AB93" s="1">
        <v>0</v>
      </c>
      <c r="AC93" s="1">
        <f t="shared" si="47"/>
        <v>4.7977364809102774</v>
      </c>
      <c r="AD93" s="133">
        <f t="shared" si="48"/>
        <v>4.7977364809102774</v>
      </c>
      <c r="AE93" s="132">
        <f t="shared" si="60"/>
        <v>2.5885328836424959</v>
      </c>
      <c r="AF93" s="1">
        <f t="shared" si="49"/>
        <v>4.4404509998634323</v>
      </c>
      <c r="AG93" s="1">
        <f t="shared" si="37"/>
        <v>1.9717605082188155E-2</v>
      </c>
      <c r="AH93" s="1">
        <f t="shared" si="50"/>
        <v>0.28221431433413019</v>
      </c>
      <c r="AI93" s="133">
        <f t="shared" si="51"/>
        <v>0.30193191941631836</v>
      </c>
      <c r="AJ93" s="132">
        <f t="shared" si="52"/>
        <v>5</v>
      </c>
      <c r="AK93" s="1">
        <f t="shared" si="53"/>
        <v>6.1714219515993767</v>
      </c>
      <c r="AL93" s="1">
        <f t="shared" si="38"/>
        <v>3.8086448904682664E-2</v>
      </c>
      <c r="AM93" s="1">
        <f t="shared" si="54"/>
        <v>0.15510000000000004</v>
      </c>
      <c r="AN93" s="136">
        <f t="shared" si="61"/>
        <v>0.1343623750271688</v>
      </c>
      <c r="AO93" s="133">
        <f t="shared" si="55"/>
        <v>0.32754882393185147</v>
      </c>
      <c r="AP93" s="132">
        <f t="shared" si="39"/>
        <v>0.23121621594748326</v>
      </c>
      <c r="AQ93" s="137">
        <f t="shared" si="40"/>
        <v>4.7977364809102774</v>
      </c>
      <c r="AR93" s="137">
        <f t="shared" si="41"/>
        <v>4.2572839190032741E-2</v>
      </c>
      <c r="AS93" s="1">
        <f t="shared" si="42"/>
        <v>3.7999999999999999E-2</v>
      </c>
      <c r="AT93" s="133">
        <f t="shared" si="56"/>
        <v>4.7439999999999996E-2</v>
      </c>
      <c r="AU93" s="132">
        <f t="shared" si="57"/>
        <v>10.584182760306241</v>
      </c>
      <c r="AV93" s="1">
        <f t="shared" si="58"/>
        <v>90</v>
      </c>
      <c r="AW93" s="133">
        <f t="shared" si="59"/>
        <v>89.477289102672813</v>
      </c>
    </row>
    <row r="94" spans="17:49" x14ac:dyDescent="0.25">
      <c r="Q94">
        <v>87</v>
      </c>
      <c r="R94" s="132">
        <f t="shared" si="32"/>
        <v>18</v>
      </c>
      <c r="S94" s="1">
        <f t="shared" si="33"/>
        <v>5</v>
      </c>
      <c r="T94" s="1">
        <f t="shared" si="34"/>
        <v>11.87</v>
      </c>
      <c r="U94" s="133">
        <f t="shared" si="43"/>
        <v>7.5821398483572038</v>
      </c>
      <c r="V94" s="132">
        <f>IF(Calculations!$B$17=3,2,IF((S94*R94/T94)&lt;((T94*(1-(T94/R94)))/(2*Lm*fsw)),1,2))</f>
        <v>2</v>
      </c>
      <c r="W94" s="1">
        <f t="shared" si="44"/>
        <v>0.34055555555555561</v>
      </c>
      <c r="X94" s="133">
        <f t="shared" si="35"/>
        <v>0.65944444444444439</v>
      </c>
      <c r="Y94" s="132">
        <f t="shared" si="36"/>
        <v>1.6169577777777779</v>
      </c>
      <c r="Z94" s="1">
        <f t="shared" si="45"/>
        <v>8.3906187372460934</v>
      </c>
      <c r="AA94" s="1">
        <f t="shared" si="46"/>
        <v>7.5964941947786588</v>
      </c>
      <c r="AB94" s="1">
        <v>0</v>
      </c>
      <c r="AC94" s="1">
        <f t="shared" si="47"/>
        <v>4.7896580962583872</v>
      </c>
      <c r="AD94" s="133">
        <f t="shared" si="48"/>
        <v>4.7896580962583872</v>
      </c>
      <c r="AE94" s="132">
        <f t="shared" si="60"/>
        <v>2.5821398483572038</v>
      </c>
      <c r="AF94" s="1">
        <f t="shared" si="49"/>
        <v>4.4330966004119086</v>
      </c>
      <c r="AG94" s="1">
        <f t="shared" si="37"/>
        <v>1.9652345468583621E-2</v>
      </c>
      <c r="AH94" s="1">
        <f t="shared" si="50"/>
        <v>0.28197656006763133</v>
      </c>
      <c r="AI94" s="133">
        <f t="shared" si="51"/>
        <v>0.30162890553621496</v>
      </c>
      <c r="AJ94" s="132">
        <f t="shared" si="52"/>
        <v>5</v>
      </c>
      <c r="AK94" s="1">
        <f t="shared" si="53"/>
        <v>6.1688231116414958</v>
      </c>
      <c r="AL94" s="1">
        <f t="shared" si="38"/>
        <v>3.8054378582722266E-2</v>
      </c>
      <c r="AM94" s="1">
        <f t="shared" si="54"/>
        <v>0.15510000000000004</v>
      </c>
      <c r="AN94" s="136">
        <f t="shared" si="61"/>
        <v>0.13424989979593749</v>
      </c>
      <c r="AO94" s="133">
        <f t="shared" si="55"/>
        <v>0.32740427837865982</v>
      </c>
      <c r="AP94" s="132">
        <f t="shared" si="39"/>
        <v>0.23082689620522345</v>
      </c>
      <c r="AQ94" s="137">
        <f t="shared" si="40"/>
        <v>4.7896580962583872</v>
      </c>
      <c r="AR94" s="137">
        <f t="shared" si="41"/>
        <v>4.2495696673529669E-2</v>
      </c>
      <c r="AS94" s="1">
        <f t="shared" si="42"/>
        <v>3.7999999999999999E-2</v>
      </c>
      <c r="AT94" s="133">
        <f t="shared" si="56"/>
        <v>4.7479999999999994E-2</v>
      </c>
      <c r="AU94" s="132">
        <f t="shared" si="57"/>
        <v>10.567151969310403</v>
      </c>
      <c r="AV94" s="1">
        <f t="shared" si="58"/>
        <v>90</v>
      </c>
      <c r="AW94" s="133">
        <f t="shared" si="59"/>
        <v>89.492441853643101</v>
      </c>
    </row>
    <row r="95" spans="17:49" x14ac:dyDescent="0.25">
      <c r="Q95">
        <v>88</v>
      </c>
      <c r="R95" s="132">
        <f t="shared" si="32"/>
        <v>18</v>
      </c>
      <c r="S95" s="1">
        <f t="shared" si="33"/>
        <v>5</v>
      </c>
      <c r="T95" s="1">
        <f t="shared" si="34"/>
        <v>11.88</v>
      </c>
      <c r="U95" s="133">
        <f t="shared" si="43"/>
        <v>7.5757575757575752</v>
      </c>
      <c r="V95" s="132">
        <f>IF(Calculations!$B$17=3,2,IF((S95*R95/T95)&lt;((T95*(1-(T95/R95)))/(2*Lm*fsw)),1,2))</f>
        <v>2</v>
      </c>
      <c r="W95" s="1">
        <f t="shared" si="44"/>
        <v>0.33999999999999997</v>
      </c>
      <c r="X95" s="133">
        <f t="shared" si="35"/>
        <v>0.66</v>
      </c>
      <c r="Y95" s="132">
        <f t="shared" si="36"/>
        <v>1.61568</v>
      </c>
      <c r="Z95" s="1">
        <f t="shared" si="45"/>
        <v>8.3835975757575749</v>
      </c>
      <c r="AA95" s="1">
        <f t="shared" si="46"/>
        <v>7.590101316968588</v>
      </c>
      <c r="AB95" s="1">
        <v>0</v>
      </c>
      <c r="AC95" s="1">
        <f t="shared" si="47"/>
        <v>4.7815999541534087</v>
      </c>
      <c r="AD95" s="133">
        <f t="shared" si="48"/>
        <v>4.7815999541534087</v>
      </c>
      <c r="AE95" s="132">
        <f t="shared" si="60"/>
        <v>2.5757575757575752</v>
      </c>
      <c r="AF95" s="1">
        <f t="shared" si="49"/>
        <v>4.4257515656245792</v>
      </c>
      <c r="AG95" s="1">
        <f t="shared" si="37"/>
        <v>1.9587276920628414E-2</v>
      </c>
      <c r="AH95" s="1">
        <f t="shared" si="50"/>
        <v>0.28173920606084035</v>
      </c>
      <c r="AI95" s="133">
        <f t="shared" si="51"/>
        <v>0.30132648298146875</v>
      </c>
      <c r="AJ95" s="132">
        <f t="shared" si="52"/>
        <v>5</v>
      </c>
      <c r="AK95" s="1">
        <f t="shared" si="53"/>
        <v>6.1662274594130784</v>
      </c>
      <c r="AL95" s="1">
        <f t="shared" si="38"/>
        <v>3.8022361081219869E-2</v>
      </c>
      <c r="AM95" s="1">
        <f t="shared" si="54"/>
        <v>0.15510000000000004</v>
      </c>
      <c r="AN95" s="136">
        <f t="shared" si="61"/>
        <v>0.1341375612121212</v>
      </c>
      <c r="AO95" s="133">
        <f t="shared" si="55"/>
        <v>0.32725992229334111</v>
      </c>
      <c r="AP95" s="132">
        <f t="shared" si="39"/>
        <v>0.23043855200739319</v>
      </c>
      <c r="AQ95" s="137">
        <f t="shared" si="40"/>
        <v>4.7815999541534087</v>
      </c>
      <c r="AR95" s="137">
        <f t="shared" si="41"/>
        <v>4.2418364489364445E-2</v>
      </c>
      <c r="AS95" s="1">
        <f t="shared" si="42"/>
        <v>3.7999999999999999E-2</v>
      </c>
      <c r="AT95" s="133">
        <f t="shared" si="56"/>
        <v>4.7520000000000007E-2</v>
      </c>
      <c r="AU95" s="132">
        <f t="shared" si="57"/>
        <v>10.550163230078386</v>
      </c>
      <c r="AV95" s="1">
        <f t="shared" si="58"/>
        <v>90</v>
      </c>
      <c r="AW95" s="133">
        <f t="shared" si="59"/>
        <v>89.507562304063555</v>
      </c>
    </row>
    <row r="96" spans="17:49" x14ac:dyDescent="0.25">
      <c r="Q96">
        <v>89</v>
      </c>
      <c r="R96" s="132">
        <f t="shared" si="32"/>
        <v>18</v>
      </c>
      <c r="S96" s="1">
        <f t="shared" si="33"/>
        <v>5</v>
      </c>
      <c r="T96" s="1">
        <f t="shared" si="34"/>
        <v>11.89</v>
      </c>
      <c r="U96" s="133">
        <f t="shared" si="43"/>
        <v>7.5693860386879726</v>
      </c>
      <c r="V96" s="132">
        <f>IF(Calculations!$B$17=3,2,IF((S96*R96/T96)&lt;((T96*(1-(T96/R96)))/(2*Lm*fsw)),1,2))</f>
        <v>2</v>
      </c>
      <c r="W96" s="1">
        <f t="shared" si="44"/>
        <v>0.33944444444444444</v>
      </c>
      <c r="X96" s="133">
        <f t="shared" si="35"/>
        <v>0.66055555555555556</v>
      </c>
      <c r="Y96" s="132">
        <f t="shared" si="36"/>
        <v>1.6143977777777778</v>
      </c>
      <c r="Z96" s="1">
        <f t="shared" si="45"/>
        <v>8.3765849275768609</v>
      </c>
      <c r="AA96" s="1">
        <f t="shared" si="46"/>
        <v>7.5837190756311781</v>
      </c>
      <c r="AB96" s="1">
        <v>0</v>
      </c>
      <c r="AC96" s="1">
        <f t="shared" si="47"/>
        <v>4.7735619865016536</v>
      </c>
      <c r="AD96" s="133">
        <f t="shared" si="48"/>
        <v>4.7735619865016536</v>
      </c>
      <c r="AE96" s="132">
        <f t="shared" si="60"/>
        <v>2.569386038687973</v>
      </c>
      <c r="AF96" s="1">
        <f t="shared" si="49"/>
        <v>4.4184158646921778</v>
      </c>
      <c r="AG96" s="1">
        <f t="shared" si="37"/>
        <v>1.9522398753363524E-2</v>
      </c>
      <c r="AH96" s="1">
        <f t="shared" si="50"/>
        <v>0.28150225130385059</v>
      </c>
      <c r="AI96" s="133">
        <f t="shared" si="51"/>
        <v>0.30102465005721413</v>
      </c>
      <c r="AJ96" s="132">
        <f t="shared" si="52"/>
        <v>5</v>
      </c>
      <c r="AK96" s="1">
        <f t="shared" si="53"/>
        <v>6.163634987953837</v>
      </c>
      <c r="AL96" s="1">
        <f t="shared" si="38"/>
        <v>3.7990396264728693E-2</v>
      </c>
      <c r="AM96" s="1">
        <f t="shared" si="54"/>
        <v>0.15510000000000004</v>
      </c>
      <c r="AN96" s="136">
        <f t="shared" si="61"/>
        <v>0.13402535884122976</v>
      </c>
      <c r="AO96" s="133">
        <f t="shared" si="55"/>
        <v>0.32711575510595847</v>
      </c>
      <c r="AP96" s="132">
        <f t="shared" si="39"/>
        <v>0.23005118007236885</v>
      </c>
      <c r="AQ96" s="137">
        <f t="shared" si="40"/>
        <v>4.7735619865016536</v>
      </c>
      <c r="AR96" s="137">
        <f t="shared" si="41"/>
        <v>4.2340843450236774E-2</v>
      </c>
      <c r="AS96" s="1">
        <f t="shared" si="42"/>
        <v>3.7999999999999999E-2</v>
      </c>
      <c r="AT96" s="133">
        <f t="shared" si="56"/>
        <v>4.7560000000000005E-2</v>
      </c>
      <c r="AU96" s="132">
        <f t="shared" si="57"/>
        <v>10.533216401689085</v>
      </c>
      <c r="AV96" s="1">
        <f t="shared" si="58"/>
        <v>90</v>
      </c>
      <c r="AW96" s="133">
        <f t="shared" si="59"/>
        <v>89.522650544072206</v>
      </c>
    </row>
    <row r="97" spans="17:49" x14ac:dyDescent="0.25">
      <c r="Q97">
        <v>90</v>
      </c>
      <c r="R97" s="132">
        <f t="shared" si="32"/>
        <v>18</v>
      </c>
      <c r="S97" s="1">
        <f t="shared" si="33"/>
        <v>5</v>
      </c>
      <c r="T97" s="1">
        <f t="shared" si="34"/>
        <v>11.9</v>
      </c>
      <c r="U97" s="133">
        <f t="shared" si="43"/>
        <v>7.5630252100840334</v>
      </c>
      <c r="V97" s="132">
        <f>IF(Calculations!$B$17=3,2,IF((S97*R97/T97)&lt;((T97*(1-(T97/R97)))/(2*Lm*fsw)),1,2))</f>
        <v>2</v>
      </c>
      <c r="W97" s="1">
        <f t="shared" si="44"/>
        <v>0.33888888888888891</v>
      </c>
      <c r="X97" s="133">
        <f t="shared" si="35"/>
        <v>0.66111111111111109</v>
      </c>
      <c r="Y97" s="132">
        <f t="shared" si="36"/>
        <v>1.6131111111111114</v>
      </c>
      <c r="Z97" s="1">
        <f t="shared" si="45"/>
        <v>8.36958076563959</v>
      </c>
      <c r="AA97" s="1">
        <f t="shared" si="46"/>
        <v>7.5773474437364392</v>
      </c>
      <c r="AB97" s="1">
        <v>0</v>
      </c>
      <c r="AC97" s="1">
        <f t="shared" si="47"/>
        <v>4.7655441254972297</v>
      </c>
      <c r="AD97" s="133">
        <f t="shared" si="48"/>
        <v>4.7655441254972297</v>
      </c>
      <c r="AE97" s="132">
        <f t="shared" si="60"/>
        <v>2.5630252100840338</v>
      </c>
      <c r="AF97" s="1">
        <f t="shared" si="49"/>
        <v>4.4110894668809486</v>
      </c>
      <c r="AG97" s="1">
        <f t="shared" si="37"/>
        <v>1.945771028482805E-2</v>
      </c>
      <c r="AH97" s="1">
        <f t="shared" si="50"/>
        <v>0.2812656947901499</v>
      </c>
      <c r="AI97" s="133">
        <f t="shared" si="51"/>
        <v>0.30072340507497797</v>
      </c>
      <c r="AJ97" s="132">
        <f t="shared" si="52"/>
        <v>5</v>
      </c>
      <c r="AK97" s="1">
        <f t="shared" si="53"/>
        <v>6.1610456903249071</v>
      </c>
      <c r="AL97" s="1">
        <f t="shared" si="38"/>
        <v>3.7958483998271113E-2</v>
      </c>
      <c r="AM97" s="1">
        <f t="shared" si="54"/>
        <v>0.15510000000000004</v>
      </c>
      <c r="AN97" s="136">
        <f t="shared" si="61"/>
        <v>0.13391329225023343</v>
      </c>
      <c r="AO97" s="133">
        <f t="shared" si="55"/>
        <v>0.3269717762485046</v>
      </c>
      <c r="AP97" s="132">
        <f t="shared" si="39"/>
        <v>0.22966477713239661</v>
      </c>
      <c r="AQ97" s="137">
        <f t="shared" si="40"/>
        <v>4.7655441254972297</v>
      </c>
      <c r="AR97" s="137">
        <f t="shared" si="41"/>
        <v>4.2263134371327192E-2</v>
      </c>
      <c r="AS97" s="1">
        <f t="shared" si="42"/>
        <v>3.7999999999999999E-2</v>
      </c>
      <c r="AT97" s="133">
        <f t="shared" si="56"/>
        <v>4.7600000000000003E-2</v>
      </c>
      <c r="AU97" s="132">
        <f t="shared" si="57"/>
        <v>10.516311343821664</v>
      </c>
      <c r="AV97" s="1">
        <f t="shared" si="58"/>
        <v>90</v>
      </c>
      <c r="AW97" s="133">
        <f t="shared" si="59"/>
        <v>89.537706663498582</v>
      </c>
    </row>
    <row r="98" spans="17:49" x14ac:dyDescent="0.25">
      <c r="Q98">
        <v>91</v>
      </c>
      <c r="R98" s="132">
        <f t="shared" si="32"/>
        <v>18</v>
      </c>
      <c r="S98" s="1">
        <f t="shared" si="33"/>
        <v>5</v>
      </c>
      <c r="T98" s="1">
        <f t="shared" si="34"/>
        <v>11.91</v>
      </c>
      <c r="U98" s="133">
        <f t="shared" si="43"/>
        <v>7.5566750629722925</v>
      </c>
      <c r="V98" s="132">
        <f>IF(Calculations!$B$17=3,2,IF((S98*R98/T98)&lt;((T98*(1-(T98/R98)))/(2*Lm*fsw)),1,2))</f>
        <v>2</v>
      </c>
      <c r="W98" s="1">
        <f t="shared" si="44"/>
        <v>0.33833333333333337</v>
      </c>
      <c r="X98" s="133">
        <f t="shared" si="35"/>
        <v>0.66166666666666663</v>
      </c>
      <c r="Y98" s="132">
        <f t="shared" si="36"/>
        <v>1.6118200000000003</v>
      </c>
      <c r="Z98" s="1">
        <f t="shared" si="45"/>
        <v>8.3625850629722933</v>
      </c>
      <c r="AA98" s="1">
        <f t="shared" si="46"/>
        <v>7.5709863943465541</v>
      </c>
      <c r="AB98" s="1">
        <v>0</v>
      </c>
      <c r="AC98" s="1">
        <f t="shared" si="47"/>
        <v>4.7575463036205932</v>
      </c>
      <c r="AD98" s="133">
        <f t="shared" si="48"/>
        <v>4.7575463036205932</v>
      </c>
      <c r="AE98" s="132">
        <f t="shared" si="60"/>
        <v>2.5566750629722925</v>
      </c>
      <c r="AF98" s="1">
        <f t="shared" si="49"/>
        <v>4.4037723415321768</v>
      </c>
      <c r="AG98" s="1">
        <f t="shared" si="37"/>
        <v>1.9393210836043794E-2</v>
      </c>
      <c r="AH98" s="1">
        <f t="shared" si="50"/>
        <v>0.28102953551660653</v>
      </c>
      <c r="AI98" s="133">
        <f t="shared" si="51"/>
        <v>0.30042274635265032</v>
      </c>
      <c r="AJ98" s="132">
        <f t="shared" si="52"/>
        <v>5</v>
      </c>
      <c r="AK98" s="1">
        <f t="shared" si="53"/>
        <v>6.1584595596087874</v>
      </c>
      <c r="AL98" s="1">
        <f t="shared" si="38"/>
        <v>3.7926624147336857E-2</v>
      </c>
      <c r="AM98" s="1">
        <f t="shared" si="54"/>
        <v>0.15510000000000004</v>
      </c>
      <c r="AN98" s="136">
        <f t="shared" si="61"/>
        <v>0.13380136100755669</v>
      </c>
      <c r="AO98" s="133">
        <f t="shared" si="55"/>
        <v>0.32682798515489359</v>
      </c>
      <c r="AP98" s="132">
        <f t="shared" si="39"/>
        <v>0.22927933993352256</v>
      </c>
      <c r="AQ98" s="137">
        <f t="shared" si="40"/>
        <v>4.7575463036205932</v>
      </c>
      <c r="AR98" s="137">
        <f t="shared" si="41"/>
        <v>4.2185238070293521E-2</v>
      </c>
      <c r="AS98" s="1">
        <f t="shared" si="42"/>
        <v>3.7999999999999999E-2</v>
      </c>
      <c r="AT98" s="133">
        <f t="shared" si="56"/>
        <v>4.7640000000000002E-2</v>
      </c>
      <c r="AU98" s="132">
        <f t="shared" si="57"/>
        <v>10.499447916752548</v>
      </c>
      <c r="AV98" s="1">
        <f t="shared" si="58"/>
        <v>90</v>
      </c>
      <c r="AW98" s="133">
        <f t="shared" si="59"/>
        <v>89.5527307518648</v>
      </c>
    </row>
    <row r="99" spans="17:49" x14ac:dyDescent="0.25">
      <c r="Q99">
        <v>92</v>
      </c>
      <c r="R99" s="132">
        <f t="shared" si="32"/>
        <v>18</v>
      </c>
      <c r="S99" s="1">
        <f t="shared" si="33"/>
        <v>5</v>
      </c>
      <c r="T99" s="1">
        <f t="shared" si="34"/>
        <v>11.92</v>
      </c>
      <c r="U99" s="133">
        <f t="shared" si="43"/>
        <v>7.550335570469799</v>
      </c>
      <c r="V99" s="132">
        <f>IF(Calculations!$B$17=3,2,IF((S99*R99/T99)&lt;((T99*(1-(T99/R99)))/(2*Lm*fsw)),1,2))</f>
        <v>2</v>
      </c>
      <c r="W99" s="1">
        <f t="shared" si="44"/>
        <v>0.33777777777777773</v>
      </c>
      <c r="X99" s="133">
        <f t="shared" si="35"/>
        <v>0.66222222222222227</v>
      </c>
      <c r="Y99" s="132">
        <f t="shared" si="36"/>
        <v>1.6105244444444442</v>
      </c>
      <c r="Z99" s="1">
        <f t="shared" si="45"/>
        <v>8.3555977926920217</v>
      </c>
      <c r="AA99" s="1">
        <f t="shared" si="46"/>
        <v>7.5646359006155031</v>
      </c>
      <c r="AB99" s="1">
        <v>0</v>
      </c>
      <c r="AC99" s="1">
        <f t="shared" si="47"/>
        <v>4.7495684536371172</v>
      </c>
      <c r="AD99" s="133">
        <f t="shared" si="48"/>
        <v>4.7495684536371172</v>
      </c>
      <c r="AE99" s="132">
        <f t="shared" si="60"/>
        <v>2.5503355704697985</v>
      </c>
      <c r="AF99" s="1">
        <f t="shared" si="49"/>
        <v>4.3964644580617023</v>
      </c>
      <c r="AG99" s="1">
        <f t="shared" si="37"/>
        <v>1.9328899730999778E-2</v>
      </c>
      <c r="AH99" s="1">
        <f t="shared" si="50"/>
        <v>0.28079377248345505</v>
      </c>
      <c r="AI99" s="133">
        <f t="shared" si="51"/>
        <v>0.30012267221445482</v>
      </c>
      <c r="AJ99" s="132">
        <f t="shared" si="52"/>
        <v>5.0000000000000009</v>
      </c>
      <c r="AK99" s="1">
        <f t="shared" si="53"/>
        <v>6.1558765889092646</v>
      </c>
      <c r="AL99" s="1">
        <f t="shared" si="38"/>
        <v>3.7894816577881164E-2</v>
      </c>
      <c r="AM99" s="1">
        <f t="shared" si="54"/>
        <v>0.15510000000000004</v>
      </c>
      <c r="AN99" s="136">
        <f t="shared" si="61"/>
        <v>0.13368956468307236</v>
      </c>
      <c r="AO99" s="133">
        <f t="shared" si="55"/>
        <v>0.32668438126095356</v>
      </c>
      <c r="AP99" s="132">
        <f t="shared" si="39"/>
        <v>0.22889486523552369</v>
      </c>
      <c r="AQ99" s="137">
        <f t="shared" si="40"/>
        <v>4.7495684536371172</v>
      </c>
      <c r="AR99" s="137">
        <f t="shared" si="41"/>
        <v>4.2107155367266946E-2</v>
      </c>
      <c r="AS99" s="1">
        <f t="shared" si="42"/>
        <v>3.7999999999999999E-2</v>
      </c>
      <c r="AT99" s="133">
        <f t="shared" si="56"/>
        <v>4.768E-2</v>
      </c>
      <c r="AU99" s="132">
        <f t="shared" si="57"/>
        <v>10.482625981352433</v>
      </c>
      <c r="AV99" s="1">
        <f t="shared" si="58"/>
        <v>90</v>
      </c>
      <c r="AW99" s="133">
        <f t="shared" si="59"/>
        <v>89.567722898386634</v>
      </c>
    </row>
    <row r="100" spans="17:49" x14ac:dyDescent="0.25">
      <c r="Q100">
        <v>93</v>
      </c>
      <c r="R100" s="132">
        <f t="shared" si="32"/>
        <v>18</v>
      </c>
      <c r="S100" s="1">
        <f t="shared" si="33"/>
        <v>5</v>
      </c>
      <c r="T100" s="1">
        <f t="shared" si="34"/>
        <v>11.93</v>
      </c>
      <c r="U100" s="133">
        <f t="shared" si="43"/>
        <v>7.5440067057837386</v>
      </c>
      <c r="V100" s="132">
        <f>IF(Calculations!$B$17=3,2,IF((S100*R100/T100)&lt;((T100*(1-(T100/R100)))/(2*Lm*fsw)),1,2))</f>
        <v>2</v>
      </c>
      <c r="W100" s="1">
        <f t="shared" si="44"/>
        <v>0.3372222222222222</v>
      </c>
      <c r="X100" s="133">
        <f t="shared" si="35"/>
        <v>0.6627777777777778</v>
      </c>
      <c r="Y100" s="132">
        <f t="shared" si="36"/>
        <v>1.6092244444444443</v>
      </c>
      <c r="Z100" s="1">
        <f t="shared" si="45"/>
        <v>8.3486189280059602</v>
      </c>
      <c r="AA100" s="1">
        <f t="shared" si="46"/>
        <v>7.5582959357886885</v>
      </c>
      <c r="AB100" s="1">
        <v>0</v>
      </c>
      <c r="AC100" s="1">
        <f t="shared" si="47"/>
        <v>4.7416105085956648</v>
      </c>
      <c r="AD100" s="133">
        <f t="shared" si="48"/>
        <v>4.7416105085956648</v>
      </c>
      <c r="AE100" s="132">
        <f t="shared" si="60"/>
        <v>2.5440067057837386</v>
      </c>
      <c r="AF100" s="1">
        <f t="shared" si="49"/>
        <v>4.3891657859594462</v>
      </c>
      <c r="AG100" s="1">
        <f t="shared" si="37"/>
        <v>1.9264776296637004E-2</v>
      </c>
      <c r="AH100" s="1">
        <f t="shared" si="50"/>
        <v>0.280558404694282</v>
      </c>
      <c r="AI100" s="133">
        <f t="shared" si="51"/>
        <v>0.29982318099091898</v>
      </c>
      <c r="AJ100" s="132">
        <f t="shared" si="52"/>
        <v>5</v>
      </c>
      <c r="AK100" s="1">
        <f t="shared" si="53"/>
        <v>6.1532967713513385</v>
      </c>
      <c r="AL100" s="1">
        <f t="shared" si="38"/>
        <v>3.7863061156322805E-2</v>
      </c>
      <c r="AM100" s="1">
        <f t="shared" si="54"/>
        <v>0.15510000000000004</v>
      </c>
      <c r="AN100" s="136">
        <f t="shared" si="61"/>
        <v>0.13357790284809537</v>
      </c>
      <c r="AO100" s="133">
        <f t="shared" si="55"/>
        <v>0.32654096400441823</v>
      </c>
      <c r="AP100" s="132">
        <f t="shared" si="39"/>
        <v>0.22851134981183924</v>
      </c>
      <c r="AQ100" s="137">
        <f t="shared" si="40"/>
        <v>4.7416105085956648</v>
      </c>
      <c r="AR100" s="137">
        <f t="shared" si="41"/>
        <v>4.2028887084848129E-2</v>
      </c>
      <c r="AS100" s="1">
        <f t="shared" si="42"/>
        <v>3.7999999999999999E-2</v>
      </c>
      <c r="AT100" s="133">
        <f t="shared" si="56"/>
        <v>4.7719999999999999E-2</v>
      </c>
      <c r="AU100" s="132">
        <f t="shared" si="57"/>
        <v>10.465845399083355</v>
      </c>
      <c r="AV100" s="1">
        <f t="shared" si="58"/>
        <v>90</v>
      </c>
      <c r="AW100" s="133">
        <f t="shared" si="59"/>
        <v>89.58268319197478</v>
      </c>
    </row>
    <row r="101" spans="17:49" x14ac:dyDescent="0.25">
      <c r="Q101">
        <v>94</v>
      </c>
      <c r="R101" s="132">
        <f t="shared" si="32"/>
        <v>18</v>
      </c>
      <c r="S101" s="1">
        <f t="shared" si="33"/>
        <v>5</v>
      </c>
      <c r="T101" s="1">
        <f t="shared" si="34"/>
        <v>11.94</v>
      </c>
      <c r="U101" s="133">
        <f t="shared" si="43"/>
        <v>7.5376884422110555</v>
      </c>
      <c r="V101" s="132">
        <f>IF(Calculations!$B$17=3,2,IF((S101*R101/T101)&lt;((T101*(1-(T101/R101)))/(2*Lm*fsw)),1,2))</f>
        <v>2</v>
      </c>
      <c r="W101" s="1">
        <f t="shared" si="44"/>
        <v>0.33666666666666667</v>
      </c>
      <c r="X101" s="133">
        <f t="shared" si="35"/>
        <v>0.66333333333333333</v>
      </c>
      <c r="Y101" s="132">
        <f t="shared" si="36"/>
        <v>1.60792</v>
      </c>
      <c r="Z101" s="1">
        <f t="shared" si="45"/>
        <v>8.3416484422110564</v>
      </c>
      <c r="AA101" s="1">
        <f t="shared" si="46"/>
        <v>7.5519664732025564</v>
      </c>
      <c r="AB101" s="1">
        <v>0</v>
      </c>
      <c r="AC101" s="1">
        <f t="shared" si="47"/>
        <v>4.733672401827163</v>
      </c>
      <c r="AD101" s="133">
        <f t="shared" si="48"/>
        <v>4.733672401827163</v>
      </c>
      <c r="AE101" s="132">
        <f t="shared" si="60"/>
        <v>2.5376884422110555</v>
      </c>
      <c r="AF101" s="1">
        <f t="shared" si="49"/>
        <v>4.3818762947889205</v>
      </c>
      <c r="AG101" s="1">
        <f t="shared" si="37"/>
        <v>1.920083986283308E-2</v>
      </c>
      <c r="AH101" s="1">
        <f t="shared" si="50"/>
        <v>0.28032343115601199</v>
      </c>
      <c r="AI101" s="133">
        <f t="shared" si="51"/>
        <v>0.29952427101884505</v>
      </c>
      <c r="AJ101" s="132">
        <f t="shared" si="52"/>
        <v>5</v>
      </c>
      <c r="AK101" s="1">
        <f t="shared" si="53"/>
        <v>6.15072010008116</v>
      </c>
      <c r="AL101" s="1">
        <f t="shared" si="38"/>
        <v>3.7831357749542389E-2</v>
      </c>
      <c r="AM101" s="1">
        <f t="shared" si="54"/>
        <v>0.15510000000000004</v>
      </c>
      <c r="AN101" s="136">
        <f t="shared" si="61"/>
        <v>0.1334663750753769</v>
      </c>
      <c r="AO101" s="133">
        <f t="shared" si="55"/>
        <v>0.32639773282491935</v>
      </c>
      <c r="AP101" s="132">
        <f t="shared" si="39"/>
        <v>0.22812879044950182</v>
      </c>
      <c r="AQ101" s="137">
        <f t="shared" si="40"/>
        <v>4.733672401827163</v>
      </c>
      <c r="AR101" s="137">
        <f t="shared" si="41"/>
        <v>4.1950434048103113E-2</v>
      </c>
      <c r="AS101" s="1">
        <f t="shared" si="42"/>
        <v>3.7999999999999999E-2</v>
      </c>
      <c r="AT101" s="133">
        <f t="shared" si="56"/>
        <v>4.7759999999999997E-2</v>
      </c>
      <c r="AU101" s="132">
        <f t="shared" si="57"/>
        <v>10.449106031995695</v>
      </c>
      <c r="AV101" s="1">
        <f t="shared" si="58"/>
        <v>90</v>
      </c>
      <c r="AW101" s="133">
        <f t="shared" si="59"/>
        <v>89.59761172123585</v>
      </c>
    </row>
    <row r="102" spans="17:49" x14ac:dyDescent="0.25">
      <c r="Q102">
        <v>95</v>
      </c>
      <c r="R102" s="132">
        <f t="shared" si="32"/>
        <v>18</v>
      </c>
      <c r="S102" s="1">
        <f t="shared" si="33"/>
        <v>5</v>
      </c>
      <c r="T102" s="1">
        <f t="shared" si="34"/>
        <v>11.95</v>
      </c>
      <c r="U102" s="133">
        <f t="shared" si="43"/>
        <v>7.5313807531380759</v>
      </c>
      <c r="V102" s="132">
        <f>IF(Calculations!$B$17=3,2,IF((S102*R102/T102)&lt;((T102*(1-(T102/R102)))/(2*Lm*fsw)),1,2))</f>
        <v>2</v>
      </c>
      <c r="W102" s="1">
        <f t="shared" si="44"/>
        <v>0.33611111111111114</v>
      </c>
      <c r="X102" s="133">
        <f t="shared" si="35"/>
        <v>0.66388888888888886</v>
      </c>
      <c r="Y102" s="132">
        <f t="shared" si="36"/>
        <v>1.6066111111111112</v>
      </c>
      <c r="Z102" s="1">
        <f t="shared" si="45"/>
        <v>8.334686308693632</v>
      </c>
      <c r="AA102" s="1">
        <f t="shared" si="46"/>
        <v>7.545647486284226</v>
      </c>
      <c r="AB102" s="1">
        <v>0</v>
      </c>
      <c r="AC102" s="1">
        <f t="shared" si="47"/>
        <v>4.7257540669431997</v>
      </c>
      <c r="AD102" s="133">
        <f t="shared" si="48"/>
        <v>4.7257540669431997</v>
      </c>
      <c r="AE102" s="132">
        <f t="shared" si="60"/>
        <v>2.5313807531380759</v>
      </c>
      <c r="AF102" s="1">
        <f t="shared" si="49"/>
        <v>4.3745959541867547</v>
      </c>
      <c r="AG102" s="1">
        <f t="shared" si="37"/>
        <v>1.9137089762387125E-2</v>
      </c>
      <c r="AH102" s="1">
        <f t="shared" si="50"/>
        <v>0.28008885087889401</v>
      </c>
      <c r="AI102" s="133">
        <f t="shared" si="51"/>
        <v>0.29922594064128116</v>
      </c>
      <c r="AJ102" s="132">
        <f t="shared" si="52"/>
        <v>5</v>
      </c>
      <c r="AK102" s="1">
        <f t="shared" si="53"/>
        <v>6.1481465682659477</v>
      </c>
      <c r="AL102" s="1">
        <f t="shared" si="38"/>
        <v>3.7799706224880353E-2</v>
      </c>
      <c r="AM102" s="1">
        <f t="shared" si="54"/>
        <v>0.15510000000000004</v>
      </c>
      <c r="AN102" s="136">
        <f t="shared" si="61"/>
        <v>0.13335498093909812</v>
      </c>
      <c r="AO102" s="133">
        <f t="shared" si="55"/>
        <v>0.32625468716397854</v>
      </c>
      <c r="AP102" s="132">
        <f t="shared" si="39"/>
        <v>0.22774718394906984</v>
      </c>
      <c r="AQ102" s="137">
        <f t="shared" si="40"/>
        <v>4.7257540669431997</v>
      </c>
      <c r="AR102" s="137">
        <f t="shared" si="41"/>
        <v>4.187179708455957E-2</v>
      </c>
      <c r="AS102" s="1">
        <f t="shared" si="42"/>
        <v>3.7999999999999999E-2</v>
      </c>
      <c r="AT102" s="133">
        <f t="shared" si="56"/>
        <v>4.7799999999999995E-2</v>
      </c>
      <c r="AU102" s="132">
        <f t="shared" si="57"/>
        <v>10.432407742725287</v>
      </c>
      <c r="AV102" s="1">
        <f t="shared" si="58"/>
        <v>90</v>
      </c>
      <c r="AW102" s="133">
        <f t="shared" si="59"/>
        <v>89.612508574473608</v>
      </c>
    </row>
    <row r="103" spans="17:49" x14ac:dyDescent="0.25">
      <c r="Q103">
        <v>96</v>
      </c>
      <c r="R103" s="132">
        <f t="shared" si="32"/>
        <v>18</v>
      </c>
      <c r="S103" s="1">
        <f t="shared" ref="S103:S134" si="62">IOUT</f>
        <v>5</v>
      </c>
      <c r="T103" s="1">
        <f t="shared" ref="T103:T134" si="63">VIN_MIN+($O$12)*(Q103)</f>
        <v>11.96</v>
      </c>
      <c r="U103" s="133">
        <f t="shared" si="43"/>
        <v>7.5250836120401337</v>
      </c>
      <c r="V103" s="132">
        <f>IF(Calculations!$B$17=3,2,IF((S103*R103/T103)&lt;((T103*(1-(T103/R103)))/(2*Lm*fsw)),1,2))</f>
        <v>2</v>
      </c>
      <c r="W103" s="1">
        <f t="shared" si="44"/>
        <v>0.3355555555555555</v>
      </c>
      <c r="X103" s="133">
        <f t="shared" si="35"/>
        <v>0.6644444444444445</v>
      </c>
      <c r="Y103" s="132">
        <f t="shared" si="36"/>
        <v>1.6052977777777777</v>
      </c>
      <c r="Z103" s="1">
        <f t="shared" si="45"/>
        <v>8.327732500929022</v>
      </c>
      <c r="AA103" s="1">
        <f t="shared" si="46"/>
        <v>7.5393389485511157</v>
      </c>
      <c r="AB103" s="1">
        <v>0</v>
      </c>
      <c r="AC103" s="1">
        <f t="shared" si="47"/>
        <v>4.7178554378346078</v>
      </c>
      <c r="AD103" s="133">
        <f t="shared" si="48"/>
        <v>4.7178554378346078</v>
      </c>
      <c r="AE103" s="132">
        <f t="shared" si="60"/>
        <v>2.5250836120401332</v>
      </c>
      <c r="AF103" s="1">
        <f t="shared" si="49"/>
        <v>4.3673247338622181</v>
      </c>
      <c r="AG103" s="1">
        <f t="shared" si="37"/>
        <v>1.9073525331004697E-2</v>
      </c>
      <c r="AH103" s="1">
        <f t="shared" si="50"/>
        <v>0.27985466287648686</v>
      </c>
      <c r="AI103" s="133">
        <f t="shared" si="51"/>
        <v>0.29892818820749156</v>
      </c>
      <c r="AJ103" s="132">
        <f t="shared" si="52"/>
        <v>5</v>
      </c>
      <c r="AK103" s="1">
        <f t="shared" si="53"/>
        <v>6.145576169093923</v>
      </c>
      <c r="AL103" s="1">
        <f t="shared" si="38"/>
        <v>3.7768106450135133E-2</v>
      </c>
      <c r="AM103" s="1">
        <f t="shared" si="54"/>
        <v>0.15510000000000004</v>
      </c>
      <c r="AN103" s="136">
        <f t="shared" si="61"/>
        <v>0.13324372001486434</v>
      </c>
      <c r="AO103" s="133">
        <f t="shared" si="55"/>
        <v>0.32611182646499953</v>
      </c>
      <c r="AP103" s="132">
        <f t="shared" si="39"/>
        <v>0.22736652712455938</v>
      </c>
      <c r="AQ103" s="137">
        <f t="shared" si="40"/>
        <v>4.7178554378346078</v>
      </c>
      <c r="AR103" s="137">
        <f t="shared" si="41"/>
        <v>4.1792977024202704E-2</v>
      </c>
      <c r="AS103" s="1">
        <f t="shared" si="42"/>
        <v>3.7999999999999999E-2</v>
      </c>
      <c r="AT103" s="133">
        <f t="shared" si="56"/>
        <v>4.7840000000000008E-2</v>
      </c>
      <c r="AU103" s="132">
        <f t="shared" si="57"/>
        <v>10.415750394490468</v>
      </c>
      <c r="AV103" s="1">
        <f t="shared" si="58"/>
        <v>90</v>
      </c>
      <c r="AW103" s="133">
        <f t="shared" si="59"/>
        <v>89.627373839690037</v>
      </c>
    </row>
    <row r="104" spans="17:49" x14ac:dyDescent="0.25">
      <c r="Q104">
        <v>97</v>
      </c>
      <c r="R104" s="132">
        <f t="shared" si="32"/>
        <v>18</v>
      </c>
      <c r="S104" s="1">
        <f t="shared" si="62"/>
        <v>5</v>
      </c>
      <c r="T104" s="1">
        <f t="shared" si="63"/>
        <v>11.97</v>
      </c>
      <c r="U104" s="133">
        <f t="shared" si="43"/>
        <v>7.518796992481203</v>
      </c>
      <c r="V104" s="132">
        <f>IF(Calculations!$B$17=3,2,IF((S104*R104/T104)&lt;((T104*(1-(T104/R104)))/(2*Lm*fsw)),1,2))</f>
        <v>2</v>
      </c>
      <c r="W104" s="1">
        <f t="shared" si="44"/>
        <v>0.33499999999999996</v>
      </c>
      <c r="X104" s="133">
        <f t="shared" si="35"/>
        <v>0.66500000000000004</v>
      </c>
      <c r="Y104" s="132">
        <f t="shared" si="36"/>
        <v>1.60398</v>
      </c>
      <c r="Z104" s="1">
        <f t="shared" si="45"/>
        <v>8.320786992481203</v>
      </c>
      <c r="AA104" s="1">
        <f t="shared" si="46"/>
        <v>7.5330408336105803</v>
      </c>
      <c r="AB104" s="1">
        <v>0</v>
      </c>
      <c r="AC104" s="1">
        <f t="shared" si="47"/>
        <v>4.7099764486700844</v>
      </c>
      <c r="AD104" s="133">
        <f t="shared" si="48"/>
        <v>4.7099764486700844</v>
      </c>
      <c r="AE104" s="132">
        <f t="shared" si="60"/>
        <v>2.5187969924812026</v>
      </c>
      <c r="AF104" s="1">
        <f t="shared" si="49"/>
        <v>4.3600626035967496</v>
      </c>
      <c r="AG104" s="1">
        <f t="shared" si="37"/>
        <v>1.9010145907282866E-2</v>
      </c>
      <c r="AH104" s="1">
        <f t="shared" si="50"/>
        <v>0.27962086616564602</v>
      </c>
      <c r="AI104" s="133">
        <f t="shared" si="51"/>
        <v>0.29863101207292886</v>
      </c>
      <c r="AJ104" s="132">
        <f t="shared" si="52"/>
        <v>5</v>
      </c>
      <c r="AK104" s="1">
        <f t="shared" si="53"/>
        <v>6.1430088957742459</v>
      </c>
      <c r="AL104" s="1">
        <f t="shared" si="38"/>
        <v>3.7736558293561526E-2</v>
      </c>
      <c r="AM104" s="1">
        <f t="shared" si="54"/>
        <v>0.15510000000000004</v>
      </c>
      <c r="AN104" s="136">
        <f t="shared" si="61"/>
        <v>0.13313259187969925</v>
      </c>
      <c r="AO104" s="133">
        <f t="shared" si="55"/>
        <v>0.32596915017326078</v>
      </c>
      <c r="AP104" s="132">
        <f t="shared" si="39"/>
        <v>0.22698681680337754</v>
      </c>
      <c r="AQ104" s="137">
        <f t="shared" si="40"/>
        <v>4.7099764486700844</v>
      </c>
      <c r="AR104" s="137">
        <f t="shared" si="41"/>
        <v>4.1713974699471378E-2</v>
      </c>
      <c r="AS104" s="1">
        <f t="shared" si="42"/>
        <v>3.7999999999999999E-2</v>
      </c>
      <c r="AT104" s="133">
        <f t="shared" si="56"/>
        <v>4.7880000000000006E-2</v>
      </c>
      <c r="AU104" s="132">
        <f t="shared" si="57"/>
        <v>10.399133851089207</v>
      </c>
      <c r="AV104" s="1">
        <f t="shared" si="58"/>
        <v>90</v>
      </c>
      <c r="AW104" s="133">
        <f t="shared" si="59"/>
        <v>89.642207604586432</v>
      </c>
    </row>
    <row r="105" spans="17:49" x14ac:dyDescent="0.25">
      <c r="Q105">
        <v>98</v>
      </c>
      <c r="R105" s="132">
        <f t="shared" si="32"/>
        <v>18</v>
      </c>
      <c r="S105" s="1">
        <f t="shared" si="62"/>
        <v>5</v>
      </c>
      <c r="T105" s="1">
        <f t="shared" si="63"/>
        <v>11.98</v>
      </c>
      <c r="U105" s="133">
        <f t="shared" si="43"/>
        <v>7.5125208681135227</v>
      </c>
      <c r="V105" s="132">
        <f>IF(Calculations!$B$17=3,2,IF((S105*R105/T105)&lt;((T105*(1-(T105/R105)))/(2*Lm*fsw)),1,2))</f>
        <v>2</v>
      </c>
      <c r="W105" s="1">
        <f t="shared" si="44"/>
        <v>0.33444444444444443</v>
      </c>
      <c r="X105" s="133">
        <f t="shared" si="35"/>
        <v>0.66555555555555557</v>
      </c>
      <c r="Y105" s="132">
        <f t="shared" si="36"/>
        <v>1.6026577777777777</v>
      </c>
      <c r="Z105" s="1">
        <f t="shared" si="45"/>
        <v>8.3138497570024121</v>
      </c>
      <c r="AA105" s="1">
        <f t="shared" si="46"/>
        <v>7.5267531151595364</v>
      </c>
      <c r="AB105" s="1">
        <v>0</v>
      </c>
      <c r="AC105" s="1">
        <f t="shared" si="47"/>
        <v>4.7021170338947949</v>
      </c>
      <c r="AD105" s="133">
        <f t="shared" si="48"/>
        <v>4.7021170338947949</v>
      </c>
      <c r="AE105" s="132">
        <f t="shared" si="60"/>
        <v>2.5125208681135227</v>
      </c>
      <c r="AF105" s="1">
        <f t="shared" si="49"/>
        <v>4.3528095332434686</v>
      </c>
      <c r="AG105" s="1">
        <f t="shared" si="37"/>
        <v>1.8946950832695222E-2</v>
      </c>
      <c r="AH105" s="1">
        <f t="shared" si="50"/>
        <v>0.27938745976650947</v>
      </c>
      <c r="AI105" s="133">
        <f t="shared" si="51"/>
        <v>0.29833441059920468</v>
      </c>
      <c r="AJ105" s="132">
        <f t="shared" si="52"/>
        <v>5</v>
      </c>
      <c r="AK105" s="1">
        <f t="shared" si="53"/>
        <v>6.1404447415369328</v>
      </c>
      <c r="AL105" s="1">
        <f t="shared" si="38"/>
        <v>3.7705061623868566E-2</v>
      </c>
      <c r="AM105" s="1">
        <f t="shared" si="54"/>
        <v>0.15510000000000004</v>
      </c>
      <c r="AN105" s="136">
        <f t="shared" si="61"/>
        <v>0.13302159611203859</v>
      </c>
      <c r="AO105" s="133">
        <f t="shared" si="55"/>
        <v>0.32582665773590724</v>
      </c>
      <c r="AP105" s="132">
        <f t="shared" si="39"/>
        <v>0.22660804982625515</v>
      </c>
      <c r="AQ105" s="137">
        <f t="shared" si="40"/>
        <v>4.7021170338947949</v>
      </c>
      <c r="AR105" s="137">
        <f t="shared" si="41"/>
        <v>4.1634790945253804E-2</v>
      </c>
      <c r="AS105" s="1">
        <f t="shared" si="42"/>
        <v>3.7999999999999999E-2</v>
      </c>
      <c r="AT105" s="133">
        <f t="shared" si="56"/>
        <v>4.7920000000000004E-2</v>
      </c>
      <c r="AU105" s="132">
        <f t="shared" si="57"/>
        <v>10.382557976896212</v>
      </c>
      <c r="AV105" s="1">
        <f t="shared" si="58"/>
        <v>90</v>
      </c>
      <c r="AW105" s="133">
        <f t="shared" si="59"/>
        <v>89.657009956564536</v>
      </c>
    </row>
    <row r="106" spans="17:49" x14ac:dyDescent="0.25">
      <c r="Q106">
        <v>99</v>
      </c>
      <c r="R106" s="132">
        <f t="shared" si="32"/>
        <v>18</v>
      </c>
      <c r="S106" s="1">
        <f t="shared" si="62"/>
        <v>5</v>
      </c>
      <c r="T106" s="1">
        <f t="shared" si="63"/>
        <v>11.99</v>
      </c>
      <c r="U106" s="133">
        <f t="shared" si="43"/>
        <v>7.5062552126772308</v>
      </c>
      <c r="V106" s="132">
        <f>IF(Calculations!$B$17=3,2,IF((S106*R106/T106)&lt;((T106*(1-(T106/R106)))/(2*Lm*fsw)),1,2))</f>
        <v>2</v>
      </c>
      <c r="W106" s="1">
        <f t="shared" si="44"/>
        <v>0.3338888888888889</v>
      </c>
      <c r="X106" s="133">
        <f t="shared" si="35"/>
        <v>0.6661111111111111</v>
      </c>
      <c r="Y106" s="132">
        <f t="shared" si="36"/>
        <v>1.601331111111111</v>
      </c>
      <c r="Z106" s="1">
        <f t="shared" si="45"/>
        <v>8.3069207682327857</v>
      </c>
      <c r="AA106" s="1">
        <f t="shared" si="46"/>
        <v>7.5204757669841031</v>
      </c>
      <c r="AB106" s="1">
        <v>0</v>
      </c>
      <c r="AC106" s="1">
        <f t="shared" si="47"/>
        <v>4.6942771282289968</v>
      </c>
      <c r="AD106" s="133">
        <f t="shared" si="48"/>
        <v>4.6942771282289968</v>
      </c>
      <c r="AE106" s="132">
        <f t="shared" si="60"/>
        <v>2.5062552126772308</v>
      </c>
      <c r="AF106" s="1">
        <f t="shared" si="49"/>
        <v>4.3455654927267116</v>
      </c>
      <c r="AG106" s="1">
        <f t="shared" si="37"/>
        <v>1.888393945157715E-2</v>
      </c>
      <c r="AH106" s="1">
        <f t="shared" si="50"/>
        <v>0.27915444270248402</v>
      </c>
      <c r="AI106" s="133">
        <f t="shared" si="51"/>
        <v>0.29803838215406114</v>
      </c>
      <c r="AJ106" s="132">
        <f t="shared" si="52"/>
        <v>5</v>
      </c>
      <c r="AK106" s="1">
        <f t="shared" si="53"/>
        <v>6.1378836996327948</v>
      </c>
      <c r="AL106" s="1">
        <f t="shared" si="38"/>
        <v>3.7673616310217969E-2</v>
      </c>
      <c r="AM106" s="1">
        <f t="shared" si="54"/>
        <v>0.15510000000000004</v>
      </c>
      <c r="AN106" s="136">
        <f t="shared" si="61"/>
        <v>0.13291073229172456</v>
      </c>
      <c r="AO106" s="133">
        <f t="shared" si="55"/>
        <v>0.32568434860194256</v>
      </c>
      <c r="AP106" s="132">
        <f t="shared" si="39"/>
        <v>0.22623022304718055</v>
      </c>
      <c r="AQ106" s="137">
        <f t="shared" si="40"/>
        <v>4.6942771282289968</v>
      </c>
      <c r="AR106" s="137">
        <f t="shared" si="41"/>
        <v>4.155542659888415E-2</v>
      </c>
      <c r="AS106" s="1">
        <f t="shared" si="42"/>
        <v>3.7999999999999999E-2</v>
      </c>
      <c r="AT106" s="133">
        <f t="shared" si="56"/>
        <v>4.7960000000000003E-2</v>
      </c>
      <c r="AU106" s="132">
        <f t="shared" si="57"/>
        <v>10.366022636860063</v>
      </c>
      <c r="AV106" s="1">
        <f t="shared" si="58"/>
        <v>90</v>
      </c>
      <c r="AW106" s="133">
        <f t="shared" si="59"/>
        <v>89.67178098272764</v>
      </c>
    </row>
    <row r="107" spans="17:49" x14ac:dyDescent="0.25">
      <c r="Q107">
        <v>100</v>
      </c>
      <c r="R107" s="132">
        <f t="shared" si="32"/>
        <v>18</v>
      </c>
      <c r="S107" s="1">
        <f t="shared" si="62"/>
        <v>5</v>
      </c>
      <c r="T107" s="1">
        <f t="shared" si="63"/>
        <v>12</v>
      </c>
      <c r="U107" s="133">
        <f t="shared" si="43"/>
        <v>7.5</v>
      </c>
      <c r="V107" s="132">
        <f>IF(Calculations!$B$17=3,2,IF((S107*R107/T107)&lt;((T107*(1-(T107/R107)))/(2*Lm*fsw)),1,2))</f>
        <v>2</v>
      </c>
      <c r="W107" s="1">
        <f t="shared" si="44"/>
        <v>0.33333333333333337</v>
      </c>
      <c r="X107" s="133">
        <f t="shared" si="35"/>
        <v>0.66666666666666663</v>
      </c>
      <c r="Y107" s="132">
        <f t="shared" si="36"/>
        <v>1.6</v>
      </c>
      <c r="Z107" s="1">
        <f t="shared" si="45"/>
        <v>8.3000000000000007</v>
      </c>
      <c r="AA107" s="1">
        <f t="shared" si="46"/>
        <v>7.5142087629592336</v>
      </c>
      <c r="AB107" s="1">
        <v>0</v>
      </c>
      <c r="AC107" s="1">
        <f t="shared" si="47"/>
        <v>4.6864566666666674</v>
      </c>
      <c r="AD107" s="133">
        <f t="shared" si="48"/>
        <v>4.6864566666666674</v>
      </c>
      <c r="AE107" s="132">
        <f t="shared" si="60"/>
        <v>2.5000000000000004</v>
      </c>
      <c r="AF107" s="1">
        <f t="shared" si="49"/>
        <v>4.3383304520415589</v>
      </c>
      <c r="AG107" s="1">
        <f t="shared" si="37"/>
        <v>1.8821111111111115E-2</v>
      </c>
      <c r="AH107" s="1">
        <f t="shared" si="50"/>
        <v>0.27892181400023197</v>
      </c>
      <c r="AI107" s="133">
        <f t="shared" si="51"/>
        <v>0.29774292511134309</v>
      </c>
      <c r="AJ107" s="132">
        <f t="shared" si="52"/>
        <v>5</v>
      </c>
      <c r="AK107" s="1">
        <f t="shared" si="53"/>
        <v>6.1353257633333724</v>
      </c>
      <c r="AL107" s="1">
        <f t="shared" si="38"/>
        <v>3.764222222222223E-2</v>
      </c>
      <c r="AM107" s="1">
        <f t="shared" si="54"/>
        <v>0.15510000000000004</v>
      </c>
      <c r="AN107" s="136">
        <f t="shared" si="61"/>
        <v>0.1328</v>
      </c>
      <c r="AO107" s="133">
        <f t="shared" si="55"/>
        <v>0.32554222222222229</v>
      </c>
      <c r="AP107" s="132">
        <f t="shared" si="39"/>
        <v>0.22585333333333335</v>
      </c>
      <c r="AQ107" s="137">
        <f t="shared" si="40"/>
        <v>4.6864566666666674</v>
      </c>
      <c r="AR107" s="137">
        <f t="shared" si="41"/>
        <v>4.147588250013759E-2</v>
      </c>
      <c r="AS107" s="1">
        <f t="shared" si="42"/>
        <v>3.7999999999999999E-2</v>
      </c>
      <c r="AT107" s="133">
        <f t="shared" si="56"/>
        <v>4.8000000000000001E-2</v>
      </c>
      <c r="AU107" s="132">
        <f t="shared" si="57"/>
        <v>10.34952769650037</v>
      </c>
      <c r="AV107" s="1">
        <f t="shared" si="58"/>
        <v>90</v>
      </c>
      <c r="AW107" s="133">
        <f t="shared" si="59"/>
        <v>89.68652076988171</v>
      </c>
    </row>
    <row r="108" spans="17:49" x14ac:dyDescent="0.25">
      <c r="Q108">
        <v>101</v>
      </c>
      <c r="R108" s="132">
        <f t="shared" si="32"/>
        <v>18</v>
      </c>
      <c r="S108" s="1">
        <f t="shared" si="62"/>
        <v>5</v>
      </c>
      <c r="T108" s="1">
        <f t="shared" si="63"/>
        <v>12.01</v>
      </c>
      <c r="U108" s="133">
        <f t="shared" si="43"/>
        <v>7.4937552039966695</v>
      </c>
      <c r="V108" s="132">
        <f>IF(Calculations!$B$17=3,2,IF((S108*R108/T108)&lt;((T108*(1-(T108/R108)))/(2*Lm*fsw)),1,2))</f>
        <v>2</v>
      </c>
      <c r="W108" s="1">
        <f t="shared" si="44"/>
        <v>0.33277777777777784</v>
      </c>
      <c r="X108" s="133">
        <f t="shared" si="35"/>
        <v>0.66722222222222216</v>
      </c>
      <c r="Y108" s="132">
        <f t="shared" si="36"/>
        <v>1.5986644444444447</v>
      </c>
      <c r="Z108" s="1">
        <f t="shared" si="45"/>
        <v>8.2930874262188912</v>
      </c>
      <c r="AA108" s="1">
        <f t="shared" si="46"/>
        <v>7.5079520770483574</v>
      </c>
      <c r="AB108" s="1">
        <v>0</v>
      </c>
      <c r="AC108" s="1">
        <f t="shared" si="47"/>
        <v>4.6786555844741438</v>
      </c>
      <c r="AD108" s="133">
        <f t="shared" si="48"/>
        <v>4.6786555844741438</v>
      </c>
      <c r="AE108" s="132">
        <f t="shared" si="60"/>
        <v>2.4937552039966699</v>
      </c>
      <c r="AF108" s="1">
        <f t="shared" si="49"/>
        <v>4.3311043812533532</v>
      </c>
      <c r="AG108" s="1">
        <f t="shared" si="37"/>
        <v>1.8758465161311993E-2</v>
      </c>
      <c r="AH108" s="1">
        <f t="shared" si="50"/>
        <v>0.27868957268965722</v>
      </c>
      <c r="AI108" s="133">
        <f t="shared" si="51"/>
        <v>0.29744803785096918</v>
      </c>
      <c r="AJ108" s="132">
        <f t="shared" si="52"/>
        <v>5</v>
      </c>
      <c r="AK108" s="1">
        <f t="shared" si="53"/>
        <v>6.1327709259308492</v>
      </c>
      <c r="AL108" s="1">
        <f t="shared" si="38"/>
        <v>3.7610879229942724E-2</v>
      </c>
      <c r="AM108" s="1">
        <f t="shared" si="54"/>
        <v>0.15510000000000004</v>
      </c>
      <c r="AN108" s="136">
        <f t="shared" si="61"/>
        <v>0.13268939881950226</v>
      </c>
      <c r="AO108" s="133">
        <f t="shared" si="55"/>
        <v>0.32540027804944505</v>
      </c>
      <c r="AP108" s="132">
        <f t="shared" si="39"/>
        <v>0.22547737756501898</v>
      </c>
      <c r="AQ108" s="137">
        <f t="shared" si="40"/>
        <v>4.6786555844741438</v>
      </c>
      <c r="AR108" s="137">
        <f t="shared" si="41"/>
        <v>4.1396159491227068E-2</v>
      </c>
      <c r="AS108" s="1">
        <f t="shared" si="42"/>
        <v>3.7999999999999999E-2</v>
      </c>
      <c r="AT108" s="133">
        <f t="shared" si="56"/>
        <v>4.8039999999999999E-2</v>
      </c>
      <c r="AU108" s="132">
        <f t="shared" si="57"/>
        <v>10.333073021904948</v>
      </c>
      <c r="AV108" s="1">
        <f t="shared" si="58"/>
        <v>90</v>
      </c>
      <c r="AW108" s="133">
        <f t="shared" si="59"/>
        <v>89.70122940453642</v>
      </c>
    </row>
    <row r="109" spans="17:49" x14ac:dyDescent="0.25">
      <c r="Q109">
        <v>102</v>
      </c>
      <c r="R109" s="132">
        <f t="shared" si="32"/>
        <v>18</v>
      </c>
      <c r="S109" s="1">
        <f t="shared" si="62"/>
        <v>5</v>
      </c>
      <c r="T109" s="1">
        <f t="shared" si="63"/>
        <v>12.02</v>
      </c>
      <c r="U109" s="133">
        <f t="shared" si="43"/>
        <v>7.4875207986688856</v>
      </c>
      <c r="V109" s="132">
        <f>IF(Calculations!$B$17=3,2,IF((S109*R109/T109)&lt;((T109*(1-(T109/R109)))/(2*Lm*fsw)),1,2))</f>
        <v>2</v>
      </c>
      <c r="W109" s="1">
        <f t="shared" si="44"/>
        <v>0.3322222222222222</v>
      </c>
      <c r="X109" s="133">
        <f t="shared" si="35"/>
        <v>0.6677777777777778</v>
      </c>
      <c r="Y109" s="132">
        <f t="shared" si="36"/>
        <v>1.5973244444444443</v>
      </c>
      <c r="Z109" s="1">
        <f t="shared" si="45"/>
        <v>8.2861830208911087</v>
      </c>
      <c r="AA109" s="1">
        <f t="shared" si="46"/>
        <v>7.5017056833030171</v>
      </c>
      <c r="AB109" s="1">
        <v>0</v>
      </c>
      <c r="AC109" s="1">
        <f t="shared" si="47"/>
        <v>4.6708738171887658</v>
      </c>
      <c r="AD109" s="133">
        <f t="shared" si="48"/>
        <v>4.6708738171887658</v>
      </c>
      <c r="AE109" s="132">
        <f t="shared" si="60"/>
        <v>2.4875207986688852</v>
      </c>
      <c r="AF109" s="1">
        <f t="shared" si="49"/>
        <v>4.3238872504972425</v>
      </c>
      <c r="AG109" s="1">
        <f t="shared" si="37"/>
        <v>1.8696000955012605E-2</v>
      </c>
      <c r="AH109" s="1">
        <f t="shared" si="50"/>
        <v>0.27845771780389211</v>
      </c>
      <c r="AI109" s="133">
        <f t="shared" si="51"/>
        <v>0.29715371875890473</v>
      </c>
      <c r="AJ109" s="132">
        <f t="shared" si="52"/>
        <v>5.0000000000000009</v>
      </c>
      <c r="AK109" s="1">
        <f t="shared" si="53"/>
        <v>6.1302191807380106</v>
      </c>
      <c r="AL109" s="1">
        <f t="shared" si="38"/>
        <v>3.757958720388821E-2</v>
      </c>
      <c r="AM109" s="1">
        <f t="shared" si="54"/>
        <v>0.15510000000000004</v>
      </c>
      <c r="AN109" s="136">
        <f t="shared" si="61"/>
        <v>0.13257892833425775</v>
      </c>
      <c r="AO109" s="133">
        <f t="shared" si="55"/>
        <v>0.325258515538146</v>
      </c>
      <c r="AP109" s="132">
        <f t="shared" si="39"/>
        <v>0.22510235263560316</v>
      </c>
      <c r="AQ109" s="137">
        <f t="shared" si="40"/>
        <v>4.6708738171887658</v>
      </c>
      <c r="AR109" s="137">
        <f t="shared" si="41"/>
        <v>4.1316258416798694E-2</v>
      </c>
      <c r="AS109" s="1">
        <f t="shared" si="42"/>
        <v>3.7999999999999999E-2</v>
      </c>
      <c r="AT109" s="133">
        <f t="shared" si="56"/>
        <v>4.8079999999999998E-2</v>
      </c>
      <c r="AU109" s="132">
        <f t="shared" si="57"/>
        <v>10.316658479726986</v>
      </c>
      <c r="AV109" s="1">
        <f t="shared" si="58"/>
        <v>90</v>
      </c>
      <c r="AW109" s="133">
        <f t="shared" si="59"/>
        <v>89.715906972906325</v>
      </c>
    </row>
    <row r="110" spans="17:49" x14ac:dyDescent="0.25">
      <c r="Q110">
        <v>103</v>
      </c>
      <c r="R110" s="132">
        <f t="shared" si="32"/>
        <v>18</v>
      </c>
      <c r="S110" s="1">
        <f t="shared" si="62"/>
        <v>5</v>
      </c>
      <c r="T110" s="1">
        <f t="shared" si="63"/>
        <v>12.03</v>
      </c>
      <c r="U110" s="133">
        <f t="shared" si="43"/>
        <v>7.4812967581047385</v>
      </c>
      <c r="V110" s="132">
        <f>IF(Calculations!$B$17=3,2,IF((S110*R110/T110)&lt;((T110*(1-(T110/R110)))/(2*Lm*fsw)),1,2))</f>
        <v>2</v>
      </c>
      <c r="W110" s="1">
        <f t="shared" si="44"/>
        <v>0.33166666666666667</v>
      </c>
      <c r="X110" s="133">
        <f t="shared" si="35"/>
        <v>0.66833333333333333</v>
      </c>
      <c r="Y110" s="132">
        <f t="shared" si="36"/>
        <v>1.59598</v>
      </c>
      <c r="Z110" s="1">
        <f t="shared" si="45"/>
        <v>8.2792867581047389</v>
      </c>
      <c r="AA110" s="1">
        <f t="shared" si="46"/>
        <v>7.4954695558625151</v>
      </c>
      <c r="AB110" s="1">
        <v>0</v>
      </c>
      <c r="AC110" s="1">
        <f t="shared" si="47"/>
        <v>4.6631113006175307</v>
      </c>
      <c r="AD110" s="133">
        <f t="shared" si="48"/>
        <v>4.6631113006175307</v>
      </c>
      <c r="AE110" s="132">
        <f t="shared" si="60"/>
        <v>2.481296758104738</v>
      </c>
      <c r="AF110" s="1">
        <f t="shared" si="49"/>
        <v>4.3166790299776938</v>
      </c>
      <c r="AG110" s="1">
        <f t="shared" si="37"/>
        <v>1.8633717847849163E-2</v>
      </c>
      <c r="AH110" s="1">
        <f t="shared" si="50"/>
        <v>0.27822624837928378</v>
      </c>
      <c r="AI110" s="133">
        <f t="shared" si="51"/>
        <v>0.29685996622713295</v>
      </c>
      <c r="AJ110" s="132">
        <f t="shared" si="52"/>
        <v>5</v>
      </c>
      <c r="AK110" s="1">
        <f t="shared" si="53"/>
        <v>6.1276705210881435</v>
      </c>
      <c r="AL110" s="1">
        <f t="shared" si="38"/>
        <v>3.754834601501264E-2</v>
      </c>
      <c r="AM110" s="1">
        <f t="shared" si="54"/>
        <v>0.15510000000000004</v>
      </c>
      <c r="AN110" s="136">
        <f t="shared" si="61"/>
        <v>0.13246858812967582</v>
      </c>
      <c r="AO110" s="133">
        <f t="shared" si="55"/>
        <v>0.32511693414468851</v>
      </c>
      <c r="AP110" s="132">
        <f t="shared" si="39"/>
        <v>0.22472825545144726</v>
      </c>
      <c r="AQ110" s="137">
        <f t="shared" si="40"/>
        <v>4.6631113006175307</v>
      </c>
      <c r="AR110" s="137">
        <f t="shared" si="41"/>
        <v>4.1236180123928025E-2</v>
      </c>
      <c r="AS110" s="1">
        <f t="shared" si="42"/>
        <v>3.7999999999999999E-2</v>
      </c>
      <c r="AT110" s="133">
        <f t="shared" si="56"/>
        <v>4.8119999999999996E-2</v>
      </c>
      <c r="AU110" s="132">
        <f t="shared" si="57"/>
        <v>10.300283937182257</v>
      </c>
      <c r="AV110" s="1">
        <f t="shared" si="58"/>
        <v>90</v>
      </c>
      <c r="AW110" s="133">
        <f t="shared" si="59"/>
        <v>89.730553560911858</v>
      </c>
    </row>
    <row r="111" spans="17:49" x14ac:dyDescent="0.25">
      <c r="Q111">
        <v>104</v>
      </c>
      <c r="R111" s="132">
        <f t="shared" si="32"/>
        <v>18</v>
      </c>
      <c r="S111" s="1">
        <f t="shared" si="62"/>
        <v>5</v>
      </c>
      <c r="T111" s="1">
        <f t="shared" si="63"/>
        <v>12.04</v>
      </c>
      <c r="U111" s="133">
        <f t="shared" si="43"/>
        <v>7.4750830564784057</v>
      </c>
      <c r="V111" s="132">
        <f>IF(Calculations!$B$17=3,2,IF((S111*R111/T111)&lt;((T111*(1-(T111/R111)))/(2*Lm*fsw)),1,2))</f>
        <v>2</v>
      </c>
      <c r="W111" s="1">
        <f t="shared" si="44"/>
        <v>0.33111111111111113</v>
      </c>
      <c r="X111" s="133">
        <f t="shared" si="35"/>
        <v>0.66888888888888887</v>
      </c>
      <c r="Y111" s="132">
        <f t="shared" si="36"/>
        <v>1.5946311111111111</v>
      </c>
      <c r="Z111" s="1">
        <f t="shared" si="45"/>
        <v>8.2723986120339603</v>
      </c>
      <c r="AA111" s="1">
        <f t="shared" si="46"/>
        <v>7.4892436689535504</v>
      </c>
      <c r="AB111" s="1">
        <v>0</v>
      </c>
      <c r="AC111" s="1">
        <f t="shared" si="47"/>
        <v>4.6553679708357496</v>
      </c>
      <c r="AD111" s="133">
        <f t="shared" si="48"/>
        <v>4.6553679708357496</v>
      </c>
      <c r="AE111" s="132">
        <f t="shared" si="60"/>
        <v>2.4750830564784057</v>
      </c>
      <c r="AF111" s="1">
        <f t="shared" si="49"/>
        <v>4.3094796899680388</v>
      </c>
      <c r="AG111" s="1">
        <f t="shared" si="37"/>
        <v>1.8571615198247023E-2</v>
      </c>
      <c r="AH111" s="1">
        <f t="shared" si="50"/>
        <v>0.27799516345538072</v>
      </c>
      <c r="AI111" s="133">
        <f t="shared" si="51"/>
        <v>0.29656677865362774</v>
      </c>
      <c r="AJ111" s="132">
        <f t="shared" si="52"/>
        <v>5</v>
      </c>
      <c r="AK111" s="1">
        <f t="shared" si="53"/>
        <v>6.1251249403349961</v>
      </c>
      <c r="AL111" s="1">
        <f t="shared" si="38"/>
        <v>3.7517155534713791E-2</v>
      </c>
      <c r="AM111" s="1">
        <f t="shared" si="54"/>
        <v>0.15510000000000004</v>
      </c>
      <c r="AN111" s="136">
        <f t="shared" si="61"/>
        <v>0.13235837779254336</v>
      </c>
      <c r="AO111" s="133">
        <f t="shared" si="55"/>
        <v>0.3249755333272572</v>
      </c>
      <c r="AP111" s="132">
        <f t="shared" si="39"/>
        <v>0.22435508293184336</v>
      </c>
      <c r="AQ111" s="137">
        <f t="shared" si="40"/>
        <v>4.6553679708357496</v>
      </c>
      <c r="AR111" s="137">
        <f t="shared" si="41"/>
        <v>4.115592546211562E-2</v>
      </c>
      <c r="AS111" s="1">
        <f t="shared" si="42"/>
        <v>3.7999999999999999E-2</v>
      </c>
      <c r="AT111" s="133">
        <f t="shared" si="56"/>
        <v>4.8159999999999994E-2</v>
      </c>
      <c r="AU111" s="132">
        <f t="shared" si="57"/>
        <v>10.283949262046344</v>
      </c>
      <c r="AV111" s="1">
        <f t="shared" si="58"/>
        <v>90</v>
      </c>
      <c r="AW111" s="133">
        <f t="shared" si="59"/>
        <v>89.74516925418051</v>
      </c>
    </row>
    <row r="112" spans="17:49" x14ac:dyDescent="0.25">
      <c r="Q112">
        <v>105</v>
      </c>
      <c r="R112" s="132">
        <f t="shared" si="32"/>
        <v>18</v>
      </c>
      <c r="S112" s="1">
        <f t="shared" si="62"/>
        <v>5</v>
      </c>
      <c r="T112" s="1">
        <f t="shared" si="63"/>
        <v>12.05</v>
      </c>
      <c r="U112" s="133">
        <f t="shared" si="43"/>
        <v>7.4688796680497918</v>
      </c>
      <c r="V112" s="132">
        <f>IF(Calculations!$B$17=3,2,IF((S112*R112/T112)&lt;((T112*(1-(T112/R112)))/(2*Lm*fsw)),1,2))</f>
        <v>2</v>
      </c>
      <c r="W112" s="1">
        <f t="shared" si="44"/>
        <v>0.33055555555555549</v>
      </c>
      <c r="X112" s="133">
        <f t="shared" si="35"/>
        <v>0.66944444444444451</v>
      </c>
      <c r="Y112" s="132">
        <f t="shared" si="36"/>
        <v>1.5932777777777776</v>
      </c>
      <c r="Z112" s="1">
        <f t="shared" si="45"/>
        <v>8.2655185569386802</v>
      </c>
      <c r="AA112" s="1">
        <f t="shared" si="46"/>
        <v>7.4830279968898692</v>
      </c>
      <c r="AB112" s="1">
        <v>0</v>
      </c>
      <c r="AC112" s="1">
        <f t="shared" si="47"/>
        <v>4.6476437641857213</v>
      </c>
      <c r="AD112" s="133">
        <f t="shared" si="48"/>
        <v>4.6476437641857213</v>
      </c>
      <c r="AE112" s="132">
        <f t="shared" si="60"/>
        <v>2.4688796680497918</v>
      </c>
      <c r="AF112" s="1">
        <f t="shared" si="49"/>
        <v>4.3022892008099962</v>
      </c>
      <c r="AG112" s="1">
        <f t="shared" si="37"/>
        <v>1.8509692367406318E-2</v>
      </c>
      <c r="AH112" s="1">
        <f t="shared" si="50"/>
        <v>0.27776446207491973</v>
      </c>
      <c r="AI112" s="133">
        <f t="shared" si="51"/>
        <v>0.29627415444232602</v>
      </c>
      <c r="AJ112" s="132">
        <f t="shared" si="52"/>
        <v>5</v>
      </c>
      <c r="AK112" s="1">
        <f t="shared" si="53"/>
        <v>6.1225824318526971</v>
      </c>
      <c r="AL112" s="1">
        <f t="shared" si="38"/>
        <v>3.7486015634831289E-2</v>
      </c>
      <c r="AM112" s="1">
        <f t="shared" si="54"/>
        <v>0.15510000000000004</v>
      </c>
      <c r="AN112" s="136">
        <f t="shared" si="61"/>
        <v>0.13224829691101889</v>
      </c>
      <c r="AO112" s="133">
        <f t="shared" si="55"/>
        <v>0.32483431254585021</v>
      </c>
      <c r="AP112" s="132">
        <f t="shared" si="39"/>
        <v>0.22398283200895042</v>
      </c>
      <c r="AQ112" s="137">
        <f t="shared" si="40"/>
        <v>4.6476437641857213</v>
      </c>
      <c r="AR112" s="137">
        <f t="shared" si="41"/>
        <v>4.1075495283282866E-2</v>
      </c>
      <c r="AS112" s="1">
        <f t="shared" si="42"/>
        <v>3.7999999999999999E-2</v>
      </c>
      <c r="AT112" s="133">
        <f t="shared" si="56"/>
        <v>4.8200000000000007E-2</v>
      </c>
      <c r="AU112" s="132">
        <f t="shared" si="57"/>
        <v>10.267654322651852</v>
      </c>
      <c r="AV112" s="1">
        <f t="shared" si="58"/>
        <v>90</v>
      </c>
      <c r="AW112" s="133">
        <f t="shared" si="59"/>
        <v>89.759754138047839</v>
      </c>
    </row>
    <row r="113" spans="17:49" x14ac:dyDescent="0.25">
      <c r="Q113">
        <v>106</v>
      </c>
      <c r="R113" s="132">
        <f t="shared" si="32"/>
        <v>18</v>
      </c>
      <c r="S113" s="1">
        <f t="shared" si="62"/>
        <v>5</v>
      </c>
      <c r="T113" s="1">
        <f t="shared" si="63"/>
        <v>12.06</v>
      </c>
      <c r="U113" s="133">
        <f t="shared" si="43"/>
        <v>7.4626865671641784</v>
      </c>
      <c r="V113" s="132">
        <f>IF(Calculations!$B$17=3,2,IF((S113*R113/T113)&lt;((T113*(1-(T113/R113)))/(2*Lm*fsw)),1,2))</f>
        <v>2</v>
      </c>
      <c r="W113" s="1">
        <f t="shared" si="44"/>
        <v>0.32999999999999996</v>
      </c>
      <c r="X113" s="133">
        <f t="shared" si="35"/>
        <v>0.67</v>
      </c>
      <c r="Y113" s="132">
        <f t="shared" si="36"/>
        <v>1.5919199999999998</v>
      </c>
      <c r="Z113" s="1">
        <f t="shared" si="45"/>
        <v>8.2586465671641776</v>
      </c>
      <c r="AA113" s="1">
        <f t="shared" si="46"/>
        <v>7.4768225140719142</v>
      </c>
      <c r="AB113" s="1">
        <v>0</v>
      </c>
      <c r="AC113" s="1">
        <f t="shared" si="47"/>
        <v>4.6399386172754111</v>
      </c>
      <c r="AD113" s="133">
        <f t="shared" si="48"/>
        <v>4.6399386172754111</v>
      </c>
      <c r="AE113" s="132">
        <f t="shared" si="60"/>
        <v>2.4626865671641784</v>
      </c>
      <c r="AF113" s="1">
        <f t="shared" si="49"/>
        <v>4.2951075329132067</v>
      </c>
      <c r="AG113" s="1">
        <f t="shared" si="37"/>
        <v>1.8447948719287774E-2</v>
      </c>
      <c r="AH113" s="1">
        <f t="shared" si="50"/>
        <v>0.27753414328381293</v>
      </c>
      <c r="AI113" s="133">
        <f t="shared" si="51"/>
        <v>0.29598209200310072</v>
      </c>
      <c r="AJ113" s="132">
        <f t="shared" si="52"/>
        <v>5</v>
      </c>
      <c r="AK113" s="1">
        <f t="shared" si="53"/>
        <v>6.1200429890356887</v>
      </c>
      <c r="AL113" s="1">
        <f t="shared" si="38"/>
        <v>3.7454926187644885E-2</v>
      </c>
      <c r="AM113" s="1">
        <f t="shared" si="54"/>
        <v>0.15510000000000004</v>
      </c>
      <c r="AN113" s="136">
        <f t="shared" si="61"/>
        <v>0.13213834507462685</v>
      </c>
      <c r="AO113" s="133">
        <f t="shared" si="55"/>
        <v>0.32469327126227177</v>
      </c>
      <c r="AP113" s="132">
        <f t="shared" si="39"/>
        <v>0.22361149962773064</v>
      </c>
      <c r="AQ113" s="137">
        <f t="shared" si="40"/>
        <v>4.6399386172754111</v>
      </c>
      <c r="AR113" s="137">
        <f t="shared" si="41"/>
        <v>4.0994890441768073E-2</v>
      </c>
      <c r="AS113" s="1">
        <f t="shared" si="42"/>
        <v>3.7999999999999999E-2</v>
      </c>
      <c r="AT113" s="133">
        <f t="shared" si="56"/>
        <v>4.8240000000000005E-2</v>
      </c>
      <c r="AU113" s="132">
        <f t="shared" si="57"/>
        <v>10.251398987885693</v>
      </c>
      <c r="AV113" s="1">
        <f t="shared" si="58"/>
        <v>90</v>
      </c>
      <c r="AW113" s="133">
        <f t="shared" si="59"/>
        <v>89.774308297558562</v>
      </c>
    </row>
    <row r="114" spans="17:49" x14ac:dyDescent="0.25">
      <c r="Q114">
        <v>107</v>
      </c>
      <c r="R114" s="132">
        <f t="shared" si="32"/>
        <v>18</v>
      </c>
      <c r="S114" s="1">
        <f t="shared" si="62"/>
        <v>5</v>
      </c>
      <c r="T114" s="1">
        <f t="shared" si="63"/>
        <v>12.07</v>
      </c>
      <c r="U114" s="133">
        <f t="shared" si="43"/>
        <v>7.4565037282518638</v>
      </c>
      <c r="V114" s="132">
        <f>IF(Calculations!$B$17=3,2,IF((S114*R114/T114)&lt;((T114*(1-(T114/R114)))/(2*Lm*fsw)),1,2))</f>
        <v>2</v>
      </c>
      <c r="W114" s="1">
        <f t="shared" si="44"/>
        <v>0.32944444444444443</v>
      </c>
      <c r="X114" s="133">
        <f t="shared" si="35"/>
        <v>0.67055555555555557</v>
      </c>
      <c r="Y114" s="132">
        <f t="shared" si="36"/>
        <v>1.5905577777777777</v>
      </c>
      <c r="Z114" s="1">
        <f t="shared" si="45"/>
        <v>8.2517826171407531</v>
      </c>
      <c r="AA114" s="1">
        <f t="shared" si="46"/>
        <v>7.4706271949864682</v>
      </c>
      <c r="AB114" s="1">
        <v>0</v>
      </c>
      <c r="AC114" s="1">
        <f t="shared" si="47"/>
        <v>4.6322524669771248</v>
      </c>
      <c r="AD114" s="133">
        <f t="shared" si="48"/>
        <v>4.6322524669771248</v>
      </c>
      <c r="AE114" s="132">
        <f t="shared" si="60"/>
        <v>2.4565037282518638</v>
      </c>
      <c r="AF114" s="1">
        <f t="shared" si="49"/>
        <v>4.2879346567547678</v>
      </c>
      <c r="AG114" s="1">
        <f t="shared" si="37"/>
        <v>1.8386383620598631E-2</v>
      </c>
      <c r="AH114" s="1">
        <f t="shared" si="50"/>
        <v>0.27730420613113366</v>
      </c>
      <c r="AI114" s="133">
        <f t="shared" si="51"/>
        <v>0.29569058975173229</v>
      </c>
      <c r="AJ114" s="132">
        <f t="shared" si="52"/>
        <v>5</v>
      </c>
      <c r="AK114" s="1">
        <f t="shared" si="53"/>
        <v>6.1175066052986624</v>
      </c>
      <c r="AL114" s="1">
        <f t="shared" si="38"/>
        <v>3.7423887065872762E-2</v>
      </c>
      <c r="AM114" s="1">
        <f t="shared" si="54"/>
        <v>0.15510000000000004</v>
      </c>
      <c r="AN114" s="136">
        <f t="shared" si="61"/>
        <v>0.13202852187425204</v>
      </c>
      <c r="AO114" s="133">
        <f t="shared" si="55"/>
        <v>0.32455240894012483</v>
      </c>
      <c r="AP114" s="132">
        <f t="shared" si="39"/>
        <v>0.22324108274588553</v>
      </c>
      <c r="AQ114" s="137">
        <f t="shared" si="40"/>
        <v>4.6322524669771248</v>
      </c>
      <c r="AR114" s="137">
        <f t="shared" si="41"/>
        <v>4.0914111794322416E-2</v>
      </c>
      <c r="AS114" s="1">
        <f t="shared" si="42"/>
        <v>3.7999999999999999E-2</v>
      </c>
      <c r="AT114" s="133">
        <f t="shared" si="56"/>
        <v>4.8280000000000003E-2</v>
      </c>
      <c r="AU114" s="132">
        <f t="shared" si="57"/>
        <v>10.235183127186314</v>
      </c>
      <c r="AV114" s="1">
        <f t="shared" si="58"/>
        <v>90</v>
      </c>
      <c r="AW114" s="133">
        <f t="shared" si="59"/>
        <v>89.788831817467624</v>
      </c>
    </row>
    <row r="115" spans="17:49" x14ac:dyDescent="0.25">
      <c r="Q115">
        <v>108</v>
      </c>
      <c r="R115" s="132">
        <f t="shared" si="32"/>
        <v>18</v>
      </c>
      <c r="S115" s="1">
        <f t="shared" si="62"/>
        <v>5</v>
      </c>
      <c r="T115" s="1">
        <f t="shared" si="63"/>
        <v>12.08</v>
      </c>
      <c r="U115" s="133">
        <f t="shared" si="43"/>
        <v>7.4503311258278142</v>
      </c>
      <c r="V115" s="132">
        <f>IF(Calculations!$B$17=3,2,IF((S115*R115/T115)&lt;((T115*(1-(T115/R115)))/(2*Lm*fsw)),1,2))</f>
        <v>2</v>
      </c>
      <c r="W115" s="1">
        <f t="shared" si="44"/>
        <v>0.3288888888888889</v>
      </c>
      <c r="X115" s="133">
        <f t="shared" si="35"/>
        <v>0.6711111111111111</v>
      </c>
      <c r="Y115" s="132">
        <f t="shared" si="36"/>
        <v>1.5891911111111112</v>
      </c>
      <c r="Z115" s="1">
        <f t="shared" si="45"/>
        <v>8.2449266813833706</v>
      </c>
      <c r="AA115" s="1">
        <f t="shared" si="46"/>
        <v>7.4644420142063055</v>
      </c>
      <c r="AB115" s="1">
        <v>0</v>
      </c>
      <c r="AC115" s="1">
        <f t="shared" si="47"/>
        <v>4.6245852504262075</v>
      </c>
      <c r="AD115" s="133">
        <f t="shared" si="48"/>
        <v>4.6245852504262075</v>
      </c>
      <c r="AE115" s="132">
        <f t="shared" si="60"/>
        <v>2.4503311258278146</v>
      </c>
      <c r="AF115" s="1">
        <f t="shared" si="49"/>
        <v>4.2807705428787646</v>
      </c>
      <c r="AG115" s="1">
        <f t="shared" si="37"/>
        <v>1.8324996440778552E-2</v>
      </c>
      <c r="AH115" s="1">
        <f t="shared" si="50"/>
        <v>0.27707464966910461</v>
      </c>
      <c r="AI115" s="133">
        <f t="shared" si="51"/>
        <v>0.29539964610988317</v>
      </c>
      <c r="AJ115" s="132">
        <f t="shared" si="52"/>
        <v>5</v>
      </c>
      <c r="AK115" s="1">
        <f t="shared" si="53"/>
        <v>6.1149732740764904</v>
      </c>
      <c r="AL115" s="1">
        <f t="shared" si="38"/>
        <v>3.7392898142669752E-2</v>
      </c>
      <c r="AM115" s="1">
        <f t="shared" si="54"/>
        <v>0.15510000000000004</v>
      </c>
      <c r="AN115" s="136">
        <f t="shared" si="61"/>
        <v>0.13191882690213394</v>
      </c>
      <c r="AO115" s="133">
        <f t="shared" si="55"/>
        <v>0.32441172504480376</v>
      </c>
      <c r="AP115" s="132">
        <f t="shared" si="39"/>
        <v>0.22287157833379315</v>
      </c>
      <c r="AQ115" s="137">
        <f t="shared" si="40"/>
        <v>4.6245852504262075</v>
      </c>
      <c r="AR115" s="137">
        <f t="shared" si="41"/>
        <v>4.0833160200104988E-2</v>
      </c>
      <c r="AS115" s="1">
        <f t="shared" si="42"/>
        <v>3.7999999999999999E-2</v>
      </c>
      <c r="AT115" s="133">
        <f t="shared" si="56"/>
        <v>4.8320000000000002E-2</v>
      </c>
      <c r="AU115" s="132">
        <f t="shared" si="57"/>
        <v>10.219006610541001</v>
      </c>
      <c r="AV115" s="1">
        <f t="shared" si="58"/>
        <v>90</v>
      </c>
      <c r="AW115" s="133">
        <f t="shared" si="59"/>
        <v>89.80332478224129</v>
      </c>
    </row>
    <row r="116" spans="17:49" x14ac:dyDescent="0.25">
      <c r="Q116">
        <v>109</v>
      </c>
      <c r="R116" s="132">
        <f t="shared" si="32"/>
        <v>18</v>
      </c>
      <c r="S116" s="1">
        <f t="shared" si="62"/>
        <v>5</v>
      </c>
      <c r="T116" s="1">
        <f t="shared" si="63"/>
        <v>12.09</v>
      </c>
      <c r="U116" s="133">
        <f t="shared" si="43"/>
        <v>7.4441687344913152</v>
      </c>
      <c r="V116" s="132">
        <f>IF(Calculations!$B$17=3,2,IF((S116*R116/T116)&lt;((T116*(1-(T116/R116)))/(2*Lm*fsw)),1,2))</f>
        <v>2</v>
      </c>
      <c r="W116" s="1">
        <f t="shared" si="44"/>
        <v>0.32833333333333337</v>
      </c>
      <c r="X116" s="133">
        <f t="shared" si="35"/>
        <v>0.67166666666666663</v>
      </c>
      <c r="Y116" s="132">
        <f t="shared" si="36"/>
        <v>1.5878200000000002</v>
      </c>
      <c r="Z116" s="1">
        <f t="shared" si="45"/>
        <v>8.2380787344913156</v>
      </c>
      <c r="AA116" s="1">
        <f t="shared" si="46"/>
        <v>7.4582669463898492</v>
      </c>
      <c r="AB116" s="1">
        <v>0</v>
      </c>
      <c r="AC116" s="1">
        <f t="shared" si="47"/>
        <v>4.6169369050197435</v>
      </c>
      <c r="AD116" s="133">
        <f t="shared" si="48"/>
        <v>4.6169369050197435</v>
      </c>
      <c r="AE116" s="132">
        <f t="shared" si="60"/>
        <v>2.4441687344913152</v>
      </c>
      <c r="AF116" s="1">
        <f t="shared" si="49"/>
        <v>4.2736151618958083</v>
      </c>
      <c r="AG116" s="1">
        <f t="shared" si="37"/>
        <v>1.8263786551985736E-2</v>
      </c>
      <c r="AH116" s="1">
        <f t="shared" si="50"/>
        <v>0.27684547295308382</v>
      </c>
      <c r="AI116" s="133">
        <f t="shared" si="51"/>
        <v>0.29510925950506955</v>
      </c>
      <c r="AJ116" s="132">
        <f t="shared" si="52"/>
        <v>5</v>
      </c>
      <c r="AK116" s="1">
        <f t="shared" si="53"/>
        <v>6.1124429888241609</v>
      </c>
      <c r="AL116" s="1">
        <f t="shared" si="38"/>
        <v>3.736195929162564E-2</v>
      </c>
      <c r="AM116" s="1">
        <f t="shared" si="54"/>
        <v>0.15510000000000004</v>
      </c>
      <c r="AN116" s="136">
        <f t="shared" si="61"/>
        <v>0.13180925975186106</v>
      </c>
      <c r="AO116" s="133">
        <f t="shared" si="55"/>
        <v>0.32427121904348677</v>
      </c>
      <c r="AP116" s="132">
        <f t="shared" si="39"/>
        <v>0.22250298337444549</v>
      </c>
      <c r="AQ116" s="137">
        <f t="shared" si="40"/>
        <v>4.6169369050197435</v>
      </c>
      <c r="AR116" s="137">
        <f t="shared" si="41"/>
        <v>4.075203652067956E-2</v>
      </c>
      <c r="AS116" s="1">
        <f t="shared" si="42"/>
        <v>3.7999999999999999E-2</v>
      </c>
      <c r="AT116" s="133">
        <f t="shared" si="56"/>
        <v>4.836E-2</v>
      </c>
      <c r="AU116" s="132">
        <f t="shared" si="57"/>
        <v>10.202869308483169</v>
      </c>
      <c r="AV116" s="1">
        <f t="shared" si="58"/>
        <v>90</v>
      </c>
      <c r="AW116" s="133">
        <f t="shared" si="59"/>
        <v>89.817787276058169</v>
      </c>
    </row>
    <row r="117" spans="17:49" x14ac:dyDescent="0.25">
      <c r="Q117">
        <v>110</v>
      </c>
      <c r="R117" s="132">
        <f t="shared" si="32"/>
        <v>18</v>
      </c>
      <c r="S117" s="1">
        <f t="shared" si="62"/>
        <v>5</v>
      </c>
      <c r="T117" s="1">
        <f t="shared" si="63"/>
        <v>12.1</v>
      </c>
      <c r="U117" s="133">
        <f t="shared" si="43"/>
        <v>7.4380165289256199</v>
      </c>
      <c r="V117" s="132">
        <f>IF(Calculations!$B$17=3,2,IF((S117*R117/T117)&lt;((T117*(1-(T117/R117)))/(2*Lm*fsw)),1,2))</f>
        <v>2</v>
      </c>
      <c r="W117" s="1">
        <f t="shared" si="44"/>
        <v>0.32777777777777783</v>
      </c>
      <c r="X117" s="133">
        <f t="shared" si="35"/>
        <v>0.67222222222222217</v>
      </c>
      <c r="Y117" s="132">
        <f t="shared" si="36"/>
        <v>1.5864444444444445</v>
      </c>
      <c r="Z117" s="1">
        <f t="shared" si="45"/>
        <v>8.231238751147842</v>
      </c>
      <c r="AA117" s="1">
        <f t="shared" si="46"/>
        <v>7.4521019662808188</v>
      </c>
      <c r="AB117" s="1">
        <v>0</v>
      </c>
      <c r="AC117" s="1">
        <f t="shared" si="47"/>
        <v>4.609307368415255</v>
      </c>
      <c r="AD117" s="133">
        <f t="shared" si="48"/>
        <v>4.609307368415255</v>
      </c>
      <c r="AE117" s="132">
        <f t="shared" si="60"/>
        <v>2.4380165289256204</v>
      </c>
      <c r="AF117" s="1">
        <f t="shared" si="49"/>
        <v>4.2664684844825711</v>
      </c>
      <c r="AG117" s="1">
        <f t="shared" si="37"/>
        <v>1.8202753329083006E-2</v>
      </c>
      <c r="AH117" s="1">
        <f t="shared" si="50"/>
        <v>0.27661667504155235</v>
      </c>
      <c r="AI117" s="133">
        <f t="shared" si="51"/>
        <v>0.29481942837063535</v>
      </c>
      <c r="AJ117" s="132">
        <f t="shared" si="52"/>
        <v>5</v>
      </c>
      <c r="AK117" s="1">
        <f t="shared" si="53"/>
        <v>6.1099157430167104</v>
      </c>
      <c r="AL117" s="1">
        <f t="shared" si="38"/>
        <v>3.7331070386763442E-2</v>
      </c>
      <c r="AM117" s="1">
        <f t="shared" si="54"/>
        <v>0.15510000000000004</v>
      </c>
      <c r="AN117" s="136">
        <f t="shared" si="61"/>
        <v>0.13169982001836547</v>
      </c>
      <c r="AO117" s="133">
        <f t="shared" si="55"/>
        <v>0.32413089040512899</v>
      </c>
      <c r="AP117" s="132">
        <f t="shared" si="39"/>
        <v>0.22213529486338579</v>
      </c>
      <c r="AQ117" s="137">
        <f t="shared" si="40"/>
        <v>4.609307368415255</v>
      </c>
      <c r="AR117" s="137">
        <f t="shared" si="41"/>
        <v>4.0670741620009498E-2</v>
      </c>
      <c r="AS117" s="1">
        <f t="shared" si="42"/>
        <v>3.7999999999999999E-2</v>
      </c>
      <c r="AT117" s="133">
        <f t="shared" si="56"/>
        <v>4.8399999999999999E-2</v>
      </c>
      <c r="AU117" s="132">
        <f t="shared" si="57"/>
        <v>10.186771092089669</v>
      </c>
      <c r="AV117" s="1">
        <f t="shared" si="58"/>
        <v>90</v>
      </c>
      <c r="AW117" s="133">
        <f t="shared" si="59"/>
        <v>89.832219382810337</v>
      </c>
    </row>
    <row r="118" spans="17:49" x14ac:dyDescent="0.25">
      <c r="Q118">
        <v>111</v>
      </c>
      <c r="R118" s="132">
        <f t="shared" si="32"/>
        <v>18</v>
      </c>
      <c r="S118" s="1">
        <f t="shared" si="62"/>
        <v>5</v>
      </c>
      <c r="T118" s="1">
        <f t="shared" si="63"/>
        <v>12.11</v>
      </c>
      <c r="U118" s="133">
        <f t="shared" si="43"/>
        <v>7.4318744838976061</v>
      </c>
      <c r="V118" s="132">
        <f>IF(Calculations!$B$17=3,2,IF((S118*R118/T118)&lt;((T118*(1-(T118/R118)))/(2*Lm*fsw)),1,2))</f>
        <v>2</v>
      </c>
      <c r="W118" s="1">
        <f t="shared" si="44"/>
        <v>0.3272222222222223</v>
      </c>
      <c r="X118" s="133">
        <f t="shared" si="35"/>
        <v>0.6727777777777777</v>
      </c>
      <c r="Y118" s="132">
        <f t="shared" si="36"/>
        <v>1.5850644444444448</v>
      </c>
      <c r="Z118" s="1">
        <f t="shared" si="45"/>
        <v>8.2244067061198294</v>
      </c>
      <c r="AA118" s="1">
        <f t="shared" si="46"/>
        <v>7.4459470487078949</v>
      </c>
      <c r="AB118" s="1">
        <v>0</v>
      </c>
      <c r="AC118" s="1">
        <f t="shared" si="47"/>
        <v>4.601696578529431</v>
      </c>
      <c r="AD118" s="133">
        <f t="shared" si="48"/>
        <v>4.601696578529431</v>
      </c>
      <c r="AE118" s="132">
        <f t="shared" si="60"/>
        <v>2.4318744838976061</v>
      </c>
      <c r="AF118" s="1">
        <f t="shared" si="49"/>
        <v>4.2593304813813244</v>
      </c>
      <c r="AG118" s="1">
        <f t="shared" si="37"/>
        <v>1.8141896149624064E-2</v>
      </c>
      <c r="AH118" s="1">
        <f t="shared" si="50"/>
        <v>0.27638825499610109</v>
      </c>
      <c r="AI118" s="133">
        <f t="shared" si="51"/>
        <v>0.29453015114572517</v>
      </c>
      <c r="AJ118" s="132">
        <f t="shared" si="52"/>
        <v>5</v>
      </c>
      <c r="AK118" s="1">
        <f t="shared" si="53"/>
        <v>6.1073915301491644</v>
      </c>
      <c r="AL118" s="1">
        <f t="shared" si="38"/>
        <v>3.7300231302537755E-2</v>
      </c>
      <c r="AM118" s="1">
        <f t="shared" si="54"/>
        <v>0.15510000000000004</v>
      </c>
      <c r="AN118" s="136">
        <f t="shared" si="61"/>
        <v>0.13159050729791727</v>
      </c>
      <c r="AO118" s="133">
        <f t="shared" si="55"/>
        <v>0.32399073860045507</v>
      </c>
      <c r="AP118" s="132">
        <f t="shared" si="39"/>
        <v>0.22176850980864726</v>
      </c>
      <c r="AQ118" s="137">
        <f t="shared" si="40"/>
        <v>4.601696578529431</v>
      </c>
      <c r="AR118" s="137">
        <f t="shared" si="41"/>
        <v>4.058927636445412E-2</v>
      </c>
      <c r="AS118" s="1">
        <f t="shared" si="42"/>
        <v>3.7999999999999999E-2</v>
      </c>
      <c r="AT118" s="133">
        <f t="shared" si="56"/>
        <v>4.8439999999999997E-2</v>
      </c>
      <c r="AU118" s="132">
        <f t="shared" si="57"/>
        <v>10.170711832978144</v>
      </c>
      <c r="AV118" s="1">
        <f t="shared" si="58"/>
        <v>90</v>
      </c>
      <c r="AW118" s="133">
        <f t="shared" si="59"/>
        <v>89.846621186104272</v>
      </c>
    </row>
    <row r="119" spans="17:49" x14ac:dyDescent="0.25">
      <c r="Q119">
        <v>112</v>
      </c>
      <c r="R119" s="132">
        <f t="shared" si="32"/>
        <v>18</v>
      </c>
      <c r="S119" s="1">
        <f t="shared" si="62"/>
        <v>5</v>
      </c>
      <c r="T119" s="1">
        <f t="shared" si="63"/>
        <v>12.120000000000001</v>
      </c>
      <c r="U119" s="133">
        <f t="shared" si="43"/>
        <v>7.4257425742574252</v>
      </c>
      <c r="V119" s="132">
        <f>IF(Calculations!$B$17=3,2,IF((S119*R119/T119)&lt;((T119*(1-(T119/R119)))/(2*Lm*fsw)),1,2))</f>
        <v>2</v>
      </c>
      <c r="W119" s="1">
        <f t="shared" si="44"/>
        <v>0.32666666666666666</v>
      </c>
      <c r="X119" s="133">
        <f t="shared" si="35"/>
        <v>0.67333333333333334</v>
      </c>
      <c r="Y119" s="132">
        <f t="shared" si="36"/>
        <v>1.58368</v>
      </c>
      <c r="Z119" s="1">
        <f t="shared" si="45"/>
        <v>8.2175825742574258</v>
      </c>
      <c r="AA119" s="1">
        <f t="shared" si="46"/>
        <v>7.4398021685843654</v>
      </c>
      <c r="AB119" s="1">
        <v>0</v>
      </c>
      <c r="AC119" s="1">
        <f t="shared" si="47"/>
        <v>4.5941044735368282</v>
      </c>
      <c r="AD119" s="133">
        <f t="shared" si="48"/>
        <v>4.5941044735368282</v>
      </c>
      <c r="AE119" s="132">
        <f t="shared" si="60"/>
        <v>2.4257425742574257</v>
      </c>
      <c r="AF119" s="1">
        <f t="shared" si="49"/>
        <v>4.2522011233994714</v>
      </c>
      <c r="AG119" s="1">
        <f t="shared" si="37"/>
        <v>1.8081214393839726E-2</v>
      </c>
      <c r="AH119" s="1">
        <f t="shared" si="50"/>
        <v>0.27616021188141776</v>
      </c>
      <c r="AI119" s="133">
        <f t="shared" si="51"/>
        <v>0.29424142627525751</v>
      </c>
      <c r="AJ119" s="132">
        <f t="shared" si="52"/>
        <v>5</v>
      </c>
      <c r="AK119" s="1">
        <f t="shared" si="53"/>
        <v>6.1048703437364589</v>
      </c>
      <c r="AL119" s="1">
        <f t="shared" si="38"/>
        <v>3.7269441913832906E-2</v>
      </c>
      <c r="AM119" s="1">
        <f t="shared" si="54"/>
        <v>0.15510000000000004</v>
      </c>
      <c r="AN119" s="136">
        <f t="shared" si="61"/>
        <v>0.13148132118811881</v>
      </c>
      <c r="AO119" s="133">
        <f t="shared" si="55"/>
        <v>0.32385076310195177</v>
      </c>
      <c r="AP119" s="132">
        <f t="shared" si="39"/>
        <v>0.22140262523069051</v>
      </c>
      <c r="AQ119" s="137">
        <f t="shared" si="40"/>
        <v>4.5941044735368282</v>
      </c>
      <c r="AR119" s="137">
        <f t="shared" si="41"/>
        <v>4.0507641622763942E-2</v>
      </c>
      <c r="AS119" s="1">
        <f t="shared" si="42"/>
        <v>3.7999999999999999E-2</v>
      </c>
      <c r="AT119" s="133">
        <f t="shared" si="56"/>
        <v>4.8480000000000002E-2</v>
      </c>
      <c r="AU119" s="132">
        <f t="shared" si="57"/>
        <v>10.154691403304319</v>
      </c>
      <c r="AV119" s="1">
        <f t="shared" si="58"/>
        <v>90</v>
      </c>
      <c r="AW119" s="133">
        <f t="shared" si="59"/>
        <v>89.860992769262026</v>
      </c>
    </row>
    <row r="120" spans="17:49" x14ac:dyDescent="0.25">
      <c r="Q120">
        <v>113</v>
      </c>
      <c r="R120" s="132">
        <f t="shared" si="32"/>
        <v>18</v>
      </c>
      <c r="S120" s="1">
        <f t="shared" si="62"/>
        <v>5</v>
      </c>
      <c r="T120" s="1">
        <f t="shared" si="63"/>
        <v>12.13</v>
      </c>
      <c r="U120" s="133">
        <f t="shared" si="43"/>
        <v>7.4196207749381697</v>
      </c>
      <c r="V120" s="132">
        <f>IF(Calculations!$B$17=3,2,IF((S120*R120/T120)&lt;((T120*(1-(T120/R120)))/(2*Lm*fsw)),1,2))</f>
        <v>2</v>
      </c>
      <c r="W120" s="1">
        <f t="shared" si="44"/>
        <v>0.32611111111111102</v>
      </c>
      <c r="X120" s="133">
        <f t="shared" si="35"/>
        <v>0.67388888888888898</v>
      </c>
      <c r="Y120" s="132">
        <f t="shared" si="36"/>
        <v>1.5822911111111106</v>
      </c>
      <c r="Z120" s="1">
        <f t="shared" si="45"/>
        <v>8.2107663304937244</v>
      </c>
      <c r="AA120" s="1">
        <f t="shared" si="46"/>
        <v>7.4336673009077998</v>
      </c>
      <c r="AB120" s="1">
        <v>0</v>
      </c>
      <c r="AC120" s="1">
        <f t="shared" si="47"/>
        <v>4.5865309918686261</v>
      </c>
      <c r="AD120" s="133">
        <f t="shared" si="48"/>
        <v>4.5865309918686261</v>
      </c>
      <c r="AE120" s="132">
        <f t="shared" si="60"/>
        <v>2.4196207749381693</v>
      </c>
      <c r="AF120" s="1">
        <f t="shared" si="49"/>
        <v>4.2450803814090943</v>
      </c>
      <c r="AG120" s="1">
        <f t="shared" si="37"/>
        <v>1.8020707444624383E-2</v>
      </c>
      <c r="AH120" s="1">
        <f t="shared" si="50"/>
        <v>0.27593254476527485</v>
      </c>
      <c r="AI120" s="133">
        <f t="shared" si="51"/>
        <v>0.29395325220989921</v>
      </c>
      <c r="AJ120" s="132">
        <f t="shared" si="52"/>
        <v>5.0000000000000009</v>
      </c>
      <c r="AK120" s="1">
        <f t="shared" si="53"/>
        <v>6.1023521773133904</v>
      </c>
      <c r="AL120" s="1">
        <f t="shared" si="38"/>
        <v>3.723870209596148E-2</v>
      </c>
      <c r="AM120" s="1">
        <f t="shared" si="54"/>
        <v>0.15510000000000004</v>
      </c>
      <c r="AN120" s="136">
        <f t="shared" si="61"/>
        <v>0.13137226128789958</v>
      </c>
      <c r="AO120" s="133">
        <f t="shared" si="55"/>
        <v>0.32371096338386107</v>
      </c>
      <c r="AP120" s="132">
        <f t="shared" si="39"/>
        <v>0.22103763816234342</v>
      </c>
      <c r="AQ120" s="137">
        <f t="shared" si="40"/>
        <v>4.5865309918686261</v>
      </c>
      <c r="AR120" s="137">
        <f t="shared" si="41"/>
        <v>4.0425838266076652E-2</v>
      </c>
      <c r="AS120" s="1">
        <f t="shared" si="42"/>
        <v>3.7999999999999999E-2</v>
      </c>
      <c r="AT120" s="133">
        <f t="shared" si="56"/>
        <v>4.8520000000000008E-2</v>
      </c>
      <c r="AU120" s="132">
        <f t="shared" si="57"/>
        <v>10.138709675759431</v>
      </c>
      <c r="AV120" s="1">
        <f t="shared" si="58"/>
        <v>90</v>
      </c>
      <c r="AW120" s="133">
        <f t="shared" si="59"/>
        <v>89.875334215322226</v>
      </c>
    </row>
    <row r="121" spans="17:49" x14ac:dyDescent="0.25">
      <c r="Q121">
        <v>114</v>
      </c>
      <c r="R121" s="132">
        <f t="shared" si="32"/>
        <v>18</v>
      </c>
      <c r="S121" s="1">
        <f t="shared" si="62"/>
        <v>5</v>
      </c>
      <c r="T121" s="1">
        <f t="shared" si="63"/>
        <v>12.14</v>
      </c>
      <c r="U121" s="133">
        <f t="shared" si="43"/>
        <v>7.4135090609555183</v>
      </c>
      <c r="V121" s="132">
        <f>IF(Calculations!$B$17=3,2,IF((S121*R121/T121)&lt;((T121*(1-(T121/R121)))/(2*Lm*fsw)),1,2))</f>
        <v>2</v>
      </c>
      <c r="W121" s="1">
        <f t="shared" si="44"/>
        <v>0.32555555555555549</v>
      </c>
      <c r="X121" s="133">
        <f t="shared" si="35"/>
        <v>0.67444444444444451</v>
      </c>
      <c r="Y121" s="132">
        <f t="shared" si="36"/>
        <v>1.5808977777777775</v>
      </c>
      <c r="Z121" s="1">
        <f t="shared" si="45"/>
        <v>8.2039579498444066</v>
      </c>
      <c r="AA121" s="1">
        <f t="shared" si="46"/>
        <v>7.4275424207596954</v>
      </c>
      <c r="AB121" s="1">
        <v>0</v>
      </c>
      <c r="AC121" s="1">
        <f t="shared" si="47"/>
        <v>4.5789760722113382</v>
      </c>
      <c r="AD121" s="133">
        <f t="shared" si="48"/>
        <v>4.5789760722113382</v>
      </c>
      <c r="AE121" s="132">
        <f t="shared" si="60"/>
        <v>2.4135090609555183</v>
      </c>
      <c r="AF121" s="1">
        <f t="shared" si="49"/>
        <v>4.237968226346486</v>
      </c>
      <c r="AG121" s="1">
        <f t="shared" si="37"/>
        <v>1.796037468752238E-2</v>
      </c>
      <c r="AH121" s="1">
        <f t="shared" si="50"/>
        <v>0.27570525271851593</v>
      </c>
      <c r="AI121" s="133">
        <f t="shared" si="51"/>
        <v>0.2936656274060383</v>
      </c>
      <c r="AJ121" s="132">
        <f t="shared" si="52"/>
        <v>5</v>
      </c>
      <c r="AK121" s="1">
        <f t="shared" si="53"/>
        <v>6.0998370244345388</v>
      </c>
      <c r="AL121" s="1">
        <f t="shared" si="38"/>
        <v>3.7208011724662406E-2</v>
      </c>
      <c r="AM121" s="1">
        <f t="shared" si="54"/>
        <v>0.15510000000000004</v>
      </c>
      <c r="AN121" s="136">
        <f t="shared" si="61"/>
        <v>0.13126332719751052</v>
      </c>
      <c r="AO121" s="133">
        <f t="shared" si="55"/>
        <v>0.32357133892217294</v>
      </c>
      <c r="AP121" s="132">
        <f t="shared" si="39"/>
        <v>0.22067354564873917</v>
      </c>
      <c r="AQ121" s="137">
        <f t="shared" si="40"/>
        <v>4.5789760722113382</v>
      </c>
      <c r="AR121" s="137">
        <f t="shared" si="41"/>
        <v>4.0343867167912884E-2</v>
      </c>
      <c r="AS121" s="1">
        <f t="shared" si="42"/>
        <v>3.7999999999999999E-2</v>
      </c>
      <c r="AT121" s="133">
        <f t="shared" si="56"/>
        <v>4.8560000000000006E-2</v>
      </c>
      <c r="AU121" s="132">
        <f t="shared" si="57"/>
        <v>10.12276652356754</v>
      </c>
      <c r="AV121" s="1">
        <f t="shared" si="58"/>
        <v>90</v>
      </c>
      <c r="AW121" s="133">
        <f t="shared" si="59"/>
        <v>89.889645607041061</v>
      </c>
    </row>
    <row r="122" spans="17:49" x14ac:dyDescent="0.25">
      <c r="Q122">
        <v>115</v>
      </c>
      <c r="R122" s="132">
        <f t="shared" si="32"/>
        <v>18</v>
      </c>
      <c r="S122" s="1">
        <f t="shared" si="62"/>
        <v>5</v>
      </c>
      <c r="T122" s="1">
        <f t="shared" si="63"/>
        <v>12.15</v>
      </c>
      <c r="U122" s="133">
        <f t="shared" si="43"/>
        <v>7.4074074074074074</v>
      </c>
      <c r="V122" s="132">
        <f>IF(Calculations!$B$17=3,2,IF((S122*R122/T122)&lt;((T122*(1-(T122/R122)))/(2*Lm*fsw)),1,2))</f>
        <v>2</v>
      </c>
      <c r="W122" s="1">
        <f t="shared" si="44"/>
        <v>0.32499999999999996</v>
      </c>
      <c r="X122" s="133">
        <f t="shared" si="35"/>
        <v>0.67500000000000004</v>
      </c>
      <c r="Y122" s="132">
        <f t="shared" si="36"/>
        <v>1.5794999999999999</v>
      </c>
      <c r="Z122" s="1">
        <f t="shared" si="45"/>
        <v>8.1971574074074081</v>
      </c>
      <c r="AA122" s="1">
        <f t="shared" si="46"/>
        <v>7.4214275033051509</v>
      </c>
      <c r="AB122" s="1">
        <v>0</v>
      </c>
      <c r="AC122" s="1">
        <f t="shared" si="47"/>
        <v>4.5714396535055721</v>
      </c>
      <c r="AD122" s="133">
        <f t="shared" si="48"/>
        <v>4.5714396535055721</v>
      </c>
      <c r="AE122" s="132">
        <f t="shared" si="60"/>
        <v>2.407407407407407</v>
      </c>
      <c r="AF122" s="1">
        <f t="shared" si="49"/>
        <v>4.2308646292116929</v>
      </c>
      <c r="AG122" s="1">
        <f t="shared" si="37"/>
        <v>1.7900215510714596E-2</v>
      </c>
      <c r="AH122" s="1">
        <f t="shared" si="50"/>
        <v>0.27547833481504391</v>
      </c>
      <c r="AI122" s="133">
        <f t="shared" si="51"/>
        <v>0.29337855032575849</v>
      </c>
      <c r="AJ122" s="132">
        <f t="shared" si="52"/>
        <v>5</v>
      </c>
      <c r="AK122" s="1">
        <f t="shared" si="53"/>
        <v>6.0973248786742165</v>
      </c>
      <c r="AL122" s="1">
        <f t="shared" si="38"/>
        <v>3.7177370676099553E-2</v>
      </c>
      <c r="AM122" s="1">
        <f t="shared" si="54"/>
        <v>0.15510000000000004</v>
      </c>
      <c r="AN122" s="136">
        <f t="shared" si="61"/>
        <v>0.13115451851851853</v>
      </c>
      <c r="AO122" s="133">
        <f t="shared" si="55"/>
        <v>0.32343188919461813</v>
      </c>
      <c r="AP122" s="132">
        <f t="shared" si="39"/>
        <v>0.2203103447472565</v>
      </c>
      <c r="AQ122" s="137">
        <f t="shared" si="40"/>
        <v>4.5714396535055721</v>
      </c>
      <c r="AR122" s="137">
        <f t="shared" si="41"/>
        <v>4.0261729204171461E-2</v>
      </c>
      <c r="AS122" s="1">
        <f t="shared" si="42"/>
        <v>3.7999999999999999E-2</v>
      </c>
      <c r="AT122" s="133">
        <f t="shared" si="56"/>
        <v>4.8600000000000004E-2</v>
      </c>
      <c r="AU122" s="132">
        <f t="shared" si="57"/>
        <v>10.106861820482951</v>
      </c>
      <c r="AV122" s="1">
        <f t="shared" si="58"/>
        <v>90</v>
      </c>
      <c r="AW122" s="133">
        <f t="shared" si="59"/>
        <v>89.903927026893399</v>
      </c>
    </row>
    <row r="123" spans="17:49" x14ac:dyDescent="0.25">
      <c r="Q123">
        <v>116</v>
      </c>
      <c r="R123" s="132">
        <f t="shared" si="32"/>
        <v>18</v>
      </c>
      <c r="S123" s="1">
        <f t="shared" si="62"/>
        <v>5</v>
      </c>
      <c r="T123" s="1">
        <f t="shared" si="63"/>
        <v>12.16</v>
      </c>
      <c r="U123" s="133">
        <f t="shared" si="43"/>
        <v>7.4013157894736841</v>
      </c>
      <c r="V123" s="132">
        <f>IF(Calculations!$B$17=3,2,IF((S123*R123/T123)&lt;((T123*(1-(T123/R123)))/(2*Lm*fsw)),1,2))</f>
        <v>2</v>
      </c>
      <c r="W123" s="1">
        <f t="shared" si="44"/>
        <v>0.32444444444444442</v>
      </c>
      <c r="X123" s="133">
        <f t="shared" si="35"/>
        <v>0.67555555555555558</v>
      </c>
      <c r="Y123" s="132">
        <f t="shared" si="36"/>
        <v>1.5780977777777776</v>
      </c>
      <c r="Z123" s="1">
        <f t="shared" si="45"/>
        <v>8.1903646783625721</v>
      </c>
      <c r="AA123" s="1">
        <f t="shared" si="46"/>
        <v>7.4153225237925238</v>
      </c>
      <c r="AB123" s="1">
        <v>0</v>
      </c>
      <c r="AC123" s="1">
        <f t="shared" si="47"/>
        <v>4.5639216749447726</v>
      </c>
      <c r="AD123" s="133">
        <f t="shared" si="48"/>
        <v>4.5639216749447726</v>
      </c>
      <c r="AE123" s="132">
        <f t="shared" si="60"/>
        <v>2.4013157894736841</v>
      </c>
      <c r="AF123" s="1">
        <f t="shared" si="49"/>
        <v>4.2237695610680506</v>
      </c>
      <c r="AG123" s="1">
        <f t="shared" si="37"/>
        <v>1.7840229305004993E-2</v>
      </c>
      <c r="AH123" s="1">
        <f t="shared" si="50"/>
        <v>0.27525179013180784</v>
      </c>
      <c r="AI123" s="133">
        <f t="shared" si="51"/>
        <v>0.29309201943681285</v>
      </c>
      <c r="AJ123" s="132">
        <f t="shared" si="52"/>
        <v>5</v>
      </c>
      <c r="AK123" s="1">
        <f t="shared" si="53"/>
        <v>6.0948157336263842</v>
      </c>
      <c r="AL123" s="1">
        <f t="shared" si="38"/>
        <v>3.7146778826859718E-2</v>
      </c>
      <c r="AM123" s="1">
        <f t="shared" si="54"/>
        <v>0.15510000000000004</v>
      </c>
      <c r="AN123" s="136">
        <f t="shared" si="61"/>
        <v>0.13104583485380117</v>
      </c>
      <c r="AO123" s="133">
        <f t="shared" si="55"/>
        <v>0.32329261368066092</v>
      </c>
      <c r="AP123" s="132">
        <f t="shared" si="39"/>
        <v>0.2199480325274589</v>
      </c>
      <c r="AQ123" s="137">
        <f t="shared" si="40"/>
        <v>4.5639216749447726</v>
      </c>
      <c r="AR123" s="137">
        <f t="shared" si="41"/>
        <v>4.0179425253125352E-2</v>
      </c>
      <c r="AS123" s="1">
        <f t="shared" si="42"/>
        <v>3.7999999999999999E-2</v>
      </c>
      <c r="AT123" s="133">
        <f t="shared" si="56"/>
        <v>4.8640000000000003E-2</v>
      </c>
      <c r="AU123" s="132">
        <f t="shared" si="57"/>
        <v>10.090995440787603</v>
      </c>
      <c r="AV123" s="1">
        <f t="shared" si="58"/>
        <v>90</v>
      </c>
      <c r="AW123" s="133">
        <f t="shared" si="59"/>
        <v>89.918178557073801</v>
      </c>
    </row>
    <row r="124" spans="17:49" x14ac:dyDescent="0.25">
      <c r="Q124">
        <v>117</v>
      </c>
      <c r="R124" s="132">
        <f t="shared" si="32"/>
        <v>18</v>
      </c>
      <c r="S124" s="1">
        <f t="shared" si="62"/>
        <v>5</v>
      </c>
      <c r="T124" s="1">
        <f t="shared" si="63"/>
        <v>12.17</v>
      </c>
      <c r="U124" s="133">
        <f t="shared" si="43"/>
        <v>7.3952341824157761</v>
      </c>
      <c r="V124" s="132">
        <f>IF(Calculations!$B$17=3,2,IF((S124*R124/T124)&lt;((T124*(1-(T124/R124)))/(2*Lm*fsw)),1,2))</f>
        <v>2</v>
      </c>
      <c r="W124" s="1">
        <f t="shared" si="44"/>
        <v>0.32388888888888889</v>
      </c>
      <c r="X124" s="133">
        <f t="shared" si="35"/>
        <v>0.67611111111111111</v>
      </c>
      <c r="Y124" s="132">
        <f t="shared" si="36"/>
        <v>1.5766911111111113</v>
      </c>
      <c r="Z124" s="1">
        <f t="shared" si="45"/>
        <v>8.183579737971332</v>
      </c>
      <c r="AA124" s="1">
        <f t="shared" si="46"/>
        <v>7.4092274575531016</v>
      </c>
      <c r="AB124" s="1">
        <v>0</v>
      </c>
      <c r="AC124" s="1">
        <f t="shared" si="47"/>
        <v>4.5564220759739804</v>
      </c>
      <c r="AD124" s="133">
        <f t="shared" si="48"/>
        <v>4.5564220759739804</v>
      </c>
      <c r="AE124" s="132">
        <f t="shared" si="60"/>
        <v>2.3952341824157766</v>
      </c>
      <c r="AF124" s="1">
        <f t="shared" si="49"/>
        <v>4.2166829930417382</v>
      </c>
      <c r="AG124" s="1">
        <f t="shared" si="37"/>
        <v>1.7780415463807434E-2</v>
      </c>
      <c r="AH124" s="1">
        <f t="shared" si="50"/>
        <v>0.2750256177487907</v>
      </c>
      <c r="AI124" s="133">
        <f t="shared" si="51"/>
        <v>0.29280603321259813</v>
      </c>
      <c r="AJ124" s="132">
        <f t="shared" si="52"/>
        <v>5</v>
      </c>
      <c r="AK124" s="1">
        <f t="shared" si="53"/>
        <v>6.0923095829046119</v>
      </c>
      <c r="AL124" s="1">
        <f t="shared" si="38"/>
        <v>3.7116236053951368E-2</v>
      </c>
      <c r="AM124" s="1">
        <f t="shared" si="54"/>
        <v>0.15510000000000004</v>
      </c>
      <c r="AN124" s="136">
        <f t="shared" si="61"/>
        <v>0.1309372758075413</v>
      </c>
      <c r="AO124" s="133">
        <f t="shared" si="55"/>
        <v>0.32315351186149271</v>
      </c>
      <c r="AP124" s="132">
        <f t="shared" si="39"/>
        <v>0.2195866060710352</v>
      </c>
      <c r="AQ124" s="137">
        <f t="shared" si="40"/>
        <v>4.5564220759739804</v>
      </c>
      <c r="AR124" s="137">
        <f t="shared" si="41"/>
        <v>4.0096956195417248E-2</v>
      </c>
      <c r="AS124" s="1">
        <f t="shared" si="42"/>
        <v>3.7999999999999999E-2</v>
      </c>
      <c r="AT124" s="133">
        <f t="shared" si="56"/>
        <v>4.8680000000000001E-2</v>
      </c>
      <c r="AU124" s="132">
        <f t="shared" si="57"/>
        <v>10.075167259288504</v>
      </c>
      <c r="AV124" s="1">
        <f t="shared" si="58"/>
        <v>90</v>
      </c>
      <c r="AW124" s="133">
        <f t="shared" si="59"/>
        <v>89.932400279497543</v>
      </c>
    </row>
    <row r="125" spans="17:49" x14ac:dyDescent="0.25">
      <c r="Q125">
        <v>118</v>
      </c>
      <c r="R125" s="132">
        <f t="shared" si="32"/>
        <v>18</v>
      </c>
      <c r="S125" s="1">
        <f t="shared" si="62"/>
        <v>5</v>
      </c>
      <c r="T125" s="1">
        <f t="shared" si="63"/>
        <v>12.18</v>
      </c>
      <c r="U125" s="133">
        <f t="shared" si="43"/>
        <v>7.389162561576355</v>
      </c>
      <c r="V125" s="132">
        <f>IF(Calculations!$B$17=3,2,IF((S125*R125/T125)&lt;((T125*(1-(T125/R125)))/(2*Lm*fsw)),1,2))</f>
        <v>2</v>
      </c>
      <c r="W125" s="1">
        <f t="shared" si="44"/>
        <v>0.32333333333333336</v>
      </c>
      <c r="X125" s="133">
        <f t="shared" si="35"/>
        <v>0.67666666666666664</v>
      </c>
      <c r="Y125" s="132">
        <f t="shared" si="36"/>
        <v>1.57528</v>
      </c>
      <c r="Z125" s="1">
        <f t="shared" si="45"/>
        <v>8.1768025615763555</v>
      </c>
      <c r="AA125" s="1">
        <f t="shared" si="46"/>
        <v>7.4031422800007682</v>
      </c>
      <c r="AB125" s="1">
        <v>0</v>
      </c>
      <c r="AC125" s="1">
        <f t="shared" si="47"/>
        <v>4.548940796288603</v>
      </c>
      <c r="AD125" s="133">
        <f t="shared" si="48"/>
        <v>4.548940796288603</v>
      </c>
      <c r="AE125" s="132">
        <f t="shared" si="60"/>
        <v>2.389162561576355</v>
      </c>
      <c r="AF125" s="1">
        <f t="shared" si="49"/>
        <v>4.2096048963213057</v>
      </c>
      <c r="AG125" s="1">
        <f t="shared" si="37"/>
        <v>1.7720773383132313E-2</v>
      </c>
      <c r="AH125" s="1">
        <f t="shared" si="50"/>
        <v>0.27479981674899701</v>
      </c>
      <c r="AI125" s="133">
        <f t="shared" si="51"/>
        <v>0.29252059013212933</v>
      </c>
      <c r="AJ125" s="132">
        <f t="shared" si="52"/>
        <v>5</v>
      </c>
      <c r="AK125" s="1">
        <f t="shared" si="53"/>
        <v>6.0898064201419952</v>
      </c>
      <c r="AL125" s="1">
        <f t="shared" si="38"/>
        <v>3.7085742234802668E-2</v>
      </c>
      <c r="AM125" s="1">
        <f t="shared" si="54"/>
        <v>0.15510000000000004</v>
      </c>
      <c r="AN125" s="136">
        <f t="shared" si="61"/>
        <v>0.13082884098522168</v>
      </c>
      <c r="AO125" s="133">
        <f t="shared" si="55"/>
        <v>0.32301458322002441</v>
      </c>
      <c r="AP125" s="132">
        <f t="shared" si="39"/>
        <v>0.2192260624717399</v>
      </c>
      <c r="AQ125" s="137">
        <f t="shared" si="40"/>
        <v>4.548940796288603</v>
      </c>
      <c r="AR125" s="137">
        <f t="shared" si="41"/>
        <v>4.0014322914055003E-2</v>
      </c>
      <c r="AS125" s="1">
        <f t="shared" si="42"/>
        <v>3.7999999999999999E-2</v>
      </c>
      <c r="AT125" s="133">
        <f t="shared" si="56"/>
        <v>4.8719999999999999E-2</v>
      </c>
      <c r="AU125" s="132">
        <f t="shared" si="57"/>
        <v>10.059377151315156</v>
      </c>
      <c r="AV125" s="1">
        <f t="shared" si="58"/>
        <v>90</v>
      </c>
      <c r="AW125" s="133">
        <f t="shared" si="59"/>
        <v>89.946592275801564</v>
      </c>
    </row>
    <row r="126" spans="17:49" x14ac:dyDescent="0.25">
      <c r="Q126">
        <v>119</v>
      </c>
      <c r="R126" s="132">
        <f t="shared" si="32"/>
        <v>18</v>
      </c>
      <c r="S126" s="1">
        <f t="shared" si="62"/>
        <v>5</v>
      </c>
      <c r="T126" s="1">
        <f t="shared" si="63"/>
        <v>12.19</v>
      </c>
      <c r="U126" s="133">
        <f t="shared" si="43"/>
        <v>7.3831009023789997</v>
      </c>
      <c r="V126" s="132">
        <f>IF(Calculations!$B$17=3,2,IF((S126*R126/T126)&lt;((T126*(1-(T126/R126)))/(2*Lm*fsw)),1,2))</f>
        <v>2</v>
      </c>
      <c r="W126" s="1">
        <f t="shared" si="44"/>
        <v>0.32277777777777783</v>
      </c>
      <c r="X126" s="133">
        <f t="shared" si="35"/>
        <v>0.67722222222222217</v>
      </c>
      <c r="Y126" s="132">
        <f t="shared" si="36"/>
        <v>1.5738644444444447</v>
      </c>
      <c r="Z126" s="1">
        <f t="shared" si="45"/>
        <v>8.1700331246012219</v>
      </c>
      <c r="AA126" s="1">
        <f t="shared" si="46"/>
        <v>7.3970669666316713</v>
      </c>
      <c r="AB126" s="1">
        <v>0</v>
      </c>
      <c r="AC126" s="1">
        <f t="shared" si="47"/>
        <v>4.5414777758331786</v>
      </c>
      <c r="AD126" s="133">
        <f t="shared" si="48"/>
        <v>4.5414777758331786</v>
      </c>
      <c r="AE126" s="132">
        <f t="shared" si="60"/>
        <v>2.3831009023789997</v>
      </c>
      <c r="AF126" s="1">
        <f t="shared" si="49"/>
        <v>4.2025352421572233</v>
      </c>
      <c r="AG126" s="1">
        <f t="shared" si="37"/>
        <v>1.7661302461573471E-2</v>
      </c>
      <c r="AH126" s="1">
        <f t="shared" si="50"/>
        <v>0.27457438621844005</v>
      </c>
      <c r="AI126" s="133">
        <f t="shared" si="51"/>
        <v>0.29223568868001354</v>
      </c>
      <c r="AJ126" s="132">
        <f t="shared" si="52"/>
        <v>5</v>
      </c>
      <c r="AK126" s="1">
        <f t="shared" si="53"/>
        <v>6.0873062389911015</v>
      </c>
      <c r="AL126" s="1">
        <f t="shared" si="38"/>
        <v>3.7055297247259984E-2</v>
      </c>
      <c r="AM126" s="1">
        <f t="shared" si="54"/>
        <v>0.15510000000000004</v>
      </c>
      <c r="AN126" s="136">
        <f t="shared" si="61"/>
        <v>0.13072052999361955</v>
      </c>
      <c r="AO126" s="133">
        <f t="shared" si="55"/>
        <v>0.3228758272408796</v>
      </c>
      <c r="AP126" s="132">
        <f t="shared" si="39"/>
        <v>0.2188663988353339</v>
      </c>
      <c r="AQ126" s="137">
        <f t="shared" si="40"/>
        <v>4.5414777758331786</v>
      </c>
      <c r="AR126" s="137">
        <f t="shared" si="41"/>
        <v>3.9931526294407473E-2</v>
      </c>
      <c r="AS126" s="1">
        <f t="shared" si="42"/>
        <v>3.7999999999999999E-2</v>
      </c>
      <c r="AT126" s="133">
        <f t="shared" si="56"/>
        <v>4.8759999999999998E-2</v>
      </c>
      <c r="AU126" s="132">
        <f t="shared" si="57"/>
        <v>10.043624992716992</v>
      </c>
      <c r="AV126" s="1">
        <f t="shared" si="58"/>
        <v>90</v>
      </c>
      <c r="AW126" s="133">
        <f t="shared" si="59"/>
        <v>89.960754627345679</v>
      </c>
    </row>
    <row r="127" spans="17:49" x14ac:dyDescent="0.25">
      <c r="Q127">
        <v>120</v>
      </c>
      <c r="R127" s="132">
        <f t="shared" si="32"/>
        <v>18</v>
      </c>
      <c r="S127" s="1">
        <f t="shared" si="62"/>
        <v>5</v>
      </c>
      <c r="T127" s="1">
        <f t="shared" si="63"/>
        <v>12.2</v>
      </c>
      <c r="U127" s="133">
        <f t="shared" si="43"/>
        <v>7.3770491803278695</v>
      </c>
      <c r="V127" s="132">
        <f>IF(Calculations!$B$17=3,2,IF((S127*R127/T127)&lt;((T127*(1-(T127/R127)))/(2*Lm*fsw)),1,2))</f>
        <v>2</v>
      </c>
      <c r="W127" s="1">
        <f t="shared" si="44"/>
        <v>0.3222222222222223</v>
      </c>
      <c r="X127" s="133">
        <f t="shared" si="35"/>
        <v>0.6777777777777777</v>
      </c>
      <c r="Y127" s="132">
        <f t="shared" si="36"/>
        <v>1.5724444444444448</v>
      </c>
      <c r="Z127" s="1">
        <f t="shared" si="45"/>
        <v>8.163271402550091</v>
      </c>
      <c r="AA127" s="1">
        <f t="shared" si="46"/>
        <v>7.3910014930238948</v>
      </c>
      <c r="AB127" s="1">
        <v>0</v>
      </c>
      <c r="AC127" s="1">
        <f t="shared" si="47"/>
        <v>4.5340329548001597</v>
      </c>
      <c r="AD127" s="133">
        <f t="shared" si="48"/>
        <v>4.5340329548001597</v>
      </c>
      <c r="AE127" s="132">
        <f t="shared" si="60"/>
        <v>2.3770491803278695</v>
      </c>
      <c r="AF127" s="1">
        <f t="shared" si="49"/>
        <v>4.1954740018614265</v>
      </c>
      <c r="AG127" s="1">
        <f t="shared" si="37"/>
        <v>1.7602002100295135E-2</v>
      </c>
      <c r="AH127" s="1">
        <f t="shared" si="50"/>
        <v>0.27434932524612982</v>
      </c>
      <c r="AI127" s="133">
        <f t="shared" si="51"/>
        <v>0.29195132734642493</v>
      </c>
      <c r="AJ127" s="132">
        <f t="shared" si="52"/>
        <v>5</v>
      </c>
      <c r="AK127" s="1">
        <f t="shared" si="53"/>
        <v>6.0848090331239071</v>
      </c>
      <c r="AL127" s="1">
        <f t="shared" si="38"/>
        <v>3.70249009695863E-2</v>
      </c>
      <c r="AM127" s="1">
        <f t="shared" si="54"/>
        <v>0.15510000000000004</v>
      </c>
      <c r="AN127" s="136">
        <f t="shared" si="61"/>
        <v>0.13061234244080147</v>
      </c>
      <c r="AO127" s="133">
        <f t="shared" si="55"/>
        <v>0.32273724341038779</v>
      </c>
      <c r="AP127" s="132">
        <f t="shared" si="39"/>
        <v>0.21850761227952578</v>
      </c>
      <c r="AQ127" s="137">
        <f t="shared" si="40"/>
        <v>4.5340329548001597</v>
      </c>
      <c r="AR127" s="137">
        <f t="shared" si="41"/>
        <v>3.9848567224199882E-2</v>
      </c>
      <c r="AS127" s="1">
        <f t="shared" si="42"/>
        <v>3.7999999999999999E-2</v>
      </c>
      <c r="AT127" s="133">
        <f t="shared" si="56"/>
        <v>4.8799999999999996E-2</v>
      </c>
      <c r="AU127" s="132">
        <f t="shared" si="57"/>
        <v>10.027910659860856</v>
      </c>
      <c r="AV127" s="1">
        <f t="shared" si="58"/>
        <v>90</v>
      </c>
      <c r="AW127" s="133">
        <f t="shared" si="59"/>
        <v>89.97488741521336</v>
      </c>
    </row>
    <row r="128" spans="17:49" x14ac:dyDescent="0.25">
      <c r="Q128">
        <v>121</v>
      </c>
      <c r="R128" s="132">
        <f t="shared" si="32"/>
        <v>18</v>
      </c>
      <c r="S128" s="1">
        <f t="shared" si="62"/>
        <v>5</v>
      </c>
      <c r="T128" s="1">
        <f t="shared" si="63"/>
        <v>12.21</v>
      </c>
      <c r="U128" s="133">
        <f t="shared" si="43"/>
        <v>7.3710073710073702</v>
      </c>
      <c r="V128" s="132">
        <f>IF(Calculations!$B$17=3,2,IF((S128*R128/T128)&lt;((T128*(1-(T128/R128)))/(2*Lm*fsw)),1,2))</f>
        <v>2</v>
      </c>
      <c r="W128" s="1">
        <f t="shared" si="44"/>
        <v>0.32166666666666666</v>
      </c>
      <c r="X128" s="133">
        <f t="shared" si="35"/>
        <v>0.67833333333333334</v>
      </c>
      <c r="Y128" s="132">
        <f t="shared" si="36"/>
        <v>1.5710200000000001</v>
      </c>
      <c r="Z128" s="1">
        <f t="shared" si="45"/>
        <v>8.1565173710073697</v>
      </c>
      <c r="AA128" s="1">
        <f t="shared" si="46"/>
        <v>7.3849458348371328</v>
      </c>
      <c r="AB128" s="1">
        <v>0</v>
      </c>
      <c r="AC128" s="1">
        <f t="shared" si="47"/>
        <v>4.5266062736287003</v>
      </c>
      <c r="AD128" s="133">
        <f t="shared" si="48"/>
        <v>4.5266062736287003</v>
      </c>
      <c r="AE128" s="132">
        <f t="shared" si="60"/>
        <v>2.3710073710073707</v>
      </c>
      <c r="AF128" s="1">
        <f t="shared" si="49"/>
        <v>4.1884211468068555</v>
      </c>
      <c r="AG128" s="1">
        <f t="shared" si="37"/>
        <v>1.7542871703018853E-2</v>
      </c>
      <c r="AH128" s="1">
        <f t="shared" si="50"/>
        <v>0.27412463292406086</v>
      </c>
      <c r="AI128" s="133">
        <f t="shared" si="51"/>
        <v>0.29166750462707969</v>
      </c>
      <c r="AJ128" s="132">
        <f t="shared" si="52"/>
        <v>5</v>
      </c>
      <c r="AK128" s="1">
        <f t="shared" si="53"/>
        <v>6.0823147962317314</v>
      </c>
      <c r="AL128" s="1">
        <f t="shared" si="38"/>
        <v>3.6994553280459447E-2</v>
      </c>
      <c r="AM128" s="1">
        <f t="shared" si="54"/>
        <v>0.15510000000000004</v>
      </c>
      <c r="AN128" s="136">
        <f t="shared" si="61"/>
        <v>0.13050427793611791</v>
      </c>
      <c r="AO128" s="133">
        <f t="shared" si="55"/>
        <v>0.3225988312165774</v>
      </c>
      <c r="AP128" s="132">
        <f t="shared" si="39"/>
        <v>0.21814969993391328</v>
      </c>
      <c r="AQ128" s="137">
        <f t="shared" si="40"/>
        <v>4.5266062736287003</v>
      </c>
      <c r="AR128" s="137">
        <f t="shared" si="41"/>
        <v>3.9765446593509168E-2</v>
      </c>
      <c r="AS128" s="1">
        <f t="shared" si="42"/>
        <v>3.7999999999999999E-2</v>
      </c>
      <c r="AT128" s="133">
        <f t="shared" si="56"/>
        <v>4.8840000000000001E-2</v>
      </c>
      <c r="AU128" s="132">
        <f t="shared" si="57"/>
        <v>10.01223402962848</v>
      </c>
      <c r="AV128" s="1">
        <f t="shared" si="58"/>
        <v>90</v>
      </c>
      <c r="AW128" s="133">
        <f t="shared" si="59"/>
        <v>89.988990720212925</v>
      </c>
    </row>
    <row r="129" spans="17:49" x14ac:dyDescent="0.25">
      <c r="Q129">
        <v>122</v>
      </c>
      <c r="R129" s="132">
        <f t="shared" si="32"/>
        <v>18</v>
      </c>
      <c r="S129" s="1">
        <f t="shared" si="62"/>
        <v>5</v>
      </c>
      <c r="T129" s="1">
        <f t="shared" si="63"/>
        <v>12.22</v>
      </c>
      <c r="U129" s="133">
        <f t="shared" si="43"/>
        <v>7.3649754500818325</v>
      </c>
      <c r="V129" s="132">
        <f>IF(Calculations!$B$17=3,2,IF((S129*R129/T129)&lt;((T129*(1-(T129/R129)))/(2*Lm*fsw)),1,2))</f>
        <v>2</v>
      </c>
      <c r="W129" s="1">
        <f t="shared" si="44"/>
        <v>0.32111111111111112</v>
      </c>
      <c r="X129" s="133">
        <f t="shared" si="35"/>
        <v>0.67888888888888888</v>
      </c>
      <c r="Y129" s="132">
        <f t="shared" si="36"/>
        <v>1.5695911111111112</v>
      </c>
      <c r="Z129" s="1">
        <f t="shared" si="45"/>
        <v>8.1497710056373887</v>
      </c>
      <c r="AA129" s="1">
        <f t="shared" si="46"/>
        <v>7.3788999678123668</v>
      </c>
      <c r="AB129" s="1">
        <v>0</v>
      </c>
      <c r="AC129" s="1">
        <f t="shared" si="47"/>
        <v>4.5191976730034522</v>
      </c>
      <c r="AD129" s="133">
        <f t="shared" si="48"/>
        <v>4.5191976730034522</v>
      </c>
      <c r="AE129" s="132">
        <f t="shared" si="60"/>
        <v>2.364975450081833</v>
      </c>
      <c r="AF129" s="1">
        <f t="shared" si="49"/>
        <v>4.1813766484270074</v>
      </c>
      <c r="AG129" s="1">
        <f t="shared" si="37"/>
        <v>1.7483910676010673E-2</v>
      </c>
      <c r="AH129" s="1">
        <f t="shared" si="50"/>
        <v>0.27390030834719992</v>
      </c>
      <c r="AI129" s="133">
        <f t="shared" si="51"/>
        <v>0.2913842190232106</v>
      </c>
      <c r="AJ129" s="132">
        <f t="shared" si="52"/>
        <v>4.9999999999999991</v>
      </c>
      <c r="AK129" s="1">
        <f t="shared" si="53"/>
        <v>6.0798235220251806</v>
      </c>
      <c r="AL129" s="1">
        <f t="shared" si="38"/>
        <v>3.6964254058970678E-2</v>
      </c>
      <c r="AM129" s="1">
        <f t="shared" si="54"/>
        <v>0.15510000000000004</v>
      </c>
      <c r="AN129" s="136">
        <f t="shared" si="61"/>
        <v>0.13039633609019821</v>
      </c>
      <c r="AO129" s="133">
        <f t="shared" si="55"/>
        <v>0.32246059014916895</v>
      </c>
      <c r="AP129" s="132">
        <f t="shared" si="39"/>
        <v>0.21779265893992539</v>
      </c>
      <c r="AQ129" s="137">
        <f t="shared" si="40"/>
        <v>4.5191976730034522</v>
      </c>
      <c r="AR129" s="137">
        <f t="shared" si="41"/>
        <v>3.9682165294759937E-2</v>
      </c>
      <c r="AS129" s="1">
        <f t="shared" si="42"/>
        <v>3.7999999999999999E-2</v>
      </c>
      <c r="AT129" s="133">
        <f t="shared" si="56"/>
        <v>4.8880000000000007E-2</v>
      </c>
      <c r="AU129" s="132">
        <f t="shared" si="57"/>
        <v>9.9965949794139703</v>
      </c>
      <c r="AV129" s="1">
        <f t="shared" si="58"/>
        <v>90</v>
      </c>
      <c r="AW129" s="133">
        <f t="shared" si="59"/>
        <v>90.003064622878469</v>
      </c>
    </row>
    <row r="130" spans="17:49" x14ac:dyDescent="0.25">
      <c r="Q130">
        <v>123</v>
      </c>
      <c r="R130" s="132">
        <f t="shared" si="32"/>
        <v>18</v>
      </c>
      <c r="S130" s="1">
        <f t="shared" si="62"/>
        <v>5</v>
      </c>
      <c r="T130" s="1">
        <f t="shared" si="63"/>
        <v>12.23</v>
      </c>
      <c r="U130" s="133">
        <f t="shared" si="43"/>
        <v>7.3589533932951756</v>
      </c>
      <c r="V130" s="132">
        <f>IF(Calculations!$B$17=3,2,IF((S130*R130/T130)&lt;((T130*(1-(T130/R130)))/(2*Lm*fsw)),1,2))</f>
        <v>2</v>
      </c>
      <c r="W130" s="1">
        <f t="shared" si="44"/>
        <v>0.32055555555555548</v>
      </c>
      <c r="X130" s="133">
        <f t="shared" si="35"/>
        <v>0.67944444444444452</v>
      </c>
      <c r="Y130" s="132">
        <f t="shared" si="36"/>
        <v>1.5681577777777775</v>
      </c>
      <c r="Z130" s="1">
        <f t="shared" si="45"/>
        <v>8.1430322821840644</v>
      </c>
      <c r="AA130" s="1">
        <f t="shared" si="46"/>
        <v>7.3728638677715317</v>
      </c>
      <c r="AB130" s="1">
        <v>0</v>
      </c>
      <c r="AC130" s="1">
        <f t="shared" si="47"/>
        <v>4.5118070938533528</v>
      </c>
      <c r="AD130" s="133">
        <f t="shared" si="48"/>
        <v>4.5118070938533528</v>
      </c>
      <c r="AE130" s="132">
        <f t="shared" si="60"/>
        <v>2.3589533932951752</v>
      </c>
      <c r="AF130" s="1">
        <f t="shared" si="49"/>
        <v>4.1743404782154698</v>
      </c>
      <c r="AG130" s="1">
        <f t="shared" si="37"/>
        <v>1.7425118428068157E-2</v>
      </c>
      <c r="AH130" s="1">
        <f t="shared" si="50"/>
        <v>0.27367635061347373</v>
      </c>
      <c r="AI130" s="133">
        <f t="shared" si="51"/>
        <v>0.29110146904154188</v>
      </c>
      <c r="AJ130" s="132">
        <f t="shared" si="52"/>
        <v>5</v>
      </c>
      <c r="AK130" s="1">
        <f t="shared" si="53"/>
        <v>6.0773352042340747</v>
      </c>
      <c r="AL130" s="1">
        <f t="shared" si="38"/>
        <v>3.6934003184622824E-2</v>
      </c>
      <c r="AM130" s="1">
        <f t="shared" si="54"/>
        <v>0.15510000000000004</v>
      </c>
      <c r="AN130" s="136">
        <f t="shared" si="61"/>
        <v>0.13028851651494502</v>
      </c>
      <c r="AO130" s="133">
        <f t="shared" si="55"/>
        <v>0.32232251969956793</v>
      </c>
      <c r="AP130" s="132">
        <f t="shared" si="39"/>
        <v>0.21743648645076397</v>
      </c>
      <c r="AQ130" s="137">
        <f t="shared" si="40"/>
        <v>4.5118070938533528</v>
      </c>
      <c r="AR130" s="137">
        <f t="shared" si="41"/>
        <v>3.959872422271981E-2</v>
      </c>
      <c r="AS130" s="1">
        <f t="shared" si="42"/>
        <v>3.7999999999999999E-2</v>
      </c>
      <c r="AT130" s="133">
        <f t="shared" si="56"/>
        <v>4.8920000000000005E-2</v>
      </c>
      <c r="AU130" s="132">
        <f t="shared" si="57"/>
        <v>9.9809933871212984</v>
      </c>
      <c r="AV130" s="1">
        <f t="shared" si="58"/>
        <v>90</v>
      </c>
      <c r="AW130" s="133">
        <f t="shared" si="59"/>
        <v>90.017109203470909</v>
      </c>
    </row>
    <row r="131" spans="17:49" x14ac:dyDescent="0.25">
      <c r="Q131">
        <v>124</v>
      </c>
      <c r="R131" s="132">
        <f t="shared" si="32"/>
        <v>18</v>
      </c>
      <c r="S131" s="1">
        <f t="shared" si="62"/>
        <v>5</v>
      </c>
      <c r="T131" s="1">
        <f t="shared" si="63"/>
        <v>12.24</v>
      </c>
      <c r="U131" s="133">
        <f t="shared" si="43"/>
        <v>7.3529411764705879</v>
      </c>
      <c r="V131" s="132">
        <f>IF(Calculations!$B$17=3,2,IF((S131*R131/T131)&lt;((T131*(1-(T131/R131)))/(2*Lm*fsw)),1,2))</f>
        <v>2</v>
      </c>
      <c r="W131" s="1">
        <f t="shared" si="44"/>
        <v>0.31999999999999995</v>
      </c>
      <c r="X131" s="133">
        <f t="shared" si="35"/>
        <v>0.68</v>
      </c>
      <c r="Y131" s="132">
        <f t="shared" si="36"/>
        <v>1.5667199999999997</v>
      </c>
      <c r="Z131" s="1">
        <f t="shared" si="45"/>
        <v>8.136301176470587</v>
      </c>
      <c r="AA131" s="1">
        <f t="shared" si="46"/>
        <v>7.366837510617203</v>
      </c>
      <c r="AB131" s="1">
        <v>0</v>
      </c>
      <c r="AC131" s="1">
        <f t="shared" si="47"/>
        <v>4.5044344773504443</v>
      </c>
      <c r="AD131" s="133">
        <f t="shared" si="48"/>
        <v>4.5044344773504443</v>
      </c>
      <c r="AE131" s="132">
        <f t="shared" si="60"/>
        <v>2.3529411764705879</v>
      </c>
      <c r="AF131" s="1">
        <f t="shared" si="49"/>
        <v>4.1673126077254787</v>
      </c>
      <c r="AG131" s="1">
        <f t="shared" si="37"/>
        <v>1.7366494370507732E-2</v>
      </c>
      <c r="AH131" s="1">
        <f t="shared" si="50"/>
        <v>0.2734527588237568</v>
      </c>
      <c r="AI131" s="133">
        <f t="shared" si="51"/>
        <v>0.29081925319426455</v>
      </c>
      <c r="AJ131" s="132">
        <f t="shared" si="52"/>
        <v>5</v>
      </c>
      <c r="AK131" s="1">
        <f t="shared" si="53"/>
        <v>6.074849836607398</v>
      </c>
      <c r="AL131" s="1">
        <f t="shared" si="38"/>
        <v>3.6903800537328925E-2</v>
      </c>
      <c r="AM131" s="1">
        <f t="shared" si="54"/>
        <v>0.15510000000000004</v>
      </c>
      <c r="AN131" s="136">
        <f t="shared" si="61"/>
        <v>0.13018081882352939</v>
      </c>
      <c r="AO131" s="133">
        <f t="shared" si="55"/>
        <v>0.32218461936085835</v>
      </c>
      <c r="AP131" s="132">
        <f t="shared" si="39"/>
        <v>0.21708117963134668</v>
      </c>
      <c r="AQ131" s="137">
        <f t="shared" si="40"/>
        <v>4.5044344773504443</v>
      </c>
      <c r="AR131" s="137">
        <f t="shared" si="41"/>
        <v>3.9515124274494481E-2</v>
      </c>
      <c r="AS131" s="1">
        <f t="shared" si="42"/>
        <v>3.7999999999999999E-2</v>
      </c>
      <c r="AT131" s="133">
        <f t="shared" si="56"/>
        <v>4.8960000000000004E-2</v>
      </c>
      <c r="AU131" s="132">
        <f t="shared" si="57"/>
        <v>9.9654291311618532</v>
      </c>
      <c r="AV131" s="1">
        <f t="shared" si="58"/>
        <v>90</v>
      </c>
      <c r="AW131" s="133">
        <f t="shared" si="59"/>
        <v>90.031124541978912</v>
      </c>
    </row>
    <row r="132" spans="17:49" x14ac:dyDescent="0.25">
      <c r="Q132">
        <v>125</v>
      </c>
      <c r="R132" s="132">
        <f t="shared" si="32"/>
        <v>18</v>
      </c>
      <c r="S132" s="1">
        <f t="shared" si="62"/>
        <v>5</v>
      </c>
      <c r="T132" s="1">
        <f t="shared" si="63"/>
        <v>12.25</v>
      </c>
      <c r="U132" s="133">
        <f t="shared" si="43"/>
        <v>7.3469387755102042</v>
      </c>
      <c r="V132" s="132">
        <f>IF(Calculations!$B$17=3,2,IF((S132*R132/T132)&lt;((T132*(1-(T132/R132)))/(2*Lm*fsw)),1,2))</f>
        <v>2</v>
      </c>
      <c r="W132" s="1">
        <f t="shared" si="44"/>
        <v>0.31944444444444442</v>
      </c>
      <c r="X132" s="133">
        <f t="shared" si="35"/>
        <v>0.68055555555555558</v>
      </c>
      <c r="Y132" s="132">
        <f t="shared" si="36"/>
        <v>1.5652777777777778</v>
      </c>
      <c r="Z132" s="1">
        <f t="shared" si="45"/>
        <v>8.1295776643990934</v>
      </c>
      <c r="AA132" s="1">
        <f t="shared" si="46"/>
        <v>7.3608208723322734</v>
      </c>
      <c r="AB132" s="1">
        <v>0</v>
      </c>
      <c r="AC132" s="1">
        <f t="shared" si="47"/>
        <v>4.4970797649086833</v>
      </c>
      <c r="AD132" s="133">
        <f t="shared" si="48"/>
        <v>4.4970797649086833</v>
      </c>
      <c r="AE132" s="132">
        <f t="shared" si="60"/>
        <v>2.3469387755102038</v>
      </c>
      <c r="AF132" s="1">
        <f t="shared" si="49"/>
        <v>4.1602930085694565</v>
      </c>
      <c r="AG132" s="1">
        <f t="shared" si="37"/>
        <v>1.7308037917151901E-2</v>
      </c>
      <c r="AH132" s="1">
        <f t="shared" si="50"/>
        <v>0.2732295320818599</v>
      </c>
      <c r="AI132" s="133">
        <f t="shared" si="51"/>
        <v>0.29053756999901181</v>
      </c>
      <c r="AJ132" s="132">
        <f t="shared" si="52"/>
        <v>5</v>
      </c>
      <c r="AK132" s="1">
        <f t="shared" si="53"/>
        <v>6.072367412913235</v>
      </c>
      <c r="AL132" s="1">
        <f t="shared" si="38"/>
        <v>3.6873645997410581E-2</v>
      </c>
      <c r="AM132" s="1">
        <f t="shared" si="54"/>
        <v>0.15510000000000004</v>
      </c>
      <c r="AN132" s="136">
        <f t="shared" si="61"/>
        <v>0.1300732426303855</v>
      </c>
      <c r="AO132" s="133">
        <f t="shared" si="55"/>
        <v>0.32204688862779612</v>
      </c>
      <c r="AP132" s="132">
        <f t="shared" si="39"/>
        <v>0.21672673565824979</v>
      </c>
      <c r="AQ132" s="137">
        <f t="shared" si="40"/>
        <v>4.4970797649086833</v>
      </c>
      <c r="AR132" s="137">
        <f t="shared" si="41"/>
        <v>3.9431366349523718E-2</v>
      </c>
      <c r="AS132" s="1">
        <f t="shared" si="42"/>
        <v>3.7999999999999999E-2</v>
      </c>
      <c r="AT132" s="133">
        <f t="shared" si="56"/>
        <v>4.9000000000000002E-2</v>
      </c>
      <c r="AU132" s="132">
        <f t="shared" si="57"/>
        <v>9.949902090451948</v>
      </c>
      <c r="AV132" s="1">
        <f t="shared" si="58"/>
        <v>90</v>
      </c>
      <c r="AW132" s="133">
        <f t="shared" si="59"/>
        <v>90.045110718120014</v>
      </c>
    </row>
    <row r="133" spans="17:49" x14ac:dyDescent="0.25">
      <c r="Q133">
        <v>126</v>
      </c>
      <c r="R133" s="132">
        <f t="shared" si="32"/>
        <v>18</v>
      </c>
      <c r="S133" s="1">
        <f t="shared" si="62"/>
        <v>5</v>
      </c>
      <c r="T133" s="1">
        <f t="shared" si="63"/>
        <v>12.26</v>
      </c>
      <c r="U133" s="133">
        <f t="shared" si="43"/>
        <v>7.3409461663947795</v>
      </c>
      <c r="V133" s="132">
        <f>IF(Calculations!$B$17=3,2,IF((S133*R133/T133)&lt;((T133*(1-(T133/R133)))/(2*Lm*fsw)),1,2))</f>
        <v>2</v>
      </c>
      <c r="W133" s="1">
        <f t="shared" si="44"/>
        <v>0.31888888888888889</v>
      </c>
      <c r="X133" s="133">
        <f t="shared" si="35"/>
        <v>0.68111111111111111</v>
      </c>
      <c r="Y133" s="132">
        <f t="shared" si="36"/>
        <v>1.5638311111111112</v>
      </c>
      <c r="Z133" s="1">
        <f t="shared" si="45"/>
        <v>8.1228617219503345</v>
      </c>
      <c r="AA133" s="1">
        <f t="shared" si="46"/>
        <v>7.354813928979631</v>
      </c>
      <c r="AB133" s="1">
        <v>0</v>
      </c>
      <c r="AC133" s="1">
        <f t="shared" si="47"/>
        <v>4.4897428981827625</v>
      </c>
      <c r="AD133" s="133">
        <f t="shared" si="48"/>
        <v>4.4897428981827625</v>
      </c>
      <c r="AE133" s="132">
        <f t="shared" si="60"/>
        <v>2.3409461663947795</v>
      </c>
      <c r="AF133" s="1">
        <f t="shared" si="49"/>
        <v>4.153281652418559</v>
      </c>
      <c r="AG133" s="1">
        <f t="shared" si="37"/>
        <v>1.7249748484316638E-2</v>
      </c>
      <c r="AH133" s="1">
        <f t="shared" si="50"/>
        <v>0.27300666949451741</v>
      </c>
      <c r="AI133" s="133">
        <f t="shared" si="51"/>
        <v>0.29025641797883406</v>
      </c>
      <c r="AJ133" s="132">
        <f t="shared" si="52"/>
        <v>5</v>
      </c>
      <c r="AK133" s="1">
        <f t="shared" si="53"/>
        <v>6.0698879269386969</v>
      </c>
      <c r="AL133" s="1">
        <f t="shared" si="38"/>
        <v>3.6843539445596152E-2</v>
      </c>
      <c r="AM133" s="1">
        <f t="shared" si="54"/>
        <v>0.15510000000000004</v>
      </c>
      <c r="AN133" s="136">
        <f t="shared" si="61"/>
        <v>0.12996578755120536</v>
      </c>
      <c r="AO133" s="133">
        <f t="shared" si="55"/>
        <v>0.32190932699680153</v>
      </c>
      <c r="AP133" s="132">
        <f t="shared" si="39"/>
        <v>0.21637315171965119</v>
      </c>
      <c r="AQ133" s="137">
        <f t="shared" si="40"/>
        <v>4.4897428981827625</v>
      </c>
      <c r="AR133" s="137">
        <f t="shared" si="41"/>
        <v>3.9347451349576401E-2</v>
      </c>
      <c r="AS133" s="1">
        <f t="shared" si="42"/>
        <v>3.7999999999999999E-2</v>
      </c>
      <c r="AT133" s="133">
        <f t="shared" si="56"/>
        <v>4.904E-2</v>
      </c>
      <c r="AU133" s="132">
        <f t="shared" si="57"/>
        <v>9.9344121444103877</v>
      </c>
      <c r="AV133" s="1">
        <f t="shared" si="58"/>
        <v>90</v>
      </c>
      <c r="AW133" s="133">
        <f t="shared" si="59"/>
        <v>90.05906781134145</v>
      </c>
    </row>
    <row r="134" spans="17:49" x14ac:dyDescent="0.25">
      <c r="Q134">
        <v>127</v>
      </c>
      <c r="R134" s="132">
        <f t="shared" si="32"/>
        <v>18</v>
      </c>
      <c r="S134" s="1">
        <f t="shared" si="62"/>
        <v>5</v>
      </c>
      <c r="T134" s="1">
        <f t="shared" si="63"/>
        <v>12.27</v>
      </c>
      <c r="U134" s="133">
        <f t="shared" si="43"/>
        <v>7.3349633251833746</v>
      </c>
      <c r="V134" s="132">
        <f>IF(Calculations!$B$17=3,2,IF((S134*R134/T134)&lt;((T134*(1-(T134/R134)))/(2*Lm*fsw)),1,2))</f>
        <v>2</v>
      </c>
      <c r="W134" s="1">
        <f t="shared" si="44"/>
        <v>0.31833333333333336</v>
      </c>
      <c r="X134" s="133">
        <f t="shared" si="35"/>
        <v>0.68166666666666664</v>
      </c>
      <c r="Y134" s="132">
        <f t="shared" si="36"/>
        <v>1.5623800000000001</v>
      </c>
      <c r="Z134" s="1">
        <f t="shared" si="45"/>
        <v>8.1161533251833742</v>
      </c>
      <c r="AA134" s="1">
        <f t="shared" si="46"/>
        <v>7.3488166567018451</v>
      </c>
      <c r="AB134" s="1">
        <v>0</v>
      </c>
      <c r="AC134" s="1">
        <f t="shared" si="47"/>
        <v>4.4824238190669341</v>
      </c>
      <c r="AD134" s="133">
        <f t="shared" si="48"/>
        <v>4.4824238190669341</v>
      </c>
      <c r="AE134" s="132">
        <f t="shared" si="60"/>
        <v>2.3349633251833746</v>
      </c>
      <c r="AF134" s="1">
        <f t="shared" si="49"/>
        <v>4.1462785110022313</v>
      </c>
      <c r="AG134" s="1">
        <f t="shared" si="37"/>
        <v>1.7191625490798883E-2</v>
      </c>
      <c r="AH134" s="1">
        <f t="shared" si="50"/>
        <v>0.27278417017137602</v>
      </c>
      <c r="AI134" s="133">
        <f t="shared" si="51"/>
        <v>0.28997579566217491</v>
      </c>
      <c r="AJ134" s="132">
        <f t="shared" si="52"/>
        <v>5</v>
      </c>
      <c r="AK134" s="1">
        <f t="shared" si="53"/>
        <v>6.067411372489885</v>
      </c>
      <c r="AL134" s="1">
        <f t="shared" si="38"/>
        <v>3.6813480763019595E-2</v>
      </c>
      <c r="AM134" s="1">
        <f t="shared" si="54"/>
        <v>0.15510000000000004</v>
      </c>
      <c r="AN134" s="136">
        <f t="shared" si="61"/>
        <v>0.12985845320293399</v>
      </c>
      <c r="AO134" s="133">
        <f t="shared" si="55"/>
        <v>0.3217719339659536</v>
      </c>
      <c r="AP134" s="132">
        <f t="shared" si="39"/>
        <v>0.21602042501527394</v>
      </c>
      <c r="AQ134" s="137">
        <f t="shared" si="40"/>
        <v>4.4824238190669341</v>
      </c>
      <c r="AR134" s="137">
        <f t="shared" si="41"/>
        <v>3.9263380178746372E-2</v>
      </c>
      <c r="AS134" s="1">
        <f t="shared" si="42"/>
        <v>3.7999999999999999E-2</v>
      </c>
      <c r="AT134" s="133">
        <f t="shared" si="56"/>
        <v>4.9079999999999999E-2</v>
      </c>
      <c r="AU134" s="132">
        <f t="shared" si="57"/>
        <v>9.9189591729560185</v>
      </c>
      <c r="AV134" s="1">
        <f t="shared" si="58"/>
        <v>90</v>
      </c>
      <c r="AW134" s="133">
        <f t="shared" si="59"/>
        <v>90.072995900821311</v>
      </c>
    </row>
    <row r="135" spans="17:49" x14ac:dyDescent="0.25">
      <c r="Q135">
        <v>128</v>
      </c>
      <c r="R135" s="132">
        <f t="shared" ref="R135:R157" si="64">VOUT</f>
        <v>18</v>
      </c>
      <c r="S135" s="1">
        <f t="shared" ref="S135:S157" si="65">IOUT</f>
        <v>5</v>
      </c>
      <c r="T135" s="1">
        <f t="shared" ref="T135:T157" si="66">VIN_MIN+($O$12)*(Q135)</f>
        <v>12.28</v>
      </c>
      <c r="U135" s="133">
        <f t="shared" si="43"/>
        <v>7.3289902280130299</v>
      </c>
      <c r="V135" s="132">
        <f>IF(Calculations!$B$17=3,2,IF((S135*R135/T135)&lt;((T135*(1-(T135/R135)))/(2*Lm*fsw)),1,2))</f>
        <v>2</v>
      </c>
      <c r="W135" s="1">
        <f t="shared" si="44"/>
        <v>0.31777777777777783</v>
      </c>
      <c r="X135" s="133">
        <f t="shared" ref="X135:X157" si="67">CHOOSE(V135,(Lm*Z135*fsw)/(R135-T135),1-W135)</f>
        <v>0.68222222222222217</v>
      </c>
      <c r="Y135" s="132">
        <f t="shared" ref="Y135:Y157" si="68">(T135*W135)/(Lm*fsw)</f>
        <v>1.5609244444444446</v>
      </c>
      <c r="Z135" s="1">
        <f t="shared" si="45"/>
        <v>8.1094524502352527</v>
      </c>
      <c r="AA135" s="1">
        <f t="shared" si="46"/>
        <v>7.3428290317208464</v>
      </c>
      <c r="AB135" s="1">
        <v>0</v>
      </c>
      <c r="AC135" s="1">
        <f t="shared" si="47"/>
        <v>4.4751224696938481</v>
      </c>
      <c r="AD135" s="133">
        <f t="shared" si="48"/>
        <v>4.4751224696938481</v>
      </c>
      <c r="AE135" s="132">
        <f t="shared" si="60"/>
        <v>2.3289902280130299</v>
      </c>
      <c r="AF135" s="1">
        <f t="shared" si="49"/>
        <v>4.1392835561077472</v>
      </c>
      <c r="AG135" s="1">
        <f t="shared" ref="AG135:AG157" si="69">(AF135^2)*RDS_on</f>
        <v>1.7133668357863997E-2</v>
      </c>
      <c r="AH135" s="1">
        <f t="shared" si="50"/>
        <v>0.2725620332249824</v>
      </c>
      <c r="AI135" s="133">
        <f t="shared" si="51"/>
        <v>0.28969570158284641</v>
      </c>
      <c r="AJ135" s="132">
        <f t="shared" si="52"/>
        <v>5</v>
      </c>
      <c r="AK135" s="1">
        <f t="shared" si="53"/>
        <v>6.0649377433918072</v>
      </c>
      <c r="AL135" s="1">
        <f t="shared" ref="AL135:AL157" si="70">(AK135^2)*RDS_on_HS</f>
        <v>3.6783469831218503E-2</v>
      </c>
      <c r="AM135" s="1">
        <f t="shared" si="54"/>
        <v>0.15510000000000004</v>
      </c>
      <c r="AN135" s="136">
        <f t="shared" si="61"/>
        <v>0.12975123920376405</v>
      </c>
      <c r="AO135" s="133">
        <f t="shared" si="55"/>
        <v>0.32163470903498259</v>
      </c>
      <c r="AP135" s="132">
        <f t="shared" ref="AP135:AP157" si="71">(AA135^2)*Rcs</f>
        <v>0.21566855275633001</v>
      </c>
      <c r="AQ135" s="137">
        <f t="shared" ref="AQ135:AQ157" si="72">Rdcr*AA135^2</f>
        <v>4.4751224696938481</v>
      </c>
      <c r="AR135" s="137">
        <f t="shared" ref="AR135:AR157" si="73">ABS(7.759*10^-3*fsw^0.9458*(0.00787*Y135)^2.304)</f>
        <v>3.9179153743447222E-2</v>
      </c>
      <c r="AS135" s="1">
        <f t="shared" ref="AS135:AS157" si="74">(Qg_tot+Qg_tot_HS)*VCC*fsw</f>
        <v>3.7999999999999999E-2</v>
      </c>
      <c r="AT135" s="133">
        <f t="shared" si="56"/>
        <v>4.9119999999999997E-2</v>
      </c>
      <c r="AU135" s="132">
        <f t="shared" si="57"/>
        <v>9.9035430565053026</v>
      </c>
      <c r="AV135" s="1">
        <f t="shared" si="58"/>
        <v>90</v>
      </c>
      <c r="AW135" s="133">
        <f t="shared" si="59"/>
        <v>90.086895065469434</v>
      </c>
    </row>
    <row r="136" spans="17:49" x14ac:dyDescent="0.25">
      <c r="Q136">
        <v>129</v>
      </c>
      <c r="R136" s="132">
        <f t="shared" si="64"/>
        <v>18</v>
      </c>
      <c r="S136" s="1">
        <f t="shared" si="65"/>
        <v>5</v>
      </c>
      <c r="T136" s="1">
        <f t="shared" si="66"/>
        <v>12.29</v>
      </c>
      <c r="U136" s="133">
        <f t="shared" ref="U136:U157" si="75">(R136*S136)/(T136*EFF_est)</f>
        <v>7.3230268510984544</v>
      </c>
      <c r="V136" s="132">
        <f>IF(Calculations!$B$17=3,2,IF((S136*R136/T136)&lt;((T136*(1-(T136/R136)))/(2*Lm*fsw)),1,2))</f>
        <v>2</v>
      </c>
      <c r="W136" s="1">
        <f t="shared" ref="W136:W157" si="76">CHOOSE(V136,SQRT((2*S136*Lm*fsw*(R136-T136))/((T136)^2)),1-(T136/R136))</f>
        <v>0.31722222222222229</v>
      </c>
      <c r="X136" s="133">
        <f t="shared" si="67"/>
        <v>0.68277777777777771</v>
      </c>
      <c r="Y136" s="132">
        <f t="shared" si="68"/>
        <v>1.5594644444444445</v>
      </c>
      <c r="Z136" s="1">
        <f t="shared" ref="Z136:Z157" si="77">CHOOSE(V136,Y136,U136+(0.5*Y136))</f>
        <v>8.1027590733206765</v>
      </c>
      <c r="AA136" s="1">
        <f t="shared" ref="AA136:AA157" si="78">CHOOSE(V136,Z136*SQRT((W136+X136)/3),SQRT((U136^2)+((Y136^2)/12)))</f>
        <v>7.3368510303376171</v>
      </c>
      <c r="AB136" s="1">
        <v>0</v>
      </c>
      <c r="AC136" s="1">
        <f t="shared" ref="AC136:AC157" si="79">(AA136^2)*Rdcr</f>
        <v>4.4678387924333913</v>
      </c>
      <c r="AD136" s="133">
        <f t="shared" ref="AD136:AD157" si="80">AB136+AC136</f>
        <v>4.4678387924333913</v>
      </c>
      <c r="AE136" s="132">
        <f t="shared" si="60"/>
        <v>2.3230268510984549</v>
      </c>
      <c r="AF136" s="1">
        <f t="shared" ref="AF136:AF157" si="81">CHOOSE(V136,Z136*SQRT(W136/3),SQRT(W136*((Z136^2)+((Y136^2)/3)-(Z136*Y136))))</f>
        <v>4.1322967595797584</v>
      </c>
      <c r="AG136" s="1">
        <f t="shared" si="69"/>
        <v>1.7075876509233371E-2</v>
      </c>
      <c r="AH136" s="1">
        <f t="shared" ref="AH136:AH157" si="82">((R136*U136)/2)*fsw*(tr_sw+tf_sw)</f>
        <v>0.2723402577707717</v>
      </c>
      <c r="AI136" s="133">
        <f t="shared" ref="AI136:AI157" si="83">AG136+AH136</f>
        <v>0.28941613428000507</v>
      </c>
      <c r="AJ136" s="132">
        <f t="shared" ref="AJ136:AJ156" si="84">X136*U136</f>
        <v>5</v>
      </c>
      <c r="AK136" s="1">
        <f t="shared" ref="AK136:AK157" si="85">CHOOSE(V136,Z136*SQRT(X136/3),SQRT(X136*((Z136^2)+((Y136^2)/3)-(Y136*Z136))))</f>
        <v>6.0624670334883284</v>
      </c>
      <c r="AL136" s="1">
        <f t="shared" si="70"/>
        <v>3.6753506532132774E-2</v>
      </c>
      <c r="AM136" s="1">
        <f t="shared" ref="AM136:AM157" si="86">CHOOSE(V136,(R136+Vd_rect)*Qrr*fsw,(R136+Vd_rect)*Qrr*fsw)</f>
        <v>0.15510000000000004</v>
      </c>
      <c r="AN136" s="136">
        <f t="shared" si="61"/>
        <v>0.12964414517313083</v>
      </c>
      <c r="AO136" s="133">
        <f t="shared" ref="AO136:AO157" si="87">AL136+AM136+AN136</f>
        <v>0.32149765170526368</v>
      </c>
      <c r="AP136" s="132">
        <f t="shared" si="71"/>
        <v>0.21531753216546462</v>
      </c>
      <c r="AQ136" s="137">
        <f t="shared" si="72"/>
        <v>4.4678387924333913</v>
      </c>
      <c r="AR136" s="137">
        <f t="shared" si="73"/>
        <v>3.9094772952407993E-2</v>
      </c>
      <c r="AS136" s="1">
        <f t="shared" si="74"/>
        <v>3.7999999999999999E-2</v>
      </c>
      <c r="AT136" s="133">
        <f t="shared" ref="AT136:AT157" si="88">IQ*T136</f>
        <v>4.9159999999999995E-2</v>
      </c>
      <c r="AU136" s="132">
        <f t="shared" ref="AU136:AU157" si="89">AP136+AO136+AI136+AD136+AS136+AT136+AQ136+AR136</f>
        <v>9.8881636759699241</v>
      </c>
      <c r="AV136" s="1">
        <f t="shared" ref="AV136:AV157" si="90">R136*S136</f>
        <v>90</v>
      </c>
      <c r="AW136" s="133">
        <f t="shared" ref="AW136:AW156" si="91">(AV136/(AV136+AU136))*100</f>
        <v>90.100765383928348</v>
      </c>
    </row>
    <row r="137" spans="17:49" x14ac:dyDescent="0.25">
      <c r="Q137">
        <v>130</v>
      </c>
      <c r="R137" s="132">
        <f t="shared" si="64"/>
        <v>18</v>
      </c>
      <c r="S137" s="1">
        <f t="shared" si="65"/>
        <v>5</v>
      </c>
      <c r="T137" s="1">
        <f t="shared" si="66"/>
        <v>12.3</v>
      </c>
      <c r="U137" s="133">
        <f t="shared" si="75"/>
        <v>7.3170731707317067</v>
      </c>
      <c r="V137" s="132">
        <f>IF(Calculations!$B$17=3,2,IF((S137*R137/T137)&lt;((T137*(1-(T137/R137)))/(2*Lm*fsw)),1,2))</f>
        <v>2</v>
      </c>
      <c r="W137" s="1">
        <f t="shared" si="76"/>
        <v>0.31666666666666665</v>
      </c>
      <c r="X137" s="133">
        <f t="shared" si="67"/>
        <v>0.68333333333333335</v>
      </c>
      <c r="Y137" s="132">
        <f t="shared" si="68"/>
        <v>1.5580000000000001</v>
      </c>
      <c r="Z137" s="1">
        <f t="shared" si="77"/>
        <v>8.0960731707317066</v>
      </c>
      <c r="AA137" s="1">
        <f t="shared" si="78"/>
        <v>7.3308826289318727</v>
      </c>
      <c r="AB137" s="1">
        <v>0</v>
      </c>
      <c r="AC137" s="1">
        <f t="shared" si="79"/>
        <v>4.4605727298915321</v>
      </c>
      <c r="AD137" s="133">
        <f t="shared" si="80"/>
        <v>4.4605727298915321</v>
      </c>
      <c r="AE137" s="132">
        <f t="shared" ref="AE137:AE157" si="92">U137*W137</f>
        <v>2.3170731707317072</v>
      </c>
      <c r="AF137" s="1">
        <f t="shared" si="81"/>
        <v>4.1253180933198488</v>
      </c>
      <c r="AG137" s="1">
        <f t="shared" si="69"/>
        <v>1.7018249371072113E-2</v>
      </c>
      <c r="AH137" s="1">
        <f t="shared" si="82"/>
        <v>0.27211884292705552</v>
      </c>
      <c r="AI137" s="133">
        <f t="shared" si="83"/>
        <v>0.28913709229812762</v>
      </c>
      <c r="AJ137" s="132">
        <f t="shared" si="84"/>
        <v>5</v>
      </c>
      <c r="AK137" s="1">
        <f t="shared" si="85"/>
        <v>6.0599992366421125</v>
      </c>
      <c r="AL137" s="1">
        <f t="shared" si="70"/>
        <v>3.672359074810299E-2</v>
      </c>
      <c r="AM137" s="1">
        <f t="shared" si="86"/>
        <v>0.15510000000000004</v>
      </c>
      <c r="AN137" s="136">
        <f t="shared" ref="AN137:AN157" si="93">Vd_rect*t_dead*fsw*Z137</f>
        <v>0.12953717073170731</v>
      </c>
      <c r="AO137" s="133">
        <f t="shared" si="87"/>
        <v>0.32136076147981035</v>
      </c>
      <c r="AP137" s="132">
        <f t="shared" si="71"/>
        <v>0.21496736047670034</v>
      </c>
      <c r="AQ137" s="137">
        <f t="shared" si="72"/>
        <v>4.4605727298915321</v>
      </c>
      <c r="AR137" s="137">
        <f t="shared" si="73"/>
        <v>3.9010238716668658E-2</v>
      </c>
      <c r="AS137" s="1">
        <f t="shared" si="74"/>
        <v>3.7999999999999999E-2</v>
      </c>
      <c r="AT137" s="133">
        <f t="shared" si="88"/>
        <v>4.9200000000000001E-2</v>
      </c>
      <c r="AU137" s="132">
        <f t="shared" si="89"/>
        <v>9.8728209127543725</v>
      </c>
      <c r="AV137" s="1">
        <f t="shared" si="90"/>
        <v>90</v>
      </c>
      <c r="AW137" s="133">
        <f t="shared" si="91"/>
        <v>90.114606934574368</v>
      </c>
    </row>
    <row r="138" spans="17:49" x14ac:dyDescent="0.25">
      <c r="Q138">
        <v>131</v>
      </c>
      <c r="R138" s="132">
        <f t="shared" si="64"/>
        <v>18</v>
      </c>
      <c r="S138" s="1">
        <f t="shared" si="65"/>
        <v>5</v>
      </c>
      <c r="T138" s="1">
        <f t="shared" si="66"/>
        <v>12.31</v>
      </c>
      <c r="U138" s="133">
        <f t="shared" si="75"/>
        <v>7.3111291632818842</v>
      </c>
      <c r="V138" s="132">
        <f>IF(Calculations!$B$17=3,2,IF((S138*R138/T138)&lt;((T138*(1-(T138/R138)))/(2*Lm*fsw)),1,2))</f>
        <v>2</v>
      </c>
      <c r="W138" s="1">
        <f t="shared" si="76"/>
        <v>0.31611111111111112</v>
      </c>
      <c r="X138" s="133">
        <f t="shared" si="67"/>
        <v>0.68388888888888888</v>
      </c>
      <c r="Y138" s="132">
        <f t="shared" si="68"/>
        <v>1.5565311111111113</v>
      </c>
      <c r="Z138" s="1">
        <f t="shared" si="77"/>
        <v>8.0893947188374398</v>
      </c>
      <c r="AA138" s="1">
        <f t="shared" si="78"/>
        <v>7.3249238039617586</v>
      </c>
      <c r="AB138" s="1">
        <v>0</v>
      </c>
      <c r="AC138" s="1">
        <f t="shared" si="79"/>
        <v>4.4533242249091849</v>
      </c>
      <c r="AD138" s="133">
        <f t="shared" si="80"/>
        <v>4.4533242249091849</v>
      </c>
      <c r="AE138" s="132">
        <f t="shared" si="92"/>
        <v>2.3111291632818847</v>
      </c>
      <c r="AF138" s="1">
        <f t="shared" si="81"/>
        <v>4.1183475292860781</v>
      </c>
      <c r="AG138" s="1">
        <f t="shared" si="69"/>
        <v>1.6960786371976747E-2</v>
      </c>
      <c r="AH138" s="1">
        <f t="shared" si="82"/>
        <v>0.27189778781501084</v>
      </c>
      <c r="AI138" s="133">
        <f t="shared" si="83"/>
        <v>0.28885857418698757</v>
      </c>
      <c r="AJ138" s="132">
        <f t="shared" si="84"/>
        <v>5</v>
      </c>
      <c r="AK138" s="1">
        <f t="shared" si="85"/>
        <v>6.0575343467345562</v>
      </c>
      <c r="AL138" s="1">
        <f t="shared" si="70"/>
        <v>3.6693722361868845E-2</v>
      </c>
      <c r="AM138" s="1">
        <f t="shared" si="86"/>
        <v>0.15510000000000004</v>
      </c>
      <c r="AN138" s="136">
        <f t="shared" si="93"/>
        <v>0.12943031550139905</v>
      </c>
      <c r="AO138" s="133">
        <f t="shared" si="87"/>
        <v>0.32122403786326792</v>
      </c>
      <c r="AP138" s="132">
        <f t="shared" si="71"/>
        <v>0.21461803493538242</v>
      </c>
      <c r="AQ138" s="137">
        <f t="shared" si="72"/>
        <v>4.4533242249091849</v>
      </c>
      <c r="AR138" s="137">
        <f t="shared" si="73"/>
        <v>3.8925551949575116E-2</v>
      </c>
      <c r="AS138" s="1">
        <f t="shared" si="74"/>
        <v>3.7999999999999999E-2</v>
      </c>
      <c r="AT138" s="133">
        <f t="shared" si="88"/>
        <v>4.9240000000000006E-2</v>
      </c>
      <c r="AU138" s="132">
        <f t="shared" si="89"/>
        <v>9.8575146487535825</v>
      </c>
      <c r="AV138" s="1">
        <f t="shared" si="90"/>
        <v>90</v>
      </c>
      <c r="AW138" s="133">
        <f t="shared" si="91"/>
        <v>90.128419795518482</v>
      </c>
    </row>
    <row r="139" spans="17:49" x14ac:dyDescent="0.25">
      <c r="Q139">
        <v>132</v>
      </c>
      <c r="R139" s="132">
        <f t="shared" si="64"/>
        <v>18</v>
      </c>
      <c r="S139" s="1">
        <f t="shared" si="65"/>
        <v>5</v>
      </c>
      <c r="T139" s="1">
        <f t="shared" si="66"/>
        <v>12.32</v>
      </c>
      <c r="U139" s="133">
        <f t="shared" si="75"/>
        <v>7.3051948051948052</v>
      </c>
      <c r="V139" s="132">
        <f>IF(Calculations!$B$17=3,2,IF((S139*R139/T139)&lt;((T139*(1-(T139/R139)))/(2*Lm*fsw)),1,2))</f>
        <v>2</v>
      </c>
      <c r="W139" s="1">
        <f t="shared" si="76"/>
        <v>0.31555555555555559</v>
      </c>
      <c r="X139" s="133">
        <f t="shared" si="67"/>
        <v>0.68444444444444441</v>
      </c>
      <c r="Y139" s="132">
        <f t="shared" si="68"/>
        <v>1.5550577777777781</v>
      </c>
      <c r="Z139" s="1">
        <f t="shared" si="77"/>
        <v>8.0827236940836951</v>
      </c>
      <c r="AA139" s="1">
        <f t="shared" si="78"/>
        <v>7.31897453196353</v>
      </c>
      <c r="AB139" s="1">
        <v>0</v>
      </c>
      <c r="AC139" s="1">
        <f t="shared" si="79"/>
        <v>4.4460932205610542</v>
      </c>
      <c r="AD139" s="133">
        <f t="shared" si="80"/>
        <v>4.4460932205610542</v>
      </c>
      <c r="AE139" s="132">
        <f t="shared" si="92"/>
        <v>2.3051948051948052</v>
      </c>
      <c r="AF139" s="1">
        <f t="shared" si="81"/>
        <v>4.1113850394925366</v>
      </c>
      <c r="AG139" s="1">
        <f t="shared" si="69"/>
        <v>1.6903486942963047E-2</v>
      </c>
      <c r="AH139" s="1">
        <f t="shared" si="82"/>
        <v>0.27167709155866748</v>
      </c>
      <c r="AI139" s="133">
        <f t="shared" si="83"/>
        <v>0.28858057850163055</v>
      </c>
      <c r="AJ139" s="132">
        <f t="shared" si="84"/>
        <v>5</v>
      </c>
      <c r="AK139" s="1">
        <f t="shared" si="85"/>
        <v>6.0550723576657388</v>
      </c>
      <c r="AL139" s="1">
        <f t="shared" si="70"/>
        <v>3.6663901256567724E-2</v>
      </c>
      <c r="AM139" s="1">
        <f t="shared" si="86"/>
        <v>0.15510000000000004</v>
      </c>
      <c r="AN139" s="136">
        <f t="shared" si="93"/>
        <v>0.12932357910533912</v>
      </c>
      <c r="AO139" s="133">
        <f t="shared" si="87"/>
        <v>0.32108748036190693</v>
      </c>
      <c r="AP139" s="132">
        <f t="shared" si="71"/>
        <v>0.2142695527981231</v>
      </c>
      <c r="AQ139" s="137">
        <f t="shared" si="72"/>
        <v>4.4460932205610542</v>
      </c>
      <c r="AR139" s="137">
        <f t="shared" si="73"/>
        <v>3.8840713566774626E-2</v>
      </c>
      <c r="AS139" s="1">
        <f t="shared" si="74"/>
        <v>3.7999999999999999E-2</v>
      </c>
      <c r="AT139" s="133">
        <f t="shared" si="88"/>
        <v>4.9280000000000004E-2</v>
      </c>
      <c r="AU139" s="132">
        <f t="shared" si="89"/>
        <v>9.842244766350543</v>
      </c>
      <c r="AV139" s="1">
        <f t="shared" si="90"/>
        <v>90</v>
      </c>
      <c r="AW139" s="133">
        <f t="shared" si="91"/>
        <v>90.142204044607325</v>
      </c>
    </row>
    <row r="140" spans="17:49" x14ac:dyDescent="0.25">
      <c r="Q140">
        <v>133</v>
      </c>
      <c r="R140" s="132">
        <f t="shared" si="64"/>
        <v>18</v>
      </c>
      <c r="S140" s="1">
        <f t="shared" si="65"/>
        <v>5</v>
      </c>
      <c r="T140" s="1">
        <f t="shared" si="66"/>
        <v>12.33</v>
      </c>
      <c r="U140" s="133">
        <f t="shared" si="75"/>
        <v>7.2992700729927007</v>
      </c>
      <c r="V140" s="132">
        <f>IF(Calculations!$B$17=3,2,IF((S140*R140/T140)&lt;((T140*(1-(T140/R140)))/(2*Lm*fsw)),1,2))</f>
        <v>2</v>
      </c>
      <c r="W140" s="1">
        <f t="shared" si="76"/>
        <v>0.31499999999999995</v>
      </c>
      <c r="X140" s="133">
        <f t="shared" si="67"/>
        <v>0.68500000000000005</v>
      </c>
      <c r="Y140" s="132">
        <f t="shared" si="68"/>
        <v>1.5535799999999997</v>
      </c>
      <c r="Z140" s="1">
        <f t="shared" si="77"/>
        <v>8.0760600729926999</v>
      </c>
      <c r="AA140" s="1">
        <f t="shared" si="78"/>
        <v>7.3130347895512484</v>
      </c>
      <c r="AB140" s="1">
        <v>0</v>
      </c>
      <c r="AC140" s="1">
        <f t="shared" si="79"/>
        <v>4.4388796601545106</v>
      </c>
      <c r="AD140" s="133">
        <f t="shared" si="80"/>
        <v>4.4388796601545106</v>
      </c>
      <c r="AE140" s="132">
        <f t="shared" si="92"/>
        <v>2.2992700729927003</v>
      </c>
      <c r="AF140" s="1">
        <f t="shared" si="81"/>
        <v>4.1044305960088856</v>
      </c>
      <c r="AG140" s="1">
        <f t="shared" si="69"/>
        <v>1.6846350517453857E-2</v>
      </c>
      <c r="AH140" s="1">
        <f t="shared" si="82"/>
        <v>0.27145675328489732</v>
      </c>
      <c r="AI140" s="133">
        <f t="shared" si="83"/>
        <v>0.28830310380235119</v>
      </c>
      <c r="AJ140" s="132">
        <f t="shared" si="84"/>
        <v>5</v>
      </c>
      <c r="AK140" s="1">
        <f t="shared" si="85"/>
        <v>6.0526132633543499</v>
      </c>
      <c r="AL140" s="1">
        <f t="shared" si="70"/>
        <v>3.6634127315732998E-2</v>
      </c>
      <c r="AM140" s="1">
        <f t="shared" si="86"/>
        <v>0.15510000000000004</v>
      </c>
      <c r="AN140" s="136">
        <f t="shared" si="93"/>
        <v>0.1292169611678832</v>
      </c>
      <c r="AO140" s="133">
        <f t="shared" si="87"/>
        <v>0.3209510884836162</v>
      </c>
      <c r="AP140" s="132">
        <f t="shared" si="71"/>
        <v>0.21392191133274752</v>
      </c>
      <c r="AQ140" s="137">
        <f t="shared" si="72"/>
        <v>4.4388796601545106</v>
      </c>
      <c r="AR140" s="137">
        <f t="shared" si="73"/>
        <v>3.8755724486211264E-2</v>
      </c>
      <c r="AS140" s="1">
        <f t="shared" si="74"/>
        <v>3.7999999999999999E-2</v>
      </c>
      <c r="AT140" s="133">
        <f t="shared" si="88"/>
        <v>4.9320000000000003E-2</v>
      </c>
      <c r="AU140" s="132">
        <f t="shared" si="89"/>
        <v>9.8270111484139484</v>
      </c>
      <c r="AV140" s="1">
        <f t="shared" si="90"/>
        <v>90</v>
      </c>
      <c r="AW140" s="133">
        <f t="shared" si="91"/>
        <v>90.155959759424206</v>
      </c>
    </row>
    <row r="141" spans="17:49" x14ac:dyDescent="0.25">
      <c r="Q141">
        <v>134</v>
      </c>
      <c r="R141" s="132">
        <f t="shared" si="64"/>
        <v>18</v>
      </c>
      <c r="S141" s="1">
        <f t="shared" si="65"/>
        <v>5</v>
      </c>
      <c r="T141" s="1">
        <f t="shared" si="66"/>
        <v>12.34</v>
      </c>
      <c r="U141" s="133">
        <f t="shared" si="75"/>
        <v>7.293354943273906</v>
      </c>
      <c r="V141" s="132">
        <f>IF(Calculations!$B$17=3,2,IF((S141*R141/T141)&lt;((T141*(1-(T141/R141)))/(2*Lm*fsw)),1,2))</f>
        <v>2</v>
      </c>
      <c r="W141" s="1">
        <f t="shared" si="76"/>
        <v>0.31444444444444442</v>
      </c>
      <c r="X141" s="133">
        <f t="shared" si="67"/>
        <v>0.68555555555555558</v>
      </c>
      <c r="Y141" s="132">
        <f t="shared" si="68"/>
        <v>1.5520977777777776</v>
      </c>
      <c r="Z141" s="1">
        <f t="shared" si="77"/>
        <v>8.069403832162795</v>
      </c>
      <c r="AA141" s="1">
        <f t="shared" si="78"/>
        <v>7.3071045534164769</v>
      </c>
      <c r="AB141" s="1">
        <v>0</v>
      </c>
      <c r="AC141" s="1">
        <f t="shared" si="79"/>
        <v>4.4316834872284643</v>
      </c>
      <c r="AD141" s="133">
        <f t="shared" si="80"/>
        <v>4.4316834872284643</v>
      </c>
      <c r="AE141" s="132">
        <f t="shared" si="92"/>
        <v>2.293354943273906</v>
      </c>
      <c r="AF141" s="1">
        <f t="shared" si="81"/>
        <v>4.0974841709599241</v>
      </c>
      <c r="AG141" s="1">
        <f t="shared" si="69"/>
        <v>1.678937653126714E-2</v>
      </c>
      <c r="AH141" s="1">
        <f t="shared" si="82"/>
        <v>0.27123677212340225</v>
      </c>
      <c r="AI141" s="133">
        <f t="shared" si="83"/>
        <v>0.28802614865466941</v>
      </c>
      <c r="AJ141" s="132">
        <f t="shared" si="84"/>
        <v>5</v>
      </c>
      <c r="AK141" s="1">
        <f t="shared" si="85"/>
        <v>6.050157057737648</v>
      </c>
      <c r="AL141" s="1">
        <f t="shared" si="70"/>
        <v>3.6604400423292674E-2</v>
      </c>
      <c r="AM141" s="1">
        <f t="shared" si="86"/>
        <v>0.15510000000000004</v>
      </c>
      <c r="AN141" s="136">
        <f t="shared" si="93"/>
        <v>0.12911046131460471</v>
      </c>
      <c r="AO141" s="133">
        <f t="shared" si="87"/>
        <v>0.32081486173789742</v>
      </c>
      <c r="AP141" s="132">
        <f t="shared" si="71"/>
        <v>0.21357510781823924</v>
      </c>
      <c r="AQ141" s="137">
        <f t="shared" si="72"/>
        <v>4.4316834872284643</v>
      </c>
      <c r="AR141" s="137">
        <f t="shared" si="73"/>
        <v>3.8670585628120736E-2</v>
      </c>
      <c r="AS141" s="1">
        <f t="shared" si="74"/>
        <v>3.7999999999999999E-2</v>
      </c>
      <c r="AT141" s="133">
        <f t="shared" si="88"/>
        <v>4.9360000000000001E-2</v>
      </c>
      <c r="AU141" s="132">
        <f t="shared" si="89"/>
        <v>9.811813678295854</v>
      </c>
      <c r="AV141" s="1">
        <f t="shared" si="90"/>
        <v>90</v>
      </c>
      <c r="AW141" s="133">
        <f t="shared" si="91"/>
        <v>90.169687017289974</v>
      </c>
    </row>
    <row r="142" spans="17:49" x14ac:dyDescent="0.25">
      <c r="Q142">
        <v>135</v>
      </c>
      <c r="R142" s="132">
        <f t="shared" si="64"/>
        <v>18</v>
      </c>
      <c r="S142" s="1">
        <f t="shared" si="65"/>
        <v>5</v>
      </c>
      <c r="T142" s="1">
        <f t="shared" si="66"/>
        <v>12.35</v>
      </c>
      <c r="U142" s="133">
        <f t="shared" si="75"/>
        <v>7.287449392712551</v>
      </c>
      <c r="V142" s="132">
        <f>IF(Calculations!$B$17=3,2,IF((S142*R142/T142)&lt;((T142*(1-(T142/R142)))/(2*Lm*fsw)),1,2))</f>
        <v>2</v>
      </c>
      <c r="W142" s="1">
        <f t="shared" si="76"/>
        <v>0.31388888888888888</v>
      </c>
      <c r="X142" s="133">
        <f t="shared" si="67"/>
        <v>0.68611111111111112</v>
      </c>
      <c r="Y142" s="132">
        <f t="shared" si="68"/>
        <v>1.5506111111111109</v>
      </c>
      <c r="Z142" s="1">
        <f t="shared" si="77"/>
        <v>8.0627549482681058</v>
      </c>
      <c r="AA142" s="1">
        <f t="shared" si="78"/>
        <v>7.3011838003279736</v>
      </c>
      <c r="AB142" s="1">
        <v>0</v>
      </c>
      <c r="AC142" s="1">
        <f t="shared" si="79"/>
        <v>4.4245046455522452</v>
      </c>
      <c r="AD142" s="133">
        <f t="shared" si="80"/>
        <v>4.4245046455522452</v>
      </c>
      <c r="AE142" s="132">
        <f t="shared" si="92"/>
        <v>2.2874493927125505</v>
      </c>
      <c r="AF142" s="1">
        <f t="shared" si="81"/>
        <v>4.0905457365251241</v>
      </c>
      <c r="AG142" s="1">
        <f t="shared" si="69"/>
        <v>1.673256442260387E-2</v>
      </c>
      <c r="AH142" s="1">
        <f t="shared" si="82"/>
        <v>0.27101714720670311</v>
      </c>
      <c r="AI142" s="133">
        <f t="shared" si="83"/>
        <v>0.28774971162930696</v>
      </c>
      <c r="AJ142" s="132">
        <f t="shared" si="84"/>
        <v>5</v>
      </c>
      <c r="AK142" s="1">
        <f t="shared" si="85"/>
        <v>6.0477037347713845</v>
      </c>
      <c r="AL142" s="1">
        <f t="shared" si="70"/>
        <v>3.6574720463567752E-2</v>
      </c>
      <c r="AM142" s="1">
        <f t="shared" si="86"/>
        <v>0.15510000000000004</v>
      </c>
      <c r="AN142" s="136">
        <f t="shared" si="93"/>
        <v>0.1290040791722897</v>
      </c>
      <c r="AO142" s="133">
        <f t="shared" si="87"/>
        <v>0.32067879963585749</v>
      </c>
      <c r="AP142" s="132">
        <f t="shared" si="71"/>
        <v>0.21322913954468653</v>
      </c>
      <c r="AQ142" s="137">
        <f t="shared" si="72"/>
        <v>4.4245046455522452</v>
      </c>
      <c r="AR142" s="137">
        <f t="shared" si="73"/>
        <v>3.8585297915025955E-2</v>
      </c>
      <c r="AS142" s="1">
        <f t="shared" si="74"/>
        <v>3.7999999999999999E-2</v>
      </c>
      <c r="AT142" s="133">
        <f t="shared" si="88"/>
        <v>4.9399999999999999E-2</v>
      </c>
      <c r="AU142" s="132">
        <f t="shared" si="89"/>
        <v>9.7966522398293669</v>
      </c>
      <c r="AV142" s="1">
        <f t="shared" si="90"/>
        <v>90</v>
      </c>
      <c r="AW142" s="133">
        <f t="shared" si="91"/>
        <v>90.183385895264053</v>
      </c>
    </row>
    <row r="143" spans="17:49" x14ac:dyDescent="0.25">
      <c r="Q143">
        <v>136</v>
      </c>
      <c r="R143" s="132">
        <f t="shared" si="64"/>
        <v>18</v>
      </c>
      <c r="S143" s="1">
        <f t="shared" si="65"/>
        <v>5</v>
      </c>
      <c r="T143" s="1">
        <f t="shared" si="66"/>
        <v>12.36</v>
      </c>
      <c r="U143" s="133">
        <f t="shared" si="75"/>
        <v>7.2815533980582527</v>
      </c>
      <c r="V143" s="132">
        <f>IF(Calculations!$B$17=3,2,IF((S143*R143/T143)&lt;((T143*(1-(T143/R143)))/(2*Lm*fsw)),1,2))</f>
        <v>2</v>
      </c>
      <c r="W143" s="1">
        <f t="shared" si="76"/>
        <v>0.31333333333333335</v>
      </c>
      <c r="X143" s="133">
        <f t="shared" si="67"/>
        <v>0.68666666666666665</v>
      </c>
      <c r="Y143" s="132">
        <f t="shared" si="68"/>
        <v>1.5491200000000001</v>
      </c>
      <c r="Z143" s="1">
        <f t="shared" si="77"/>
        <v>8.0561133980582529</v>
      </c>
      <c r="AA143" s="1">
        <f t="shared" si="78"/>
        <v>7.2952725071313838</v>
      </c>
      <c r="AB143" s="1">
        <v>0</v>
      </c>
      <c r="AC143" s="1">
        <f t="shared" si="79"/>
        <v>4.4173430791244837</v>
      </c>
      <c r="AD143" s="133">
        <f t="shared" si="80"/>
        <v>4.4173430791244837</v>
      </c>
      <c r="AE143" s="132">
        <f t="shared" si="92"/>
        <v>2.2815533980582527</v>
      </c>
      <c r="AF143" s="1">
        <f t="shared" si="81"/>
        <v>4.0836152649381896</v>
      </c>
      <c r="AG143" s="1">
        <f t="shared" si="69"/>
        <v>1.6675913632036198E-2</v>
      </c>
      <c r="AH143" s="1">
        <f t="shared" si="82"/>
        <v>0.27079787767012814</v>
      </c>
      <c r="AI143" s="133">
        <f t="shared" si="83"/>
        <v>0.28747379130216433</v>
      </c>
      <c r="AJ143" s="132">
        <f t="shared" si="84"/>
        <v>5</v>
      </c>
      <c r="AK143" s="1">
        <f t="shared" si="85"/>
        <v>6.0452532884297598</v>
      </c>
      <c r="AL143" s="1">
        <f t="shared" si="70"/>
        <v>3.6545087321270826E-2</v>
      </c>
      <c r="AM143" s="1">
        <f t="shared" si="86"/>
        <v>0.15510000000000004</v>
      </c>
      <c r="AN143" s="136">
        <f t="shared" si="93"/>
        <v>0.12889781436893205</v>
      </c>
      <c r="AO143" s="133">
        <f t="shared" si="87"/>
        <v>0.32054290169020294</v>
      </c>
      <c r="AP143" s="132">
        <f t="shared" si="71"/>
        <v>0.21288400381322811</v>
      </c>
      <c r="AQ143" s="137">
        <f t="shared" si="72"/>
        <v>4.4173430791244837</v>
      </c>
      <c r="AR143" s="137">
        <f t="shared" si="73"/>
        <v>3.8499862271732348E-2</v>
      </c>
      <c r="AS143" s="1">
        <f t="shared" si="74"/>
        <v>3.7999999999999999E-2</v>
      </c>
      <c r="AT143" s="133">
        <f t="shared" si="88"/>
        <v>4.9439999999999998E-2</v>
      </c>
      <c r="AU143" s="132">
        <f t="shared" si="89"/>
        <v>9.7815267173262956</v>
      </c>
      <c r="AV143" s="1">
        <f t="shared" si="90"/>
        <v>90</v>
      </c>
      <c r="AW143" s="133">
        <f t="shared" si="91"/>
        <v>90.19705647014537</v>
      </c>
    </row>
    <row r="144" spans="17:49" x14ac:dyDescent="0.25">
      <c r="Q144">
        <v>137</v>
      </c>
      <c r="R144" s="132">
        <f t="shared" si="64"/>
        <v>18</v>
      </c>
      <c r="S144" s="1">
        <f t="shared" si="65"/>
        <v>5</v>
      </c>
      <c r="T144" s="1">
        <f t="shared" si="66"/>
        <v>12.370000000000001</v>
      </c>
      <c r="U144" s="133">
        <f t="shared" si="75"/>
        <v>7.2756669361358117</v>
      </c>
      <c r="V144" s="132">
        <f>IF(Calculations!$B$17=3,2,IF((S144*R144/T144)&lt;((T144*(1-(T144/R144)))/(2*Lm*fsw)),1,2))</f>
        <v>2</v>
      </c>
      <c r="W144" s="1">
        <f t="shared" si="76"/>
        <v>0.31277777777777771</v>
      </c>
      <c r="X144" s="133">
        <f t="shared" si="67"/>
        <v>0.68722222222222229</v>
      </c>
      <c r="Y144" s="132">
        <f t="shared" si="68"/>
        <v>1.5476244444444442</v>
      </c>
      <c r="Z144" s="1">
        <f t="shared" si="77"/>
        <v>8.0494791583580341</v>
      </c>
      <c r="AA144" s="1">
        <f t="shared" si="78"/>
        <v>7.28937065074894</v>
      </c>
      <c r="AB144" s="1">
        <v>0</v>
      </c>
      <c r="AC144" s="1">
        <f t="shared" si="79"/>
        <v>4.4101987321720024</v>
      </c>
      <c r="AD144" s="133">
        <f t="shared" si="80"/>
        <v>4.4101987321720024</v>
      </c>
      <c r="AE144" s="132">
        <f t="shared" si="92"/>
        <v>2.2756669361358117</v>
      </c>
      <c r="AF144" s="1">
        <f t="shared" si="81"/>
        <v>4.0766927284866057</v>
      </c>
      <c r="AG144" s="1">
        <f t="shared" si="69"/>
        <v>1.6619423602495565E-2</v>
      </c>
      <c r="AH144" s="1">
        <f t="shared" si="82"/>
        <v>0.27057896265180137</v>
      </c>
      <c r="AI144" s="133">
        <f t="shared" si="83"/>
        <v>0.28719838625429694</v>
      </c>
      <c r="AJ144" s="132">
        <f t="shared" si="84"/>
        <v>5</v>
      </c>
      <c r="AK144" s="1">
        <f t="shared" si="85"/>
        <v>6.0428057127053547</v>
      </c>
      <c r="AL144" s="1">
        <f t="shared" si="70"/>
        <v>3.6515500881504473E-2</v>
      </c>
      <c r="AM144" s="1">
        <f t="shared" si="86"/>
        <v>0.15510000000000004</v>
      </c>
      <c r="AN144" s="136">
        <f t="shared" si="93"/>
        <v>0.12879166653372856</v>
      </c>
      <c r="AO144" s="133">
        <f t="shared" si="87"/>
        <v>0.32040716741523312</v>
      </c>
      <c r="AP144" s="132">
        <f t="shared" si="71"/>
        <v>0.21253969793600011</v>
      </c>
      <c r="AQ144" s="137">
        <f t="shared" si="72"/>
        <v>4.4101987321720024</v>
      </c>
      <c r="AR144" s="137">
        <f t="shared" si="73"/>
        <v>3.8414279625322685E-2</v>
      </c>
      <c r="AS144" s="1">
        <f t="shared" si="74"/>
        <v>3.7999999999999999E-2</v>
      </c>
      <c r="AT144" s="133">
        <f t="shared" si="88"/>
        <v>4.9480000000000003E-2</v>
      </c>
      <c r="AU144" s="132">
        <f t="shared" si="89"/>
        <v>9.7664369955748587</v>
      </c>
      <c r="AV144" s="1">
        <f t="shared" si="90"/>
        <v>90</v>
      </c>
      <c r="AW144" s="133">
        <f t="shared" si="91"/>
        <v>90.210698818473332</v>
      </c>
    </row>
    <row r="145" spans="17:49" x14ac:dyDescent="0.25">
      <c r="Q145">
        <v>138</v>
      </c>
      <c r="R145" s="132">
        <f t="shared" si="64"/>
        <v>18</v>
      </c>
      <c r="S145" s="1">
        <f t="shared" si="65"/>
        <v>5</v>
      </c>
      <c r="T145" s="1">
        <f t="shared" si="66"/>
        <v>12.38</v>
      </c>
      <c r="U145" s="133">
        <f t="shared" si="75"/>
        <v>7.2697899838449107</v>
      </c>
      <c r="V145" s="132">
        <f>IF(Calculations!$B$17=3,2,IF((S145*R145/T145)&lt;((T145*(1-(T145/R145)))/(2*Lm*fsw)),1,2))</f>
        <v>2</v>
      </c>
      <c r="W145" s="1">
        <f t="shared" si="76"/>
        <v>0.31222222222222218</v>
      </c>
      <c r="X145" s="133">
        <f t="shared" si="67"/>
        <v>0.68777777777777782</v>
      </c>
      <c r="Y145" s="132">
        <f t="shared" si="68"/>
        <v>1.5461244444444442</v>
      </c>
      <c r="Z145" s="1">
        <f t="shared" si="77"/>
        <v>8.042852206067133</v>
      </c>
      <c r="AA145" s="1">
        <f t="shared" si="78"/>
        <v>7.2834782081791687</v>
      </c>
      <c r="AB145" s="1">
        <v>0</v>
      </c>
      <c r="AC145" s="1">
        <f t="shared" si="79"/>
        <v>4.4030715491487289</v>
      </c>
      <c r="AD145" s="133">
        <f t="shared" si="80"/>
        <v>4.4030715491487289</v>
      </c>
      <c r="AE145" s="132">
        <f t="shared" si="92"/>
        <v>2.2697899838449107</v>
      </c>
      <c r="AF145" s="1">
        <f t="shared" si="81"/>
        <v>4.0697780995111943</v>
      </c>
      <c r="AG145" s="1">
        <f t="shared" si="69"/>
        <v>1.6563093779260948E-2</v>
      </c>
      <c r="AH145" s="1">
        <f t="shared" si="82"/>
        <v>0.27036040129263195</v>
      </c>
      <c r="AI145" s="133">
        <f t="shared" si="83"/>
        <v>0.28692349507189291</v>
      </c>
      <c r="AJ145" s="132">
        <f t="shared" si="84"/>
        <v>5</v>
      </c>
      <c r="AK145" s="1">
        <f t="shared" si="85"/>
        <v>6.0403610016090834</v>
      </c>
      <c r="AL145" s="1">
        <f t="shared" si="70"/>
        <v>3.6485961029759893E-2</v>
      </c>
      <c r="AM145" s="1">
        <f t="shared" si="86"/>
        <v>0.15510000000000004</v>
      </c>
      <c r="AN145" s="136">
        <f t="shared" si="93"/>
        <v>0.12868563529707414</v>
      </c>
      <c r="AO145" s="133">
        <f t="shared" si="87"/>
        <v>0.32027159632683411</v>
      </c>
      <c r="AP145" s="132">
        <f t="shared" si="71"/>
        <v>0.21219621923608334</v>
      </c>
      <c r="AQ145" s="137">
        <f t="shared" si="72"/>
        <v>4.4030715491487289</v>
      </c>
      <c r="AR145" s="137">
        <f t="shared" si="73"/>
        <v>3.8328550905152428E-2</v>
      </c>
      <c r="AS145" s="1">
        <f t="shared" si="74"/>
        <v>3.7999999999999999E-2</v>
      </c>
      <c r="AT145" s="133">
        <f t="shared" si="88"/>
        <v>4.9520000000000002E-2</v>
      </c>
      <c r="AU145" s="132">
        <f t="shared" si="89"/>
        <v>9.7513829598374215</v>
      </c>
      <c r="AV145" s="1">
        <f t="shared" si="90"/>
        <v>90</v>
      </c>
      <c r="AW145" s="133">
        <f t="shared" si="91"/>
        <v>90.224313016528711</v>
      </c>
    </row>
    <row r="146" spans="17:49" x14ac:dyDescent="0.25">
      <c r="Q146">
        <v>139</v>
      </c>
      <c r="R146" s="132">
        <f t="shared" si="64"/>
        <v>18</v>
      </c>
      <c r="S146" s="1">
        <f t="shared" si="65"/>
        <v>5</v>
      </c>
      <c r="T146" s="1">
        <f t="shared" si="66"/>
        <v>12.39</v>
      </c>
      <c r="U146" s="133">
        <f t="shared" si="75"/>
        <v>7.2639225181598057</v>
      </c>
      <c r="V146" s="132">
        <f>IF(Calculations!$B$17=3,2,IF((S146*R146/T146)&lt;((T146*(1-(T146/R146)))/(2*Lm*fsw)),1,2))</f>
        <v>2</v>
      </c>
      <c r="W146" s="1">
        <f t="shared" si="76"/>
        <v>0.31166666666666665</v>
      </c>
      <c r="X146" s="133">
        <f t="shared" si="67"/>
        <v>0.68833333333333335</v>
      </c>
      <c r="Y146" s="132">
        <f t="shared" si="68"/>
        <v>1.5446199999999999</v>
      </c>
      <c r="Z146" s="1">
        <f t="shared" si="77"/>
        <v>8.0362325181598049</v>
      </c>
      <c r="AA146" s="1">
        <f t="shared" si="78"/>
        <v>7.2775951564965764</v>
      </c>
      <c r="AB146" s="1">
        <v>0</v>
      </c>
      <c r="AC146" s="1">
        <f t="shared" si="79"/>
        <v>4.3959614747345812</v>
      </c>
      <c r="AD146" s="133">
        <f t="shared" si="80"/>
        <v>4.3959614747345812</v>
      </c>
      <c r="AE146" s="132">
        <f t="shared" si="92"/>
        <v>2.2639225181598062</v>
      </c>
      <c r="AF146" s="1">
        <f t="shared" si="81"/>
        <v>4.0628713504056613</v>
      </c>
      <c r="AG146" s="1">
        <f t="shared" si="69"/>
        <v>1.6506923609947124E-2</v>
      </c>
      <c r="AH146" s="1">
        <f t="shared" si="82"/>
        <v>0.27014219273630208</v>
      </c>
      <c r="AI146" s="133">
        <f t="shared" si="83"/>
        <v>0.28664911634624918</v>
      </c>
      <c r="AJ146" s="132">
        <f t="shared" si="84"/>
        <v>5</v>
      </c>
      <c r="AK146" s="1">
        <f t="shared" si="85"/>
        <v>6.0379191491701256</v>
      </c>
      <c r="AL146" s="1">
        <f t="shared" si="70"/>
        <v>3.6456467651915299E-2</v>
      </c>
      <c r="AM146" s="1">
        <f t="shared" si="86"/>
        <v>0.15510000000000004</v>
      </c>
      <c r="AN146" s="136">
        <f t="shared" si="93"/>
        <v>0.12857972029055689</v>
      </c>
      <c r="AO146" s="133">
        <f t="shared" si="87"/>
        <v>0.32013618794247223</v>
      </c>
      <c r="AP146" s="132">
        <f t="shared" si="71"/>
        <v>0.2118535650474497</v>
      </c>
      <c r="AQ146" s="137">
        <f t="shared" si="72"/>
        <v>4.3959614747345812</v>
      </c>
      <c r="AR146" s="137">
        <f t="shared" si="73"/>
        <v>3.8242677042844807E-2</v>
      </c>
      <c r="AS146" s="1">
        <f t="shared" si="74"/>
        <v>3.7999999999999999E-2</v>
      </c>
      <c r="AT146" s="133">
        <f t="shared" si="88"/>
        <v>4.956E-2</v>
      </c>
      <c r="AU146" s="132">
        <f t="shared" si="89"/>
        <v>9.7363644958481785</v>
      </c>
      <c r="AV146" s="1">
        <f t="shared" si="90"/>
        <v>90</v>
      </c>
      <c r="AW146" s="133">
        <f t="shared" si="91"/>
        <v>90.237899140334633</v>
      </c>
    </row>
    <row r="147" spans="17:49" x14ac:dyDescent="0.25">
      <c r="Q147">
        <v>140</v>
      </c>
      <c r="R147" s="132">
        <f t="shared" si="64"/>
        <v>18</v>
      </c>
      <c r="S147" s="1">
        <f t="shared" si="65"/>
        <v>5</v>
      </c>
      <c r="T147" s="1">
        <f t="shared" si="66"/>
        <v>12.4</v>
      </c>
      <c r="U147" s="133">
        <f t="shared" si="75"/>
        <v>7.258064516129032</v>
      </c>
      <c r="V147" s="132">
        <f>IF(Calculations!$B$17=3,2,IF((S147*R147/T147)&lt;((T147*(1-(T147/R147)))/(2*Lm*fsw)),1,2))</f>
        <v>2</v>
      </c>
      <c r="W147" s="1">
        <f t="shared" si="76"/>
        <v>0.31111111111111112</v>
      </c>
      <c r="X147" s="133">
        <f t="shared" si="67"/>
        <v>0.68888888888888888</v>
      </c>
      <c r="Y147" s="132">
        <f t="shared" si="68"/>
        <v>1.5431111111111111</v>
      </c>
      <c r="Z147" s="1">
        <f t="shared" si="77"/>
        <v>8.0296200716845867</v>
      </c>
      <c r="AA147" s="1">
        <f t="shared" si="78"/>
        <v>7.2717214728513611</v>
      </c>
      <c r="AB147" s="1">
        <v>0</v>
      </c>
      <c r="AC147" s="1">
        <f t="shared" si="79"/>
        <v>4.3888684538343883</v>
      </c>
      <c r="AD147" s="133">
        <f t="shared" si="80"/>
        <v>4.3888684538343883</v>
      </c>
      <c r="AE147" s="132">
        <f t="shared" si="92"/>
        <v>2.258064516129032</v>
      </c>
      <c r="AF147" s="1">
        <f t="shared" si="81"/>
        <v>4.0559724536161506</v>
      </c>
      <c r="AG147" s="1">
        <f t="shared" si="69"/>
        <v>1.6450912544493015E-2</v>
      </c>
      <c r="AH147" s="1">
        <f t="shared" si="82"/>
        <v>0.2699243361292567</v>
      </c>
      <c r="AI147" s="133">
        <f t="shared" si="83"/>
        <v>0.28637524867374969</v>
      </c>
      <c r="AJ147" s="132">
        <f t="shared" si="84"/>
        <v>5</v>
      </c>
      <c r="AK147" s="1">
        <f t="shared" si="85"/>
        <v>6.0354801494358785</v>
      </c>
      <c r="AL147" s="1">
        <f t="shared" si="70"/>
        <v>3.6427020634234537E-2</v>
      </c>
      <c r="AM147" s="1">
        <f t="shared" si="86"/>
        <v>0.15510000000000004</v>
      </c>
      <c r="AN147" s="136">
        <f t="shared" si="93"/>
        <v>0.12847392114695338</v>
      </c>
      <c r="AO147" s="133">
        <f t="shared" si="87"/>
        <v>0.32000094178118799</v>
      </c>
      <c r="AP147" s="132">
        <f t="shared" si="71"/>
        <v>0.21151173271491028</v>
      </c>
      <c r="AQ147" s="137">
        <f t="shared" si="72"/>
        <v>4.3888684538343883</v>
      </c>
      <c r="AR147" s="137">
        <f t="shared" si="73"/>
        <v>3.815665897228613E-2</v>
      </c>
      <c r="AS147" s="1">
        <f t="shared" si="74"/>
        <v>3.7999999999999999E-2</v>
      </c>
      <c r="AT147" s="133">
        <f t="shared" si="88"/>
        <v>4.9600000000000005E-2</v>
      </c>
      <c r="AU147" s="132">
        <f t="shared" si="89"/>
        <v>9.721381489810911</v>
      </c>
      <c r="AV147" s="1">
        <f t="shared" si="90"/>
        <v>90</v>
      </c>
      <c r="AW147" s="133">
        <f t="shared" si="91"/>
        <v>90.251457265657521</v>
      </c>
    </row>
    <row r="148" spans="17:49" x14ac:dyDescent="0.25">
      <c r="Q148">
        <v>141</v>
      </c>
      <c r="R148" s="132">
        <f t="shared" si="64"/>
        <v>18</v>
      </c>
      <c r="S148" s="1">
        <f t="shared" si="65"/>
        <v>5</v>
      </c>
      <c r="T148" s="1">
        <f t="shared" si="66"/>
        <v>12.41</v>
      </c>
      <c r="U148" s="133">
        <f t="shared" si="75"/>
        <v>7.2522159548751004</v>
      </c>
      <c r="V148" s="132">
        <f>IF(Calculations!$B$17=3,2,IF((S148*R148/T148)&lt;((T148*(1-(T148/R148)))/(2*Lm*fsw)),1,2))</f>
        <v>2</v>
      </c>
      <c r="W148" s="1">
        <f t="shared" si="76"/>
        <v>0.31055555555555558</v>
      </c>
      <c r="X148" s="133">
        <f t="shared" si="67"/>
        <v>0.68944444444444442</v>
      </c>
      <c r="Y148" s="132">
        <f t="shared" si="68"/>
        <v>1.5415977777777781</v>
      </c>
      <c r="Z148" s="1">
        <f t="shared" si="77"/>
        <v>8.0230148437639901</v>
      </c>
      <c r="AA148" s="1">
        <f t="shared" si="78"/>
        <v>7.2658571344691154</v>
      </c>
      <c r="AB148" s="1">
        <v>0</v>
      </c>
      <c r="AC148" s="1">
        <f t="shared" si="79"/>
        <v>4.3817924315768071</v>
      </c>
      <c r="AD148" s="133">
        <f t="shared" si="80"/>
        <v>4.3817924315768071</v>
      </c>
      <c r="AE148" s="132">
        <f t="shared" si="92"/>
        <v>2.2522159548751008</v>
      </c>
      <c r="AF148" s="1">
        <f t="shared" si="81"/>
        <v>4.0490813816408</v>
      </c>
      <c r="AG148" s="1">
        <f t="shared" si="69"/>
        <v>1.639506003515017E-2</v>
      </c>
      <c r="AH148" s="1">
        <f t="shared" si="82"/>
        <v>0.26970683062069167</v>
      </c>
      <c r="AI148" s="133">
        <f t="shared" si="83"/>
        <v>0.28610189065584185</v>
      </c>
      <c r="AJ148" s="132">
        <f t="shared" si="84"/>
        <v>5</v>
      </c>
      <c r="AK148" s="1">
        <f t="shared" si="85"/>
        <v>6.0330439964718954</v>
      </c>
      <c r="AL148" s="1">
        <f t="shared" si="70"/>
        <v>3.639761986336558E-2</v>
      </c>
      <c r="AM148" s="1">
        <f t="shared" si="86"/>
        <v>0.15510000000000004</v>
      </c>
      <c r="AN148" s="136">
        <f t="shared" si="93"/>
        <v>0.12836823750022383</v>
      </c>
      <c r="AO148" s="133">
        <f t="shared" si="87"/>
        <v>0.31986585736358941</v>
      </c>
      <c r="AP148" s="132">
        <f t="shared" si="71"/>
        <v>0.21117071959406297</v>
      </c>
      <c r="AQ148" s="137">
        <f t="shared" si="72"/>
        <v>4.3817924315768071</v>
      </c>
      <c r="AR148" s="137">
        <f t="shared" si="73"/>
        <v>3.8070497629620476E-2</v>
      </c>
      <c r="AS148" s="1">
        <f t="shared" si="74"/>
        <v>3.7999999999999999E-2</v>
      </c>
      <c r="AT148" s="133">
        <f t="shared" si="88"/>
        <v>4.9640000000000004E-2</v>
      </c>
      <c r="AU148" s="132">
        <f t="shared" si="89"/>
        <v>9.7064338283967295</v>
      </c>
      <c r="AV148" s="1">
        <f t="shared" si="90"/>
        <v>90</v>
      </c>
      <c r="AW148" s="133">
        <f t="shared" si="91"/>
        <v>90.264987468008002</v>
      </c>
    </row>
    <row r="149" spans="17:49" x14ac:dyDescent="0.25">
      <c r="Q149">
        <v>142</v>
      </c>
      <c r="R149" s="132">
        <f t="shared" si="64"/>
        <v>18</v>
      </c>
      <c r="S149" s="1">
        <f t="shared" si="65"/>
        <v>5</v>
      </c>
      <c r="T149" s="1">
        <f t="shared" si="66"/>
        <v>12.42</v>
      </c>
      <c r="U149" s="133">
        <f t="shared" si="75"/>
        <v>7.2463768115942031</v>
      </c>
      <c r="V149" s="132">
        <f>IF(Calculations!$B$17=3,2,IF((S149*R149/T149)&lt;((T149*(1-(T149/R149)))/(2*Lm*fsw)),1,2))</f>
        <v>2</v>
      </c>
      <c r="W149" s="1">
        <f t="shared" si="76"/>
        <v>0.31000000000000005</v>
      </c>
      <c r="X149" s="133">
        <f t="shared" si="67"/>
        <v>0.69</v>
      </c>
      <c r="Y149" s="132">
        <f t="shared" si="68"/>
        <v>1.5400800000000001</v>
      </c>
      <c r="Z149" s="1">
        <f t="shared" si="77"/>
        <v>8.0164168115942029</v>
      </c>
      <c r="AA149" s="1">
        <f t="shared" si="78"/>
        <v>7.2600021186505286</v>
      </c>
      <c r="AB149" s="1">
        <v>0</v>
      </c>
      <c r="AC149" s="1">
        <f t="shared" si="79"/>
        <v>4.3747333533132435</v>
      </c>
      <c r="AD149" s="133">
        <f t="shared" si="80"/>
        <v>4.3747333533132435</v>
      </c>
      <c r="AE149" s="132">
        <f t="shared" si="92"/>
        <v>2.2463768115942035</v>
      </c>
      <c r="AF149" s="1">
        <f t="shared" si="81"/>
        <v>4.0421981070292876</v>
      </c>
      <c r="AG149" s="1">
        <f t="shared" si="69"/>
        <v>1.6339365536471157E-2</v>
      </c>
      <c r="AH149" s="1">
        <f t="shared" si="82"/>
        <v>0.26948967536254298</v>
      </c>
      <c r="AI149" s="133">
        <f t="shared" si="83"/>
        <v>0.28582904089901412</v>
      </c>
      <c r="AJ149" s="132">
        <f t="shared" si="84"/>
        <v>5</v>
      </c>
      <c r="AK149" s="1">
        <f t="shared" si="85"/>
        <v>6.0306106843618261</v>
      </c>
      <c r="AL149" s="1">
        <f t="shared" si="70"/>
        <v>3.6368265226339014E-2</v>
      </c>
      <c r="AM149" s="1">
        <f t="shared" si="86"/>
        <v>0.15510000000000004</v>
      </c>
      <c r="AN149" s="136">
        <f t="shared" si="93"/>
        <v>0.12826266898550726</v>
      </c>
      <c r="AO149" s="133">
        <f t="shared" si="87"/>
        <v>0.31973093421184628</v>
      </c>
      <c r="AP149" s="132">
        <f t="shared" si="71"/>
        <v>0.21083052305124064</v>
      </c>
      <c r="AQ149" s="137">
        <f t="shared" si="72"/>
        <v>4.3747333533132435</v>
      </c>
      <c r="AR149" s="137">
        <f t="shared" si="73"/>
        <v>3.7984193953245454E-2</v>
      </c>
      <c r="AS149" s="1">
        <f t="shared" si="74"/>
        <v>3.7999999999999999E-2</v>
      </c>
      <c r="AT149" s="133">
        <f t="shared" si="88"/>
        <v>4.9680000000000002E-2</v>
      </c>
      <c r="AU149" s="132">
        <f t="shared" si="89"/>
        <v>9.691521398741834</v>
      </c>
      <c r="AV149" s="1">
        <f t="shared" si="90"/>
        <v>90</v>
      </c>
      <c r="AW149" s="133">
        <f t="shared" si="91"/>
        <v>90.278489822641887</v>
      </c>
    </row>
    <row r="150" spans="17:49" x14ac:dyDescent="0.25">
      <c r="Q150">
        <v>143</v>
      </c>
      <c r="R150" s="132">
        <f t="shared" si="64"/>
        <v>18</v>
      </c>
      <c r="S150" s="1">
        <f t="shared" si="65"/>
        <v>5</v>
      </c>
      <c r="T150" s="1">
        <f t="shared" si="66"/>
        <v>12.43</v>
      </c>
      <c r="U150" s="133">
        <f t="shared" si="75"/>
        <v>7.2405470635559137</v>
      </c>
      <c r="V150" s="132">
        <f>IF(Calculations!$B$17=3,2,IF((S150*R150/T150)&lt;((T150*(1-(T150/R150)))/(2*Lm*fsw)),1,2))</f>
        <v>2</v>
      </c>
      <c r="W150" s="1">
        <f t="shared" si="76"/>
        <v>0.30944444444444441</v>
      </c>
      <c r="X150" s="133">
        <f t="shared" si="67"/>
        <v>0.69055555555555559</v>
      </c>
      <c r="Y150" s="132">
        <f t="shared" si="68"/>
        <v>1.5385577777777777</v>
      </c>
      <c r="Z150" s="1">
        <f t="shared" si="77"/>
        <v>8.0098259524448032</v>
      </c>
      <c r="AA150" s="1">
        <f t="shared" si="78"/>
        <v>7.2541564027710947</v>
      </c>
      <c r="AB150" s="1">
        <v>0</v>
      </c>
      <c r="AC150" s="1">
        <f t="shared" si="79"/>
        <v>4.3676911646167849</v>
      </c>
      <c r="AD150" s="133">
        <f t="shared" si="80"/>
        <v>4.3676911646167849</v>
      </c>
      <c r="AE150" s="132">
        <f t="shared" si="92"/>
        <v>2.2405470635559133</v>
      </c>
      <c r="AF150" s="1">
        <f t="shared" si="81"/>
        <v>4.0353226023823909</v>
      </c>
      <c r="AG150" s="1">
        <f t="shared" si="69"/>
        <v>1.6283828505298192E-2</v>
      </c>
      <c r="AH150" s="1">
        <f t="shared" si="82"/>
        <v>0.26927286950947577</v>
      </c>
      <c r="AI150" s="133">
        <f t="shared" si="83"/>
        <v>0.28555669801477396</v>
      </c>
      <c r="AJ150" s="132">
        <f t="shared" si="84"/>
        <v>5.0000000000000009</v>
      </c>
      <c r="AK150" s="1">
        <f t="shared" si="85"/>
        <v>6.0281802072073702</v>
      </c>
      <c r="AL150" s="1">
        <f t="shared" si="70"/>
        <v>3.6338956610566693E-2</v>
      </c>
      <c r="AM150" s="1">
        <f t="shared" si="86"/>
        <v>0.15510000000000004</v>
      </c>
      <c r="AN150" s="136">
        <f t="shared" si="93"/>
        <v>0.12815721523911686</v>
      </c>
      <c r="AO150" s="133">
        <f t="shared" si="87"/>
        <v>0.31959617184968359</v>
      </c>
      <c r="AP150" s="132">
        <f t="shared" si="71"/>
        <v>0.21049114046345949</v>
      </c>
      <c r="AQ150" s="137">
        <f t="shared" si="72"/>
        <v>4.3676911646167849</v>
      </c>
      <c r="AR150" s="137">
        <f t="shared" si="73"/>
        <v>3.7897748883806336E-2</v>
      </c>
      <c r="AS150" s="1">
        <f t="shared" si="74"/>
        <v>3.7999999999999999E-2</v>
      </c>
      <c r="AT150" s="133">
        <f t="shared" si="88"/>
        <v>4.972E-2</v>
      </c>
      <c r="AU150" s="132">
        <f t="shared" si="89"/>
        <v>9.6766440884452916</v>
      </c>
      <c r="AV150" s="1">
        <f t="shared" si="90"/>
        <v>90</v>
      </c>
      <c r="AW150" s="133">
        <f t="shared" si="91"/>
        <v>90.291964404561028</v>
      </c>
    </row>
    <row r="151" spans="17:49" x14ac:dyDescent="0.25">
      <c r="Q151">
        <v>144</v>
      </c>
      <c r="R151" s="132">
        <f t="shared" si="64"/>
        <v>18</v>
      </c>
      <c r="S151" s="1">
        <f t="shared" si="65"/>
        <v>5</v>
      </c>
      <c r="T151" s="1">
        <f t="shared" si="66"/>
        <v>12.44</v>
      </c>
      <c r="U151" s="133">
        <f t="shared" si="75"/>
        <v>7.234726688102894</v>
      </c>
      <c r="V151" s="132">
        <f>IF(Calculations!$B$17=3,2,IF((S151*R151/T151)&lt;((T151*(1-(T151/R151)))/(2*Lm*fsw)),1,2))</f>
        <v>2</v>
      </c>
      <c r="W151" s="1">
        <f t="shared" si="76"/>
        <v>0.30888888888888888</v>
      </c>
      <c r="X151" s="133">
        <f t="shared" si="67"/>
        <v>0.69111111111111112</v>
      </c>
      <c r="Y151" s="132">
        <f t="shared" si="68"/>
        <v>1.537031111111111</v>
      </c>
      <c r="Z151" s="1">
        <f t="shared" si="77"/>
        <v>8.0032422436584501</v>
      </c>
      <c r="AA151" s="1">
        <f t="shared" si="78"/>
        <v>7.2483199642808183</v>
      </c>
      <c r="AB151" s="1">
        <v>0</v>
      </c>
      <c r="AC151" s="1">
        <f t="shared" si="79"/>
        <v>4.3606658112811258</v>
      </c>
      <c r="AD151" s="133">
        <f t="shared" si="80"/>
        <v>4.3606658112811258</v>
      </c>
      <c r="AE151" s="132">
        <f t="shared" si="92"/>
        <v>2.234726688102894</v>
      </c>
      <c r="AF151" s="1">
        <f t="shared" si="81"/>
        <v>4.0284548403515359</v>
      </c>
      <c r="AG151" s="1">
        <f t="shared" si="69"/>
        <v>1.6228448400751719E-2</v>
      </c>
      <c r="AH151" s="1">
        <f t="shared" si="82"/>
        <v>0.26905641221887328</v>
      </c>
      <c r="AI151" s="133">
        <f t="shared" si="83"/>
        <v>0.28528486061962499</v>
      </c>
      <c r="AJ151" s="132">
        <f t="shared" si="84"/>
        <v>5</v>
      </c>
      <c r="AK151" s="1">
        <f t="shared" si="85"/>
        <v>6.0257525591282111</v>
      </c>
      <c r="AL151" s="1">
        <f t="shared" si="70"/>
        <v>3.6309693903840187E-2</v>
      </c>
      <c r="AM151" s="1">
        <f t="shared" si="86"/>
        <v>0.15510000000000004</v>
      </c>
      <c r="AN151" s="136">
        <f t="shared" si="93"/>
        <v>0.1280518758985352</v>
      </c>
      <c r="AO151" s="133">
        <f t="shared" si="87"/>
        <v>0.31946156980237539</v>
      </c>
      <c r="AP151" s="132">
        <f t="shared" si="71"/>
        <v>0.21015256921836753</v>
      </c>
      <c r="AQ151" s="137">
        <f t="shared" si="72"/>
        <v>4.3606658112811258</v>
      </c>
      <c r="AR151" s="137">
        <f t="shared" si="73"/>
        <v>3.7811163364191887E-2</v>
      </c>
      <c r="AS151" s="1">
        <f t="shared" si="74"/>
        <v>3.7999999999999999E-2</v>
      </c>
      <c r="AT151" s="133">
        <f t="shared" si="88"/>
        <v>4.9759999999999999E-2</v>
      </c>
      <c r="AU151" s="132">
        <f t="shared" si="89"/>
        <v>9.6618017855668104</v>
      </c>
      <c r="AV151" s="1">
        <f t="shared" si="90"/>
        <v>90</v>
      </c>
      <c r="AW151" s="133">
        <f t="shared" si="91"/>
        <v>90.305411288514307</v>
      </c>
    </row>
    <row r="152" spans="17:49" x14ac:dyDescent="0.25">
      <c r="Q152">
        <v>145</v>
      </c>
      <c r="R152" s="132">
        <f t="shared" si="64"/>
        <v>18</v>
      </c>
      <c r="S152" s="1">
        <f t="shared" si="65"/>
        <v>5</v>
      </c>
      <c r="T152" s="1">
        <f t="shared" si="66"/>
        <v>12.45</v>
      </c>
      <c r="U152" s="133">
        <f t="shared" si="75"/>
        <v>7.2289156626506026</v>
      </c>
      <c r="V152" s="132">
        <f>IF(Calculations!$B$17=3,2,IF((S152*R152/T152)&lt;((T152*(1-(T152/R152)))/(2*Lm*fsw)),1,2))</f>
        <v>2</v>
      </c>
      <c r="W152" s="1">
        <f t="shared" si="76"/>
        <v>0.30833333333333335</v>
      </c>
      <c r="X152" s="133">
        <f t="shared" si="67"/>
        <v>0.69166666666666665</v>
      </c>
      <c r="Y152" s="132">
        <f t="shared" si="68"/>
        <v>1.5355000000000001</v>
      </c>
      <c r="Z152" s="1">
        <f t="shared" si="77"/>
        <v>7.996665662650603</v>
      </c>
      <c r="AA152" s="1">
        <f t="shared" si="78"/>
        <v>7.2424927807039294</v>
      </c>
      <c r="AB152" s="1">
        <v>0</v>
      </c>
      <c r="AC152" s="1">
        <f t="shared" si="79"/>
        <v>4.3536572393195287</v>
      </c>
      <c r="AD152" s="133">
        <f t="shared" si="80"/>
        <v>4.3536572393195287</v>
      </c>
      <c r="AE152" s="132">
        <f t="shared" si="92"/>
        <v>2.2289156626506026</v>
      </c>
      <c r="AF152" s="1">
        <f t="shared" si="81"/>
        <v>4.0215947936383563</v>
      </c>
      <c r="AG152" s="1">
        <f t="shared" si="69"/>
        <v>1.6173224684219133E-2</v>
      </c>
      <c r="AH152" s="1">
        <f t="shared" si="82"/>
        <v>0.26884030265082598</v>
      </c>
      <c r="AI152" s="133">
        <f t="shared" si="83"/>
        <v>0.28501352733504509</v>
      </c>
      <c r="AJ152" s="132">
        <f t="shared" si="84"/>
        <v>5</v>
      </c>
      <c r="AK152" s="1">
        <f t="shared" si="85"/>
        <v>6.0233277342619669</v>
      </c>
      <c r="AL152" s="1">
        <f t="shared" si="70"/>
        <v>3.6280476994329396E-2</v>
      </c>
      <c r="AM152" s="1">
        <f t="shared" si="86"/>
        <v>0.15510000000000004</v>
      </c>
      <c r="AN152" s="136">
        <f t="shared" si="93"/>
        <v>0.12794665060240965</v>
      </c>
      <c r="AO152" s="133">
        <f t="shared" si="87"/>
        <v>0.31932712759673909</v>
      </c>
      <c r="AP152" s="132">
        <f t="shared" si="71"/>
        <v>0.20981480671419414</v>
      </c>
      <c r="AQ152" s="137">
        <f t="shared" si="72"/>
        <v>4.3536572393195287</v>
      </c>
      <c r="AR152" s="137">
        <f t="shared" si="73"/>
        <v>3.7724438339528994E-2</v>
      </c>
      <c r="AS152" s="1">
        <f t="shared" si="74"/>
        <v>3.7999999999999999E-2</v>
      </c>
      <c r="AT152" s="133">
        <f t="shared" si="88"/>
        <v>4.9799999999999997E-2</v>
      </c>
      <c r="AU152" s="132">
        <f t="shared" si="89"/>
        <v>9.6469943786245658</v>
      </c>
      <c r="AV152" s="1">
        <f t="shared" si="90"/>
        <v>90</v>
      </c>
      <c r="AW152" s="133">
        <f t="shared" si="91"/>
        <v>90.31883054899852</v>
      </c>
    </row>
    <row r="153" spans="17:49" x14ac:dyDescent="0.25">
      <c r="Q153">
        <v>146</v>
      </c>
      <c r="R153" s="132">
        <f t="shared" si="64"/>
        <v>18</v>
      </c>
      <c r="S153" s="1">
        <f t="shared" si="65"/>
        <v>5</v>
      </c>
      <c r="T153" s="1">
        <f t="shared" si="66"/>
        <v>12.46</v>
      </c>
      <c r="U153" s="133">
        <f t="shared" si="75"/>
        <v>7.2231139646869975</v>
      </c>
      <c r="V153" s="132">
        <f>IF(Calculations!$B$17=3,2,IF((S153*R153/T153)&lt;((T153*(1-(T153/R153)))/(2*Lm*fsw)),1,2))</f>
        <v>2</v>
      </c>
      <c r="W153" s="1">
        <f t="shared" si="76"/>
        <v>0.30777777777777771</v>
      </c>
      <c r="X153" s="133">
        <f t="shared" si="67"/>
        <v>0.69222222222222229</v>
      </c>
      <c r="Y153" s="132">
        <f t="shared" si="68"/>
        <v>1.5339644444444442</v>
      </c>
      <c r="Z153" s="1">
        <f t="shared" si="77"/>
        <v>7.99009618690922</v>
      </c>
      <c r="AA153" s="1">
        <f t="shared" si="78"/>
        <v>7.2366748296385843</v>
      </c>
      <c r="AB153" s="1">
        <v>0</v>
      </c>
      <c r="AC153" s="1">
        <f t="shared" si="79"/>
        <v>4.3466653949637442</v>
      </c>
      <c r="AD153" s="133">
        <f t="shared" si="80"/>
        <v>4.3466653949637442</v>
      </c>
      <c r="AE153" s="132">
        <f t="shared" si="92"/>
        <v>2.2231139646869975</v>
      </c>
      <c r="AF153" s="1">
        <f t="shared" si="81"/>
        <v>4.0147424349942389</v>
      </c>
      <c r="AG153" s="1">
        <f t="shared" si="69"/>
        <v>1.6118156819343473E-2</v>
      </c>
      <c r="AH153" s="1">
        <f t="shared" si="82"/>
        <v>0.26862453996812063</v>
      </c>
      <c r="AI153" s="133">
        <f t="shared" si="83"/>
        <v>0.28474269678746411</v>
      </c>
      <c r="AJ153" s="132">
        <f t="shared" si="84"/>
        <v>5</v>
      </c>
      <c r="AK153" s="1">
        <f t="shared" si="85"/>
        <v>6.0209057267641359</v>
      </c>
      <c r="AL153" s="1">
        <f t="shared" si="70"/>
        <v>3.6251305770581173E-2</v>
      </c>
      <c r="AM153" s="1">
        <f t="shared" si="86"/>
        <v>0.15510000000000004</v>
      </c>
      <c r="AN153" s="136">
        <f t="shared" si="93"/>
        <v>0.12784153899054751</v>
      </c>
      <c r="AO153" s="133">
        <f t="shared" si="87"/>
        <v>0.31919284476112875</v>
      </c>
      <c r="AP153" s="132">
        <f t="shared" si="71"/>
        <v>0.20947785035969851</v>
      </c>
      <c r="AQ153" s="137">
        <f t="shared" si="72"/>
        <v>4.3466653949637442</v>
      </c>
      <c r="AR153" s="137">
        <f t="shared" si="73"/>
        <v>3.7637574757177522E-2</v>
      </c>
      <c r="AS153" s="1">
        <f t="shared" si="74"/>
        <v>3.7999999999999999E-2</v>
      </c>
      <c r="AT153" s="133">
        <f t="shared" si="88"/>
        <v>4.9840000000000002E-2</v>
      </c>
      <c r="AU153" s="132">
        <f t="shared" si="89"/>
        <v>9.6322217565929567</v>
      </c>
      <c r="AV153" s="1">
        <f t="shared" si="90"/>
        <v>90</v>
      </c>
      <c r="AW153" s="133">
        <f t="shared" si="91"/>
        <v>90.332222260259329</v>
      </c>
    </row>
    <row r="154" spans="17:49" x14ac:dyDescent="0.25">
      <c r="Q154">
        <v>147</v>
      </c>
      <c r="R154" s="132">
        <f t="shared" si="64"/>
        <v>18</v>
      </c>
      <c r="S154" s="1">
        <f t="shared" si="65"/>
        <v>5</v>
      </c>
      <c r="T154" s="1">
        <f t="shared" si="66"/>
        <v>12.47</v>
      </c>
      <c r="U154" s="133">
        <f t="shared" si="75"/>
        <v>7.2173215717722528</v>
      </c>
      <c r="V154" s="132">
        <f>IF(Calculations!$B$17=3,2,IF((S154*R154/T154)&lt;((T154*(1-(T154/R154)))/(2*Lm*fsw)),1,2))</f>
        <v>2</v>
      </c>
      <c r="W154" s="1">
        <f t="shared" si="76"/>
        <v>0.30722222222222217</v>
      </c>
      <c r="X154" s="133">
        <f t="shared" si="67"/>
        <v>0.69277777777777783</v>
      </c>
      <c r="Y154" s="132">
        <f t="shared" si="68"/>
        <v>1.5324244444444441</v>
      </c>
      <c r="Z154" s="1">
        <f t="shared" si="77"/>
        <v>7.983533793994475</v>
      </c>
      <c r="AA154" s="1">
        <f t="shared" si="78"/>
        <v>7.2308660887565885</v>
      </c>
      <c r="AB154" s="1">
        <v>0</v>
      </c>
      <c r="AC154" s="1">
        <f t="shared" si="79"/>
        <v>4.3396902246629905</v>
      </c>
      <c r="AD154" s="133">
        <f t="shared" si="80"/>
        <v>4.3396902246629905</v>
      </c>
      <c r="AE154" s="132">
        <f t="shared" si="92"/>
        <v>2.2173215717722528</v>
      </c>
      <c r="AF154" s="1">
        <f t="shared" si="81"/>
        <v>4.007897737219885</v>
      </c>
      <c r="AG154" s="1">
        <f t="shared" si="69"/>
        <v>1.6063244272012275E-2</v>
      </c>
      <c r="AH154" s="1">
        <f t="shared" si="82"/>
        <v>0.26840912333622963</v>
      </c>
      <c r="AI154" s="133">
        <f t="shared" si="83"/>
        <v>0.28447236760824191</v>
      </c>
      <c r="AJ154" s="132">
        <f t="shared" si="84"/>
        <v>5</v>
      </c>
      <c r="AK154" s="1">
        <f t="shared" si="85"/>
        <v>6.0184865308080351</v>
      </c>
      <c r="AL154" s="1">
        <f t="shared" si="70"/>
        <v>3.622218012151774E-2</v>
      </c>
      <c r="AM154" s="1">
        <f t="shared" si="86"/>
        <v>0.15510000000000004</v>
      </c>
      <c r="AN154" s="136">
        <f t="shared" si="93"/>
        <v>0.12773654070391161</v>
      </c>
      <c r="AO154" s="133">
        <f t="shared" si="87"/>
        <v>0.31905872082542941</v>
      </c>
      <c r="AP154" s="132">
        <f t="shared" si="71"/>
        <v>0.20914169757412004</v>
      </c>
      <c r="AQ154" s="137">
        <f t="shared" si="72"/>
        <v>4.3396902246629905</v>
      </c>
      <c r="AR154" s="137">
        <f t="shared" si="73"/>
        <v>3.755057356672567E-2</v>
      </c>
      <c r="AS154" s="1">
        <f t="shared" si="74"/>
        <v>3.7999999999999999E-2</v>
      </c>
      <c r="AT154" s="133">
        <f t="shared" si="88"/>
        <v>4.9880000000000001E-2</v>
      </c>
      <c r="AU154" s="132">
        <f t="shared" si="89"/>
        <v>9.6174838089004986</v>
      </c>
      <c r="AV154" s="1">
        <f t="shared" si="90"/>
        <v>90</v>
      </c>
      <c r="AW154" s="133">
        <f t="shared" si="91"/>
        <v>90.345586496292114</v>
      </c>
    </row>
    <row r="155" spans="17:49" x14ac:dyDescent="0.25">
      <c r="Q155">
        <v>148</v>
      </c>
      <c r="R155" s="132">
        <f t="shared" si="64"/>
        <v>18</v>
      </c>
      <c r="S155" s="1">
        <f t="shared" si="65"/>
        <v>5</v>
      </c>
      <c r="T155" s="1">
        <f t="shared" si="66"/>
        <v>12.48</v>
      </c>
      <c r="U155" s="133">
        <f t="shared" si="75"/>
        <v>7.2115384615384617</v>
      </c>
      <c r="V155" s="132">
        <f>IF(Calculations!$B$17=3,2,IF((S155*R155/T155)&lt;((T155*(1-(T155/R155)))/(2*Lm*fsw)),1,2))</f>
        <v>2</v>
      </c>
      <c r="W155" s="1">
        <f t="shared" si="76"/>
        <v>0.30666666666666664</v>
      </c>
      <c r="X155" s="133">
        <f t="shared" si="67"/>
        <v>0.69333333333333336</v>
      </c>
      <c r="Y155" s="132">
        <f t="shared" si="68"/>
        <v>1.53088</v>
      </c>
      <c r="Z155" s="1">
        <f t="shared" si="77"/>
        <v>7.9769784615384616</v>
      </c>
      <c r="AA155" s="1">
        <f t="shared" si="78"/>
        <v>7.2250665358031032</v>
      </c>
      <c r="AB155" s="1">
        <v>0</v>
      </c>
      <c r="AC155" s="1">
        <f t="shared" si="79"/>
        <v>4.3327316750828944</v>
      </c>
      <c r="AD155" s="133">
        <f t="shared" si="80"/>
        <v>4.3327316750828944</v>
      </c>
      <c r="AE155" s="132">
        <f t="shared" si="92"/>
        <v>2.2115384615384612</v>
      </c>
      <c r="AF155" s="1">
        <f t="shared" si="81"/>
        <v>4.0010606731648597</v>
      </c>
      <c r="AG155" s="1">
        <f t="shared" si="69"/>
        <v>1.6008486510346441E-2</v>
      </c>
      <c r="AH155" s="1">
        <f t="shared" si="82"/>
        <v>0.26819405192329998</v>
      </c>
      <c r="AI155" s="133">
        <f t="shared" si="83"/>
        <v>0.2842025384336464</v>
      </c>
      <c r="AJ155" s="132">
        <f t="shared" si="84"/>
        <v>5</v>
      </c>
      <c r="AK155" s="1">
        <f t="shared" si="85"/>
        <v>6.016070140584751</v>
      </c>
      <c r="AL155" s="1">
        <f t="shared" si="70"/>
        <v>3.6193099936435422E-2</v>
      </c>
      <c r="AM155" s="1">
        <f t="shared" si="86"/>
        <v>0.15510000000000004</v>
      </c>
      <c r="AN155" s="136">
        <f t="shared" si="93"/>
        <v>0.12763165538461538</v>
      </c>
      <c r="AO155" s="133">
        <f t="shared" si="87"/>
        <v>0.3189247553210508</v>
      </c>
      <c r="AP155" s="132">
        <f t="shared" si="71"/>
        <v>0.20880634578712742</v>
      </c>
      <c r="AQ155" s="137">
        <f t="shared" si="72"/>
        <v>4.3327316750828944</v>
      </c>
      <c r="AR155" s="137">
        <f t="shared" si="73"/>
        <v>3.7463435719984527E-2</v>
      </c>
      <c r="AS155" s="1">
        <f t="shared" si="74"/>
        <v>3.7999999999999999E-2</v>
      </c>
      <c r="AT155" s="133">
        <f t="shared" si="88"/>
        <v>4.9920000000000006E-2</v>
      </c>
      <c r="AU155" s="132">
        <f t="shared" si="89"/>
        <v>9.6027804254275999</v>
      </c>
      <c r="AV155" s="1">
        <f t="shared" si="90"/>
        <v>90</v>
      </c>
      <c r="AW155" s="133">
        <f t="shared" si="91"/>
        <v>90.358923330842984</v>
      </c>
    </row>
    <row r="156" spans="17:49" x14ac:dyDescent="0.25">
      <c r="Q156">
        <v>149</v>
      </c>
      <c r="R156" s="132">
        <f t="shared" si="64"/>
        <v>18</v>
      </c>
      <c r="S156" s="1">
        <f t="shared" si="65"/>
        <v>5</v>
      </c>
      <c r="T156" s="1">
        <f t="shared" si="66"/>
        <v>12.49</v>
      </c>
      <c r="U156" s="133">
        <f t="shared" si="75"/>
        <v>7.205764611689351</v>
      </c>
      <c r="V156" s="132">
        <f>IF(Calculations!$B$17=3,2,IF((S156*R156/T156)&lt;((T156*(1-(T156/R156)))/(2*Lm*fsw)),1,2))</f>
        <v>2</v>
      </c>
      <c r="W156" s="1">
        <f t="shared" si="76"/>
        <v>0.30611111111111111</v>
      </c>
      <c r="X156" s="133">
        <f t="shared" si="67"/>
        <v>0.69388888888888889</v>
      </c>
      <c r="Y156" s="132">
        <f t="shared" si="68"/>
        <v>1.529331111111111</v>
      </c>
      <c r="Z156" s="1">
        <f t="shared" si="77"/>
        <v>7.9704301672449063</v>
      </c>
      <c r="AA156" s="1">
        <f t="shared" si="78"/>
        <v>7.219276148596359</v>
      </c>
      <c r="AB156" s="1">
        <v>0</v>
      </c>
      <c r="AC156" s="1">
        <f t="shared" si="79"/>
        <v>4.3257896931044595</v>
      </c>
      <c r="AD156" s="133">
        <f t="shared" si="80"/>
        <v>4.3257896931044595</v>
      </c>
      <c r="AE156" s="132">
        <f t="shared" si="92"/>
        <v>2.2057646116893515</v>
      </c>
      <c r="AF156" s="1">
        <f t="shared" si="81"/>
        <v>3.9942312157271438</v>
      </c>
      <c r="AG156" s="1">
        <f t="shared" si="69"/>
        <v>1.5953883004689137E-2</v>
      </c>
      <c r="AH156" s="1">
        <f t="shared" si="82"/>
        <v>0.26797932490014281</v>
      </c>
      <c r="AI156" s="133">
        <f t="shared" si="83"/>
        <v>0.28393320790483195</v>
      </c>
      <c r="AJ156" s="132">
        <f t="shared" si="84"/>
        <v>5</v>
      </c>
      <c r="AK156" s="1">
        <f t="shared" si="85"/>
        <v>6.0136565503030797</v>
      </c>
      <c r="AL156" s="1">
        <f t="shared" si="70"/>
        <v>3.616406510500314E-2</v>
      </c>
      <c r="AM156" s="1">
        <f t="shared" si="86"/>
        <v>0.15510000000000004</v>
      </c>
      <c r="AN156" s="136">
        <f t="shared" si="93"/>
        <v>0.1275268826759185</v>
      </c>
      <c r="AO156" s="133">
        <f t="shared" si="87"/>
        <v>0.31879094778092165</v>
      </c>
      <c r="AP156" s="132">
        <f t="shared" si="71"/>
        <v>0.20847179243876912</v>
      </c>
      <c r="AQ156" s="137">
        <f t="shared" si="72"/>
        <v>4.3257896931044595</v>
      </c>
      <c r="AR156" s="137">
        <f t="shared" si="73"/>
        <v>3.7376162170983357E-2</v>
      </c>
      <c r="AS156" s="1">
        <f t="shared" si="74"/>
        <v>3.7999999999999999E-2</v>
      </c>
      <c r="AT156" s="133">
        <f t="shared" si="88"/>
        <v>4.9960000000000004E-2</v>
      </c>
      <c r="AU156" s="132">
        <f t="shared" si="89"/>
        <v>9.5881114965044247</v>
      </c>
      <c r="AV156" s="1">
        <f t="shared" si="90"/>
        <v>90</v>
      </c>
      <c r="AW156" s="133">
        <f t="shared" si="91"/>
        <v>90.372232837409541</v>
      </c>
    </row>
    <row r="157" spans="17:49" ht="15.75" thickBot="1" x14ac:dyDescent="0.3">
      <c r="Q157">
        <v>150</v>
      </c>
      <c r="R157" s="138">
        <f t="shared" si="64"/>
        <v>18</v>
      </c>
      <c r="S157" s="1">
        <f t="shared" si="65"/>
        <v>5</v>
      </c>
      <c r="T157" s="1">
        <f t="shared" si="66"/>
        <v>12.5</v>
      </c>
      <c r="U157" s="140">
        <f t="shared" si="75"/>
        <v>7.2</v>
      </c>
      <c r="V157" s="132">
        <f>IF(Calculations!$B$17=3,2,IF((S157*R157/T157)&lt;((T157*(1-(T157/R157)))/(2*Lm*fsw)),1,2))</f>
        <v>2</v>
      </c>
      <c r="W157" s="139">
        <f t="shared" si="76"/>
        <v>0.30555555555555558</v>
      </c>
      <c r="X157" s="133">
        <f t="shared" si="67"/>
        <v>0.69444444444444442</v>
      </c>
      <c r="Y157" s="138">
        <f t="shared" si="68"/>
        <v>1.5277777777777779</v>
      </c>
      <c r="Z157" s="139">
        <f t="shared" si="77"/>
        <v>7.9638888888888895</v>
      </c>
      <c r="AA157" s="139">
        <f t="shared" si="78"/>
        <v>7.21349490502738</v>
      </c>
      <c r="AB157" s="139">
        <v>0</v>
      </c>
      <c r="AC157" s="139">
        <f t="shared" si="79"/>
        <v>4.3188642258230461</v>
      </c>
      <c r="AD157" s="140">
        <f t="shared" si="80"/>
        <v>4.3188642258230461</v>
      </c>
      <c r="AE157" s="138">
        <f t="shared" si="92"/>
        <v>2.2000000000000002</v>
      </c>
      <c r="AF157" s="1">
        <f t="shared" si="81"/>
        <v>3.9874093378526969</v>
      </c>
      <c r="AG157" s="139">
        <f t="shared" si="69"/>
        <v>1.5899433227594885E-2</v>
      </c>
      <c r="AH157" s="139">
        <f t="shared" si="82"/>
        <v>0.26776494144022267</v>
      </c>
      <c r="AI157" s="140">
        <f t="shared" si="83"/>
        <v>0.28366437466781758</v>
      </c>
      <c r="AJ157" s="138">
        <f>X157*U157</f>
        <v>5</v>
      </c>
      <c r="AK157" s="139">
        <f t="shared" si="85"/>
        <v>6.0112457541894839</v>
      </c>
      <c r="AL157" s="1">
        <f t="shared" si="70"/>
        <v>3.6135075517261098E-2</v>
      </c>
      <c r="AM157" s="1">
        <f t="shared" si="86"/>
        <v>0.15510000000000004</v>
      </c>
      <c r="AN157" s="136">
        <f t="shared" si="93"/>
        <v>0.12742222222222224</v>
      </c>
      <c r="AO157" s="133">
        <f t="shared" si="87"/>
        <v>0.31865729773948337</v>
      </c>
      <c r="AP157" s="132">
        <f t="shared" si="71"/>
        <v>0.20813803497942387</v>
      </c>
      <c r="AQ157" s="137">
        <f t="shared" si="72"/>
        <v>4.3188642258230461</v>
      </c>
      <c r="AR157" s="137">
        <f t="shared" si="73"/>
        <v>3.7288753875964011E-2</v>
      </c>
      <c r="AS157" s="1">
        <f t="shared" si="74"/>
        <v>3.7999999999999999E-2</v>
      </c>
      <c r="AT157" s="140">
        <f t="shared" si="88"/>
        <v>0.05</v>
      </c>
      <c r="AU157" s="132">
        <f t="shared" si="89"/>
        <v>9.5734769129087827</v>
      </c>
      <c r="AV157" s="139">
        <f t="shared" si="90"/>
        <v>90</v>
      </c>
      <c r="AW157" s="140">
        <f>(AV157/(AV157+AU157))*100</f>
        <v>90.385515089241935</v>
      </c>
    </row>
  </sheetData>
  <mergeCells count="7">
    <mergeCell ref="AP5:AT5"/>
    <mergeCell ref="A1:M1"/>
    <mergeCell ref="R5:U5"/>
    <mergeCell ref="V5:X5"/>
    <mergeCell ref="Y5:AD5"/>
    <mergeCell ref="AE5:AI5"/>
    <mergeCell ref="AJ5:AO5"/>
  </mergeCells>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CF750-34DE-4F19-A8B5-17AFAB543C4D}">
  <dimension ref="A1:A5"/>
  <sheetViews>
    <sheetView workbookViewId="0">
      <selection activeCell="B1" sqref="B1"/>
    </sheetView>
  </sheetViews>
  <sheetFormatPr baseColWidth="10" defaultColWidth="9.140625" defaultRowHeight="15" x14ac:dyDescent="0.25"/>
  <cols>
    <col min="2" max="2" width="154.28515625" customWidth="1"/>
  </cols>
  <sheetData>
    <row r="1" spans="1:1" x14ac:dyDescent="0.25">
      <c r="A1" t="str">
        <f>IF(Calculations!B20=1, "EFF_IOUT", "EFF_VIN")</f>
        <v>EFF_IOUT</v>
      </c>
    </row>
    <row r="3" spans="1:1" ht="390" customHeight="1" x14ac:dyDescent="0.25"/>
    <row r="5" spans="1:1" ht="393.75" customHeight="1" x14ac:dyDescent="0.25"/>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234"/>
  <sheetViews>
    <sheetView zoomScale="85" zoomScaleNormal="85" workbookViewId="0">
      <pane ySplit="1" topLeftCell="A152" activePane="bottomLeft" state="frozen"/>
      <selection pane="bottomLeft" activeCell="B180" sqref="B180"/>
    </sheetView>
  </sheetViews>
  <sheetFormatPr baseColWidth="10" defaultColWidth="9.140625" defaultRowHeight="15" x14ac:dyDescent="0.25"/>
  <cols>
    <col min="1" max="1" width="53" customWidth="1"/>
    <col min="2" max="2" width="13.85546875" customWidth="1"/>
    <col min="3" max="3" width="8.42578125" customWidth="1"/>
    <col min="4" max="4" width="44.5703125" customWidth="1"/>
    <col min="5" max="5" width="20.42578125" customWidth="1"/>
    <col min="6" max="6" width="15.85546875" customWidth="1"/>
  </cols>
  <sheetData>
    <row r="1" spans="1:5" x14ac:dyDescent="0.25">
      <c r="A1" t="s">
        <v>220</v>
      </c>
      <c r="C1" t="s">
        <v>236</v>
      </c>
      <c r="D1" t="s">
        <v>221</v>
      </c>
      <c r="E1" t="s">
        <v>194</v>
      </c>
    </row>
    <row r="2" spans="1:5" ht="23.25" x14ac:dyDescent="0.35">
      <c r="A2" s="20" t="s">
        <v>227</v>
      </c>
    </row>
    <row r="3" spans="1:5" ht="18" x14ac:dyDescent="0.35">
      <c r="A3" t="s">
        <v>229</v>
      </c>
      <c r="B3" s="22">
        <f>LM5122_Quickstart!I7</f>
        <v>11</v>
      </c>
      <c r="C3" t="s">
        <v>34</v>
      </c>
      <c r="D3" s="19" t="s">
        <v>181</v>
      </c>
      <c r="E3">
        <f>IF(OR(VIN_MIN&gt;VIN_TYP,VIN_MIN&lt;EC_Table!E8,VIN_MIN&lt;EC_Table!E7),1,0)</f>
        <v>0</v>
      </c>
    </row>
    <row r="4" spans="1:5" ht="18" x14ac:dyDescent="0.35">
      <c r="A4" t="s">
        <v>243</v>
      </c>
      <c r="B4" s="22">
        <f>LM5122_Quickstart!I8</f>
        <v>12</v>
      </c>
      <c r="C4" t="s">
        <v>34</v>
      </c>
      <c r="D4" s="19" t="s">
        <v>180</v>
      </c>
      <c r="E4">
        <f>IF(VIN_TYP&gt;VIN_MAX,1,0)</f>
        <v>0</v>
      </c>
    </row>
    <row r="5" spans="1:5" ht="18" x14ac:dyDescent="0.35">
      <c r="A5" t="s">
        <v>230</v>
      </c>
      <c r="B5" s="22">
        <f>LM5122_Quickstart!I9</f>
        <v>12.5</v>
      </c>
      <c r="C5" t="s">
        <v>34</v>
      </c>
      <c r="D5" s="19" t="s">
        <v>179</v>
      </c>
      <c r="E5">
        <f>IF(VIN_MAX&gt;VOUT,1,0)</f>
        <v>0</v>
      </c>
    </row>
    <row r="6" spans="1:5" x14ac:dyDescent="0.25">
      <c r="A6" t="s">
        <v>226</v>
      </c>
      <c r="B6" s="22">
        <f>LM5122_Quickstart!I17*1000</f>
        <v>250000</v>
      </c>
      <c r="C6" t="s">
        <v>70</v>
      </c>
      <c r="D6" s="19" t="s">
        <v>219</v>
      </c>
      <c r="E6">
        <f>IF(OR(fsw&lt;EC_Table!C43,fsw&gt;EC_Table!E43),1,0)</f>
        <v>0</v>
      </c>
    </row>
    <row r="7" spans="1:5" x14ac:dyDescent="0.25">
      <c r="A7" t="s">
        <v>228</v>
      </c>
      <c r="B7">
        <v>0.94</v>
      </c>
      <c r="D7" s="102" t="s">
        <v>261</v>
      </c>
      <c r="E7" s="59"/>
    </row>
    <row r="8" spans="1:5" x14ac:dyDescent="0.25">
      <c r="A8" t="s">
        <v>670</v>
      </c>
      <c r="B8" s="36">
        <v>1</v>
      </c>
      <c r="D8" s="102" t="s">
        <v>671</v>
      </c>
      <c r="E8" s="59"/>
    </row>
    <row r="9" spans="1:5" ht="18" x14ac:dyDescent="0.35">
      <c r="A9" t="s">
        <v>222</v>
      </c>
      <c r="B9" s="22">
        <f>LM5122_Quickstart!I10</f>
        <v>18</v>
      </c>
      <c r="C9" t="s">
        <v>34</v>
      </c>
      <c r="D9" s="19" t="s">
        <v>182</v>
      </c>
      <c r="E9">
        <f>IF(VOUT&gt;EC_Table!E119-5,1,0)</f>
        <v>0</v>
      </c>
    </row>
    <row r="10" spans="1:5" ht="18" x14ac:dyDescent="0.35">
      <c r="A10" t="s">
        <v>223</v>
      </c>
      <c r="B10" s="22">
        <f>LM5122_Quickstart!I11</f>
        <v>5</v>
      </c>
      <c r="C10" t="s">
        <v>33</v>
      </c>
      <c r="D10" s="19" t="s">
        <v>186</v>
      </c>
    </row>
    <row r="11" spans="1:5" ht="18" x14ac:dyDescent="0.35">
      <c r="A11" t="s">
        <v>224</v>
      </c>
      <c r="B11" s="22">
        <f>LM5122_Quickstart!I12</f>
        <v>1</v>
      </c>
      <c r="D11" s="19" t="s">
        <v>183</v>
      </c>
    </row>
    <row r="12" spans="1:5" ht="18" x14ac:dyDescent="0.35">
      <c r="A12" t="s">
        <v>225</v>
      </c>
      <c r="B12" s="23">
        <f>B10/B11</f>
        <v>5</v>
      </c>
      <c r="C12" t="s">
        <v>33</v>
      </c>
      <c r="D12" s="19" t="s">
        <v>187</v>
      </c>
    </row>
    <row r="14" spans="1:5" x14ac:dyDescent="0.25">
      <c r="A14" t="s">
        <v>231</v>
      </c>
      <c r="B14" s="21">
        <f>EC_Table!D10</f>
        <v>7.6</v>
      </c>
      <c r="C14" t="s">
        <v>34</v>
      </c>
      <c r="D14" s="19" t="s">
        <v>217</v>
      </c>
      <c r="E14">
        <f>IF(OR(VCC&lt;EC_Table!E17,VCC&gt;EC_Table!E123),1,0)</f>
        <v>0</v>
      </c>
    </row>
    <row r="15" spans="1:5" x14ac:dyDescent="0.25">
      <c r="A15" t="s">
        <v>233</v>
      </c>
      <c r="D15" s="19" t="s">
        <v>218</v>
      </c>
    </row>
    <row r="16" spans="1:5" x14ac:dyDescent="0.25">
      <c r="D16" s="19"/>
    </row>
    <row r="17" spans="1:12" x14ac:dyDescent="0.25">
      <c r="A17" t="s">
        <v>564</v>
      </c>
      <c r="B17">
        <f>IF(LM5122_Quickstart!I13="FPWM",3,IF(LM5122_Quickstart!I13="DEM",2,1))</f>
        <v>3</v>
      </c>
      <c r="D17" t="s">
        <v>562</v>
      </c>
      <c r="K17" t="s">
        <v>565</v>
      </c>
    </row>
    <row r="18" spans="1:12" x14ac:dyDescent="0.25">
      <c r="D18" s="19"/>
      <c r="K18" t="s">
        <v>566</v>
      </c>
    </row>
    <row r="19" spans="1:12" x14ac:dyDescent="0.25">
      <c r="D19" s="19"/>
      <c r="K19" t="s">
        <v>567</v>
      </c>
    </row>
    <row r="20" spans="1:12" x14ac:dyDescent="0.25">
      <c r="A20" t="s">
        <v>715</v>
      </c>
      <c r="B20">
        <v>1</v>
      </c>
      <c r="D20" t="s">
        <v>716</v>
      </c>
      <c r="K20" s="218" t="s">
        <v>719</v>
      </c>
      <c r="L20" s="19">
        <v>1</v>
      </c>
    </row>
    <row r="21" spans="1:12" x14ac:dyDescent="0.25">
      <c r="B21" t="str">
        <f>IF(B20=1,CONCATENATE("V   = ",VIN_TYP,"V"),"")</f>
        <v>V   = 12V</v>
      </c>
      <c r="C21" t="str">
        <f>IF(B20=1,"IN","")</f>
        <v>IN</v>
      </c>
      <c r="D21" s="19"/>
      <c r="K21" s="218" t="s">
        <v>718</v>
      </c>
      <c r="L21" s="19">
        <v>2</v>
      </c>
    </row>
    <row r="22" spans="1:12" ht="23.25" x14ac:dyDescent="0.35">
      <c r="A22" s="20" t="s">
        <v>232</v>
      </c>
      <c r="D22" s="19"/>
    </row>
    <row r="23" spans="1:12" ht="33" customHeight="1" x14ac:dyDescent="0.25">
      <c r="A23" s="19" t="s">
        <v>238</v>
      </c>
      <c r="B23" s="26">
        <f>(VIN_MIN/(VOUT*EC_Table!E61))</f>
        <v>1527777.7777777778</v>
      </c>
      <c r="C23" t="s">
        <v>70</v>
      </c>
      <c r="D23" s="25" t="s">
        <v>239</v>
      </c>
      <c r="E23">
        <f>IF(B23&lt;fsw,1,0)</f>
        <v>0</v>
      </c>
    </row>
    <row r="24" spans="1:12" x14ac:dyDescent="0.25">
      <c r="A24" s="19" t="s">
        <v>235</v>
      </c>
      <c r="B24" s="23">
        <f>(9*(10^9))/fsw</f>
        <v>36000</v>
      </c>
      <c r="C24" t="s">
        <v>96</v>
      </c>
      <c r="D24" t="s">
        <v>234</v>
      </c>
    </row>
    <row r="25" spans="1:12" x14ac:dyDescent="0.25">
      <c r="A25" s="19"/>
    </row>
    <row r="26" spans="1:12" x14ac:dyDescent="0.25">
      <c r="A26" s="19" t="s">
        <v>191</v>
      </c>
      <c r="B26" s="23">
        <f>fsw*1.4</f>
        <v>350000</v>
      </c>
      <c r="C26" t="s">
        <v>70</v>
      </c>
      <c r="D26" t="s">
        <v>237</v>
      </c>
    </row>
    <row r="27" spans="1:12" x14ac:dyDescent="0.25">
      <c r="A27" s="19" t="s">
        <v>192</v>
      </c>
      <c r="B27" s="23">
        <f>0.8*fsw</f>
        <v>200000</v>
      </c>
      <c r="C27" t="s">
        <v>70</v>
      </c>
      <c r="D27" t="s">
        <v>237</v>
      </c>
    </row>
    <row r="28" spans="1:12" x14ac:dyDescent="0.25">
      <c r="A28" s="19"/>
    </row>
    <row r="29" spans="1:12" x14ac:dyDescent="0.25">
      <c r="A29" s="19"/>
    </row>
    <row r="30" spans="1:12" ht="23.25" x14ac:dyDescent="0.35">
      <c r="A30" s="24" t="s">
        <v>193</v>
      </c>
    </row>
    <row r="31" spans="1:12" x14ac:dyDescent="0.25">
      <c r="A31" s="19" t="s">
        <v>197</v>
      </c>
      <c r="B31" s="23">
        <f>1-(VIN_MIN/VOUT)</f>
        <v>0.38888888888888884</v>
      </c>
      <c r="C31" t="s">
        <v>188</v>
      </c>
    </row>
    <row r="32" spans="1:12" x14ac:dyDescent="0.25">
      <c r="A32" s="19" t="s">
        <v>195</v>
      </c>
      <c r="B32" s="27">
        <f>B31/fsw</f>
        <v>1.5555555555555554E-6</v>
      </c>
      <c r="C32" t="s">
        <v>71</v>
      </c>
      <c r="D32" t="s">
        <v>253</v>
      </c>
    </row>
    <row r="33" spans="1:5" x14ac:dyDescent="0.25">
      <c r="A33" s="19" t="s">
        <v>196</v>
      </c>
      <c r="B33" s="27">
        <f>(1/fsw)-B32</f>
        <v>2.4444444444444447E-6</v>
      </c>
      <c r="C33" t="s">
        <v>71</v>
      </c>
      <c r="D33" t="s">
        <v>252</v>
      </c>
      <c r="E33">
        <f>IF(B33&lt;EC_Table!E61,1,0)</f>
        <v>0</v>
      </c>
    </row>
    <row r="34" spans="1:5" x14ac:dyDescent="0.25">
      <c r="A34" s="19" t="s">
        <v>198</v>
      </c>
      <c r="B34" s="23">
        <f>1-(VIN_MAX/VOUT)</f>
        <v>0.30555555555555558</v>
      </c>
      <c r="C34" t="s">
        <v>188</v>
      </c>
    </row>
    <row r="35" spans="1:5" x14ac:dyDescent="0.25">
      <c r="A35" s="19" t="s">
        <v>199</v>
      </c>
      <c r="B35" s="23">
        <f>B34/fsw</f>
        <v>1.2222222222222223E-6</v>
      </c>
      <c r="C35" t="s">
        <v>71</v>
      </c>
      <c r="D35" t="s">
        <v>250</v>
      </c>
    </row>
    <row r="36" spans="1:5" x14ac:dyDescent="0.25">
      <c r="A36" s="19" t="s">
        <v>200</v>
      </c>
      <c r="B36" s="23">
        <f>(1/fsw)-B35</f>
        <v>2.7777777777777775E-6</v>
      </c>
      <c r="C36" t="s">
        <v>71</v>
      </c>
      <c r="D36" t="s">
        <v>251</v>
      </c>
    </row>
    <row r="38" spans="1:5" ht="23.25" x14ac:dyDescent="0.35">
      <c r="A38" s="20" t="s">
        <v>288</v>
      </c>
    </row>
    <row r="39" spans="1:5" ht="23.25" x14ac:dyDescent="0.35">
      <c r="A39" s="20"/>
    </row>
    <row r="40" spans="1:5" x14ac:dyDescent="0.25">
      <c r="A40" s="19" t="s">
        <v>241</v>
      </c>
      <c r="B40" s="22">
        <f>LM5122_Quickstart!I25/100</f>
        <v>0.3</v>
      </c>
      <c r="C40" t="s">
        <v>188</v>
      </c>
      <c r="D40" t="s">
        <v>242</v>
      </c>
    </row>
    <row r="41" spans="1:5" x14ac:dyDescent="0.25">
      <c r="A41" s="19" t="s">
        <v>245</v>
      </c>
      <c r="B41" s="28">
        <f>(VIN_TYP*(1-(VIN_TYP/VOUT)))/(((VOUT*IOUT_np)/(eta*VIN_TYP))*RR*fsw)</f>
        <v>6.6844444444444439E-6</v>
      </c>
      <c r="C41" t="s">
        <v>246</v>
      </c>
      <c r="D41" t="s">
        <v>244</v>
      </c>
    </row>
    <row r="42" spans="1:5" x14ac:dyDescent="0.25">
      <c r="A42" s="19" t="s">
        <v>247</v>
      </c>
      <c r="B42" s="33">
        <f>LM5122_Quickstart!I27/(10^6)</f>
        <v>1.0000000000000001E-5</v>
      </c>
      <c r="C42" t="s">
        <v>246</v>
      </c>
      <c r="D42" t="s">
        <v>248</v>
      </c>
    </row>
    <row r="43" spans="1:5" x14ac:dyDescent="0.25">
      <c r="A43" s="19" t="s">
        <v>254</v>
      </c>
      <c r="B43" s="22">
        <f>LM5122_Quickstart!I28/1000</f>
        <v>8.3000000000000004E-2</v>
      </c>
      <c r="C43" t="s">
        <v>96</v>
      </c>
      <c r="D43" t="s">
        <v>255</v>
      </c>
    </row>
    <row r="44" spans="1:5" x14ac:dyDescent="0.25">
      <c r="A44" s="19"/>
    </row>
    <row r="45" spans="1:5" x14ac:dyDescent="0.25">
      <c r="A45" s="19" t="s">
        <v>271</v>
      </c>
      <c r="B45" s="38">
        <f>(VOUT*IOUT_np)/(VIN_MIN*eta)</f>
        <v>8.7040618955512574</v>
      </c>
      <c r="C45" t="s">
        <v>33</v>
      </c>
      <c r="D45" s="34" t="s">
        <v>281</v>
      </c>
    </row>
    <row r="46" spans="1:5" x14ac:dyDescent="0.25">
      <c r="A46" s="19" t="s">
        <v>272</v>
      </c>
      <c r="B46" s="38">
        <f>(VOUT*IOUT_np)/(VIN_TYP*eta)</f>
        <v>7.9787234042553195</v>
      </c>
      <c r="C46" t="s">
        <v>33</v>
      </c>
      <c r="D46" s="34" t="s">
        <v>281</v>
      </c>
    </row>
    <row r="47" spans="1:5" x14ac:dyDescent="0.25">
      <c r="A47" s="19" t="s">
        <v>273</v>
      </c>
      <c r="B47" s="38">
        <f>(VOUT*IOUT_np)/(VIN_MAX*eta)</f>
        <v>7.6595744680851068</v>
      </c>
      <c r="C47" t="s">
        <v>33</v>
      </c>
      <c r="D47" s="34" t="s">
        <v>281</v>
      </c>
      <c r="E47">
        <f>(VIN_MAX/Lm)*((1-(VIN_MAX/VOUT))/(2*fsw))</f>
        <v>0.76388888888888895</v>
      </c>
    </row>
    <row r="48" spans="1:5" x14ac:dyDescent="0.25">
      <c r="E48">
        <f>SQRT((2*Lm*fsw*(VOUT-VIN_MAX)*((VOUT/VIN_MAX)*IOUT_np))/(VIN_MAX*VOUT))</f>
        <v>0.93808315196468584</v>
      </c>
    </row>
    <row r="49" spans="1:5" x14ac:dyDescent="0.25">
      <c r="A49" s="19" t="s">
        <v>278</v>
      </c>
      <c r="B49" s="39">
        <f>IF((VIN_MIN/Lm)*((1-(VIN_MIN/VOUT))/(2*fsw))&lt;B45,(1-(VIN_MIN/VOUT)),SQRT((2*Lm*fsw*(VOUT-VIN_MIN)*((VOUT/VIN_MIN)*IOUT_np))/(VIN_MIN*VOUT)))</f>
        <v>0.38888888888888884</v>
      </c>
      <c r="C49" t="s">
        <v>188</v>
      </c>
      <c r="D49" s="34" t="s">
        <v>281</v>
      </c>
      <c r="E49">
        <f>(VIN_MAX/VOUT)</f>
        <v>0.69444444444444442</v>
      </c>
    </row>
    <row r="50" spans="1:5" x14ac:dyDescent="0.25">
      <c r="A50" s="19" t="s">
        <v>279</v>
      </c>
      <c r="B50" s="39">
        <f>IF((VIN_TYP/Lm)*((1-(VIN_TYP/VOUT))/(2*fsw))&lt;B46,(1-(VIN_TYP/VOUT)),SQRT((2*Lm*fsw*(VOUT-VIN_TYP)*((VOUT/VIN_TYP)*IOUT_np))/(VIN_TYP*VOUT)))</f>
        <v>0.33333333333333337</v>
      </c>
      <c r="C50" t="s">
        <v>188</v>
      </c>
      <c r="D50" s="34" t="s">
        <v>281</v>
      </c>
    </row>
    <row r="51" spans="1:5" x14ac:dyDescent="0.25">
      <c r="A51" s="19" t="s">
        <v>280</v>
      </c>
      <c r="B51" s="39">
        <f>IF((VIN_MAX/Lm)*((1-(VIN_MAX/VOUT))/(2*fsw))&lt;B47,(1-(VIN_MAX/VOUT)),SQRT((2*Lm*fsw*(VOUT-VIN_MAX)*((VOUT/VIN_MAX)*IOUT_np))/(VIN_MAX*VOUT)))</f>
        <v>0.30555555555555558</v>
      </c>
      <c r="C51" t="s">
        <v>188</v>
      </c>
      <c r="D51" s="34" t="s">
        <v>281</v>
      </c>
    </row>
    <row r="52" spans="1:5" x14ac:dyDescent="0.25">
      <c r="A52" s="19"/>
      <c r="B52" s="32"/>
      <c r="D52" s="34"/>
    </row>
    <row r="53" spans="1:5" x14ac:dyDescent="0.25">
      <c r="A53" s="19" t="s">
        <v>275</v>
      </c>
      <c r="B53" s="38">
        <f>B49*VIN_MIN/(Lm*fsw)</f>
        <v>1.7111111111111108</v>
      </c>
      <c r="C53" t="s">
        <v>33</v>
      </c>
      <c r="D53" s="34" t="s">
        <v>281</v>
      </c>
    </row>
    <row r="54" spans="1:5" x14ac:dyDescent="0.25">
      <c r="A54" s="19" t="s">
        <v>276</v>
      </c>
      <c r="B54" s="38">
        <f>B50*VIN_TYP/(Lm*fsw)</f>
        <v>1.6</v>
      </c>
      <c r="C54" t="s">
        <v>33</v>
      </c>
      <c r="D54" s="34" t="s">
        <v>281</v>
      </c>
    </row>
    <row r="55" spans="1:5" x14ac:dyDescent="0.25">
      <c r="A55" s="19" t="s">
        <v>277</v>
      </c>
      <c r="B55" s="38">
        <f>B51*VIN_MAX/(Lm*fsw)</f>
        <v>1.5277777777777779</v>
      </c>
      <c r="C55" t="s">
        <v>33</v>
      </c>
      <c r="D55" s="34" t="s">
        <v>281</v>
      </c>
    </row>
    <row r="56" spans="1:5" x14ac:dyDescent="0.25">
      <c r="A56" s="19"/>
      <c r="B56" s="37"/>
      <c r="D56" s="34"/>
    </row>
    <row r="57" spans="1:5" x14ac:dyDescent="0.25">
      <c r="A57" s="19" t="s">
        <v>256</v>
      </c>
      <c r="B57" s="38">
        <f>B45+(B53/2)</f>
        <v>9.5596174511068135</v>
      </c>
      <c r="C57" t="s">
        <v>33</v>
      </c>
      <c r="D57" s="34" t="s">
        <v>281</v>
      </c>
    </row>
    <row r="58" spans="1:5" x14ac:dyDescent="0.25">
      <c r="A58" s="19" t="s">
        <v>274</v>
      </c>
      <c r="B58" s="38">
        <f>B46+(B54/2)</f>
        <v>8.7787234042553202</v>
      </c>
      <c r="C58" t="s">
        <v>33</v>
      </c>
      <c r="D58" s="34" t="s">
        <v>281</v>
      </c>
    </row>
    <row r="59" spans="1:5" x14ac:dyDescent="0.25">
      <c r="A59" s="19" t="s">
        <v>257</v>
      </c>
      <c r="B59" s="38">
        <f>B47+(B55/2)</f>
        <v>8.4234633569739952</v>
      </c>
      <c r="C59" t="s">
        <v>33</v>
      </c>
      <c r="D59" s="34" t="s">
        <v>281</v>
      </c>
    </row>
    <row r="60" spans="1:5" x14ac:dyDescent="0.25">
      <c r="A60" s="19"/>
      <c r="B60" s="37"/>
      <c r="D60" s="34"/>
    </row>
    <row r="61" spans="1:5" x14ac:dyDescent="0.25">
      <c r="A61" s="19"/>
      <c r="B61" s="37"/>
      <c r="D61" s="34"/>
    </row>
    <row r="62" spans="1:5" x14ac:dyDescent="0.25">
      <c r="A62" s="19"/>
      <c r="B62" s="37"/>
      <c r="D62" s="34"/>
    </row>
    <row r="63" spans="1:5" x14ac:dyDescent="0.25">
      <c r="A63" s="19"/>
      <c r="B63" s="37"/>
      <c r="D63" s="34"/>
    </row>
    <row r="64" spans="1:5" x14ac:dyDescent="0.25">
      <c r="A64" s="19"/>
      <c r="B64" s="37"/>
      <c r="D64" s="34"/>
    </row>
    <row r="65" spans="1:4" x14ac:dyDescent="0.25">
      <c r="A65" s="19"/>
      <c r="B65" s="37"/>
      <c r="D65" s="34"/>
    </row>
    <row r="66" spans="1:4" x14ac:dyDescent="0.25">
      <c r="A66" s="19"/>
      <c r="B66" s="37"/>
      <c r="D66" s="34"/>
    </row>
    <row r="67" spans="1:4" x14ac:dyDescent="0.25">
      <c r="A67" s="19"/>
      <c r="B67" s="37"/>
      <c r="D67" s="34"/>
    </row>
    <row r="68" spans="1:4" x14ac:dyDescent="0.25">
      <c r="A68" s="19"/>
      <c r="B68" s="37"/>
      <c r="D68" s="34"/>
    </row>
    <row r="69" spans="1:4" x14ac:dyDescent="0.25">
      <c r="A69" s="19"/>
      <c r="B69" s="37"/>
      <c r="D69" s="34"/>
    </row>
    <row r="70" spans="1:4" x14ac:dyDescent="0.25">
      <c r="A70" s="19"/>
      <c r="B70" s="37"/>
      <c r="D70" s="34"/>
    </row>
    <row r="71" spans="1:4" x14ac:dyDescent="0.25">
      <c r="A71" s="19"/>
      <c r="B71" s="37"/>
      <c r="D71" s="34"/>
    </row>
    <row r="72" spans="1:4" x14ac:dyDescent="0.25">
      <c r="A72" s="19"/>
      <c r="B72" s="37"/>
      <c r="D72" s="34"/>
    </row>
    <row r="73" spans="1:4" x14ac:dyDescent="0.25">
      <c r="A73" s="19"/>
      <c r="B73" s="37"/>
      <c r="D73" s="34"/>
    </row>
    <row r="74" spans="1:4" x14ac:dyDescent="0.25">
      <c r="A74" s="19"/>
      <c r="B74" s="37"/>
      <c r="D74" s="34"/>
    </row>
    <row r="75" spans="1:4" x14ac:dyDescent="0.25">
      <c r="A75" s="19"/>
      <c r="B75" s="37"/>
      <c r="D75" s="34"/>
    </row>
    <row r="76" spans="1:4" x14ac:dyDescent="0.25">
      <c r="A76" s="19"/>
      <c r="B76" s="37"/>
      <c r="D76" s="34"/>
    </row>
    <row r="77" spans="1:4" x14ac:dyDescent="0.25">
      <c r="A77" s="19"/>
      <c r="B77" s="37"/>
      <c r="D77" s="34"/>
    </row>
    <row r="78" spans="1:4" x14ac:dyDescent="0.25">
      <c r="A78" s="19"/>
      <c r="B78" s="37"/>
      <c r="D78" s="34"/>
    </row>
    <row r="79" spans="1:4" x14ac:dyDescent="0.25">
      <c r="A79" s="19"/>
      <c r="B79" s="37"/>
      <c r="D79" s="34"/>
    </row>
    <row r="81" spans="1:5" ht="23.25" x14ac:dyDescent="0.35">
      <c r="A81" s="20" t="s">
        <v>294</v>
      </c>
    </row>
    <row r="82" spans="1:5" x14ac:dyDescent="0.25">
      <c r="A82" s="19" t="s">
        <v>297</v>
      </c>
      <c r="B82" s="22">
        <f>LM5122_Quickstart!I39/100</f>
        <v>0.25</v>
      </c>
      <c r="D82" t="s">
        <v>295</v>
      </c>
    </row>
    <row r="83" spans="1:5" x14ac:dyDescent="0.25">
      <c r="A83" s="19" t="s">
        <v>296</v>
      </c>
      <c r="B83" s="38">
        <f>MAX(B57:B59)*(1+M_LIMIT)</f>
        <v>11.949521813883518</v>
      </c>
      <c r="C83" t="s">
        <v>33</v>
      </c>
      <c r="D83" t="s">
        <v>298</v>
      </c>
    </row>
    <row r="84" spans="1:5" x14ac:dyDescent="0.25">
      <c r="A84" s="19" t="s">
        <v>336</v>
      </c>
      <c r="B84" s="40">
        <f>EC_Table!D72</f>
        <v>10</v>
      </c>
      <c r="D84" t="s">
        <v>337</v>
      </c>
    </row>
    <row r="85" spans="1:5" x14ac:dyDescent="0.25">
      <c r="A85" s="19" t="s">
        <v>338</v>
      </c>
      <c r="B85" s="40">
        <f>EC_Table!D68</f>
        <v>7.4999999999999997E-2</v>
      </c>
      <c r="D85" t="s">
        <v>339</v>
      </c>
    </row>
    <row r="86" spans="1:5" x14ac:dyDescent="0.25">
      <c r="A86" s="19" t="s">
        <v>299</v>
      </c>
      <c r="B86" s="38">
        <f>VCL/B83</f>
        <v>6.276401781438774E-3</v>
      </c>
      <c r="C86" t="s">
        <v>96</v>
      </c>
      <c r="D86" t="s">
        <v>300</v>
      </c>
    </row>
    <row r="87" spans="1:5" x14ac:dyDescent="0.25">
      <c r="A87" s="19" t="s">
        <v>301</v>
      </c>
      <c r="B87" s="22">
        <f>LM5122_Quickstart!I42/1000</f>
        <v>4.0000000000000001E-3</v>
      </c>
      <c r="C87" t="s">
        <v>96</v>
      </c>
      <c r="D87" t="s">
        <v>302</v>
      </c>
    </row>
    <row r="88" spans="1:5" x14ac:dyDescent="0.25">
      <c r="A88" s="19"/>
    </row>
    <row r="89" spans="1:5" x14ac:dyDescent="0.25">
      <c r="A89" s="19" t="s">
        <v>256</v>
      </c>
      <c r="B89" s="23">
        <f>VCL/Rcs</f>
        <v>18.75</v>
      </c>
      <c r="C89" t="s">
        <v>33</v>
      </c>
      <c r="D89" t="s">
        <v>308</v>
      </c>
      <c r="E89">
        <f>IF(B89&lt;B57,1,0)</f>
        <v>0</v>
      </c>
    </row>
    <row r="90" spans="1:5" x14ac:dyDescent="0.25">
      <c r="A90" s="19" t="s">
        <v>274</v>
      </c>
      <c r="B90" s="23">
        <f>VCL/Rcs</f>
        <v>18.75</v>
      </c>
      <c r="C90" t="s">
        <v>33</v>
      </c>
      <c r="D90" t="s">
        <v>309</v>
      </c>
      <c r="E90">
        <f>IF(B90&lt;B58,1,0)</f>
        <v>0</v>
      </c>
    </row>
    <row r="91" spans="1:5" x14ac:dyDescent="0.25">
      <c r="A91" s="19" t="s">
        <v>257</v>
      </c>
      <c r="B91" s="23">
        <f>VCL/Rcs</f>
        <v>18.75</v>
      </c>
      <c r="C91" t="s">
        <v>33</v>
      </c>
      <c r="D91" t="s">
        <v>310</v>
      </c>
      <c r="E91">
        <f>IF(B91&lt;B59,1,0)</f>
        <v>0</v>
      </c>
    </row>
    <row r="93" spans="1:5" x14ac:dyDescent="0.25">
      <c r="A93" s="19" t="s">
        <v>315</v>
      </c>
      <c r="B93" s="38">
        <f>(VIN_MIN*(B89-(B53/2))*np)/(VOUT)</f>
        <v>10.935493827160494</v>
      </c>
      <c r="C93" t="s">
        <v>33</v>
      </c>
      <c r="D93" t="s">
        <v>312</v>
      </c>
    </row>
    <row r="94" spans="1:5" x14ac:dyDescent="0.25">
      <c r="A94" s="19" t="s">
        <v>316</v>
      </c>
      <c r="B94" s="38">
        <f>(VIN_TYP*(B90-(B54/2))*np)/(VOUT)</f>
        <v>11.966666666666665</v>
      </c>
      <c r="C94" t="s">
        <v>33</v>
      </c>
      <c r="D94" t="s">
        <v>314</v>
      </c>
    </row>
    <row r="95" spans="1:5" x14ac:dyDescent="0.25">
      <c r="A95" s="19" t="s">
        <v>317</v>
      </c>
      <c r="B95" s="38">
        <f>(VIN_MAX*(B91-(B55/2))*np)/(VOUT)</f>
        <v>12.490354938271604</v>
      </c>
      <c r="C95" t="s">
        <v>33</v>
      </c>
      <c r="D95" t="s">
        <v>313</v>
      </c>
    </row>
    <row r="97" spans="1:5" ht="23.25" x14ac:dyDescent="0.35">
      <c r="A97" s="24" t="s">
        <v>321</v>
      </c>
    </row>
    <row r="98" spans="1:5" x14ac:dyDescent="0.25">
      <c r="A98" s="19" t="s">
        <v>325</v>
      </c>
      <c r="B98" s="22">
        <f>LM5122_Quickstart!I50</f>
        <v>1</v>
      </c>
      <c r="D98" t="s">
        <v>322</v>
      </c>
    </row>
    <row r="99" spans="1:5" x14ac:dyDescent="0.25">
      <c r="A99" s="19" t="s">
        <v>328</v>
      </c>
      <c r="B99" s="23">
        <f>((5.7*10^9)/fsw)*(1.2-(VIN_MIN/VOUT))</f>
        <v>13426.666666666664</v>
      </c>
      <c r="C99" t="s">
        <v>96</v>
      </c>
      <c r="D99" t="s">
        <v>329</v>
      </c>
    </row>
    <row r="100" spans="1:5" x14ac:dyDescent="0.25">
      <c r="A100" s="19" t="s">
        <v>326</v>
      </c>
      <c r="B100" s="23">
        <f>(Lm*(6*10^9))/(((k_slope_selected*VOUT)-VIN_MIN)*Rcs*EC_Table!D72)</f>
        <v>214285.71428571429</v>
      </c>
      <c r="C100" t="s">
        <v>96</v>
      </c>
      <c r="D100" t="s">
        <v>327</v>
      </c>
    </row>
    <row r="101" spans="1:5" x14ac:dyDescent="0.25">
      <c r="A101" s="19" t="s">
        <v>331</v>
      </c>
      <c r="B101" s="22">
        <f>LM5122_Quickstart!I53*1000</f>
        <v>100000</v>
      </c>
      <c r="C101" t="s">
        <v>96</v>
      </c>
      <c r="D101" t="s">
        <v>332</v>
      </c>
      <c r="E101">
        <f>IF(B101&lt;B99,1,0)</f>
        <v>0</v>
      </c>
    </row>
    <row r="103" spans="1:5" x14ac:dyDescent="0.25">
      <c r="A103" s="19" t="s">
        <v>333</v>
      </c>
      <c r="B103" s="23">
        <f>(1+(Lm*6*10^9/(VIN_MIN*Rcs*ACS*Rslope)))*(VIN_MIN/VOUT)</f>
        <v>1.4444444444444449</v>
      </c>
      <c r="D103" t="s">
        <v>340</v>
      </c>
    </row>
    <row r="104" spans="1:5" x14ac:dyDescent="0.25">
      <c r="A104" s="19" t="s">
        <v>343</v>
      </c>
      <c r="D104" t="s">
        <v>346</v>
      </c>
    </row>
    <row r="105" spans="1:5" x14ac:dyDescent="0.25">
      <c r="A105" s="19" t="s">
        <v>334</v>
      </c>
      <c r="B105" s="41">
        <f>(1+(Lm*6*10^9/(VIN_TYP*Rcs*ACS*Rslope)))*(VIN_TYP/VOUT)</f>
        <v>1.5</v>
      </c>
      <c r="D105" t="s">
        <v>342</v>
      </c>
    </row>
    <row r="106" spans="1:5" x14ac:dyDescent="0.25">
      <c r="A106" s="19" t="s">
        <v>344</v>
      </c>
      <c r="B106" s="36"/>
      <c r="D106" t="s">
        <v>346</v>
      </c>
    </row>
    <row r="107" spans="1:5" x14ac:dyDescent="0.25">
      <c r="A107" s="19" t="s">
        <v>335</v>
      </c>
      <c r="B107" s="41">
        <f>(1+(Lm*6*10^9/(VIN_MAX*Rcs*ACS*Rslope)))*(VIN_MAX/VOUT)</f>
        <v>1.5277777777777779</v>
      </c>
      <c r="D107" t="s">
        <v>341</v>
      </c>
    </row>
    <row r="108" spans="1:5" x14ac:dyDescent="0.25">
      <c r="A108" s="19" t="s">
        <v>345</v>
      </c>
      <c r="D108" t="s">
        <v>346</v>
      </c>
    </row>
    <row r="110" spans="1:5" ht="23.25" x14ac:dyDescent="0.35">
      <c r="A110" s="24" t="s">
        <v>347</v>
      </c>
    </row>
    <row r="111" spans="1:5" x14ac:dyDescent="0.25">
      <c r="A111" s="19" t="s">
        <v>350</v>
      </c>
      <c r="B111" s="22">
        <f>LM5122_Quickstart!I56/1000</f>
        <v>0.03</v>
      </c>
      <c r="C111" t="s">
        <v>34</v>
      </c>
      <c r="D111" t="s">
        <v>353</v>
      </c>
    </row>
    <row r="112" spans="1:5" x14ac:dyDescent="0.25">
      <c r="A112" s="19" t="s">
        <v>684</v>
      </c>
      <c r="B112" s="103">
        <f>(IOUT*1-(VIN_MIN/VOUT))/(B111*fsw)</f>
        <v>5.8518518518518522E-4</v>
      </c>
      <c r="C112" t="s">
        <v>354</v>
      </c>
      <c r="D112" t="s">
        <v>687</v>
      </c>
    </row>
    <row r="113" spans="1:5" x14ac:dyDescent="0.25">
      <c r="A113" s="19" t="s">
        <v>551</v>
      </c>
      <c r="B113" s="103">
        <f>1/((((VIN_MIN*B111)/(VOUT*IOUT))-RESR)*4*fsw)</f>
        <v>-2.1582733812949639E-5</v>
      </c>
      <c r="C113" t="s">
        <v>354</v>
      </c>
      <c r="D113" t="s">
        <v>686</v>
      </c>
    </row>
    <row r="114" spans="1:5" x14ac:dyDescent="0.25">
      <c r="A114" s="19" t="s">
        <v>681</v>
      </c>
      <c r="B114" s="103">
        <f>(IOUT-0.5*IOUT)/(B111*(w_RHP/5))</f>
        <v>3.0991735537190084E-3</v>
      </c>
      <c r="C114" t="s">
        <v>354</v>
      </c>
      <c r="D114" t="s">
        <v>682</v>
      </c>
    </row>
    <row r="115" spans="1:5" x14ac:dyDescent="0.25">
      <c r="A115" s="19" t="s">
        <v>356</v>
      </c>
      <c r="B115" s="22">
        <f>LM5122_Quickstart!I58/(10^6)</f>
        <v>5.9999999999999995E-4</v>
      </c>
      <c r="C115" t="s">
        <v>354</v>
      </c>
      <c r="D115" t="s">
        <v>358</v>
      </c>
    </row>
    <row r="116" spans="1:5" x14ac:dyDescent="0.25">
      <c r="A116" s="19"/>
    </row>
    <row r="117" spans="1:5" x14ac:dyDescent="0.25">
      <c r="A117" s="19" t="s">
        <v>357</v>
      </c>
      <c r="B117" s="22">
        <f>LM5122_Quickstart!I59/1000</f>
        <v>0.05</v>
      </c>
      <c r="C117" t="s">
        <v>96</v>
      </c>
      <c r="D117" t="s">
        <v>359</v>
      </c>
    </row>
    <row r="120" spans="1:5" ht="23.25" x14ac:dyDescent="0.35">
      <c r="A120" s="24" t="s">
        <v>371</v>
      </c>
    </row>
    <row r="121" spans="1:5" x14ac:dyDescent="0.25">
      <c r="A121" t="s">
        <v>362</v>
      </c>
      <c r="B121" s="23">
        <f>((VOUT/IOUT_np)*((VIN_MIN/VOUT)^2))/Lm</f>
        <v>134444.44444444444</v>
      </c>
      <c r="C121" t="s">
        <v>363</v>
      </c>
      <c r="D121" t="s">
        <v>690</v>
      </c>
    </row>
    <row r="122" spans="1:5" x14ac:dyDescent="0.25">
      <c r="A122" t="s">
        <v>423</v>
      </c>
      <c r="B122" s="23">
        <f>w_RHP/(2*PI())</f>
        <v>21397.497904577038</v>
      </c>
      <c r="C122" t="s">
        <v>70</v>
      </c>
    </row>
    <row r="123" spans="1:5" x14ac:dyDescent="0.25">
      <c r="A123" t="s">
        <v>364</v>
      </c>
      <c r="B123" s="23">
        <f>1/(COUT*RESR)</f>
        <v>33333.333333333336</v>
      </c>
      <c r="C123" t="s">
        <v>363</v>
      </c>
      <c r="D123" t="s">
        <v>365</v>
      </c>
    </row>
    <row r="124" spans="1:5" x14ac:dyDescent="0.25">
      <c r="A124" t="s">
        <v>424</v>
      </c>
      <c r="B124" s="23">
        <f>w_Z_ESR/(2*PI())</f>
        <v>5305.1647697298449</v>
      </c>
      <c r="C124" t="s">
        <v>70</v>
      </c>
    </row>
    <row r="125" spans="1:5" x14ac:dyDescent="0.25">
      <c r="A125" t="s">
        <v>366</v>
      </c>
      <c r="B125" s="23">
        <f>2/(COUT*(VOUT/IOUT_np))</f>
        <v>925.92592592592587</v>
      </c>
      <c r="C125" t="s">
        <v>363</v>
      </c>
      <c r="D125" t="s">
        <v>416</v>
      </c>
    </row>
    <row r="126" spans="1:5" x14ac:dyDescent="0.25">
      <c r="A126" t="s">
        <v>425</v>
      </c>
      <c r="B126" s="23">
        <f>w_p_low/(2*PI())</f>
        <v>147.36568804805123</v>
      </c>
      <c r="C126" t="s">
        <v>70</v>
      </c>
    </row>
    <row r="127" spans="1:5" x14ac:dyDescent="0.25">
      <c r="A127" t="s">
        <v>367</v>
      </c>
      <c r="B127" s="23">
        <f>Gcomp*(VIN_MIN/IOUT_np)/(2*Rcs*ACS)</f>
        <v>20.625</v>
      </c>
      <c r="C127" t="s">
        <v>118</v>
      </c>
      <c r="D127" t="s">
        <v>368</v>
      </c>
      <c r="E127" t="s">
        <v>417</v>
      </c>
    </row>
    <row r="128" spans="1:5" x14ac:dyDescent="0.25">
      <c r="A128" t="s">
        <v>369</v>
      </c>
      <c r="B128" s="23">
        <f>1/(PI()*(B103-0.5))</f>
        <v>0.3370339971357782</v>
      </c>
      <c r="D128" t="s">
        <v>370</v>
      </c>
    </row>
    <row r="130" spans="1:5" x14ac:dyDescent="0.25">
      <c r="A130" t="s">
        <v>520</v>
      </c>
      <c r="B130" s="38">
        <f>(Rcs*ACS/(2*Lm*fsw))*(1-(VIN_MIN/VOUT))*(VIN_MIN/VOUT)</f>
        <v>1.9012345679012346E-3</v>
      </c>
      <c r="E130" t="s">
        <v>474</v>
      </c>
    </row>
    <row r="131" spans="1:5" x14ac:dyDescent="0.25">
      <c r="A131" t="s">
        <v>521</v>
      </c>
      <c r="B131" s="38">
        <f>1/((0.5-(1-(VIN_MIN/VOUT)))*(Rcs*ACS/(Lm*fsw))+(Vslo*ACS/VOUT))</f>
        <v>1.4960106382978724</v>
      </c>
      <c r="E131" t="s">
        <v>474</v>
      </c>
    </row>
    <row r="132" spans="1:5" x14ac:dyDescent="0.25">
      <c r="A132" t="s">
        <v>522</v>
      </c>
      <c r="B132" s="38">
        <f>2+((VOUT*((VIN_MIN/VOUT)^2))/(IOUT_np*Rcs*ACS))*((1/Km_VINmin)+(Kex_VINmin/(VIN_MIN/VOUT)))</f>
        <v>24.571728395061726</v>
      </c>
      <c r="E132" t="s">
        <v>474</v>
      </c>
    </row>
    <row r="133" spans="1:5" x14ac:dyDescent="0.25">
      <c r="A133" s="98"/>
      <c r="B133" s="37"/>
    </row>
    <row r="134" spans="1:5" x14ac:dyDescent="0.25">
      <c r="A134" s="98"/>
      <c r="B134" s="37"/>
    </row>
    <row r="135" spans="1:5" x14ac:dyDescent="0.25">
      <c r="A135" s="98"/>
      <c r="B135" s="37"/>
    </row>
    <row r="136" spans="1:5" x14ac:dyDescent="0.25">
      <c r="A136" t="s">
        <v>523</v>
      </c>
      <c r="B136" s="38">
        <f>((VIN_MIN/VOUT)*(VOUT/IOUT_np))/(Kd_VINmin*Rcs*ACS)</f>
        <v>2.2383447804613357</v>
      </c>
    </row>
    <row r="137" spans="1:5" x14ac:dyDescent="0.25">
      <c r="B137" s="37"/>
    </row>
    <row r="138" spans="1:5" x14ac:dyDescent="0.25">
      <c r="A138" t="s">
        <v>524</v>
      </c>
      <c r="B138" s="38">
        <f>Kd_VINmin/(COUT*(VOUT/IOUT_np))</f>
        <v>11375.800182898947</v>
      </c>
      <c r="C138" t="s">
        <v>525</v>
      </c>
      <c r="E138" t="s">
        <v>526</v>
      </c>
    </row>
    <row r="139" spans="1:5" x14ac:dyDescent="0.25">
      <c r="A139" t="s">
        <v>527</v>
      </c>
      <c r="B139" s="38">
        <f>B138/(2*PI())</f>
        <v>1810.5148307340546</v>
      </c>
      <c r="C139" t="s">
        <v>70</v>
      </c>
      <c r="E139" t="s">
        <v>528</v>
      </c>
    </row>
    <row r="140" spans="1:5" ht="73.5" customHeight="1" x14ac:dyDescent="0.25">
      <c r="B140" s="37"/>
    </row>
    <row r="141" spans="1:5" x14ac:dyDescent="0.25">
      <c r="A141" t="s">
        <v>529</v>
      </c>
      <c r="B141" s="38">
        <f>1/(COUT*RESR)</f>
        <v>33333.333333333336</v>
      </c>
      <c r="C141" t="s">
        <v>530</v>
      </c>
      <c r="E141" t="s">
        <v>531</v>
      </c>
    </row>
    <row r="142" spans="1:5" ht="15.75" customHeight="1" x14ac:dyDescent="0.25">
      <c r="A142" t="s">
        <v>532</v>
      </c>
      <c r="B142" s="38">
        <f>B141/(2*PI())</f>
        <v>5305.1647697298449</v>
      </c>
      <c r="C142" t="s">
        <v>70</v>
      </c>
      <c r="E142" t="s">
        <v>533</v>
      </c>
    </row>
    <row r="143" spans="1:5" ht="15.75" customHeight="1" x14ac:dyDescent="0.25">
      <c r="B143" s="37"/>
    </row>
    <row r="144" spans="1:5" x14ac:dyDescent="0.25">
      <c r="A144" t="s">
        <v>534</v>
      </c>
      <c r="B144" s="38">
        <f>((VOUT/IOUT_np)*((VIN_MIN/VOUT)^2))/(Lm)</f>
        <v>134444.44444444444</v>
      </c>
      <c r="E144" t="s">
        <v>535</v>
      </c>
    </row>
    <row r="145" spans="1:5" x14ac:dyDescent="0.25">
      <c r="A145" t="s">
        <v>536</v>
      </c>
      <c r="B145" s="38">
        <f>B144/(2*PI())</f>
        <v>21397.497904577038</v>
      </c>
      <c r="C145" t="s">
        <v>70</v>
      </c>
      <c r="E145" t="s">
        <v>537</v>
      </c>
    </row>
    <row r="146" spans="1:5" x14ac:dyDescent="0.25">
      <c r="B146" s="38">
        <f>fsw/10</f>
        <v>25000</v>
      </c>
      <c r="C146" t="s">
        <v>70</v>
      </c>
      <c r="E146" t="s">
        <v>538</v>
      </c>
    </row>
    <row r="147" spans="1:5" x14ac:dyDescent="0.25">
      <c r="B147" s="26">
        <f>IF((B145/5)&lt;(B146),0,1)</f>
        <v>0</v>
      </c>
      <c r="E147" t="s">
        <v>539</v>
      </c>
    </row>
    <row r="148" spans="1:5" x14ac:dyDescent="0.25">
      <c r="B148" s="37"/>
    </row>
    <row r="149" spans="1:5" x14ac:dyDescent="0.25">
      <c r="A149" t="s">
        <v>540</v>
      </c>
      <c r="B149" s="38">
        <f>(Vslo*fsw)</f>
        <v>300000</v>
      </c>
      <c r="C149" t="s">
        <v>118</v>
      </c>
      <c r="E149" t="s">
        <v>541</v>
      </c>
    </row>
    <row r="150" spans="1:5" x14ac:dyDescent="0.25">
      <c r="A150" t="s">
        <v>542</v>
      </c>
      <c r="B150" s="38">
        <f>(Rcs*VIN_MIN)/Lm</f>
        <v>4399.9999999999991</v>
      </c>
      <c r="C150" t="s">
        <v>118</v>
      </c>
      <c r="E150" t="s">
        <v>488</v>
      </c>
    </row>
    <row r="151" spans="1:5" x14ac:dyDescent="0.25">
      <c r="B151" s="37"/>
    </row>
    <row r="152" spans="1:5" x14ac:dyDescent="0.25">
      <c r="A152" t="s">
        <v>543</v>
      </c>
      <c r="B152" s="38">
        <f>2*PI()*fsw</f>
        <v>1570796.3267948965</v>
      </c>
      <c r="C152" t="s">
        <v>489</v>
      </c>
      <c r="E152" t="s">
        <v>544</v>
      </c>
    </row>
    <row r="153" spans="1:5" x14ac:dyDescent="0.25">
      <c r="A153" t="s">
        <v>545</v>
      </c>
      <c r="B153" s="38">
        <f>1/(PI()*(((VIN_MIN/VOUT)*(1+(B149/B150)))-0.5))</f>
        <v>7.6191196161013702E-3</v>
      </c>
      <c r="E153" t="s">
        <v>546</v>
      </c>
    </row>
    <row r="154" spans="1:5" x14ac:dyDescent="0.25">
      <c r="B154" s="37"/>
    </row>
    <row r="159" spans="1:5" ht="23.25" x14ac:dyDescent="0.35">
      <c r="A159" s="24" t="s">
        <v>376</v>
      </c>
    </row>
    <row r="160" spans="1:5" x14ac:dyDescent="0.25">
      <c r="A160" t="s">
        <v>377</v>
      </c>
      <c r="B160" s="29">
        <f>LM5122_Quickstart!I62*1000</f>
        <v>49900</v>
      </c>
      <c r="C160" t="s">
        <v>96</v>
      </c>
      <c r="D160" t="s">
        <v>382</v>
      </c>
    </row>
    <row r="161" spans="1:6" x14ac:dyDescent="0.25">
      <c r="A161" t="s">
        <v>378</v>
      </c>
      <c r="B161" s="23">
        <f>(RFB_TOP*VREF)/(VOUT-VREF)</f>
        <v>3564.2857142857142</v>
      </c>
      <c r="C161" t="s">
        <v>96</v>
      </c>
      <c r="D161" t="s">
        <v>379</v>
      </c>
    </row>
    <row r="162" spans="1:6" x14ac:dyDescent="0.25">
      <c r="A162" t="s">
        <v>380</v>
      </c>
      <c r="B162" s="29">
        <f>LM5122_Quickstart!I64*1000</f>
        <v>2670</v>
      </c>
      <c r="C162" t="s">
        <v>96</v>
      </c>
      <c r="D162" t="s">
        <v>381</v>
      </c>
    </row>
    <row r="163" spans="1:6" x14ac:dyDescent="0.25">
      <c r="A163" t="s">
        <v>383</v>
      </c>
      <c r="B163" s="23">
        <f>((RFB_TOP/B162)+1)*1.2</f>
        <v>23.626966292134831</v>
      </c>
      <c r="C163" t="s">
        <v>34</v>
      </c>
      <c r="D163" t="s">
        <v>385</v>
      </c>
    </row>
    <row r="164" spans="1:6" x14ac:dyDescent="0.25">
      <c r="A164" t="s">
        <v>384</v>
      </c>
      <c r="B164" s="23">
        <f>1000*B163/(B162+RFB_TOP)</f>
        <v>0.449438202247191</v>
      </c>
      <c r="C164" t="s">
        <v>422</v>
      </c>
      <c r="D164" t="s">
        <v>386</v>
      </c>
    </row>
    <row r="165" spans="1:6" ht="27" customHeight="1" x14ac:dyDescent="0.25">
      <c r="E165" s="165" t="s">
        <v>415</v>
      </c>
    </row>
    <row r="166" spans="1:6" ht="23.25" x14ac:dyDescent="0.35">
      <c r="A166" s="20" t="s">
        <v>387</v>
      </c>
    </row>
    <row r="167" spans="1:6" x14ac:dyDescent="0.25">
      <c r="A167" t="s">
        <v>388</v>
      </c>
      <c r="B167" s="23">
        <f>IF(fsw/10&lt;RHP_freq/5,fsw/10,RHP_freq/5)</f>
        <v>4279.4995809154079</v>
      </c>
      <c r="C167" t="s">
        <v>70</v>
      </c>
      <c r="D167" t="s">
        <v>426</v>
      </c>
    </row>
    <row r="168" spans="1:6" x14ac:dyDescent="0.25">
      <c r="A168" t="s">
        <v>508</v>
      </c>
      <c r="B168" s="29">
        <f>LM5122_Quickstart!I80*1000</f>
        <v>2400</v>
      </c>
      <c r="C168" t="s">
        <v>70</v>
      </c>
    </row>
    <row r="169" spans="1:6" x14ac:dyDescent="0.25">
      <c r="A169" t="s">
        <v>389</v>
      </c>
      <c r="B169" s="23">
        <f>Fcross*3.1415*Rcs*RFB_TOP*20*COUT*(VOUT/E169)</f>
        <v>27088.274879999997</v>
      </c>
      <c r="C169" t="s">
        <v>390</v>
      </c>
      <c r="D169" t="s">
        <v>688</v>
      </c>
      <c r="E169" s="29">
        <f>LM5122_Quickstart!I82</f>
        <v>12</v>
      </c>
      <c r="F169" t="s">
        <v>689</v>
      </c>
    </row>
    <row r="170" spans="1:6" x14ac:dyDescent="0.25">
      <c r="A170" t="s">
        <v>391</v>
      </c>
      <c r="B170" s="23">
        <f>((VOUT/IOUT_np)*COUT)/(2*Rcomp)</f>
        <v>3.9869648576159169E-8</v>
      </c>
      <c r="C170" t="s">
        <v>354</v>
      </c>
    </row>
    <row r="171" spans="1:6" x14ac:dyDescent="0.25">
      <c r="A171" t="s">
        <v>392</v>
      </c>
      <c r="B171" s="23">
        <f>(RESR*COUT*Ccomp)/(Rcomp*Ccomp-(RESR*COUT))</f>
        <v>1.1391328164616906E-9</v>
      </c>
      <c r="C171" t="s">
        <v>354</v>
      </c>
    </row>
    <row r="172" spans="1:6" x14ac:dyDescent="0.25">
      <c r="A172" t="s">
        <v>418</v>
      </c>
      <c r="B172" s="23">
        <f>1/(RFB_TOP*(Ccomp+CHF))</f>
        <v>488.67777777777775</v>
      </c>
      <c r="C172" t="s">
        <v>118</v>
      </c>
    </row>
    <row r="173" spans="1:6" x14ac:dyDescent="0.25">
      <c r="A173" t="s">
        <v>419</v>
      </c>
      <c r="B173" s="23">
        <f>Rcomp/RFB_TOP</f>
        <v>0.54285119999999998</v>
      </c>
      <c r="C173" t="s">
        <v>118</v>
      </c>
    </row>
    <row r="174" spans="1:6" x14ac:dyDescent="0.25">
      <c r="A174" t="s">
        <v>420</v>
      </c>
      <c r="B174" s="23">
        <f>(1/(Rcomp*Ccomp))/(2*PI())</f>
        <v>147.36568804805123</v>
      </c>
      <c r="C174" t="s">
        <v>70</v>
      </c>
    </row>
    <row r="175" spans="1:6" x14ac:dyDescent="0.25">
      <c r="A175" t="s">
        <v>421</v>
      </c>
      <c r="B175" s="23">
        <f>(1/(Rcomp*CHF))/(2*PI())</f>
        <v>5157.7990816817928</v>
      </c>
      <c r="C175" t="s">
        <v>70</v>
      </c>
    </row>
    <row r="177" spans="1:7" x14ac:dyDescent="0.25">
      <c r="A177" t="s">
        <v>427</v>
      </c>
      <c r="B177" s="29">
        <f>LM5122_Quickstart!I80</f>
        <v>2.4</v>
      </c>
    </row>
    <row r="178" spans="1:7" x14ac:dyDescent="0.25">
      <c r="A178" t="s">
        <v>393</v>
      </c>
      <c r="B178" s="29">
        <f>LM5122_Quickstart!I85*1000</f>
        <v>68100</v>
      </c>
      <c r="C178" t="s">
        <v>390</v>
      </c>
    </row>
    <row r="179" spans="1:7" x14ac:dyDescent="0.25">
      <c r="A179" t="s">
        <v>428</v>
      </c>
      <c r="B179" s="29">
        <f>LM5122_Quickstart!I86*0.000000001</f>
        <v>2.2000000000000002E-8</v>
      </c>
      <c r="C179" t="s">
        <v>354</v>
      </c>
    </row>
    <row r="180" spans="1:7" x14ac:dyDescent="0.25">
      <c r="A180" t="s">
        <v>392</v>
      </c>
      <c r="B180" s="29">
        <f>LM5122_Quickstart!I87*0.000000000001</f>
        <v>3.3E-10</v>
      </c>
      <c r="C180" t="s">
        <v>354</v>
      </c>
    </row>
    <row r="181" spans="1:7" ht="23.25" x14ac:dyDescent="0.35">
      <c r="A181" s="20" t="s">
        <v>396</v>
      </c>
    </row>
    <row r="182" spans="1:7" x14ac:dyDescent="0.25">
      <c r="A182" s="15" t="s">
        <v>398</v>
      </c>
      <c r="B182" s="29">
        <f>LM5122_Quickstart!I67</f>
        <v>50</v>
      </c>
      <c r="C182" s="43">
        <f>pTSSmin*10^-3</f>
        <v>0.05</v>
      </c>
    </row>
    <row r="183" spans="1:7" ht="18" x14ac:dyDescent="0.35">
      <c r="A183" s="42" t="s">
        <v>399</v>
      </c>
      <c r="B183" s="23">
        <f>rCss*10^9</f>
        <v>1363.6363636363635</v>
      </c>
      <c r="C183" s="43">
        <f>ISS*TSSmin/(1.2*(VOUT-VIN_MAX)/VOUT)</f>
        <v>1.3636363636363636E-6</v>
      </c>
      <c r="F183" t="s">
        <v>401</v>
      </c>
      <c r="G183">
        <f>10*10^-6</f>
        <v>9.9999999999999991E-6</v>
      </c>
    </row>
    <row r="184" spans="1:7" ht="18" x14ac:dyDescent="0.35">
      <c r="A184" s="42" t="s">
        <v>400</v>
      </c>
      <c r="B184" s="23">
        <f>TSSmax*1000</f>
        <v>63.636363636363633</v>
      </c>
      <c r="C184" s="43">
        <f>rCss*1.2/ISS*(1-VIN_MIN/VOUT)</f>
        <v>6.363636363636363E-2</v>
      </c>
      <c r="F184" t="s">
        <v>404</v>
      </c>
      <c r="G184">
        <v>1.0000000000000001E-5</v>
      </c>
    </row>
    <row r="185" spans="1:7" x14ac:dyDescent="0.25">
      <c r="F185" t="s">
        <v>405</v>
      </c>
      <c r="G185">
        <v>1.2</v>
      </c>
    </row>
    <row r="186" spans="1:7" ht="23.25" x14ac:dyDescent="0.35">
      <c r="A186" s="20" t="s">
        <v>397</v>
      </c>
      <c r="F186" t="s">
        <v>406</v>
      </c>
      <c r="G186">
        <f>0.000007</f>
        <v>6.9999999999999999E-6</v>
      </c>
    </row>
    <row r="187" spans="1:7" ht="18" x14ac:dyDescent="0.35">
      <c r="A187" s="15" t="s">
        <v>402</v>
      </c>
      <c r="B187" s="29">
        <f>LM5122_Quickstart!I72</f>
        <v>11.8</v>
      </c>
      <c r="F187" t="s">
        <v>407</v>
      </c>
      <c r="G187">
        <v>1.1639999999999999</v>
      </c>
    </row>
    <row r="188" spans="1:7" ht="18" x14ac:dyDescent="0.35">
      <c r="A188" s="15" t="s">
        <v>409</v>
      </c>
      <c r="B188" s="29">
        <f>LM5122_Quickstart!I73</f>
        <v>11.5</v>
      </c>
      <c r="F188" t="s">
        <v>411</v>
      </c>
      <c r="G188">
        <v>0.4</v>
      </c>
    </row>
    <row r="189" spans="1:7" ht="18" x14ac:dyDescent="0.35">
      <c r="A189" s="15" t="s">
        <v>408</v>
      </c>
      <c r="B189" s="23">
        <f>LO-UVLO_OFF</f>
        <v>0.30000000000000071</v>
      </c>
      <c r="F189" t="s">
        <v>412</v>
      </c>
      <c r="G189">
        <v>0.1</v>
      </c>
    </row>
    <row r="190" spans="1:7" ht="18" x14ac:dyDescent="0.35">
      <c r="A190" s="15" t="s">
        <v>413</v>
      </c>
      <c r="B190" s="23">
        <f>RUV_upper/1000</f>
        <v>30.000000000000068</v>
      </c>
      <c r="C190">
        <f>VHYS/IHYS</f>
        <v>30000.000000000069</v>
      </c>
    </row>
    <row r="191" spans="1:7" ht="18" x14ac:dyDescent="0.35">
      <c r="A191" s="15" t="s">
        <v>414</v>
      </c>
      <c r="B191" s="23">
        <f>RUV_lower/1000</f>
        <v>5.6490566037735848</v>
      </c>
      <c r="C191">
        <f>UVth*RUV_upper_SEL/(VINSTARTUP-UVth)</f>
        <v>5649.0566037735844</v>
      </c>
    </row>
    <row r="192" spans="1:7" ht="18" x14ac:dyDescent="0.35">
      <c r="A192" s="15" t="s">
        <v>410</v>
      </c>
      <c r="B192" s="29">
        <f>LM5122_Quickstart!I75</f>
        <v>49.9</v>
      </c>
      <c r="C192">
        <f>B192*1000</f>
        <v>49900</v>
      </c>
    </row>
    <row r="193" spans="1:8" x14ac:dyDescent="0.25">
      <c r="A193" s="15"/>
    </row>
    <row r="194" spans="1:8" ht="18" x14ac:dyDescent="0.35">
      <c r="A194" s="15" t="s">
        <v>403</v>
      </c>
      <c r="B194" s="23">
        <f>Uvthmin*(RUV_upper+RUV_lower)/RUV_lower-RUV_upper*(IHYSmin)</f>
        <v>7.135563126252519</v>
      </c>
    </row>
    <row r="195" spans="1:8" ht="23.25" x14ac:dyDescent="0.35">
      <c r="A195" s="20"/>
    </row>
    <row r="197" spans="1:8" ht="23.25" x14ac:dyDescent="0.35">
      <c r="A197" s="143" t="s">
        <v>455</v>
      </c>
    </row>
    <row r="198" spans="1:8" x14ac:dyDescent="0.25">
      <c r="A198" s="142" t="s">
        <v>636</v>
      </c>
    </row>
    <row r="199" spans="1:8" x14ac:dyDescent="0.25">
      <c r="A199" s="141" t="s">
        <v>637</v>
      </c>
      <c r="E199" t="s">
        <v>638</v>
      </c>
    </row>
    <row r="202" spans="1:8" x14ac:dyDescent="0.25">
      <c r="A202" s="142" t="s">
        <v>639</v>
      </c>
    </row>
    <row r="203" spans="1:8" ht="15.75" x14ac:dyDescent="0.3">
      <c r="A203" t="s">
        <v>640</v>
      </c>
      <c r="B203" s="147">
        <f>LM5122_Quickstart!H93*(10^-3)</f>
        <v>1E-3</v>
      </c>
      <c r="C203" s="70" t="s">
        <v>459</v>
      </c>
      <c r="E203" s="144" t="s">
        <v>641</v>
      </c>
    </row>
    <row r="204" spans="1:8" ht="15.75" x14ac:dyDescent="0.3">
      <c r="A204" t="s">
        <v>642</v>
      </c>
      <c r="B204" s="148">
        <f>LM5122_Quickstart!H94*(10^-9)</f>
        <v>1E-8</v>
      </c>
      <c r="C204" t="s">
        <v>354</v>
      </c>
      <c r="E204" s="144" t="s">
        <v>643</v>
      </c>
    </row>
    <row r="205" spans="1:8" ht="15.75" x14ac:dyDescent="0.3">
      <c r="A205" t="s">
        <v>644</v>
      </c>
      <c r="B205" s="148">
        <f>LM5122_Quickstart!H95*(10^-9)</f>
        <v>2.4E-9</v>
      </c>
      <c r="C205" t="s">
        <v>354</v>
      </c>
      <c r="E205" s="144" t="s">
        <v>645</v>
      </c>
    </row>
    <row r="206" spans="1:8" ht="15.75" x14ac:dyDescent="0.3">
      <c r="A206" t="s">
        <v>646</v>
      </c>
      <c r="B206" s="148">
        <f>LM5122_Quickstart!H96*(10^-9)</f>
        <v>4.5000000000000006E-9</v>
      </c>
      <c r="C206" t="s">
        <v>354</v>
      </c>
      <c r="E206" s="144" t="s">
        <v>647</v>
      </c>
    </row>
    <row r="207" spans="1:8" ht="15.75" x14ac:dyDescent="0.3">
      <c r="A207" t="s">
        <v>648</v>
      </c>
      <c r="B207" s="29">
        <f>LM5122_Quickstart!H97</f>
        <v>0</v>
      </c>
      <c r="C207" s="70" t="s">
        <v>459</v>
      </c>
      <c r="E207" s="144" t="s">
        <v>649</v>
      </c>
    </row>
    <row r="208" spans="1:8" x14ac:dyDescent="0.25">
      <c r="A208" t="s">
        <v>650</v>
      </c>
      <c r="B208" s="21">
        <v>5</v>
      </c>
      <c r="C208" s="70"/>
      <c r="E208" s="167" t="s">
        <v>651</v>
      </c>
      <c r="H208" s="166"/>
    </row>
    <row r="209" spans="1:8" x14ac:dyDescent="0.25">
      <c r="A209" t="s">
        <v>652</v>
      </c>
      <c r="B209" s="145">
        <v>50</v>
      </c>
      <c r="C209" s="70" t="s">
        <v>653</v>
      </c>
      <c r="E209" s="167" t="s">
        <v>691</v>
      </c>
      <c r="H209" s="166"/>
    </row>
    <row r="210" spans="1:8" ht="15.75" x14ac:dyDescent="0.3">
      <c r="A210" t="s">
        <v>655</v>
      </c>
      <c r="B210" s="29">
        <f>LM5122_Quickstart!H98</f>
        <v>1.7</v>
      </c>
      <c r="C210" s="70" t="s">
        <v>34</v>
      </c>
      <c r="E210" s="144" t="s">
        <v>656</v>
      </c>
    </row>
    <row r="211" spans="1:8" x14ac:dyDescent="0.25">
      <c r="A211" t="s">
        <v>231</v>
      </c>
      <c r="B211" s="21">
        <f>VCC</f>
        <v>7.6</v>
      </c>
      <c r="C211" s="70" t="s">
        <v>34</v>
      </c>
      <c r="E211" s="144" t="s">
        <v>657</v>
      </c>
    </row>
    <row r="212" spans="1:8" x14ac:dyDescent="0.25">
      <c r="C212" s="70"/>
      <c r="E212" s="144"/>
    </row>
    <row r="213" spans="1:8" x14ac:dyDescent="0.25">
      <c r="C213" s="70"/>
      <c r="E213" s="144"/>
    </row>
    <row r="214" spans="1:8" x14ac:dyDescent="0.25">
      <c r="A214" t="s">
        <v>658</v>
      </c>
      <c r="B214" s="39">
        <f>vth+(((VOUT*IOUT_np)/VIN_MIN)/gfs)</f>
        <v>1.8636363636363635</v>
      </c>
      <c r="C214" s="70" t="s">
        <v>34</v>
      </c>
      <c r="E214" s="144" t="s">
        <v>659</v>
      </c>
    </row>
    <row r="215" spans="1:8" x14ac:dyDescent="0.25">
      <c r="A215" t="s">
        <v>660</v>
      </c>
      <c r="B215" s="23">
        <f>(Qgd+(Qgs/2))*((Rgate+B208)/(VCC-B214))</f>
        <v>4.0530903328050713E-9</v>
      </c>
      <c r="C215" s="70" t="s">
        <v>71</v>
      </c>
      <c r="E215" s="144" t="s">
        <v>661</v>
      </c>
    </row>
    <row r="216" spans="1:8" ht="15.75" thickBot="1" x14ac:dyDescent="0.3">
      <c r="A216" t="s">
        <v>662</v>
      </c>
      <c r="B216" s="23">
        <f>(Qgd+(Qgs/2))*((B208+Rgate)/B214)</f>
        <v>1.2475609756097563E-8</v>
      </c>
      <c r="C216" t="s">
        <v>71</v>
      </c>
      <c r="E216" s="146" t="s">
        <v>663</v>
      </c>
    </row>
    <row r="219" spans="1:8" x14ac:dyDescent="0.25">
      <c r="A219" s="142" t="s">
        <v>664</v>
      </c>
    </row>
    <row r="220" spans="1:8" ht="15.75" x14ac:dyDescent="0.3">
      <c r="A220" t="s">
        <v>640</v>
      </c>
      <c r="B220" s="29">
        <f>LM5122_Quickstart!H101*(10^-3)</f>
        <v>1E-3</v>
      </c>
      <c r="C220" s="70" t="s">
        <v>459</v>
      </c>
      <c r="E220" s="144" t="s">
        <v>641</v>
      </c>
    </row>
    <row r="221" spans="1:8" ht="15.75" x14ac:dyDescent="0.3">
      <c r="A221" t="s">
        <v>642</v>
      </c>
      <c r="B221" s="29">
        <f>LM5122_Quickstart!H102*(10^-9)</f>
        <v>1E-8</v>
      </c>
      <c r="C221" t="s">
        <v>354</v>
      </c>
      <c r="E221" s="144" t="s">
        <v>643</v>
      </c>
    </row>
    <row r="222" spans="1:8" ht="15.75" x14ac:dyDescent="0.3">
      <c r="A222" t="s">
        <v>644</v>
      </c>
      <c r="B222" s="29">
        <f>LM5122_Quickstart!H103*(10^-9)</f>
        <v>2.4E-9</v>
      </c>
      <c r="C222" t="s">
        <v>354</v>
      </c>
      <c r="E222" s="144" t="s">
        <v>645</v>
      </c>
    </row>
    <row r="223" spans="1:8" ht="15.75" x14ac:dyDescent="0.3">
      <c r="A223" t="s">
        <v>646</v>
      </c>
      <c r="B223" s="29">
        <f>LM5122_Quickstart!H104*(10^-9)</f>
        <v>4.5000000000000006E-9</v>
      </c>
      <c r="C223" t="s">
        <v>354</v>
      </c>
      <c r="E223" s="144" t="s">
        <v>647</v>
      </c>
    </row>
    <row r="224" spans="1:8" ht="15.75" x14ac:dyDescent="0.3">
      <c r="A224" t="s">
        <v>648</v>
      </c>
      <c r="B224" s="29">
        <f>LM5122_Quickstart!H105</f>
        <v>0</v>
      </c>
      <c r="C224" s="70" t="s">
        <v>459</v>
      </c>
      <c r="E224" s="144" t="s">
        <v>649</v>
      </c>
    </row>
    <row r="225" spans="1:5" x14ac:dyDescent="0.25">
      <c r="A225" t="s">
        <v>650</v>
      </c>
      <c r="B225" s="21">
        <v>5</v>
      </c>
      <c r="C225" s="70"/>
      <c r="E225" s="144" t="s">
        <v>651</v>
      </c>
    </row>
    <row r="226" spans="1:5" ht="15.75" x14ac:dyDescent="0.3">
      <c r="A226" t="s">
        <v>652</v>
      </c>
      <c r="B226" s="145">
        <v>50</v>
      </c>
      <c r="C226" s="70" t="s">
        <v>653</v>
      </c>
      <c r="E226" s="144" t="s">
        <v>654</v>
      </c>
    </row>
    <row r="227" spans="1:5" ht="15.75" x14ac:dyDescent="0.3">
      <c r="A227" t="s">
        <v>655</v>
      </c>
      <c r="B227" s="29">
        <f>LM5122_Quickstart!H106</f>
        <v>1.7</v>
      </c>
      <c r="C227" s="70" t="s">
        <v>34</v>
      </c>
      <c r="E227" s="144" t="s">
        <v>656</v>
      </c>
    </row>
    <row r="228" spans="1:5" x14ac:dyDescent="0.25">
      <c r="A228" t="s">
        <v>231</v>
      </c>
      <c r="B228" s="21">
        <f>VCC</f>
        <v>7.6</v>
      </c>
      <c r="C228" s="70" t="s">
        <v>34</v>
      </c>
      <c r="E228" s="144" t="s">
        <v>657</v>
      </c>
    </row>
    <row r="229" spans="1:5" x14ac:dyDescent="0.25">
      <c r="A229" t="s">
        <v>665</v>
      </c>
      <c r="B229" s="29">
        <f>LM5122_Quickstart!H107*10^-9</f>
        <v>3.3000000000000004E-8</v>
      </c>
      <c r="C229" t="s">
        <v>666</v>
      </c>
      <c r="E229" t="s">
        <v>667</v>
      </c>
    </row>
    <row r="230" spans="1:5" x14ac:dyDescent="0.25">
      <c r="A230" t="s">
        <v>668</v>
      </c>
      <c r="B230" s="29">
        <f>LM5122_Quickstart!H108</f>
        <v>0.8</v>
      </c>
      <c r="C230" t="s">
        <v>34</v>
      </c>
      <c r="E230" t="s">
        <v>669</v>
      </c>
    </row>
    <row r="231" spans="1:5" x14ac:dyDescent="0.25">
      <c r="C231" s="70"/>
      <c r="E231" s="144"/>
    </row>
    <row r="232" spans="1:5" x14ac:dyDescent="0.25">
      <c r="A232" t="s">
        <v>658</v>
      </c>
      <c r="B232" s="39">
        <f>vth+(((VOUT*IOUT_np)/VIN_MIN)/B226)</f>
        <v>1.8636363636363635</v>
      </c>
      <c r="C232" s="70" t="s">
        <v>34</v>
      </c>
      <c r="E232" s="144" t="s">
        <v>659</v>
      </c>
    </row>
    <row r="233" spans="1:5" x14ac:dyDescent="0.25">
      <c r="A233" t="s">
        <v>660</v>
      </c>
      <c r="B233" s="23">
        <f>(B222+(B223/2))*((B224+B225)/(VCC-B232))</f>
        <v>4.0530903328050713E-9</v>
      </c>
      <c r="C233" s="70" t="s">
        <v>71</v>
      </c>
      <c r="E233" s="144" t="s">
        <v>661</v>
      </c>
    </row>
    <row r="234" spans="1:5" ht="15.75" thickBot="1" x14ac:dyDescent="0.3">
      <c r="A234" t="s">
        <v>662</v>
      </c>
      <c r="B234" s="23">
        <f>(Qgd+(Qgs/2))*((B225+Rgate)/B232)</f>
        <v>1.2475609756097563E-8</v>
      </c>
      <c r="C234" t="s">
        <v>71</v>
      </c>
      <c r="E234" s="146" t="s">
        <v>663</v>
      </c>
    </row>
  </sheetData>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H125"/>
  <sheetViews>
    <sheetView workbookViewId="0">
      <selection activeCell="G44" sqref="G44"/>
    </sheetView>
  </sheetViews>
  <sheetFormatPr baseColWidth="10" defaultColWidth="9.140625" defaultRowHeight="15" x14ac:dyDescent="0.25"/>
  <cols>
    <col min="1" max="1" width="43" customWidth="1"/>
    <col min="2" max="2" width="42.28515625" customWidth="1"/>
    <col min="3" max="3" width="11.7109375" bestFit="1" customWidth="1"/>
    <col min="4" max="5" width="12" bestFit="1" customWidth="1"/>
  </cols>
  <sheetData>
    <row r="1" spans="1:8" s="16" customFormat="1" x14ac:dyDescent="0.25">
      <c r="A1" s="252" t="s">
        <v>136</v>
      </c>
      <c r="B1" s="252"/>
      <c r="C1" s="252"/>
      <c r="D1" s="252"/>
      <c r="E1" s="252"/>
      <c r="F1" s="252"/>
      <c r="G1" s="18"/>
      <c r="H1" s="16" t="s">
        <v>202</v>
      </c>
    </row>
    <row r="2" spans="1:8" s="16" customFormat="1" x14ac:dyDescent="0.25">
      <c r="A2" s="253"/>
      <c r="B2" s="253"/>
      <c r="C2" s="253"/>
      <c r="D2" s="253"/>
      <c r="E2" s="253"/>
      <c r="F2" s="253"/>
    </row>
    <row r="3" spans="1:8" x14ac:dyDescent="0.25">
      <c r="A3" s="1" t="s">
        <v>0</v>
      </c>
      <c r="B3" s="1" t="s">
        <v>1</v>
      </c>
      <c r="C3" s="1" t="s">
        <v>2</v>
      </c>
      <c r="D3" s="1" t="s">
        <v>3</v>
      </c>
      <c r="E3" s="1" t="s">
        <v>4</v>
      </c>
      <c r="F3" s="1" t="s">
        <v>5</v>
      </c>
    </row>
    <row r="4" spans="1:8" x14ac:dyDescent="0.25">
      <c r="A4" s="251" t="s">
        <v>7</v>
      </c>
      <c r="B4" s="251"/>
      <c r="C4" s="251"/>
      <c r="D4" s="251"/>
      <c r="E4" s="251"/>
      <c r="F4" s="251"/>
    </row>
    <row r="5" spans="1:8" x14ac:dyDescent="0.25">
      <c r="A5" s="1" t="s">
        <v>6</v>
      </c>
      <c r="B5" s="1" t="s">
        <v>9</v>
      </c>
      <c r="C5" s="1"/>
      <c r="D5" s="1">
        <f>9*(10^-6)</f>
        <v>9.0000000000000002E-6</v>
      </c>
      <c r="E5" s="1">
        <f>17*(10^-6)</f>
        <v>1.7E-5</v>
      </c>
      <c r="F5" s="1" t="s">
        <v>33</v>
      </c>
    </row>
    <row r="6" spans="1:8" x14ac:dyDescent="0.25">
      <c r="A6" s="1" t="s">
        <v>8</v>
      </c>
      <c r="B6" s="1" t="s">
        <v>10</v>
      </c>
      <c r="C6" s="1"/>
      <c r="D6" s="1">
        <f>4*(10^-3)</f>
        <v>4.0000000000000001E-3</v>
      </c>
      <c r="E6" s="1">
        <f>5*(10^-3)</f>
        <v>5.0000000000000001E-3</v>
      </c>
      <c r="F6" s="1" t="s">
        <v>33</v>
      </c>
    </row>
    <row r="7" spans="1:8" x14ac:dyDescent="0.25">
      <c r="A7" s="17" t="s">
        <v>203</v>
      </c>
      <c r="B7" s="17"/>
      <c r="C7" s="17"/>
      <c r="D7" s="17"/>
      <c r="E7" s="17">
        <v>3</v>
      </c>
      <c r="F7" s="17" t="s">
        <v>34</v>
      </c>
    </row>
    <row r="8" spans="1:8" x14ac:dyDescent="0.25">
      <c r="A8" s="17" t="s">
        <v>204</v>
      </c>
      <c r="B8" s="17"/>
      <c r="C8" s="17"/>
      <c r="D8" s="17"/>
      <c r="E8" s="17">
        <v>4.5</v>
      </c>
      <c r="F8" s="17" t="s">
        <v>34</v>
      </c>
    </row>
    <row r="9" spans="1:8" x14ac:dyDescent="0.25">
      <c r="A9" s="251" t="s">
        <v>11</v>
      </c>
      <c r="B9" s="251"/>
      <c r="C9" s="251"/>
      <c r="D9" s="251"/>
      <c r="E9" s="251"/>
      <c r="F9" s="251"/>
    </row>
    <row r="10" spans="1:8" x14ac:dyDescent="0.25">
      <c r="A10" s="1" t="s">
        <v>12</v>
      </c>
      <c r="B10" s="1" t="s">
        <v>23</v>
      </c>
      <c r="C10" s="1">
        <v>6.9</v>
      </c>
      <c r="D10" s="1">
        <v>7.6</v>
      </c>
      <c r="E10" s="1">
        <v>8.3000000000000007</v>
      </c>
      <c r="F10" s="1" t="s">
        <v>34</v>
      </c>
    </row>
    <row r="11" spans="1:8" x14ac:dyDescent="0.25">
      <c r="A11" s="250" t="s">
        <v>13</v>
      </c>
      <c r="B11" s="1" t="s">
        <v>24</v>
      </c>
      <c r="C11" s="1"/>
      <c r="D11" s="1"/>
      <c r="E11" s="1">
        <v>0.25</v>
      </c>
      <c r="F11" s="1" t="s">
        <v>34</v>
      </c>
    </row>
    <row r="12" spans="1:8" x14ac:dyDescent="0.25">
      <c r="A12" s="250"/>
      <c r="B12" s="1" t="s">
        <v>25</v>
      </c>
      <c r="C12" s="1"/>
      <c r="D12" s="1">
        <v>0.28000000000000003</v>
      </c>
      <c r="E12" s="1">
        <v>0.5</v>
      </c>
      <c r="F12" s="1" t="s">
        <v>34</v>
      </c>
    </row>
    <row r="13" spans="1:8" x14ac:dyDescent="0.25">
      <c r="A13" s="1" t="s">
        <v>14</v>
      </c>
      <c r="B13" s="1" t="s">
        <v>26</v>
      </c>
      <c r="C13" s="1">
        <f>50*(10^-3)</f>
        <v>0.05</v>
      </c>
      <c r="D13" s="1">
        <f>62*(10^-3)</f>
        <v>6.2E-2</v>
      </c>
      <c r="E13" s="1"/>
      <c r="F13" s="1" t="s">
        <v>33</v>
      </c>
    </row>
    <row r="14" spans="1:8" x14ac:dyDescent="0.25">
      <c r="A14" s="250" t="s">
        <v>15</v>
      </c>
      <c r="B14" s="1" t="s">
        <v>27</v>
      </c>
      <c r="C14" s="1"/>
      <c r="D14" s="1">
        <f>3.5*(10^-3)</f>
        <v>3.5000000000000001E-3</v>
      </c>
      <c r="E14" s="1">
        <f>5*(10^-3)</f>
        <v>5.0000000000000001E-3</v>
      </c>
      <c r="F14" s="1" t="s">
        <v>33</v>
      </c>
    </row>
    <row r="15" spans="1:8" x14ac:dyDescent="0.25">
      <c r="A15" s="250"/>
      <c r="B15" s="1" t="s">
        <v>28</v>
      </c>
      <c r="C15" s="1"/>
      <c r="D15" s="1">
        <f>4.5*(10^-3)</f>
        <v>4.5000000000000005E-3</v>
      </c>
      <c r="E15" s="1">
        <f>8*(10^-3)</f>
        <v>8.0000000000000002E-3</v>
      </c>
      <c r="F15" s="1" t="s">
        <v>33</v>
      </c>
    </row>
    <row r="16" spans="1:8" x14ac:dyDescent="0.25">
      <c r="A16" s="250" t="s">
        <v>16</v>
      </c>
      <c r="B16" s="1" t="s">
        <v>29</v>
      </c>
      <c r="C16" s="1">
        <v>3.9</v>
      </c>
      <c r="D16" s="1">
        <v>4</v>
      </c>
      <c r="E16" s="1">
        <v>4.0999999999999996</v>
      </c>
      <c r="F16" s="1" t="s">
        <v>34</v>
      </c>
    </row>
    <row r="17" spans="1:6" x14ac:dyDescent="0.25">
      <c r="A17" s="250"/>
      <c r="B17" s="1" t="s">
        <v>30</v>
      </c>
      <c r="C17" s="1"/>
      <c r="D17" s="1"/>
      <c r="E17" s="1">
        <v>3.7</v>
      </c>
      <c r="F17" s="1" t="s">
        <v>34</v>
      </c>
    </row>
    <row r="18" spans="1:6" x14ac:dyDescent="0.25">
      <c r="A18" s="1" t="s">
        <v>17</v>
      </c>
      <c r="B18" s="1"/>
      <c r="C18" s="1"/>
      <c r="D18" s="1">
        <v>0.38500000000000001</v>
      </c>
      <c r="E18" s="1"/>
      <c r="F18" s="1" t="s">
        <v>34</v>
      </c>
    </row>
    <row r="19" spans="1:6" x14ac:dyDescent="0.25">
      <c r="A19" s="251" t="s">
        <v>18</v>
      </c>
      <c r="B19" s="251"/>
      <c r="C19" s="251"/>
      <c r="D19" s="251"/>
      <c r="E19" s="251"/>
      <c r="F19" s="251"/>
    </row>
    <row r="20" spans="1:6" x14ac:dyDescent="0.25">
      <c r="A20" s="1" t="s">
        <v>19</v>
      </c>
      <c r="B20" s="1" t="s">
        <v>31</v>
      </c>
      <c r="C20" s="1">
        <v>1.17</v>
      </c>
      <c r="D20" s="1">
        <v>1.2</v>
      </c>
      <c r="E20" s="1">
        <v>1.23</v>
      </c>
      <c r="F20" s="1" t="s">
        <v>34</v>
      </c>
    </row>
    <row r="21" spans="1:6" x14ac:dyDescent="0.25">
      <c r="A21" s="1" t="s">
        <v>20</v>
      </c>
      <c r="B21" s="1" t="s">
        <v>32</v>
      </c>
      <c r="C21" s="1">
        <f>7.5*(10^-6)</f>
        <v>7.4999999999999993E-6</v>
      </c>
      <c r="D21" s="1">
        <f>10*(10^-6)</f>
        <v>9.9999999999999991E-6</v>
      </c>
      <c r="E21" s="1">
        <f>13*(10^-6)</f>
        <v>1.2999999999999999E-5</v>
      </c>
      <c r="F21" s="1" t="s">
        <v>33</v>
      </c>
    </row>
    <row r="22" spans="1:6" x14ac:dyDescent="0.25">
      <c r="A22" s="1" t="s">
        <v>21</v>
      </c>
      <c r="B22" s="1" t="s">
        <v>31</v>
      </c>
      <c r="C22" s="1">
        <v>0.3</v>
      </c>
      <c r="D22" s="1">
        <v>0.4</v>
      </c>
      <c r="E22" s="1">
        <v>0.5</v>
      </c>
      <c r="F22" s="1" t="s">
        <v>34</v>
      </c>
    </row>
    <row r="23" spans="1:6" x14ac:dyDescent="0.25">
      <c r="A23" s="1" t="s">
        <v>22</v>
      </c>
      <c r="B23" s="1"/>
      <c r="C23" s="1"/>
      <c r="D23" s="1">
        <v>0.1</v>
      </c>
      <c r="E23" s="1">
        <v>0.125</v>
      </c>
      <c r="F23" s="1" t="s">
        <v>34</v>
      </c>
    </row>
    <row r="24" spans="1:6" x14ac:dyDescent="0.25">
      <c r="A24" s="251" t="s">
        <v>35</v>
      </c>
      <c r="B24" s="251"/>
      <c r="C24" s="251"/>
      <c r="D24" s="251"/>
      <c r="E24" s="251"/>
      <c r="F24" s="251"/>
    </row>
    <row r="25" spans="1:6" x14ac:dyDescent="0.25">
      <c r="A25" s="1" t="s">
        <v>36</v>
      </c>
      <c r="B25" s="1" t="s">
        <v>51</v>
      </c>
      <c r="C25" s="1">
        <v>1.2</v>
      </c>
      <c r="D25" s="1">
        <v>1.24</v>
      </c>
      <c r="E25" s="1">
        <v>1.28</v>
      </c>
      <c r="F25" s="1" t="s">
        <v>34</v>
      </c>
    </row>
    <row r="26" spans="1:6" x14ac:dyDescent="0.25">
      <c r="A26" s="1" t="s">
        <v>37</v>
      </c>
      <c r="B26" s="1"/>
      <c r="C26" s="1"/>
      <c r="D26" s="1">
        <v>0.1</v>
      </c>
      <c r="E26" s="1"/>
      <c r="F26" s="1" t="s">
        <v>34</v>
      </c>
    </row>
    <row r="27" spans="1:6" x14ac:dyDescent="0.25">
      <c r="A27" s="1" t="s">
        <v>38</v>
      </c>
      <c r="B27" s="1"/>
      <c r="C27" s="1">
        <f>145*(10^-3)</f>
        <v>0.14499999999999999</v>
      </c>
      <c r="D27" s="1">
        <f>155*(10^-3)</f>
        <v>0.155</v>
      </c>
      <c r="E27" s="1">
        <f>170*(10^-3)</f>
        <v>0.17</v>
      </c>
      <c r="F27" s="1" t="s">
        <v>34</v>
      </c>
    </row>
    <row r="28" spans="1:6" x14ac:dyDescent="0.25">
      <c r="A28" s="250" t="s">
        <v>39</v>
      </c>
      <c r="B28" s="1" t="s">
        <v>40</v>
      </c>
      <c r="C28" s="1"/>
      <c r="D28" s="1">
        <v>1.29</v>
      </c>
      <c r="E28" s="1"/>
      <c r="F28" s="1" t="s">
        <v>34</v>
      </c>
    </row>
    <row r="29" spans="1:6" x14ac:dyDescent="0.25">
      <c r="A29" s="250"/>
      <c r="B29" s="1" t="s">
        <v>41</v>
      </c>
      <c r="C29" s="1"/>
      <c r="D29" s="1">
        <v>1.2450000000000001</v>
      </c>
      <c r="E29" s="1"/>
      <c r="F29" s="1" t="s">
        <v>34</v>
      </c>
    </row>
    <row r="30" spans="1:6" x14ac:dyDescent="0.25">
      <c r="A30" s="1" t="s">
        <v>42</v>
      </c>
      <c r="B30" s="1"/>
      <c r="C30" s="1"/>
      <c r="D30" s="1">
        <f>40*(10^-3)</f>
        <v>0.04</v>
      </c>
      <c r="E30" s="1"/>
      <c r="F30" s="1" t="s">
        <v>34</v>
      </c>
    </row>
    <row r="31" spans="1:6" x14ac:dyDescent="0.25">
      <c r="A31" s="251" t="s">
        <v>43</v>
      </c>
      <c r="B31" s="251"/>
      <c r="C31" s="251"/>
      <c r="D31" s="251"/>
      <c r="E31" s="251"/>
      <c r="F31" s="251"/>
    </row>
    <row r="32" spans="1:6" x14ac:dyDescent="0.25">
      <c r="A32" s="1" t="s">
        <v>44</v>
      </c>
      <c r="B32" s="1" t="s">
        <v>52</v>
      </c>
      <c r="C32" s="1">
        <v>1.1879999999999999</v>
      </c>
      <c r="D32" s="1">
        <v>1.2</v>
      </c>
      <c r="E32" s="1">
        <v>1.212</v>
      </c>
      <c r="F32" s="1" t="s">
        <v>34</v>
      </c>
    </row>
    <row r="33" spans="1:6" x14ac:dyDescent="0.25">
      <c r="A33" s="1" t="s">
        <v>45</v>
      </c>
      <c r="B33" s="1" t="s">
        <v>53</v>
      </c>
      <c r="C33" s="1"/>
      <c r="D33" s="1">
        <f>5*(10^-9)</f>
        <v>5.0000000000000001E-9</v>
      </c>
      <c r="E33" s="1"/>
      <c r="F33" s="1" t="s">
        <v>33</v>
      </c>
    </row>
    <row r="34" spans="1:6" x14ac:dyDescent="0.25">
      <c r="A34" s="250" t="s">
        <v>46</v>
      </c>
      <c r="B34" s="1" t="s">
        <v>54</v>
      </c>
      <c r="C34" s="1">
        <v>2.75</v>
      </c>
      <c r="D34" s="1"/>
      <c r="E34" s="1"/>
      <c r="F34" s="1" t="s">
        <v>34</v>
      </c>
    </row>
    <row r="35" spans="1:6" x14ac:dyDescent="0.25">
      <c r="A35" s="250"/>
      <c r="B35" s="1" t="s">
        <v>55</v>
      </c>
      <c r="C35" s="1">
        <v>3.4</v>
      </c>
      <c r="D35" s="1"/>
      <c r="E35" s="1"/>
      <c r="F35" s="1" t="s">
        <v>34</v>
      </c>
    </row>
    <row r="36" spans="1:6" x14ac:dyDescent="0.25">
      <c r="A36" s="1" t="s">
        <v>47</v>
      </c>
      <c r="B36" s="1" t="s">
        <v>56</v>
      </c>
      <c r="C36" s="1"/>
      <c r="D36" s="1"/>
      <c r="E36" s="1">
        <v>0.25</v>
      </c>
      <c r="F36" s="1" t="s">
        <v>34</v>
      </c>
    </row>
    <row r="37" spans="1:6" x14ac:dyDescent="0.25">
      <c r="A37" s="1" t="s">
        <v>48</v>
      </c>
      <c r="B37" s="1"/>
      <c r="C37" s="1"/>
      <c r="D37" s="1">
        <v>80</v>
      </c>
      <c r="E37" s="1"/>
      <c r="F37" s="1" t="s">
        <v>69</v>
      </c>
    </row>
    <row r="38" spans="1:6" x14ac:dyDescent="0.25">
      <c r="A38" s="1" t="s">
        <v>49</v>
      </c>
      <c r="B38" s="1"/>
      <c r="C38" s="1"/>
      <c r="D38" s="1">
        <f>3*(10^6)</f>
        <v>3000000</v>
      </c>
      <c r="E38" s="1"/>
      <c r="F38" s="1" t="s">
        <v>70</v>
      </c>
    </row>
    <row r="39" spans="1:6" x14ac:dyDescent="0.25">
      <c r="A39" s="1" t="s">
        <v>50</v>
      </c>
      <c r="B39" s="1" t="s">
        <v>57</v>
      </c>
      <c r="C39" s="1"/>
      <c r="D39" s="1">
        <v>2.7</v>
      </c>
      <c r="E39" s="1">
        <v>3.4</v>
      </c>
      <c r="F39" s="1" t="s">
        <v>34</v>
      </c>
    </row>
    <row r="40" spans="1:6" x14ac:dyDescent="0.25">
      <c r="A40" s="251" t="s">
        <v>58</v>
      </c>
      <c r="B40" s="251"/>
      <c r="C40" s="251"/>
      <c r="D40" s="251"/>
      <c r="E40" s="251"/>
      <c r="F40" s="251"/>
    </row>
    <row r="41" spans="1:6" x14ac:dyDescent="0.25">
      <c r="A41" s="1" t="s">
        <v>59</v>
      </c>
      <c r="B41" s="1" t="s">
        <v>65</v>
      </c>
      <c r="C41" s="1">
        <f>400*(10^3)</f>
        <v>400000</v>
      </c>
      <c r="D41" s="1">
        <f>450*(10^3)</f>
        <v>450000</v>
      </c>
      <c r="E41" s="1">
        <f>500*(10^3)</f>
        <v>500000</v>
      </c>
      <c r="F41" s="1" t="s">
        <v>70</v>
      </c>
    </row>
    <row r="42" spans="1:6" x14ac:dyDescent="0.25">
      <c r="A42" s="1" t="s">
        <v>60</v>
      </c>
      <c r="B42" s="1" t="s">
        <v>66</v>
      </c>
      <c r="C42" s="1">
        <f>775*(10^3)</f>
        <v>775000</v>
      </c>
      <c r="D42" s="1">
        <f>875*(10^3)</f>
        <v>875000</v>
      </c>
      <c r="E42" s="1">
        <f>975*(10^3)</f>
        <v>975000</v>
      </c>
      <c r="F42" s="1" t="s">
        <v>70</v>
      </c>
    </row>
    <row r="43" spans="1:6" x14ac:dyDescent="0.25">
      <c r="A43" s="17" t="s">
        <v>201</v>
      </c>
      <c r="B43" s="17"/>
      <c r="C43" s="17">
        <v>25000</v>
      </c>
      <c r="D43" s="17"/>
      <c r="E43" s="17">
        <f>1*(10^6)</f>
        <v>1000000</v>
      </c>
      <c r="F43" s="17" t="s">
        <v>70</v>
      </c>
    </row>
    <row r="44" spans="1:6" x14ac:dyDescent="0.25">
      <c r="A44" s="1" t="s">
        <v>61</v>
      </c>
      <c r="B44" s="1"/>
      <c r="C44" s="1"/>
      <c r="D44" s="1">
        <v>1.2</v>
      </c>
      <c r="E44" s="1"/>
      <c r="F44" s="1" t="s">
        <v>34</v>
      </c>
    </row>
    <row r="45" spans="1:6" x14ac:dyDescent="0.25">
      <c r="A45" s="1" t="s">
        <v>62</v>
      </c>
      <c r="B45" s="1" t="s">
        <v>67</v>
      </c>
      <c r="C45" s="1"/>
      <c r="D45" s="1">
        <v>2.5</v>
      </c>
      <c r="E45" s="1">
        <v>2.9</v>
      </c>
      <c r="F45" s="1" t="s">
        <v>34</v>
      </c>
    </row>
    <row r="46" spans="1:6" x14ac:dyDescent="0.25">
      <c r="A46" s="1" t="s">
        <v>63</v>
      </c>
      <c r="B46" s="1" t="s">
        <v>68</v>
      </c>
      <c r="C46" s="1">
        <v>1.6</v>
      </c>
      <c r="D46" s="1">
        <v>2</v>
      </c>
      <c r="E46" s="1"/>
      <c r="F46" s="1" t="s">
        <v>34</v>
      </c>
    </row>
    <row r="47" spans="1:6" x14ac:dyDescent="0.25">
      <c r="A47" s="1" t="s">
        <v>64</v>
      </c>
      <c r="B47" s="1"/>
      <c r="C47" s="1">
        <f>100*(10^-9)</f>
        <v>1.0000000000000001E-7</v>
      </c>
      <c r="D47" s="1"/>
      <c r="E47" s="1"/>
      <c r="F47" s="1" t="s">
        <v>71</v>
      </c>
    </row>
    <row r="48" spans="1:6" x14ac:dyDescent="0.25">
      <c r="A48" s="251" t="s">
        <v>79</v>
      </c>
      <c r="B48" s="251"/>
      <c r="C48" s="251"/>
      <c r="D48" s="251"/>
      <c r="E48" s="251"/>
      <c r="F48" s="251"/>
    </row>
    <row r="49" spans="1:6" x14ac:dyDescent="0.25">
      <c r="A49" s="1" t="s">
        <v>80</v>
      </c>
      <c r="B49" s="1" t="s">
        <v>82</v>
      </c>
      <c r="C49" s="1">
        <v>3.3</v>
      </c>
      <c r="D49" s="1">
        <v>4.3</v>
      </c>
      <c r="E49" s="1"/>
      <c r="F49" s="1" t="s">
        <v>34</v>
      </c>
    </row>
    <row r="50" spans="1:6" x14ac:dyDescent="0.25">
      <c r="A50" s="1" t="s">
        <v>81</v>
      </c>
      <c r="B50" s="1" t="s">
        <v>83</v>
      </c>
      <c r="C50" s="1"/>
      <c r="D50" s="1">
        <v>0.15</v>
      </c>
      <c r="E50" s="1">
        <v>0.25</v>
      </c>
      <c r="F50" s="1" t="s">
        <v>34</v>
      </c>
    </row>
    <row r="51" spans="1:6" x14ac:dyDescent="0.25">
      <c r="A51" s="251" t="s">
        <v>84</v>
      </c>
      <c r="B51" s="251"/>
      <c r="C51" s="251"/>
      <c r="D51" s="251"/>
      <c r="E51" s="251"/>
      <c r="F51" s="251"/>
    </row>
    <row r="52" spans="1:6" x14ac:dyDescent="0.25">
      <c r="A52" s="1" t="s">
        <v>85</v>
      </c>
      <c r="B52" s="1" t="s">
        <v>86</v>
      </c>
      <c r="C52" s="1">
        <v>2</v>
      </c>
      <c r="D52" s="1">
        <v>3</v>
      </c>
      <c r="E52" s="1">
        <v>4</v>
      </c>
      <c r="F52" s="1" t="s">
        <v>34</v>
      </c>
    </row>
    <row r="53" spans="1:6" x14ac:dyDescent="0.25">
      <c r="A53" s="251" t="s">
        <v>87</v>
      </c>
      <c r="B53" s="251"/>
      <c r="C53" s="251"/>
      <c r="D53" s="251"/>
      <c r="E53" s="251"/>
      <c r="F53" s="251"/>
    </row>
    <row r="54" spans="1:6" x14ac:dyDescent="0.25">
      <c r="A54" s="1" t="s">
        <v>88</v>
      </c>
      <c r="B54" s="1"/>
      <c r="C54" s="1">
        <v>1.17</v>
      </c>
      <c r="D54" s="1">
        <v>1.2</v>
      </c>
      <c r="E54" s="1">
        <v>1.23</v>
      </c>
      <c r="F54" s="1" t="s">
        <v>34</v>
      </c>
    </row>
    <row r="55" spans="1:6" x14ac:dyDescent="0.25">
      <c r="A55" s="250" t="s">
        <v>89</v>
      </c>
      <c r="B55" s="1" t="s">
        <v>90</v>
      </c>
      <c r="C55" s="1">
        <v>1.375</v>
      </c>
      <c r="D55" s="1">
        <v>1.65</v>
      </c>
      <c r="E55" s="1">
        <v>1.925</v>
      </c>
      <c r="F55" s="1" t="s">
        <v>34</v>
      </c>
    </row>
    <row r="56" spans="1:6" x14ac:dyDescent="0.25">
      <c r="A56" s="250"/>
      <c r="B56" s="1" t="s">
        <v>91</v>
      </c>
      <c r="C56" s="1">
        <v>1.4</v>
      </c>
      <c r="D56" s="1">
        <v>1.65</v>
      </c>
      <c r="E56" s="1">
        <v>1.9</v>
      </c>
      <c r="F56" s="1" t="s">
        <v>34</v>
      </c>
    </row>
    <row r="57" spans="1:6" x14ac:dyDescent="0.25">
      <c r="A57" s="251" t="s">
        <v>92</v>
      </c>
      <c r="B57" s="251"/>
      <c r="C57" s="251"/>
      <c r="D57" s="251"/>
      <c r="E57" s="251"/>
      <c r="F57" s="251"/>
    </row>
    <row r="58" spans="1:6" x14ac:dyDescent="0.25">
      <c r="A58" s="1" t="s">
        <v>93</v>
      </c>
      <c r="B58" s="1" t="s">
        <v>95</v>
      </c>
      <c r="C58" s="1">
        <f>7.5*(10^-6)</f>
        <v>7.4999999999999993E-6</v>
      </c>
      <c r="D58" s="1">
        <f>10*(10^-6)</f>
        <v>9.9999999999999991E-6</v>
      </c>
      <c r="E58" s="1">
        <f>12*(10^-6)</f>
        <v>1.2E-5</v>
      </c>
      <c r="F58" s="1" t="s">
        <v>33</v>
      </c>
    </row>
    <row r="59" spans="1:6" x14ac:dyDescent="0.25">
      <c r="A59" s="1" t="s">
        <v>94</v>
      </c>
      <c r="B59" s="1"/>
      <c r="C59" s="1"/>
      <c r="D59" s="1">
        <v>13</v>
      </c>
      <c r="E59" s="1"/>
      <c r="F59" s="1" t="s">
        <v>96</v>
      </c>
    </row>
    <row r="60" spans="1:6" x14ac:dyDescent="0.25">
      <c r="A60" s="251" t="s">
        <v>97</v>
      </c>
      <c r="B60" s="251"/>
      <c r="C60" s="251"/>
      <c r="D60" s="251"/>
      <c r="E60" s="251"/>
      <c r="F60" s="251"/>
    </row>
    <row r="61" spans="1:6" x14ac:dyDescent="0.25">
      <c r="A61" s="250" t="s">
        <v>98</v>
      </c>
      <c r="B61" s="1" t="s">
        <v>100</v>
      </c>
      <c r="C61" s="1"/>
      <c r="D61" s="1">
        <f>300*(10^-9)</f>
        <v>3.0000000000000004E-7</v>
      </c>
      <c r="E61" s="1">
        <f>400*(10^-9)</f>
        <v>4.0000000000000003E-7</v>
      </c>
      <c r="F61" s="1" t="s">
        <v>71</v>
      </c>
    </row>
    <row r="62" spans="1:6" x14ac:dyDescent="0.25">
      <c r="A62" s="250"/>
      <c r="B62" s="1" t="s">
        <v>101</v>
      </c>
      <c r="C62" s="1"/>
      <c r="D62" s="1">
        <f>560*(10^-9)</f>
        <v>5.6000000000000004E-7</v>
      </c>
      <c r="E62" s="1">
        <f>750*(10^-9)</f>
        <v>7.5000000000000002E-7</v>
      </c>
      <c r="F62" s="1" t="s">
        <v>71</v>
      </c>
    </row>
    <row r="63" spans="1:6" x14ac:dyDescent="0.25">
      <c r="A63" s="250" t="s">
        <v>99</v>
      </c>
      <c r="B63" s="1" t="s">
        <v>102</v>
      </c>
      <c r="C63" s="1"/>
      <c r="D63" s="1">
        <f>150*(10^-9)</f>
        <v>1.5000000000000002E-7</v>
      </c>
      <c r="E63" s="1"/>
      <c r="F63" s="1" t="s">
        <v>71</v>
      </c>
    </row>
    <row r="64" spans="1:6" x14ac:dyDescent="0.25">
      <c r="A64" s="250"/>
      <c r="B64" s="1" t="s">
        <v>103</v>
      </c>
      <c r="C64" s="1"/>
      <c r="D64" s="1">
        <f>300*(10^-9)</f>
        <v>3.0000000000000004E-7</v>
      </c>
      <c r="E64" s="1"/>
      <c r="F64" s="1" t="s">
        <v>71</v>
      </c>
    </row>
    <row r="65" spans="1:6" x14ac:dyDescent="0.25">
      <c r="A65" s="250" t="s">
        <v>99</v>
      </c>
      <c r="B65" s="1" t="s">
        <v>104</v>
      </c>
      <c r="C65" s="1">
        <v>0.95</v>
      </c>
      <c r="D65" s="1">
        <v>1.1000000000000001</v>
      </c>
      <c r="E65" s="1">
        <v>1.25</v>
      </c>
      <c r="F65" s="1" t="s">
        <v>34</v>
      </c>
    </row>
    <row r="66" spans="1:6" x14ac:dyDescent="0.25">
      <c r="A66" s="250"/>
      <c r="B66" s="1" t="s">
        <v>105</v>
      </c>
      <c r="C66" s="1">
        <v>1</v>
      </c>
      <c r="D66" s="1">
        <v>1.1000000000000001</v>
      </c>
      <c r="E66" s="1">
        <v>1.2</v>
      </c>
      <c r="F66" s="1" t="s">
        <v>34</v>
      </c>
    </row>
    <row r="67" spans="1:6" x14ac:dyDescent="0.25">
      <c r="A67" s="251" t="s">
        <v>72</v>
      </c>
      <c r="B67" s="251"/>
      <c r="C67" s="251"/>
      <c r="D67" s="251"/>
      <c r="E67" s="251"/>
      <c r="F67" s="251"/>
    </row>
    <row r="68" spans="1:6" x14ac:dyDescent="0.25">
      <c r="A68" s="250" t="s">
        <v>106</v>
      </c>
      <c r="B68" s="1" t="s">
        <v>112</v>
      </c>
      <c r="C68" s="1">
        <f>65.5*(10^-3)</f>
        <v>6.5500000000000003E-2</v>
      </c>
      <c r="D68" s="1">
        <f>75*(10^-3)</f>
        <v>7.4999999999999997E-2</v>
      </c>
      <c r="E68" s="1">
        <f>87.5*(10^-3)</f>
        <v>8.7500000000000008E-2</v>
      </c>
      <c r="F68" s="1" t="s">
        <v>34</v>
      </c>
    </row>
    <row r="69" spans="1:6" x14ac:dyDescent="0.25">
      <c r="A69" s="250"/>
      <c r="B69" s="1" t="s">
        <v>113</v>
      </c>
      <c r="C69" s="1">
        <f>67*(10^-3)</f>
        <v>6.7000000000000004E-2</v>
      </c>
      <c r="D69" s="1">
        <f>75*(10^-3)</f>
        <v>7.4999999999999997E-2</v>
      </c>
      <c r="E69" s="1">
        <f>86*(10^-3)</f>
        <v>8.6000000000000007E-2</v>
      </c>
      <c r="F69" s="1" t="s">
        <v>34</v>
      </c>
    </row>
    <row r="70" spans="1:6" x14ac:dyDescent="0.25">
      <c r="A70" s="250" t="s">
        <v>107</v>
      </c>
      <c r="B70" s="1" t="s">
        <v>114</v>
      </c>
      <c r="C70" s="1"/>
      <c r="D70" s="1">
        <f>7*(10^-3)</f>
        <v>7.0000000000000001E-3</v>
      </c>
      <c r="E70" s="1"/>
      <c r="F70" s="1" t="s">
        <v>34</v>
      </c>
    </row>
    <row r="71" spans="1:6" x14ac:dyDescent="0.25">
      <c r="A71" s="250"/>
      <c r="B71" s="1" t="s">
        <v>115</v>
      </c>
      <c r="C71" s="1">
        <f>5*(10^-3)</f>
        <v>5.0000000000000001E-3</v>
      </c>
      <c r="D71" s="1">
        <f>6*(10^-3)</f>
        <v>6.0000000000000001E-3</v>
      </c>
      <c r="E71" s="1">
        <f>12*(10^-3)</f>
        <v>1.2E-2</v>
      </c>
      <c r="F71" s="1" t="s">
        <v>34</v>
      </c>
    </row>
    <row r="72" spans="1:6" x14ac:dyDescent="0.25">
      <c r="A72" s="1" t="s">
        <v>108</v>
      </c>
      <c r="B72" s="1"/>
      <c r="C72" s="1"/>
      <c r="D72" s="1">
        <v>10</v>
      </c>
      <c r="E72" s="1"/>
      <c r="F72" s="1" t="s">
        <v>118</v>
      </c>
    </row>
    <row r="73" spans="1:6" x14ac:dyDescent="0.25">
      <c r="A73" s="1" t="s">
        <v>109</v>
      </c>
      <c r="B73" s="1"/>
      <c r="C73" s="1"/>
      <c r="D73" s="1">
        <f>12*(10^-6)</f>
        <v>1.2E-5</v>
      </c>
      <c r="E73" s="1"/>
      <c r="F73" s="1" t="s">
        <v>33</v>
      </c>
    </row>
    <row r="74" spans="1:6" x14ac:dyDescent="0.25">
      <c r="A74" s="1" t="s">
        <v>110</v>
      </c>
      <c r="B74" s="1"/>
      <c r="C74" s="1"/>
      <c r="D74" s="1">
        <f>11*(10^-6)</f>
        <v>1.1E-5</v>
      </c>
      <c r="E74" s="1"/>
      <c r="F74" s="1" t="s">
        <v>33</v>
      </c>
    </row>
    <row r="75" spans="1:6" x14ac:dyDescent="0.25">
      <c r="A75" s="1" t="s">
        <v>73</v>
      </c>
      <c r="B75" s="1" t="s">
        <v>116</v>
      </c>
      <c r="C75" s="1">
        <f>-1.75*(10^-6)</f>
        <v>-1.75E-6</v>
      </c>
      <c r="D75" s="1">
        <f>1*(10^-6)</f>
        <v>9.9999999999999995E-7</v>
      </c>
      <c r="E75" s="1">
        <f>3.75*(10^-6)</f>
        <v>3.7499999999999997E-6</v>
      </c>
      <c r="F75" s="1" t="s">
        <v>33</v>
      </c>
    </row>
    <row r="76" spans="1:6" x14ac:dyDescent="0.25">
      <c r="A76" s="1" t="s">
        <v>111</v>
      </c>
      <c r="B76" s="1" t="s">
        <v>117</v>
      </c>
      <c r="C76" s="1"/>
      <c r="D76" s="1">
        <f>150*(10^-9)</f>
        <v>1.5000000000000002E-7</v>
      </c>
      <c r="E76" s="1"/>
      <c r="F76" s="1" t="s">
        <v>71</v>
      </c>
    </row>
    <row r="77" spans="1:6" x14ac:dyDescent="0.25">
      <c r="A77" s="251" t="s">
        <v>74</v>
      </c>
      <c r="B77" s="251"/>
      <c r="C77" s="251"/>
      <c r="D77" s="251"/>
      <c r="E77" s="251"/>
      <c r="F77" s="251"/>
    </row>
    <row r="78" spans="1:6" x14ac:dyDescent="0.25">
      <c r="A78" s="1" t="s">
        <v>119</v>
      </c>
      <c r="B78" s="1" t="s">
        <v>127</v>
      </c>
      <c r="C78" s="1">
        <v>1.1499999999999999</v>
      </c>
      <c r="D78" s="1">
        <v>1.2</v>
      </c>
      <c r="E78" s="1">
        <v>1.25</v>
      </c>
      <c r="F78" s="1" t="s">
        <v>34</v>
      </c>
    </row>
    <row r="79" spans="1:6" x14ac:dyDescent="0.25">
      <c r="A79" s="250" t="s">
        <v>75</v>
      </c>
      <c r="B79" s="1" t="s">
        <v>127</v>
      </c>
      <c r="C79" s="1"/>
      <c r="D79" s="1">
        <v>4.2</v>
      </c>
      <c r="E79" s="1"/>
      <c r="F79" s="1" t="s">
        <v>34</v>
      </c>
    </row>
    <row r="80" spans="1:6" x14ac:dyDescent="0.25">
      <c r="A80" s="250"/>
      <c r="B80" s="1" t="s">
        <v>128</v>
      </c>
      <c r="C80" s="1"/>
      <c r="D80" s="1">
        <v>3.6</v>
      </c>
      <c r="E80" s="1"/>
      <c r="F80" s="1" t="s">
        <v>34</v>
      </c>
    </row>
    <row r="81" spans="1:6" x14ac:dyDescent="0.25">
      <c r="A81" s="250" t="s">
        <v>76</v>
      </c>
      <c r="B81" s="1" t="s">
        <v>129</v>
      </c>
      <c r="C81" s="1"/>
      <c r="D81" s="1">
        <v>2.15</v>
      </c>
      <c r="E81" s="1"/>
      <c r="F81" s="1" t="s">
        <v>34</v>
      </c>
    </row>
    <row r="82" spans="1:6" x14ac:dyDescent="0.25">
      <c r="A82" s="250"/>
      <c r="B82" s="1" t="s">
        <v>130</v>
      </c>
      <c r="C82" s="1"/>
      <c r="D82" s="1">
        <v>1.85</v>
      </c>
      <c r="E82" s="1"/>
      <c r="F82" s="1" t="s">
        <v>34</v>
      </c>
    </row>
    <row r="83" spans="1:6" x14ac:dyDescent="0.25">
      <c r="A83" s="1" t="s">
        <v>120</v>
      </c>
      <c r="B83" s="1" t="s">
        <v>131</v>
      </c>
      <c r="C83" s="1">
        <f>20*(10^-6)</f>
        <v>1.9999999999999998E-5</v>
      </c>
      <c r="D83" s="1">
        <f>30*(10^-6)</f>
        <v>2.9999999999999997E-5</v>
      </c>
      <c r="E83" s="1">
        <f>40*(10^-6)</f>
        <v>3.9999999999999996E-5</v>
      </c>
      <c r="F83" s="1" t="s">
        <v>33</v>
      </c>
    </row>
    <row r="84" spans="1:6" x14ac:dyDescent="0.25">
      <c r="A84" s="1" t="s">
        <v>121</v>
      </c>
      <c r="B84" s="1" t="s">
        <v>132</v>
      </c>
      <c r="C84" s="1"/>
      <c r="D84" s="1">
        <f>5*(10^-6)</f>
        <v>4.9999999999999996E-6</v>
      </c>
      <c r="E84" s="1"/>
      <c r="F84" s="1" t="s">
        <v>33</v>
      </c>
    </row>
    <row r="85" spans="1:6" x14ac:dyDescent="0.25">
      <c r="A85" s="1" t="s">
        <v>122</v>
      </c>
      <c r="B85" s="1" t="s">
        <v>133</v>
      </c>
      <c r="C85" s="1"/>
      <c r="D85" s="1">
        <f>10*(10^-6)</f>
        <v>9.9999999999999991E-6</v>
      </c>
      <c r="E85" s="1"/>
      <c r="F85" s="1" t="s">
        <v>33</v>
      </c>
    </row>
    <row r="86" spans="1:6" x14ac:dyDescent="0.25">
      <c r="A86" s="1" t="s">
        <v>123</v>
      </c>
      <c r="B86" s="1" t="s">
        <v>134</v>
      </c>
      <c r="C86" s="1"/>
      <c r="D86" s="1">
        <f>5*(10^-6)</f>
        <v>4.9999999999999996E-6</v>
      </c>
      <c r="E86" s="1"/>
      <c r="F86" s="1" t="s">
        <v>33</v>
      </c>
    </row>
    <row r="87" spans="1:6" x14ac:dyDescent="0.25">
      <c r="A87" s="1" t="s">
        <v>124</v>
      </c>
      <c r="B87" s="1"/>
      <c r="C87" s="1"/>
      <c r="D87" s="1">
        <v>8</v>
      </c>
      <c r="E87" s="1"/>
      <c r="F87" s="1" t="s">
        <v>135</v>
      </c>
    </row>
    <row r="88" spans="1:6" x14ac:dyDescent="0.25">
      <c r="A88" s="1" t="s">
        <v>125</v>
      </c>
      <c r="B88" s="1"/>
      <c r="C88" s="1"/>
      <c r="D88" s="1">
        <v>40</v>
      </c>
      <c r="E88" s="1"/>
      <c r="F88" s="1" t="s">
        <v>96</v>
      </c>
    </row>
    <row r="89" spans="1:6" x14ac:dyDescent="0.25">
      <c r="A89" s="1" t="s">
        <v>126</v>
      </c>
      <c r="B89" s="1"/>
      <c r="C89" s="1"/>
      <c r="D89" s="1">
        <v>122</v>
      </c>
      <c r="E89" s="1"/>
      <c r="F89" s="1"/>
    </row>
    <row r="90" spans="1:6" x14ac:dyDescent="0.25">
      <c r="A90" s="251" t="s">
        <v>77</v>
      </c>
      <c r="B90" s="251"/>
      <c r="C90" s="251"/>
      <c r="D90" s="251"/>
      <c r="E90" s="251"/>
      <c r="F90" s="251"/>
    </row>
    <row r="91" spans="1:6" x14ac:dyDescent="0.25">
      <c r="A91" s="1" t="s">
        <v>137</v>
      </c>
      <c r="B91" s="1" t="s">
        <v>146</v>
      </c>
      <c r="C91" s="1"/>
      <c r="D91" s="1">
        <v>0.15</v>
      </c>
      <c r="E91" s="1">
        <v>0.24</v>
      </c>
      <c r="F91" s="1" t="s">
        <v>34</v>
      </c>
    </row>
    <row r="92" spans="1:6" x14ac:dyDescent="0.25">
      <c r="A92" s="1" t="s">
        <v>138</v>
      </c>
      <c r="B92" s="1" t="s">
        <v>147</v>
      </c>
      <c r="C92" s="1"/>
      <c r="D92" s="1">
        <v>0.1</v>
      </c>
      <c r="E92" s="1">
        <v>0.18</v>
      </c>
      <c r="F92" s="1" t="s">
        <v>34</v>
      </c>
    </row>
    <row r="93" spans="1:6" x14ac:dyDescent="0.25">
      <c r="A93" s="1" t="s">
        <v>139</v>
      </c>
      <c r="B93" s="1" t="s">
        <v>148</v>
      </c>
      <c r="C93" s="1"/>
      <c r="D93" s="1">
        <f>25*(10^-9)</f>
        <v>2.5000000000000002E-8</v>
      </c>
      <c r="E93" s="1"/>
      <c r="F93" s="1" t="s">
        <v>71</v>
      </c>
    </row>
    <row r="94" spans="1:6" x14ac:dyDescent="0.25">
      <c r="A94" s="1" t="s">
        <v>140</v>
      </c>
      <c r="B94" s="1" t="s">
        <v>148</v>
      </c>
      <c r="C94" s="1"/>
      <c r="D94" s="1">
        <f>20*(10^-9)</f>
        <v>2E-8</v>
      </c>
      <c r="E94" s="1"/>
      <c r="F94" s="1" t="s">
        <v>71</v>
      </c>
    </row>
    <row r="95" spans="1:6" x14ac:dyDescent="0.25">
      <c r="A95" s="250" t="s">
        <v>141</v>
      </c>
      <c r="B95" s="1" t="s">
        <v>149</v>
      </c>
      <c r="C95" s="1"/>
      <c r="D95" s="1">
        <v>0.8</v>
      </c>
      <c r="E95" s="1"/>
      <c r="F95" s="1" t="s">
        <v>33</v>
      </c>
    </row>
    <row r="96" spans="1:6" x14ac:dyDescent="0.25">
      <c r="A96" s="250"/>
      <c r="B96" s="1" t="s">
        <v>150</v>
      </c>
      <c r="C96" s="1"/>
      <c r="D96" s="1">
        <v>1.9</v>
      </c>
      <c r="E96" s="1"/>
      <c r="F96" s="1" t="s">
        <v>33</v>
      </c>
    </row>
    <row r="97" spans="1:6" x14ac:dyDescent="0.25">
      <c r="A97" s="250" t="s">
        <v>142</v>
      </c>
      <c r="B97" s="1" t="s">
        <v>151</v>
      </c>
      <c r="C97" s="1"/>
      <c r="D97" s="1">
        <v>1.9</v>
      </c>
      <c r="E97" s="1"/>
      <c r="F97" s="1" t="s">
        <v>33</v>
      </c>
    </row>
    <row r="98" spans="1:6" x14ac:dyDescent="0.25">
      <c r="A98" s="250"/>
      <c r="B98" s="1" t="s">
        <v>152</v>
      </c>
      <c r="C98" s="1"/>
      <c r="D98" s="1">
        <v>3.2</v>
      </c>
      <c r="E98" s="1"/>
      <c r="F98" s="1" t="s">
        <v>33</v>
      </c>
    </row>
    <row r="99" spans="1:6" x14ac:dyDescent="0.25">
      <c r="A99" s="1" t="s">
        <v>143</v>
      </c>
      <c r="B99" s="1" t="s">
        <v>153</v>
      </c>
      <c r="C99" s="1">
        <f>100*(10^-6)</f>
        <v>9.9999999999999991E-5</v>
      </c>
      <c r="D99" s="1">
        <f>200*(10^-6)</f>
        <v>1.9999999999999998E-4</v>
      </c>
      <c r="E99" s="1"/>
      <c r="F99" s="1" t="s">
        <v>33</v>
      </c>
    </row>
    <row r="100" spans="1:6" x14ac:dyDescent="0.25">
      <c r="A100" s="250" t="s">
        <v>78</v>
      </c>
      <c r="B100" s="1" t="s">
        <v>154</v>
      </c>
      <c r="C100" s="1">
        <v>5.3</v>
      </c>
      <c r="D100" s="1">
        <v>6.2</v>
      </c>
      <c r="E100" s="1">
        <v>6.75</v>
      </c>
      <c r="F100" s="1" t="s">
        <v>34</v>
      </c>
    </row>
    <row r="101" spans="1:6" x14ac:dyDescent="0.25">
      <c r="A101" s="250"/>
      <c r="B101" s="1" t="s">
        <v>155</v>
      </c>
      <c r="C101" s="1">
        <v>7</v>
      </c>
      <c r="D101" s="1">
        <v>8.5</v>
      </c>
      <c r="E101" s="1">
        <v>9</v>
      </c>
      <c r="F101" s="1" t="s">
        <v>34</v>
      </c>
    </row>
    <row r="102" spans="1:6" x14ac:dyDescent="0.25">
      <c r="A102" s="1" t="s">
        <v>144</v>
      </c>
      <c r="B102" s="1"/>
      <c r="C102" s="1">
        <v>2</v>
      </c>
      <c r="D102" s="1">
        <v>3</v>
      </c>
      <c r="E102" s="1">
        <v>3.5</v>
      </c>
      <c r="F102" s="1" t="s">
        <v>34</v>
      </c>
    </row>
    <row r="103" spans="1:6" x14ac:dyDescent="0.25">
      <c r="A103" s="1" t="s">
        <v>145</v>
      </c>
      <c r="B103" s="1" t="s">
        <v>156</v>
      </c>
      <c r="C103" s="1"/>
      <c r="D103" s="1">
        <f>30*(10^-6)</f>
        <v>2.9999999999999997E-5</v>
      </c>
      <c r="E103" s="1">
        <f>45*(10^-6)</f>
        <v>4.4999999999999996E-5</v>
      </c>
      <c r="F103" s="1" t="s">
        <v>33</v>
      </c>
    </row>
    <row r="104" spans="1:6" x14ac:dyDescent="0.25">
      <c r="A104" s="255" t="s">
        <v>157</v>
      </c>
      <c r="B104" s="256"/>
      <c r="C104" s="256"/>
      <c r="D104" s="256"/>
      <c r="E104" s="256"/>
      <c r="F104" s="257"/>
    </row>
    <row r="105" spans="1:6" x14ac:dyDescent="0.25">
      <c r="A105" s="1" t="s">
        <v>158</v>
      </c>
      <c r="B105" s="1" t="s">
        <v>164</v>
      </c>
      <c r="C105" s="1"/>
      <c r="D105" s="1">
        <v>0.15</v>
      </c>
      <c r="E105" s="1">
        <v>2.5000000000000001E-2</v>
      </c>
      <c r="F105" s="1" t="s">
        <v>34</v>
      </c>
    </row>
    <row r="106" spans="1:6" x14ac:dyDescent="0.25">
      <c r="A106" s="1" t="s">
        <v>159</v>
      </c>
      <c r="B106" s="1" t="s">
        <v>165</v>
      </c>
      <c r="C106" s="1"/>
      <c r="D106" s="1">
        <v>0.1</v>
      </c>
      <c r="E106" s="1">
        <v>0.17</v>
      </c>
      <c r="F106" s="1" t="s">
        <v>34</v>
      </c>
    </row>
    <row r="107" spans="1:6" x14ac:dyDescent="0.25">
      <c r="A107" s="1" t="s">
        <v>160</v>
      </c>
      <c r="B107" s="1" t="s">
        <v>166</v>
      </c>
      <c r="C107" s="1"/>
      <c r="D107" s="1">
        <f>25*(10^-9)</f>
        <v>2.5000000000000002E-8</v>
      </c>
      <c r="E107" s="1"/>
      <c r="F107" s="1" t="s">
        <v>71</v>
      </c>
    </row>
    <row r="108" spans="1:6" x14ac:dyDescent="0.25">
      <c r="A108" s="1" t="s">
        <v>161</v>
      </c>
      <c r="B108" s="1" t="s">
        <v>166</v>
      </c>
      <c r="C108" s="1"/>
      <c r="D108" s="1">
        <f>20*(10^-9)</f>
        <v>2E-8</v>
      </c>
      <c r="E108" s="1"/>
      <c r="F108" s="1" t="s">
        <v>71</v>
      </c>
    </row>
    <row r="109" spans="1:6" x14ac:dyDescent="0.25">
      <c r="A109" s="250" t="s">
        <v>162</v>
      </c>
      <c r="B109" s="1" t="s">
        <v>167</v>
      </c>
      <c r="C109" s="1"/>
      <c r="D109" s="1">
        <v>0.8</v>
      </c>
      <c r="E109" s="1"/>
      <c r="F109" s="1" t="s">
        <v>33</v>
      </c>
    </row>
    <row r="110" spans="1:6" x14ac:dyDescent="0.25">
      <c r="A110" s="250"/>
      <c r="B110" s="1" t="s">
        <v>168</v>
      </c>
      <c r="C110" s="1"/>
      <c r="D110" s="1">
        <v>2</v>
      </c>
      <c r="E110" s="1"/>
      <c r="F110" s="1" t="s">
        <v>33</v>
      </c>
    </row>
    <row r="111" spans="1:6" x14ac:dyDescent="0.25">
      <c r="A111" s="250" t="s">
        <v>163</v>
      </c>
      <c r="B111" s="1" t="s">
        <v>169</v>
      </c>
      <c r="C111" s="1"/>
      <c r="D111" s="1">
        <v>1.8</v>
      </c>
      <c r="E111" s="1"/>
      <c r="F111" s="1" t="s">
        <v>33</v>
      </c>
    </row>
    <row r="112" spans="1:6" x14ac:dyDescent="0.25">
      <c r="A112" s="250"/>
      <c r="B112" s="1" t="s">
        <v>170</v>
      </c>
      <c r="C112" s="1"/>
      <c r="D112" s="1">
        <v>3.2</v>
      </c>
      <c r="E112" s="1"/>
      <c r="F112" s="1" t="s">
        <v>33</v>
      </c>
    </row>
    <row r="113" spans="1:6" x14ac:dyDescent="0.25">
      <c r="A113" s="251" t="s">
        <v>171</v>
      </c>
      <c r="B113" s="251"/>
      <c r="C113" s="251"/>
      <c r="D113" s="251"/>
      <c r="E113" s="251"/>
      <c r="F113" s="251"/>
    </row>
    <row r="114" spans="1:6" x14ac:dyDescent="0.25">
      <c r="A114" s="2" t="s">
        <v>172</v>
      </c>
      <c r="B114" s="1" t="s">
        <v>174</v>
      </c>
      <c r="C114" s="1">
        <f>50*(10^-9)</f>
        <v>5.0000000000000004E-8</v>
      </c>
      <c r="D114" s="1">
        <f>80*(10^-9)</f>
        <v>8.0000000000000002E-8</v>
      </c>
      <c r="E114" s="1">
        <f>115*(10^-9)</f>
        <v>1.1500000000000001E-7</v>
      </c>
      <c r="F114" s="1" t="s">
        <v>71</v>
      </c>
    </row>
    <row r="115" spans="1:6" x14ac:dyDescent="0.25">
      <c r="A115" s="1" t="s">
        <v>173</v>
      </c>
      <c r="B115" s="1" t="s">
        <v>174</v>
      </c>
      <c r="C115" s="1">
        <f>50*(10^-9)</f>
        <v>5.0000000000000004E-8</v>
      </c>
      <c r="D115" s="1">
        <f>80*(10^-9)</f>
        <v>8.0000000000000002E-8</v>
      </c>
      <c r="E115" s="1">
        <f>115*(10^-9)</f>
        <v>1.1500000000000001E-7</v>
      </c>
      <c r="F115" s="1" t="s">
        <v>71</v>
      </c>
    </row>
    <row r="116" spans="1:6" x14ac:dyDescent="0.25">
      <c r="A116" s="254" t="s">
        <v>205</v>
      </c>
      <c r="B116" s="254"/>
      <c r="C116" s="254"/>
      <c r="D116" s="254"/>
      <c r="E116" s="254"/>
      <c r="F116" s="254"/>
    </row>
    <row r="117" spans="1:6" x14ac:dyDescent="0.25">
      <c r="A117" s="250" t="s">
        <v>212</v>
      </c>
      <c r="B117" s="1" t="s">
        <v>206</v>
      </c>
      <c r="C117" s="1">
        <v>-0.3</v>
      </c>
      <c r="D117" s="1"/>
      <c r="E117" s="1">
        <v>75</v>
      </c>
      <c r="F117" s="1" t="s">
        <v>34</v>
      </c>
    </row>
    <row r="118" spans="1:6" x14ac:dyDescent="0.25">
      <c r="A118" s="250"/>
      <c r="B118" s="1" t="s">
        <v>207</v>
      </c>
      <c r="C118" s="1">
        <v>-0.3</v>
      </c>
      <c r="D118" s="1"/>
      <c r="E118" s="1">
        <v>15</v>
      </c>
      <c r="F118" s="1" t="s">
        <v>34</v>
      </c>
    </row>
    <row r="119" spans="1:6" x14ac:dyDescent="0.25">
      <c r="A119" s="250"/>
      <c r="B119" s="1" t="s">
        <v>208</v>
      </c>
      <c r="C119" s="1">
        <v>-5</v>
      </c>
      <c r="D119" s="1"/>
      <c r="E119" s="1">
        <v>105</v>
      </c>
      <c r="F119" s="1" t="s">
        <v>34</v>
      </c>
    </row>
    <row r="120" spans="1:6" x14ac:dyDescent="0.25">
      <c r="A120" s="250"/>
      <c r="B120" s="1" t="s">
        <v>209</v>
      </c>
      <c r="C120" s="1">
        <v>-0.3</v>
      </c>
      <c r="D120" s="1"/>
      <c r="E120" s="1">
        <v>115</v>
      </c>
      <c r="F120" s="1" t="s">
        <v>34</v>
      </c>
    </row>
    <row r="121" spans="1:6" x14ac:dyDescent="0.25">
      <c r="A121" s="250"/>
      <c r="B121" s="1" t="s">
        <v>210</v>
      </c>
      <c r="C121" s="1">
        <v>-0.3</v>
      </c>
      <c r="D121" s="1"/>
      <c r="E121" s="1">
        <v>7</v>
      </c>
      <c r="F121" s="1" t="s">
        <v>34</v>
      </c>
    </row>
    <row r="122" spans="1:6" x14ac:dyDescent="0.25">
      <c r="A122" s="250"/>
      <c r="B122" s="1" t="s">
        <v>211</v>
      </c>
      <c r="C122" s="1">
        <v>-0.3</v>
      </c>
      <c r="D122" s="1"/>
      <c r="E122" s="1">
        <v>0.3</v>
      </c>
      <c r="F122" s="1" t="s">
        <v>34</v>
      </c>
    </row>
    <row r="123" spans="1:6" x14ac:dyDescent="0.25">
      <c r="A123" s="250" t="s">
        <v>216</v>
      </c>
      <c r="B123" s="1" t="s">
        <v>213</v>
      </c>
      <c r="C123" s="1">
        <v>-0.3</v>
      </c>
      <c r="D123" s="1"/>
      <c r="E123" s="1">
        <v>15</v>
      </c>
      <c r="F123" s="1" t="s">
        <v>34</v>
      </c>
    </row>
    <row r="124" spans="1:6" x14ac:dyDescent="0.25">
      <c r="A124" s="250"/>
      <c r="B124" s="1" t="s">
        <v>214</v>
      </c>
      <c r="C124" s="1">
        <v>-0.3</v>
      </c>
      <c r="D124" s="1"/>
      <c r="E124" s="1">
        <f>VCC+0.3</f>
        <v>7.8999999999999995</v>
      </c>
      <c r="F124" s="1" t="s">
        <v>34</v>
      </c>
    </row>
    <row r="125" spans="1:6" x14ac:dyDescent="0.25">
      <c r="A125" s="250"/>
      <c r="B125" s="1" t="s">
        <v>215</v>
      </c>
      <c r="C125" s="1">
        <v>-0.3</v>
      </c>
      <c r="D125" s="1"/>
      <c r="E125" s="1">
        <v>7</v>
      </c>
      <c r="F125" s="1" t="s">
        <v>34</v>
      </c>
    </row>
  </sheetData>
  <mergeCells count="38">
    <mergeCell ref="A31:F31"/>
    <mergeCell ref="A34:A35"/>
    <mergeCell ref="A55:A56"/>
    <mergeCell ref="A51:F51"/>
    <mergeCell ref="A48:F48"/>
    <mergeCell ref="A40:F40"/>
    <mergeCell ref="A4:F4"/>
    <mergeCell ref="A1:F2"/>
    <mergeCell ref="A116:F116"/>
    <mergeCell ref="A111:A112"/>
    <mergeCell ref="A113:F113"/>
    <mergeCell ref="A104:F104"/>
    <mergeCell ref="A90:F90"/>
    <mergeCell ref="A77:F77"/>
    <mergeCell ref="A81:A82"/>
    <mergeCell ref="A97:A98"/>
    <mergeCell ref="A95:A96"/>
    <mergeCell ref="A100:A101"/>
    <mergeCell ref="A109:A110"/>
    <mergeCell ref="A67:F67"/>
    <mergeCell ref="A60:F60"/>
    <mergeCell ref="A57:F57"/>
    <mergeCell ref="A117:A122"/>
    <mergeCell ref="A123:A125"/>
    <mergeCell ref="A24:F24"/>
    <mergeCell ref="A19:F19"/>
    <mergeCell ref="A9:F9"/>
    <mergeCell ref="A53:F53"/>
    <mergeCell ref="A61:A62"/>
    <mergeCell ref="A63:A64"/>
    <mergeCell ref="A65:A66"/>
    <mergeCell ref="A68:A69"/>
    <mergeCell ref="A70:A71"/>
    <mergeCell ref="A79:A80"/>
    <mergeCell ref="A16:A17"/>
    <mergeCell ref="A14:A15"/>
    <mergeCell ref="A11:A12"/>
    <mergeCell ref="A28:A29"/>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BO560"/>
  <sheetViews>
    <sheetView topLeftCell="A7" zoomScale="85" zoomScaleNormal="85" workbookViewId="0">
      <selection activeCell="D58" sqref="D58"/>
    </sheetView>
  </sheetViews>
  <sheetFormatPr baseColWidth="10" defaultColWidth="9.140625" defaultRowHeight="15" x14ac:dyDescent="0.25"/>
  <cols>
    <col min="1" max="1" width="20.42578125" customWidth="1"/>
    <col min="2" max="2" width="19.140625" customWidth="1"/>
    <col min="3" max="3" width="16.5703125" customWidth="1"/>
    <col min="13" max="13" width="17.7109375" customWidth="1"/>
    <col min="14" max="14" width="14.7109375" customWidth="1"/>
    <col min="15" max="15" width="17.7109375" customWidth="1"/>
    <col min="16" max="16" width="16" customWidth="1"/>
    <col min="17" max="17" width="13.140625" customWidth="1"/>
    <col min="31" max="31" width="12.28515625" customWidth="1"/>
    <col min="59" max="59" width="7.85546875" customWidth="1"/>
    <col min="60" max="60" width="11" customWidth="1"/>
    <col min="61" max="61" width="9.7109375" customWidth="1"/>
    <col min="63" max="63" width="13.42578125" customWidth="1"/>
    <col min="64" max="64" width="11.42578125" customWidth="1"/>
  </cols>
  <sheetData>
    <row r="2" spans="1:67" x14ac:dyDescent="0.25">
      <c r="C2" s="68" t="s">
        <v>465</v>
      </c>
      <c r="D2" s="71"/>
    </row>
    <row r="3" spans="1:67" ht="15.75" thickBot="1" x14ac:dyDescent="0.3">
      <c r="C3" s="68" t="s">
        <v>466</v>
      </c>
      <c r="D3" s="72"/>
      <c r="N3" t="s">
        <v>509</v>
      </c>
    </row>
    <row r="4" spans="1:67" ht="15.75" thickBot="1" x14ac:dyDescent="0.3">
      <c r="C4" s="68" t="s">
        <v>467</v>
      </c>
      <c r="D4" s="73"/>
      <c r="M4" s="75"/>
      <c r="N4" s="76"/>
      <c r="O4" s="259" t="s">
        <v>510</v>
      </c>
      <c r="P4" s="259"/>
      <c r="Q4" s="259"/>
      <c r="R4" s="259"/>
      <c r="S4" s="259"/>
      <c r="T4" s="259"/>
      <c r="U4" s="259"/>
      <c r="V4" s="259"/>
      <c r="W4" s="259"/>
      <c r="X4" s="259"/>
      <c r="Y4" s="259"/>
      <c r="Z4" s="259"/>
      <c r="AA4" s="259"/>
      <c r="AB4" s="259"/>
      <c r="AC4" s="259"/>
      <c r="AD4" s="260"/>
      <c r="AE4" s="265" t="s">
        <v>574</v>
      </c>
      <c r="AF4" s="259"/>
      <c r="AG4" s="259"/>
      <c r="AH4" s="259"/>
      <c r="AI4" s="259"/>
      <c r="AJ4" s="259"/>
      <c r="AK4" s="259"/>
      <c r="AL4" s="259"/>
      <c r="AM4" s="259"/>
      <c r="AN4" s="259"/>
      <c r="AO4" s="259"/>
      <c r="AP4" s="259"/>
      <c r="AQ4" s="260"/>
      <c r="AR4" s="265" t="s">
        <v>490</v>
      </c>
      <c r="AS4" s="259"/>
      <c r="AT4" s="259"/>
      <c r="AU4" s="259"/>
      <c r="AV4" s="259"/>
      <c r="AW4" s="259"/>
      <c r="AX4" s="259"/>
      <c r="AY4" s="259"/>
      <c r="AZ4" s="259"/>
      <c r="BA4" s="259"/>
      <c r="BB4" s="259"/>
      <c r="BC4" s="259"/>
      <c r="BD4" s="260"/>
      <c r="BE4" s="265" t="s">
        <v>547</v>
      </c>
      <c r="BF4" s="259"/>
      <c r="BG4" s="260"/>
      <c r="BH4" s="265" t="s">
        <v>575</v>
      </c>
      <c r="BI4" s="259"/>
      <c r="BJ4" s="260"/>
      <c r="BK4" s="266" t="s">
        <v>548</v>
      </c>
      <c r="BL4" s="267"/>
    </row>
    <row r="5" spans="1:67" ht="15.75" thickBot="1" x14ac:dyDescent="0.3">
      <c r="A5" s="66" t="s">
        <v>220</v>
      </c>
      <c r="B5" s="66" t="s">
        <v>439</v>
      </c>
      <c r="C5" s="66" t="s">
        <v>440</v>
      </c>
      <c r="D5" s="67"/>
      <c r="E5" s="258" t="s">
        <v>441</v>
      </c>
      <c r="F5" s="258"/>
      <c r="G5" s="258"/>
      <c r="H5" s="258"/>
      <c r="I5" s="258"/>
      <c r="J5" s="258"/>
      <c r="K5" s="258"/>
      <c r="M5" s="77"/>
      <c r="N5" s="60"/>
      <c r="P5" s="261" t="s">
        <v>476</v>
      </c>
      <c r="Q5" s="261"/>
      <c r="R5" s="261"/>
      <c r="S5" s="262" t="s">
        <v>478</v>
      </c>
      <c r="T5" s="262"/>
      <c r="U5" s="262"/>
      <c r="V5" s="262" t="s">
        <v>478</v>
      </c>
      <c r="W5" s="262"/>
      <c r="X5" s="262"/>
      <c r="Y5" s="262" t="s">
        <v>511</v>
      </c>
      <c r="Z5" s="262"/>
      <c r="AA5" s="262"/>
      <c r="AB5" s="263" t="s">
        <v>512</v>
      </c>
      <c r="AC5" s="262"/>
      <c r="AD5" s="264"/>
      <c r="AE5" s="101"/>
      <c r="AF5" s="261" t="s">
        <v>476</v>
      </c>
      <c r="AG5" s="261"/>
      <c r="AH5" s="261"/>
      <c r="AI5" s="268" t="s">
        <v>478</v>
      </c>
      <c r="AJ5" s="268"/>
      <c r="AK5" s="268"/>
      <c r="AL5" s="262" t="s">
        <v>519</v>
      </c>
      <c r="AM5" s="262"/>
      <c r="AN5" s="262"/>
      <c r="AO5" s="269" t="s">
        <v>512</v>
      </c>
      <c r="AP5" s="268"/>
      <c r="AQ5" s="270"/>
      <c r="AS5" s="262" t="s">
        <v>498</v>
      </c>
      <c r="AT5" s="262"/>
      <c r="AU5" s="262"/>
      <c r="AV5" s="262" t="s">
        <v>499</v>
      </c>
      <c r="AW5" s="262"/>
      <c r="AX5" s="262"/>
      <c r="AY5" s="262" t="s">
        <v>497</v>
      </c>
      <c r="AZ5" s="262"/>
      <c r="BA5" s="262"/>
      <c r="BB5" s="263" t="s">
        <v>512</v>
      </c>
      <c r="BC5" s="262"/>
      <c r="BD5" s="264"/>
      <c r="BE5" s="263" t="s">
        <v>512</v>
      </c>
      <c r="BF5" s="262"/>
      <c r="BG5" s="264"/>
      <c r="BH5" s="263" t="s">
        <v>512</v>
      </c>
      <c r="BI5" s="262"/>
      <c r="BJ5" s="264"/>
      <c r="BK5" s="263" t="s">
        <v>512</v>
      </c>
      <c r="BL5" s="264"/>
    </row>
    <row r="6" spans="1:67" ht="15.75" thickBot="1" x14ac:dyDescent="0.3">
      <c r="A6" s="66"/>
      <c r="B6" s="66"/>
      <c r="C6" s="66"/>
      <c r="D6" s="67"/>
      <c r="E6" s="68"/>
      <c r="F6" s="68"/>
      <c r="G6" s="68"/>
      <c r="H6" s="68"/>
      <c r="I6" s="68"/>
      <c r="J6" s="68"/>
      <c r="K6" s="68"/>
      <c r="M6" s="77"/>
      <c r="N6" s="60"/>
      <c r="O6" s="78" t="s">
        <v>367</v>
      </c>
      <c r="P6" s="79" t="s">
        <v>513</v>
      </c>
      <c r="Q6" s="80" t="s">
        <v>514</v>
      </c>
      <c r="R6" s="80" t="s">
        <v>515</v>
      </c>
      <c r="S6" s="80" t="s">
        <v>513</v>
      </c>
      <c r="T6" s="80" t="s">
        <v>514</v>
      </c>
      <c r="U6" s="80" t="s">
        <v>515</v>
      </c>
      <c r="V6" s="80" t="s">
        <v>513</v>
      </c>
      <c r="W6" s="80" t="s">
        <v>514</v>
      </c>
      <c r="X6" s="80" t="s">
        <v>515</v>
      </c>
      <c r="Y6" s="80" t="s">
        <v>513</v>
      </c>
      <c r="Z6" s="80" t="s">
        <v>514</v>
      </c>
      <c r="AA6" s="80" t="s">
        <v>515</v>
      </c>
      <c r="AB6" s="78" t="s">
        <v>516</v>
      </c>
      <c r="AC6" s="80" t="s">
        <v>514</v>
      </c>
      <c r="AD6" s="81" t="s">
        <v>515</v>
      </c>
      <c r="AE6" s="88" t="s">
        <v>367</v>
      </c>
      <c r="AF6" s="87" t="s">
        <v>513</v>
      </c>
      <c r="AG6" s="87" t="s">
        <v>550</v>
      </c>
      <c r="AH6" s="87" t="s">
        <v>515</v>
      </c>
      <c r="AI6" s="87" t="s">
        <v>513</v>
      </c>
      <c r="AJ6" s="87" t="s">
        <v>550</v>
      </c>
      <c r="AK6" s="87" t="s">
        <v>515</v>
      </c>
      <c r="AL6" s="87" t="s">
        <v>513</v>
      </c>
      <c r="AM6" s="87" t="s">
        <v>550</v>
      </c>
      <c r="AN6" s="87" t="s">
        <v>515</v>
      </c>
      <c r="AO6" s="78" t="s">
        <v>516</v>
      </c>
      <c r="AP6" s="80" t="s">
        <v>514</v>
      </c>
      <c r="AQ6" s="81" t="s">
        <v>515</v>
      </c>
      <c r="AR6" s="78" t="s">
        <v>549</v>
      </c>
      <c r="AS6" s="80" t="s">
        <v>513</v>
      </c>
      <c r="AT6" s="80" t="s">
        <v>550</v>
      </c>
      <c r="AU6" s="80" t="s">
        <v>515</v>
      </c>
      <c r="AV6" s="80" t="s">
        <v>513</v>
      </c>
      <c r="AW6" s="80" t="s">
        <v>550</v>
      </c>
      <c r="AX6" s="80" t="s">
        <v>515</v>
      </c>
      <c r="AY6" s="80" t="s">
        <v>513</v>
      </c>
      <c r="AZ6" s="80" t="s">
        <v>550</v>
      </c>
      <c r="BA6" s="80" t="s">
        <v>515</v>
      </c>
      <c r="BB6" s="78" t="s">
        <v>516</v>
      </c>
      <c r="BC6" s="80" t="s">
        <v>514</v>
      </c>
      <c r="BD6" s="81" t="s">
        <v>515</v>
      </c>
      <c r="BE6" s="78" t="s">
        <v>516</v>
      </c>
      <c r="BF6" s="80" t="s">
        <v>514</v>
      </c>
      <c r="BG6" s="81" t="s">
        <v>515</v>
      </c>
      <c r="BH6" s="78" t="s">
        <v>516</v>
      </c>
      <c r="BI6" s="80" t="s">
        <v>514</v>
      </c>
      <c r="BJ6" s="81" t="s">
        <v>515</v>
      </c>
      <c r="BK6" s="78" t="s">
        <v>514</v>
      </c>
      <c r="BL6" s="81" t="s">
        <v>515</v>
      </c>
    </row>
    <row r="7" spans="1:67" ht="15.75" thickBot="1" x14ac:dyDescent="0.3">
      <c r="A7" s="66"/>
      <c r="B7" s="66"/>
      <c r="C7" s="66"/>
      <c r="D7" s="67"/>
      <c r="E7" s="68"/>
      <c r="F7" s="68"/>
      <c r="G7" s="68"/>
      <c r="H7" s="68"/>
      <c r="I7" s="68"/>
      <c r="J7" s="68"/>
      <c r="K7" s="68"/>
      <c r="M7" s="77" t="s">
        <v>517</v>
      </c>
      <c r="N7" s="76">
        <f>Fcross</f>
        <v>2400</v>
      </c>
      <c r="O7" s="82" t="str">
        <f>COMPLEX(ADC_VINmin,0)</f>
        <v>2,23834478046134</v>
      </c>
      <c r="P7" s="80" t="str">
        <f>IMSUM(COMPLEX(1,0),IMDIV(COMPLEX(0,2*PI()*N7),COMPLEX(wp_lf_VINmin,0)))</f>
        <v>1+1,32558980421439i</v>
      </c>
      <c r="Q7" s="80">
        <f>IMABS(P7)</f>
        <v>1.6604783434411738</v>
      </c>
      <c r="R7" s="80">
        <f t="shared" ref="R7:R13" si="0">IMARGUMENT(P7)</f>
        <v>0.92449715468916072</v>
      </c>
      <c r="S7" s="80" t="str">
        <f>IMSUM(COMPLEX(1,0),IMDIV(COMPLEX(0,2*PI()*N7),COMPLEX(wz_esr_VINmin,0)))</f>
        <v>1+0,45238934211693i</v>
      </c>
      <c r="T7" s="80">
        <f t="shared" ref="T7:T13" si="1">IMABS(S7)</f>
        <v>1.0975682743506159</v>
      </c>
      <c r="U7" s="80">
        <f t="shared" ref="U7:U13" si="2">IMARGUMENT(S7)</f>
        <v>0.42483912736528934</v>
      </c>
      <c r="V7" s="79" t="str">
        <f>IMSUB(COMPLEX(1,0),IMDIV(COMPLEX(0,2*PI()*N7),COMPLEX(wz_RHP_VINmin,0)))</f>
        <v>1-0,112162646805851i</v>
      </c>
      <c r="W7" s="80">
        <f t="shared" ref="W7:W13" si="3">IMABS(V7)</f>
        <v>1.0062705696473957</v>
      </c>
      <c r="X7" s="80">
        <f t="shared" ref="X7:X13" si="4">IMARGUMENT(V7)</f>
        <v>-0.11169581302269091</v>
      </c>
      <c r="Y7" s="79" t="str">
        <f>IMSUM(COMPLEX(1,0),IMDIV(COMPLEX(0,2*PI()*N7),COMPLEX(Q_VINmin*(wsl_VINmin/2),0)),IMDIV(IMPOWER(COMPLEX(0,2*PI()*N7),2),IMPOWER(COMPLEX(wsl_VINmin/2,0),2)))</f>
        <v>0,99963136+2,51997618719949i</v>
      </c>
      <c r="Z7" s="80">
        <f t="shared" ref="Z7:Z13" si="5">IMABS(Y7)</f>
        <v>2.7110040280213394</v>
      </c>
      <c r="AA7" s="80">
        <f t="shared" ref="AA7:AA13" si="6">IMARGUMENT(Y7)</f>
        <v>1.1931528203548016</v>
      </c>
      <c r="AB7" s="78" t="str">
        <f t="shared" ref="AB7:AB13" si="7">(IMDIV(IMPRODUCT(O7,S7,V7),IMPRODUCT(P7,Y7)))</f>
        <v>-0,127182409472677-0,534244000170031i</v>
      </c>
      <c r="AC7" s="83">
        <f t="shared" ref="AC7:AC13" si="8">20*LOG(IMABS(AB7))</f>
        <v>-5.2058015822685597</v>
      </c>
      <c r="AD7" s="79">
        <f t="shared" ref="AD7:AD13" si="9">(180/PI())*IMARGUMENT(AB7)</f>
        <v>-103.39061576143389</v>
      </c>
      <c r="AE7" s="55" t="str">
        <f>COMPLEX($B$67,0)</f>
        <v>34,4450883806789</v>
      </c>
      <c r="AF7" s="56" t="str">
        <f>IMSUM(COMPLEX(1,0),IMDIV(COMPLEX(0,2*PI()*N7),COMPLEX(wp_lf_DCM,0)))</f>
        <v>1+8,14300815810475i</v>
      </c>
      <c r="AG7" s="56">
        <f>IMABS(AF7)</f>
        <v>8.2041807551370134</v>
      </c>
      <c r="AH7" s="56">
        <f>IMARGUMENT(AF7)</f>
        <v>1.4486033997699881</v>
      </c>
      <c r="AI7" s="56" t="str">
        <f>IMSUM(COMPLEX(1,0),IMDIV(COMPLEX(0,2*PI()*N7),COMPLEX(wz1_dcm,0)))</f>
        <v>1+0,45238934211693i</v>
      </c>
      <c r="AJ7" s="56">
        <f>IMABS(AI7)</f>
        <v>1.0975682743506159</v>
      </c>
      <c r="AK7" s="56">
        <f>IMARGUMENT(AI7)</f>
        <v>0.42483912736528934</v>
      </c>
      <c r="AL7" s="56" t="str">
        <f t="shared" ref="AL7:AL13" si="10">IMSUB(COMPLEX(1,0),IMDIV(COMPLEX(0,2*PI()*N7),COMPLEX(wz2_dcm,0)))</f>
        <v>1-0,0307811959238847i</v>
      </c>
      <c r="AM7" s="56">
        <f>IMABS(AL7)</f>
        <v>1.000473628849109</v>
      </c>
      <c r="AN7" s="57">
        <f>IMARGUMENT(AL7)</f>
        <v>-3.0771479903483327E-2</v>
      </c>
      <c r="AO7" s="56" t="str">
        <f>(IMDIV(IMPRODUCT(AE7,AI7,AL7),IMPRODUCT(AF7)))</f>
        <v>2,27578988338477-4,00944572890081i</v>
      </c>
      <c r="AP7" s="56">
        <f>20*LOG(IMABS(AO7))</f>
        <v>13.274585479964765</v>
      </c>
      <c r="AQ7" s="57">
        <f>(180/PI())*IMARGUMENT(AO7)</f>
        <v>-60.420447952912028</v>
      </c>
      <c r="AR7" s="62" t="str">
        <f t="shared" ref="AR7:AR13" si="11">COMPLEX(adc_ea,0)</f>
        <v>-1,36472945891784</v>
      </c>
      <c r="AS7" s="62" t="str">
        <f t="shared" ref="AS7:AS13" si="12">IMSUM(COMPLEX(1,0), IMDIV(COMPLEX(0,2*PI()*N7), COMPLEX(wp0_ea,0)))</f>
        <v>1+0,338884856179793i</v>
      </c>
      <c r="AT7" s="62">
        <f t="shared" ref="AT7:AT13" si="13">IMABS(AS7)</f>
        <v>1.0558612341344855</v>
      </c>
      <c r="AU7" s="62">
        <f t="shared" ref="AU7:AU13" si="14">IMARGUMENT(AS7)</f>
        <v>0.32673857618614188</v>
      </c>
      <c r="AV7" s="62" t="str">
        <f t="shared" ref="AV7:AV13" si="15">IMSUM(COMPLEX(1,0),IMDIV(COMPLEX(0,2*PI()*N7),COMPLEX(wp1_ea,0)))</f>
        <v>1+0,338884856179793i</v>
      </c>
      <c r="AW7" s="62">
        <f t="shared" ref="AW7:AW13" si="16">IMABS(AV7)</f>
        <v>1.0558612341344855</v>
      </c>
      <c r="AX7" s="62">
        <f t="shared" ref="AX7:AX13" si="17">IMARGUMENT(AV7)</f>
        <v>0.32673857618614188</v>
      </c>
      <c r="AY7" s="62" t="str">
        <f t="shared" ref="AY7:AY13" si="18">IMSUM(COMPLEX(1,0),IMDIV(COMPLEX(wz_ea,0),COMPLEX(0,2*PI()*N7)))</f>
        <v>1-0,0442628218005761i</v>
      </c>
      <c r="AZ7" s="62">
        <f t="shared" ref="AZ7:AZ13" si="19">IMABS(AY7)</f>
        <v>1.0009791193595148</v>
      </c>
      <c r="BA7" s="62">
        <f t="shared" ref="BA7:BA13" si="20">IMARGUMENT(AY7)</f>
        <v>-4.4233949198223328E-2</v>
      </c>
      <c r="BB7" s="61" t="str">
        <f>IMDIV(IMPRODUCT(AR7,AY7), AS7)</f>
        <v>-1,20578286130891+0,469028328384805i</v>
      </c>
      <c r="BC7" s="62">
        <f t="shared" ref="BC7:BC13" si="21">20*LOG(IMABS(BB7))</f>
        <v>2.2372947860797061</v>
      </c>
      <c r="BD7" s="63">
        <f t="shared" ref="BD7:BD13" si="22">(180/PI())*IMARGUMENT(BB7)</f>
        <v>158.74483998016615</v>
      </c>
      <c r="BE7" s="61" t="str">
        <f>IMPRODUCT(AB7,BB7)</f>
        <v>0,403929939951487+0,584530106247216i</v>
      </c>
      <c r="BF7" s="64">
        <f t="shared" ref="BF7:BF13" si="23">20*LOG(IMABS(BE7))</f>
        <v>-2.9685067961888576</v>
      </c>
      <c r="BG7" s="63">
        <f t="shared" ref="BG7:BG13" si="24">(180/PI())*IMARGUMENT(BE7)</f>
        <v>55.35422421873222</v>
      </c>
      <c r="BH7" s="61" t="str">
        <f>IMPRODUCT(AO7,BB7)</f>
        <v>-0,863564809349616+5,90193086801582i</v>
      </c>
      <c r="BI7" s="64">
        <f t="shared" ref="BI7:BI13" si="25">20*LOG(IMABS(BH7))</f>
        <v>15.511880266044479</v>
      </c>
      <c r="BJ7" s="63">
        <f t="shared" ref="BJ7:BJ13" si="26">(180/PI())*IMARGUMENT(BH7)</f>
        <v>98.32439202725412</v>
      </c>
      <c r="BK7" s="100">
        <f>IF($B$19=0,BF7,BI7)</f>
        <v>-2.9685067961888576</v>
      </c>
      <c r="BL7" s="60">
        <f>IF($B$19=0,BG7,BJ7)</f>
        <v>55.35422421873222</v>
      </c>
    </row>
    <row r="8" spans="1:67" ht="15.75" thickBot="1" x14ac:dyDescent="0.3">
      <c r="A8" s="69" t="s">
        <v>442</v>
      </c>
      <c r="B8" s="66"/>
      <c r="C8" s="66"/>
      <c r="D8" s="67"/>
      <c r="E8" s="68"/>
      <c r="F8" s="68"/>
      <c r="G8" s="68"/>
      <c r="H8" s="68"/>
      <c r="I8" s="68"/>
      <c r="J8" s="68"/>
      <c r="K8" s="68"/>
      <c r="M8" s="75" t="s">
        <v>518</v>
      </c>
      <c r="N8" s="76">
        <f>Fcross</f>
        <v>2400</v>
      </c>
      <c r="O8" s="82" t="str">
        <f t="shared" ref="O8:O13" si="27">COMPLEX(adc,0)</f>
        <v>22,5</v>
      </c>
      <c r="P8" s="80" t="str">
        <f t="shared" ref="P8:P13" si="28">IMSUM(COMPLEX(1,0),IMDIV(COMPLEX(0,2*PI()*N8),COMPLEX(wp_lf,0)))</f>
        <v>1+16,2860163162095i</v>
      </c>
      <c r="Q8" s="80">
        <f t="shared" ref="Q8:Q13" si="29">IMABS(P8)</f>
        <v>16.316688617848968</v>
      </c>
      <c r="R8" s="80">
        <f t="shared" si="0"/>
        <v>1.5094709501291064</v>
      </c>
      <c r="S8" s="80" t="str">
        <f t="shared" ref="S8:S13" si="30">IMSUM(COMPLEX(1,0),IMDIV(COMPLEX(0,2*PI()*N8),COMPLEX(wz_esr,0)))</f>
        <v>1+0,45238934211693i</v>
      </c>
      <c r="T8" s="80">
        <f t="shared" si="1"/>
        <v>1.0975682743506159</v>
      </c>
      <c r="U8" s="80">
        <f t="shared" si="2"/>
        <v>0.42483912736528934</v>
      </c>
      <c r="V8" s="79" t="str">
        <f t="shared" ref="V8:V13" si="31">IMSUB(COMPLEX(1,0),IMDIV(COMPLEX(0,2*PI()*N8),COMPLEX(wz_rhp,0)))</f>
        <v>1-0,0942477796076937i</v>
      </c>
      <c r="W8" s="80">
        <f t="shared" si="3"/>
        <v>1.0044315028716395</v>
      </c>
      <c r="X8" s="80">
        <f t="shared" si="4"/>
        <v>-9.3970201001702322E-2</v>
      </c>
      <c r="Y8" s="79" t="str">
        <f t="shared" ref="Y8:Y13" si="32">IMSUM(COMPLEX(1,0),IMDIV(COMPLEX(0,2*PI()*N8),COMPLEX(Q*(wsl/2),0)),IMDIV(IMPOWER(COMPLEX(0,2*PI()*N8),2),IMPOWER(COMPLEX(wsl/2,0),2)))</f>
        <v>0,99963136+0,261380508778671i</v>
      </c>
      <c r="Z8" s="80">
        <f t="shared" si="5"/>
        <v>1.0332389008670002</v>
      </c>
      <c r="AA8" s="80">
        <f t="shared" si="6"/>
        <v>0.25575094321251296</v>
      </c>
      <c r="AB8" s="78" t="str">
        <f t="shared" si="7"/>
        <v>0,200126985552984-1,45762706476138i</v>
      </c>
      <c r="AC8" s="83">
        <f t="shared" si="8"/>
        <v>3.3540322835342136</v>
      </c>
      <c r="AD8" s="79">
        <f t="shared" si="9"/>
        <v>-82.182371339908784</v>
      </c>
      <c r="AE8" s="58" t="str">
        <f t="shared" ref="AE8:AE13" si="33">COMPLEX($B$67,0)</f>
        <v>34,4450883806789</v>
      </c>
      <c r="AF8" t="str">
        <f t="shared" ref="AF8:AF13" si="34">IMSUM(COMPLEX(1,0),IMDIV(COMPLEX(0,2*PI()*N8),COMPLEX(wp_lf_DCM,0)))</f>
        <v>1+8,14300815810475i</v>
      </c>
      <c r="AG8">
        <f t="shared" ref="AG8:AG13" si="35">IMABS(AF8)</f>
        <v>8.2041807551370134</v>
      </c>
      <c r="AH8">
        <f t="shared" ref="AH8:AH13" si="36">IMARGUMENT(AF8)</f>
        <v>1.4486033997699881</v>
      </c>
      <c r="AI8" t="str">
        <f t="shared" ref="AI8:AI13" si="37">IMSUM(COMPLEX(1,0),IMDIV(COMPLEX(0,2*PI()*N8),COMPLEX(wz1_dcm,0)))</f>
        <v>1+0,45238934211693i</v>
      </c>
      <c r="AJ8">
        <f t="shared" ref="AJ8:AJ13" si="38">IMABS(AI8)</f>
        <v>1.0975682743506159</v>
      </c>
      <c r="AK8">
        <f t="shared" ref="AK8:AK13" si="39">IMARGUMENT(AI8)</f>
        <v>0.42483912736528934</v>
      </c>
      <c r="AL8" t="str">
        <f t="shared" si="10"/>
        <v>1-0,0307811959238847i</v>
      </c>
      <c r="AM8">
        <f t="shared" ref="AM8:AM13" si="40">IMABS(AL8)</f>
        <v>1.000473628849109</v>
      </c>
      <c r="AN8" s="60">
        <f t="shared" ref="AN8:AN13" si="41">IMARGUMENT(AL8)</f>
        <v>-3.0771479903483327E-2</v>
      </c>
      <c r="AO8" t="str">
        <f t="shared" ref="AO8:AO13" si="42">(IMDIV(IMPRODUCT(AE8,AI8,AL8),IMPRODUCT(AF8)))</f>
        <v>2,27578988338477-4,00944572890081i</v>
      </c>
      <c r="AP8">
        <f t="shared" ref="AP8:AP13" si="43">20*LOG(IMABS(AO8))</f>
        <v>13.274585479964765</v>
      </c>
      <c r="AQ8" s="60">
        <f t="shared" ref="AQ8:AQ13" si="44">(180/PI())*IMARGUMENT(AO8)</f>
        <v>-60.420447952912028</v>
      </c>
      <c r="AR8" s="79" t="str">
        <f t="shared" si="11"/>
        <v>-1,36472945891784</v>
      </c>
      <c r="AS8" s="62" t="str">
        <f t="shared" si="12"/>
        <v>1+0,338884856179793i</v>
      </c>
      <c r="AT8" s="79">
        <f t="shared" si="13"/>
        <v>1.0558612341344855</v>
      </c>
      <c r="AU8" s="79">
        <f t="shared" si="14"/>
        <v>0.32673857618614188</v>
      </c>
      <c r="AV8" s="62" t="str">
        <f t="shared" si="15"/>
        <v>1+0,338884856179793i</v>
      </c>
      <c r="AW8" s="79">
        <f t="shared" si="16"/>
        <v>1.0558612341344855</v>
      </c>
      <c r="AX8" s="79">
        <f t="shared" si="17"/>
        <v>0.32673857618614188</v>
      </c>
      <c r="AY8" s="62" t="str">
        <f t="shared" si="18"/>
        <v>1-0,0442628218005761i</v>
      </c>
      <c r="AZ8" s="79">
        <f t="shared" si="19"/>
        <v>1.0009791193595148</v>
      </c>
      <c r="BA8" s="79">
        <f t="shared" si="20"/>
        <v>-4.4233949198223328E-2</v>
      </c>
      <c r="BB8" s="61" t="str">
        <f t="shared" ref="BB8:BB13" si="45">IMDIV(IMPRODUCT(AR8,AY8), AS8)</f>
        <v>-1,20578286130891+0,469028328384805i</v>
      </c>
      <c r="BC8" s="79">
        <f t="shared" si="21"/>
        <v>2.2372947860797061</v>
      </c>
      <c r="BD8" s="76">
        <f t="shared" si="22"/>
        <v>158.74483998016615</v>
      </c>
      <c r="BE8" s="61" t="str">
        <f t="shared" ref="BE8:BE13" si="46">IMPRODUCT(AB8,BB8)</f>
        <v>0,442358696328276+1,85144695836789i</v>
      </c>
      <c r="BF8" s="83">
        <f t="shared" si="23"/>
        <v>5.5913270696139152</v>
      </c>
      <c r="BG8" s="76">
        <f t="shared" si="24"/>
        <v>76.562468640257364</v>
      </c>
      <c r="BH8" s="99" t="str">
        <f t="shared" ref="BH8:BH13" si="47">IMPRODUCT(AO8,BB8)</f>
        <v>-0,863564809349616+5,90193086801582i</v>
      </c>
      <c r="BI8" s="83">
        <f t="shared" si="25"/>
        <v>15.511880266044479</v>
      </c>
      <c r="BJ8" s="76">
        <f t="shared" si="26"/>
        <v>98.32439202725412</v>
      </c>
      <c r="BK8" s="100">
        <f t="shared" ref="BK8:BK13" si="48">IF($B$19=0,BF8,BI8)</f>
        <v>5.5913270696139152</v>
      </c>
      <c r="BL8" s="60">
        <f t="shared" ref="BL8:BL13" si="49">IF($B$19=0,BG8,BJ8)</f>
        <v>76.562468640257364</v>
      </c>
    </row>
    <row r="9" spans="1:67" ht="15.75" thickBot="1" x14ac:dyDescent="0.3">
      <c r="A9" t="s">
        <v>443</v>
      </c>
      <c r="B9" s="29">
        <f>VIN_MIN</f>
        <v>11</v>
      </c>
      <c r="C9" t="s">
        <v>34</v>
      </c>
      <c r="E9" t="s">
        <v>444</v>
      </c>
      <c r="M9" s="84" t="s">
        <v>519</v>
      </c>
      <c r="N9" s="85">
        <f>wz_rhp/(2*PI())</f>
        <v>25464.790894703248</v>
      </c>
      <c r="O9" s="86" t="str">
        <f t="shared" si="27"/>
        <v>22,5</v>
      </c>
      <c r="P9" s="87" t="str">
        <f t="shared" si="28"/>
        <v>1+172,8i</v>
      </c>
      <c r="Q9" s="87">
        <f t="shared" si="29"/>
        <v>172.8028934942931</v>
      </c>
      <c r="R9" s="87">
        <f t="shared" si="0"/>
        <v>1.5650093543587946</v>
      </c>
      <c r="S9" s="87" t="str">
        <f t="shared" si="30"/>
        <v>1+4,80000000000001i</v>
      </c>
      <c r="T9" s="87">
        <f t="shared" si="1"/>
        <v>4.9030602688525144</v>
      </c>
      <c r="U9" s="87">
        <f t="shared" si="2"/>
        <v>1.3654009376051297</v>
      </c>
      <c r="V9" s="56" t="str">
        <f t="shared" si="31"/>
        <v>1-i</v>
      </c>
      <c r="W9" s="87">
        <f t="shared" si="3"/>
        <v>1.4142135623730951</v>
      </c>
      <c r="X9" s="87">
        <f t="shared" si="4"/>
        <v>-0.78539816339744828</v>
      </c>
      <c r="Y9" s="56" t="str">
        <f t="shared" si="32"/>
        <v>0,958498843180098+2,77333333333333i</v>
      </c>
      <c r="Z9" s="87">
        <f t="shared" si="5"/>
        <v>2.9342968169827919</v>
      </c>
      <c r="AA9" s="87">
        <f t="shared" si="6"/>
        <v>1.2380354710988015</v>
      </c>
      <c r="AB9" s="88" t="str">
        <f t="shared" si="7"/>
        <v>-0,186757833196658-0,244526154828877i</v>
      </c>
      <c r="AC9" s="89">
        <f t="shared" si="8"/>
        <v>-10.237806102980846</v>
      </c>
      <c r="AD9" s="56">
        <f t="shared" si="9"/>
        <v>-127.37092721672538</v>
      </c>
      <c r="AE9" s="58" t="str">
        <f t="shared" si="33"/>
        <v>34,4450883806789</v>
      </c>
      <c r="AF9" t="str">
        <f t="shared" si="34"/>
        <v>1+86,4000000000001i</v>
      </c>
      <c r="AG9">
        <f t="shared" si="35"/>
        <v>86.405786843243419</v>
      </c>
      <c r="AH9">
        <f t="shared" si="36"/>
        <v>1.5592227694971523</v>
      </c>
      <c r="AI9" t="str">
        <f t="shared" si="37"/>
        <v>1+4,80000000000001i</v>
      </c>
      <c r="AJ9">
        <f t="shared" si="38"/>
        <v>4.9030602688525144</v>
      </c>
      <c r="AK9">
        <f t="shared" si="39"/>
        <v>1.3654009376051297</v>
      </c>
      <c r="AL9" t="str">
        <f t="shared" si="10"/>
        <v>1-0,32659863237109i</v>
      </c>
      <c r="AM9">
        <f t="shared" si="40"/>
        <v>1.0519822558706333</v>
      </c>
      <c r="AN9" s="60">
        <f t="shared" si="41"/>
        <v>-0.31567712724199498</v>
      </c>
      <c r="AO9" t="str">
        <f t="shared" si="42"/>
        <v>1,79501833535702-1,00287870461888i</v>
      </c>
      <c r="AP9">
        <f t="shared" si="43"/>
        <v>6.2612024035820664</v>
      </c>
      <c r="AQ9" s="60">
        <f t="shared" si="44"/>
        <v>-29.192140024687731</v>
      </c>
      <c r="AR9" s="56" t="str">
        <f t="shared" si="11"/>
        <v>-1,36472945891784</v>
      </c>
      <c r="AS9" s="62" t="str">
        <f t="shared" si="12"/>
        <v>1+3,59568i</v>
      </c>
      <c r="AT9" s="56">
        <f t="shared" si="13"/>
        <v>3.7321461201833999</v>
      </c>
      <c r="AU9" s="56">
        <f t="shared" si="14"/>
        <v>1.2995396757485675</v>
      </c>
      <c r="AV9" s="62" t="str">
        <f t="shared" si="15"/>
        <v>1+3,59568i</v>
      </c>
      <c r="AW9" s="56">
        <f t="shared" si="16"/>
        <v>3.7321461201833999</v>
      </c>
      <c r="AX9" s="56">
        <f t="shared" si="17"/>
        <v>1.2995396757485675</v>
      </c>
      <c r="AY9" s="62" t="str">
        <f t="shared" si="18"/>
        <v>1-0,00417167267387532i</v>
      </c>
      <c r="AZ9" s="56">
        <f t="shared" si="19"/>
        <v>1.0000087013885919</v>
      </c>
      <c r="BA9" s="56">
        <f t="shared" si="20"/>
        <v>-4.1716484744593755E-3</v>
      </c>
      <c r="BB9" s="61" t="str">
        <f t="shared" si="45"/>
        <v>-0,0965084896860479+0,352706850785329i</v>
      </c>
      <c r="BC9" s="56">
        <f t="shared" si="21"/>
        <v>-8.7381658714722086</v>
      </c>
      <c r="BD9" s="57">
        <f t="shared" si="22"/>
        <v>105.30284341860887</v>
      </c>
      <c r="BE9" s="61" t="str">
        <f t="shared" si="46"/>
        <v>0,104269766423187-0,0422719173150134i</v>
      </c>
      <c r="BF9" s="89">
        <f t="shared" si="23"/>
        <v>-18.975971974453078</v>
      </c>
      <c r="BG9" s="57">
        <f t="shared" si="24"/>
        <v>-22.068083798116565</v>
      </c>
      <c r="BH9" s="99" t="str">
        <f t="shared" si="47"/>
        <v>0,180487681121726+0,729901573286766i</v>
      </c>
      <c r="BI9" s="89">
        <f t="shared" si="25"/>
        <v>-2.476963467890144</v>
      </c>
      <c r="BJ9" s="57">
        <f t="shared" si="26"/>
        <v>76.110703393921099</v>
      </c>
      <c r="BK9" s="100">
        <f t="shared" si="48"/>
        <v>-18.975971974453078</v>
      </c>
      <c r="BL9" s="60">
        <f t="shared" si="49"/>
        <v>-22.068083798116565</v>
      </c>
    </row>
    <row r="10" spans="1:67" ht="15.75" thickBot="1" x14ac:dyDescent="0.3">
      <c r="A10" t="s">
        <v>445</v>
      </c>
      <c r="B10" s="29">
        <f>VIN_TYP</f>
        <v>12</v>
      </c>
      <c r="C10" t="s">
        <v>34</v>
      </c>
      <c r="E10" t="s">
        <v>446</v>
      </c>
      <c r="M10" s="77" t="s">
        <v>478</v>
      </c>
      <c r="N10" s="90">
        <f>wz_esr/(2*PI())</f>
        <v>5305.1647697298449</v>
      </c>
      <c r="O10" s="91" t="str">
        <f t="shared" si="27"/>
        <v>22,5</v>
      </c>
      <c r="P10" s="67" t="str">
        <f t="shared" si="28"/>
        <v>1+36i</v>
      </c>
      <c r="Q10" s="67">
        <f t="shared" si="29"/>
        <v>36.013886210738214</v>
      </c>
      <c r="R10" s="67">
        <f t="shared" si="0"/>
        <v>1.5430256902014756</v>
      </c>
      <c r="S10" s="67" t="str">
        <f t="shared" si="30"/>
        <v>1+i</v>
      </c>
      <c r="T10" s="67">
        <f t="shared" si="1"/>
        <v>1.4142135623730951</v>
      </c>
      <c r="U10" s="67">
        <f t="shared" si="2"/>
        <v>0.78539816339744828</v>
      </c>
      <c r="V10" t="str">
        <f t="shared" si="31"/>
        <v>1-0,208333333333333i</v>
      </c>
      <c r="W10" s="67">
        <f t="shared" si="3"/>
        <v>1.0214708893442719</v>
      </c>
      <c r="X10" s="67">
        <f t="shared" si="4"/>
        <v>-0.20539538918976707</v>
      </c>
      <c r="Y10" t="str">
        <f t="shared" si="32"/>
        <v>0,998198734513025+0,577777777777777i</v>
      </c>
      <c r="Z10" s="67">
        <f t="shared" si="5"/>
        <v>1.1533550511777499</v>
      </c>
      <c r="AA10" s="67">
        <f t="shared" si="6"/>
        <v>0.52470066204431209</v>
      </c>
      <c r="AB10" s="92" t="str">
        <f t="shared" si="7"/>
        <v>0,0649306049550609-0,779812554182634i</v>
      </c>
      <c r="AC10" s="37">
        <f t="shared" si="8"/>
        <v>-2.1301899957537977</v>
      </c>
      <c r="AD10">
        <f t="shared" si="9"/>
        <v>-85.240282103685232</v>
      </c>
      <c r="AE10" s="58" t="str">
        <f t="shared" si="33"/>
        <v>34,4450883806789</v>
      </c>
      <c r="AF10" t="str">
        <f t="shared" si="34"/>
        <v>1+18i</v>
      </c>
      <c r="AG10">
        <f t="shared" si="35"/>
        <v>18.027756377319946</v>
      </c>
      <c r="AH10">
        <f t="shared" si="36"/>
        <v>1.5152978215491797</v>
      </c>
      <c r="AI10" t="str">
        <f t="shared" si="37"/>
        <v>1+i</v>
      </c>
      <c r="AJ10">
        <f t="shared" si="38"/>
        <v>1.4142135623730951</v>
      </c>
      <c r="AK10">
        <f t="shared" si="39"/>
        <v>0.78539816339744828</v>
      </c>
      <c r="AL10" t="str">
        <f t="shared" si="10"/>
        <v>1-0,068041381743977i</v>
      </c>
      <c r="AM10">
        <f t="shared" si="40"/>
        <v>1.0023121418149286</v>
      </c>
      <c r="AN10" s="60">
        <f t="shared" si="41"/>
        <v>-6.7936670323180057E-2</v>
      </c>
      <c r="AO10" t="str">
        <f t="shared" si="42"/>
        <v>1,89111977015922-1,93875888990191i</v>
      </c>
      <c r="AP10">
        <f t="shared" si="43"/>
        <v>8.6540722422455634</v>
      </c>
      <c r="AQ10" s="60">
        <f t="shared" si="44"/>
        <v>-45.712654363825621</v>
      </c>
      <c r="AR10" t="str">
        <f t="shared" si="11"/>
        <v>-1,36472945891784</v>
      </c>
      <c r="AS10" s="62" t="str">
        <f t="shared" si="12"/>
        <v>1+0,7491i</v>
      </c>
      <c r="AT10">
        <f t="shared" si="13"/>
        <v>1.2494602074496011</v>
      </c>
      <c r="AU10">
        <f t="shared" si="14"/>
        <v>0.64292485991752613</v>
      </c>
      <c r="AV10" s="62" t="str">
        <f t="shared" si="15"/>
        <v>1+0,7491i</v>
      </c>
      <c r="AW10">
        <f t="shared" si="16"/>
        <v>1.2494602074496011</v>
      </c>
      <c r="AX10">
        <f t="shared" si="17"/>
        <v>0.64292485991752613</v>
      </c>
      <c r="AY10" s="62" t="str">
        <f t="shared" si="18"/>
        <v>1-0,0200240288346016i</v>
      </c>
      <c r="AZ10">
        <f t="shared" si="19"/>
        <v>1.0002004607731236</v>
      </c>
      <c r="BA10">
        <f t="shared" si="20"/>
        <v>-2.002135318851829E-2</v>
      </c>
      <c r="BB10" s="61" t="str">
        <f t="shared" si="45"/>
        <v>-0,861068968112102+0,672354146049577i</v>
      </c>
      <c r="BC10">
        <f t="shared" si="21"/>
        <v>0.76822374420760275</v>
      </c>
      <c r="BD10" s="60">
        <f t="shared" si="22"/>
        <v>142.01597994484317</v>
      </c>
      <c r="BE10" s="61" t="str">
        <f t="shared" si="46"/>
        <v>0,468400474938655+0,715128752797946i</v>
      </c>
      <c r="BF10" s="37">
        <f t="shared" si="23"/>
        <v>-1.3619662515461959</v>
      </c>
      <c r="BG10" s="60">
        <f t="shared" si="24"/>
        <v>56.775697841158006</v>
      </c>
      <c r="BH10" s="99" t="str">
        <f t="shared" si="47"/>
        <v>-0,32485197125137+2,94090733488888i</v>
      </c>
      <c r="BI10" s="37">
        <f t="shared" si="25"/>
        <v>9.4222959864531735</v>
      </c>
      <c r="BJ10" s="60">
        <f t="shared" si="26"/>
        <v>96.303325581017546</v>
      </c>
      <c r="BK10" s="100">
        <f t="shared" si="48"/>
        <v>-1.3619662515461959</v>
      </c>
      <c r="BL10" s="60">
        <f t="shared" si="49"/>
        <v>56.775697841158006</v>
      </c>
    </row>
    <row r="11" spans="1:67" ht="15.75" thickBot="1" x14ac:dyDescent="0.3">
      <c r="A11" t="s">
        <v>447</v>
      </c>
      <c r="B11" s="29">
        <f>VIN_MAX</f>
        <v>12.5</v>
      </c>
      <c r="C11" t="s">
        <v>34</v>
      </c>
      <c r="E11" t="s">
        <v>448</v>
      </c>
      <c r="M11" s="93" t="s">
        <v>476</v>
      </c>
      <c r="N11" s="94">
        <f>wp_lf/(2*PI())</f>
        <v>147.36568804805123</v>
      </c>
      <c r="O11" s="95" t="str">
        <f t="shared" si="27"/>
        <v>22,5</v>
      </c>
      <c r="P11" s="96" t="str">
        <f t="shared" si="28"/>
        <v>1+i</v>
      </c>
      <c r="Q11" s="96">
        <f t="shared" si="29"/>
        <v>1.4142135623730951</v>
      </c>
      <c r="R11" s="96">
        <f t="shared" si="0"/>
        <v>0.78539816339744828</v>
      </c>
      <c r="S11" s="96" t="str">
        <f t="shared" si="30"/>
        <v>1+0,0277777777777778i</v>
      </c>
      <c r="T11" s="96">
        <f t="shared" si="1"/>
        <v>1.0003857280760615</v>
      </c>
      <c r="U11" s="96">
        <f t="shared" si="2"/>
        <v>2.777063659342106E-2</v>
      </c>
      <c r="V11" s="62" t="str">
        <f t="shared" si="31"/>
        <v>1-0,00578703703703704i</v>
      </c>
      <c r="W11" s="96">
        <f t="shared" si="3"/>
        <v>1.0000167447586406</v>
      </c>
      <c r="X11" s="96">
        <f t="shared" si="4"/>
        <v>-5.7869724361019623E-3</v>
      </c>
      <c r="Y11" s="62" t="str">
        <f t="shared" si="32"/>
        <v>0,999998610134655+0,0160493827160494i</v>
      </c>
      <c r="Z11" s="96">
        <f t="shared" si="5"/>
        <v>1.0001273933638695</v>
      </c>
      <c r="AA11" s="96">
        <f t="shared" si="6"/>
        <v>1.6048027215382132E-2</v>
      </c>
      <c r="AB11" s="97" t="str">
        <f t="shared" si="7"/>
        <v>11,3196899799495-11,1861021996317i</v>
      </c>
      <c r="AC11" s="64">
        <f t="shared" si="8"/>
        <v>24.03573913876712</v>
      </c>
      <c r="AD11" s="62">
        <f t="shared" si="9"/>
        <v>-44.659913054504877</v>
      </c>
      <c r="AE11" s="58" t="str">
        <f t="shared" si="33"/>
        <v>34,4450883806789</v>
      </c>
      <c r="AF11" t="str">
        <f t="shared" si="34"/>
        <v>1+0,500000000000001i</v>
      </c>
      <c r="AG11">
        <f t="shared" si="35"/>
        <v>1.1180339887498953</v>
      </c>
      <c r="AH11">
        <f t="shared" si="36"/>
        <v>0.46364760900080693</v>
      </c>
      <c r="AI11" t="str">
        <f t="shared" si="37"/>
        <v>1+0,0277777777777778i</v>
      </c>
      <c r="AJ11">
        <f t="shared" si="38"/>
        <v>1.0003857280760615</v>
      </c>
      <c r="AK11">
        <f t="shared" si="39"/>
        <v>2.777063659342106E-2</v>
      </c>
      <c r="AL11" t="str">
        <f t="shared" si="10"/>
        <v>1-0,00189003838177714i</v>
      </c>
      <c r="AM11">
        <f t="shared" si="40"/>
        <v>1.0000017861209471</v>
      </c>
      <c r="AN11" s="60">
        <f t="shared" si="41"/>
        <v>-1.8900361312218573E-3</v>
      </c>
      <c r="AO11" t="str">
        <f t="shared" si="42"/>
        <v>27,9141996162228-13,0653943366402i</v>
      </c>
      <c r="AP11">
        <f t="shared" si="43"/>
        <v>29.776811197868597</v>
      </c>
      <c r="AQ11" s="60">
        <f t="shared" si="44"/>
        <v>-25.082201999329691</v>
      </c>
      <c r="AR11" s="62" t="str">
        <f t="shared" si="11"/>
        <v>-1,36472945891784</v>
      </c>
      <c r="AS11" s="62" t="str">
        <f t="shared" si="12"/>
        <v>1+0,0208083333333334i</v>
      </c>
      <c r="AT11" s="62">
        <f t="shared" si="13"/>
        <v>1.0002164699384384</v>
      </c>
      <c r="AU11" s="62">
        <f t="shared" si="14"/>
        <v>2.0805330869199796E-2</v>
      </c>
      <c r="AV11" s="62" t="str">
        <f t="shared" si="15"/>
        <v>1+0,0208083333333334i</v>
      </c>
      <c r="AW11" s="62">
        <f t="shared" si="16"/>
        <v>1.0002164699384384</v>
      </c>
      <c r="AX11" s="62">
        <f t="shared" si="17"/>
        <v>2.0805330869199796E-2</v>
      </c>
      <c r="AY11" s="62" t="str">
        <f t="shared" si="18"/>
        <v>1-0,720865038045655i</v>
      </c>
      <c r="AZ11" s="62">
        <f t="shared" si="19"/>
        <v>1.2327393897643426</v>
      </c>
      <c r="BA11" s="62">
        <f t="shared" si="20"/>
        <v>-0.62459252299165469</v>
      </c>
      <c r="BB11" s="61" t="str">
        <f>IMDIV(IMPRODUCT(AR11,AY11), AS11)</f>
        <v>-1,34367672283546+1,01174542646584i</v>
      </c>
      <c r="BC11" s="62">
        <f t="shared" si="21"/>
        <v>4.5164767598672171</v>
      </c>
      <c r="BD11" s="63">
        <f t="shared" si="22"/>
        <v>143.02142686697178</v>
      </c>
      <c r="BE11" s="61" t="str">
        <f t="shared" si="46"/>
        <v>-3,89251619531509+26,4831497111288i</v>
      </c>
      <c r="BF11" s="64">
        <f t="shared" si="23"/>
        <v>28.552215898634348</v>
      </c>
      <c r="BG11" s="63">
        <f t="shared" si="24"/>
        <v>98.361513812466896</v>
      </c>
      <c r="BH11" s="99" t="str">
        <f t="shared" si="47"/>
        <v>-24,2888072958327+45,7977300399776i</v>
      </c>
      <c r="BI11" s="64">
        <f t="shared" si="25"/>
        <v>34.293287957735814</v>
      </c>
      <c r="BJ11" s="63">
        <f t="shared" si="26"/>
        <v>117.93922486764211</v>
      </c>
      <c r="BK11" s="100">
        <f t="shared" si="48"/>
        <v>28.552215898634348</v>
      </c>
      <c r="BL11" s="60">
        <f t="shared" si="49"/>
        <v>98.361513812466896</v>
      </c>
      <c r="BN11" s="168" t="s">
        <v>697</v>
      </c>
      <c r="BO11" s="168"/>
    </row>
    <row r="12" spans="1:67" ht="15.75" thickBot="1" x14ac:dyDescent="0.3">
      <c r="A12" t="s">
        <v>449</v>
      </c>
      <c r="B12" s="29">
        <f>fsw</f>
        <v>250000</v>
      </c>
      <c r="C12" t="s">
        <v>70</v>
      </c>
      <c r="E12" t="s">
        <v>450</v>
      </c>
      <c r="M12" s="84" t="s">
        <v>497</v>
      </c>
      <c r="N12" s="57">
        <f>wz_ea/(2*PI())</f>
        <v>106.23077232138255</v>
      </c>
      <c r="O12" s="86" t="str">
        <f t="shared" si="27"/>
        <v>22,5</v>
      </c>
      <c r="P12" s="87" t="str">
        <f t="shared" si="28"/>
        <v>1+0,720865038045655i</v>
      </c>
      <c r="Q12" s="87">
        <f t="shared" si="29"/>
        <v>1.2327393897643426</v>
      </c>
      <c r="R12" s="87">
        <f t="shared" si="0"/>
        <v>0.62459252299165469</v>
      </c>
      <c r="S12" s="87" t="str">
        <f t="shared" si="30"/>
        <v>1+0,0200240288346016i</v>
      </c>
      <c r="T12" s="87">
        <f t="shared" si="1"/>
        <v>1.0002004607731236</v>
      </c>
      <c r="U12" s="87">
        <f t="shared" si="2"/>
        <v>2.002135318851829E-2</v>
      </c>
      <c r="V12" s="56" t="str">
        <f t="shared" si="31"/>
        <v>1-0,00417167267387532i</v>
      </c>
      <c r="W12" s="87">
        <f t="shared" si="3"/>
        <v>1.0000087013885919</v>
      </c>
      <c r="X12" s="87">
        <f t="shared" si="4"/>
        <v>-4.1716484744593755E-3</v>
      </c>
      <c r="Y12" s="56" t="str">
        <f t="shared" si="32"/>
        <v>0,999999277761473+0,0115694388822142i</v>
      </c>
      <c r="Z12" s="87">
        <f t="shared" si="5"/>
        <v>1.0000662015284374</v>
      </c>
      <c r="AA12" s="87">
        <f t="shared" si="6"/>
        <v>1.1568931081261519E-2</v>
      </c>
      <c r="AB12" s="88" t="str">
        <f t="shared" si="7"/>
        <v>14,8537526714578-10,6112201032509i</v>
      </c>
      <c r="AC12" s="89">
        <f t="shared" si="8"/>
        <v>25.227466482121763</v>
      </c>
      <c r="AD12" s="56">
        <f t="shared" si="9"/>
        <v>-35.541245220639595</v>
      </c>
      <c r="AE12" s="58" t="str">
        <f t="shared" si="33"/>
        <v>34,4450883806789</v>
      </c>
      <c r="AF12" t="str">
        <f t="shared" si="34"/>
        <v>1+0,360432519022828i</v>
      </c>
      <c r="AG12">
        <f t="shared" si="35"/>
        <v>1.0629730009596392</v>
      </c>
      <c r="AH12">
        <f t="shared" si="36"/>
        <v>0.34593842352649656</v>
      </c>
      <c r="AI12" t="str">
        <f t="shared" si="37"/>
        <v>1+0,0200240288346016i</v>
      </c>
      <c r="AJ12">
        <f t="shared" si="38"/>
        <v>1.0002004607731236</v>
      </c>
      <c r="AK12">
        <f t="shared" si="39"/>
        <v>2.002135318851829E-2</v>
      </c>
      <c r="AL12" t="str">
        <f t="shared" si="10"/>
        <v>1-0,00136246258998753i</v>
      </c>
      <c r="AM12">
        <f t="shared" si="40"/>
        <v>1.0000009281517239</v>
      </c>
      <c r="AN12" s="60">
        <f t="shared" si="41"/>
        <v>-1.3624617469400768E-3</v>
      </c>
      <c r="AO12" t="str">
        <f t="shared" si="42"/>
        <v>30,6906432840087-10,4191065706687i</v>
      </c>
      <c r="AP12">
        <f t="shared" si="43"/>
        <v>30.21385046035153</v>
      </c>
      <c r="AQ12" s="60">
        <f t="shared" si="44"/>
        <v>-18.751735909482285</v>
      </c>
      <c r="AR12" s="56" t="str">
        <f t="shared" si="11"/>
        <v>-1,36472945891784</v>
      </c>
      <c r="AS12" s="62" t="str">
        <f t="shared" si="12"/>
        <v>1+0,015i</v>
      </c>
      <c r="AT12" s="56">
        <f t="shared" si="13"/>
        <v>1.0001124936725867</v>
      </c>
      <c r="AU12" s="56">
        <f t="shared" si="14"/>
        <v>1.4998875151850595E-2</v>
      </c>
      <c r="AV12" s="62" t="str">
        <f t="shared" si="15"/>
        <v>1+0,015i</v>
      </c>
      <c r="AW12" s="56">
        <f t="shared" si="16"/>
        <v>1.0001124936725867</v>
      </c>
      <c r="AX12" s="56">
        <f t="shared" si="17"/>
        <v>1.4998875151850595E-2</v>
      </c>
      <c r="AY12" s="62" t="str">
        <f t="shared" si="18"/>
        <v>1-i</v>
      </c>
      <c r="AZ12" s="56">
        <f t="shared" si="19"/>
        <v>1.4142135623730951</v>
      </c>
      <c r="BA12" s="56">
        <f t="shared" si="20"/>
        <v>-0.78539816339744828</v>
      </c>
      <c r="BB12" s="61" t="str">
        <f t="shared" si="45"/>
        <v>-1,34395612690552+1,38488880082142i</v>
      </c>
      <c r="BC12" s="56">
        <f t="shared" si="21"/>
        <v>5.7102542297577603</v>
      </c>
      <c r="BD12" s="57">
        <f t="shared" si="22"/>
        <v>134.1406277563554</v>
      </c>
      <c r="BE12" s="61" t="str">
        <f t="shared" si="46"/>
        <v>-5,26743202630166+34,8318099965802i</v>
      </c>
      <c r="BF12" s="89">
        <f t="shared" si="23"/>
        <v>30.937720711879511</v>
      </c>
      <c r="BG12" s="57">
        <f t="shared" si="24"/>
        <v>98.599382535715804</v>
      </c>
      <c r="BH12" s="99" t="str">
        <f t="shared" si="47"/>
        <v>-26,8175740759313+56,5059502865605i</v>
      </c>
      <c r="BI12" s="89">
        <f t="shared" si="25"/>
        <v>35.924104690109289</v>
      </c>
      <c r="BJ12" s="57">
        <f t="shared" si="26"/>
        <v>115.38889184687314</v>
      </c>
      <c r="BK12" s="100">
        <f t="shared" si="48"/>
        <v>30.937720711879511</v>
      </c>
      <c r="BL12" s="60">
        <f t="shared" si="49"/>
        <v>98.599382535715804</v>
      </c>
      <c r="BN12" t="s">
        <v>698</v>
      </c>
      <c r="BO12">
        <f>SUM(BN19:BN559)/1000</f>
        <v>4.4668359215096345</v>
      </c>
    </row>
    <row r="13" spans="1:67" ht="15.75" thickBot="1" x14ac:dyDescent="0.3">
      <c r="M13" s="93" t="s">
        <v>499</v>
      </c>
      <c r="N13" s="63">
        <f>wp1_ea/(2*PI())</f>
        <v>7082.0514880921701</v>
      </c>
      <c r="O13" s="95" t="str">
        <f t="shared" si="27"/>
        <v>22,5</v>
      </c>
      <c r="P13" s="96" t="str">
        <f t="shared" si="28"/>
        <v>1+48,0576692030436i</v>
      </c>
      <c r="Q13" s="96">
        <f t="shared" si="29"/>
        <v>48.068072243737475</v>
      </c>
      <c r="R13" s="96">
        <f t="shared" si="0"/>
        <v>1.5499909959256968</v>
      </c>
      <c r="S13" s="96" t="str">
        <f t="shared" si="30"/>
        <v>1+1,3349352556401i</v>
      </c>
      <c r="T13" s="96">
        <f t="shared" si="1"/>
        <v>1.6679484814438661</v>
      </c>
      <c r="U13" s="96">
        <f t="shared" si="2"/>
        <v>0.92787146687736999</v>
      </c>
      <c r="V13" s="62" t="str">
        <f t="shared" si="31"/>
        <v>1-0,278111511591688i</v>
      </c>
      <c r="W13" s="96">
        <f t="shared" si="3"/>
        <v>1.0379527989652582</v>
      </c>
      <c r="X13" s="96">
        <f t="shared" si="4"/>
        <v>-0.27125665104632929</v>
      </c>
      <c r="Y13" s="62" t="str">
        <f t="shared" si="32"/>
        <v>0,996790050990081+0,771295925480946i</v>
      </c>
      <c r="Z13" s="96">
        <f t="shared" si="5"/>
        <v>1.2603522564808289</v>
      </c>
      <c r="AA13" s="96">
        <f t="shared" si="6"/>
        <v>0.65854723990011677</v>
      </c>
      <c r="AB13" s="97" t="str">
        <f t="shared" si="7"/>
        <v>0,0121340874220441-0,642860522220212i</v>
      </c>
      <c r="AC13" s="64">
        <f t="shared" si="8"/>
        <v>-3.8361178743898505</v>
      </c>
      <c r="AD13" s="62">
        <f t="shared" si="9"/>
        <v>-88.918662093209193</v>
      </c>
      <c r="AE13" s="61" t="str">
        <f t="shared" si="33"/>
        <v>34,4450883806789</v>
      </c>
      <c r="AF13" s="62" t="str">
        <f t="shared" si="34"/>
        <v>1+24,0288346015218i</v>
      </c>
      <c r="AG13" s="62">
        <f t="shared" si="35"/>
        <v>24.049633932916553</v>
      </c>
      <c r="AH13" s="62">
        <f t="shared" si="36"/>
        <v>1.5292036611449602</v>
      </c>
      <c r="AI13" s="62" t="str">
        <f t="shared" si="37"/>
        <v>1+1,3349352556401i</v>
      </c>
      <c r="AJ13" s="62">
        <f t="shared" si="38"/>
        <v>1.6679484814438661</v>
      </c>
      <c r="AK13" s="62">
        <f t="shared" si="39"/>
        <v>0.92787146687736999</v>
      </c>
      <c r="AL13" s="62" t="str">
        <f t="shared" si="10"/>
        <v>1-0,0908308393325017i</v>
      </c>
      <c r="AM13" s="62">
        <f t="shared" si="40"/>
        <v>1.00411664729445</v>
      </c>
      <c r="AN13" s="63">
        <f t="shared" si="41"/>
        <v>-9.0582276483097121E-2</v>
      </c>
      <c r="AO13" s="62" t="str">
        <f t="shared" si="42"/>
        <v>1,84710254036953-1,53043486008195i</v>
      </c>
      <c r="AP13" s="62">
        <f t="shared" si="43"/>
        <v>7.5997126561969406</v>
      </c>
      <c r="AQ13" s="63">
        <f t="shared" si="44"/>
        <v>-39.643778958042439</v>
      </c>
      <c r="AR13" s="62" t="str">
        <f t="shared" si="11"/>
        <v>-1,36472945891784</v>
      </c>
      <c r="AS13" s="62" t="str">
        <f t="shared" si="12"/>
        <v>1+i</v>
      </c>
      <c r="AT13" s="62">
        <f t="shared" si="13"/>
        <v>1.4142135623730951</v>
      </c>
      <c r="AU13" s="62">
        <f t="shared" si="14"/>
        <v>0.78539816339744828</v>
      </c>
      <c r="AV13" s="62" t="str">
        <f t="shared" si="15"/>
        <v>1+i</v>
      </c>
      <c r="AW13" s="62">
        <f t="shared" si="16"/>
        <v>1.4142135623730951</v>
      </c>
      <c r="AX13" s="62">
        <f t="shared" si="17"/>
        <v>0.78539816339744828</v>
      </c>
      <c r="AY13" s="62" t="str">
        <f t="shared" si="18"/>
        <v>1-0,015i</v>
      </c>
      <c r="AZ13" s="62">
        <f t="shared" si="19"/>
        <v>1.0001124936725867</v>
      </c>
      <c r="BA13" s="62">
        <f t="shared" si="20"/>
        <v>-1.4998875151850595E-2</v>
      </c>
      <c r="BB13" s="61" t="str">
        <f t="shared" si="45"/>
        <v>-0,672129258517036+0,692600200400804i</v>
      </c>
      <c r="BC13" s="62">
        <f t="shared" si="21"/>
        <v>-0.30839157818190233</v>
      </c>
      <c r="BD13" s="63">
        <f t="shared" si="22"/>
        <v>134.14062775635531</v>
      </c>
      <c r="BE13" s="61" t="str">
        <f t="shared" si="46"/>
        <v>0,437089651337725+0,440489437509934i</v>
      </c>
      <c r="BF13" s="64">
        <f t="shared" si="23"/>
        <v>-4.1445094525717536</v>
      </c>
      <c r="BG13" s="63">
        <f t="shared" si="24"/>
        <v>45.221965663146108</v>
      </c>
      <c r="BH13" s="99" t="str">
        <f t="shared" si="47"/>
        <v>-0,181512170070371+2,30795363733628i</v>
      </c>
      <c r="BI13" s="64">
        <f t="shared" si="25"/>
        <v>7.2913210780150557</v>
      </c>
      <c r="BJ13" s="63">
        <f t="shared" si="26"/>
        <v>94.496848798312854</v>
      </c>
      <c r="BK13" s="100">
        <f t="shared" si="48"/>
        <v>-4.1445094525717536</v>
      </c>
      <c r="BL13" s="60">
        <f t="shared" si="49"/>
        <v>45.221965663146108</v>
      </c>
    </row>
    <row r="14" spans="1:67" x14ac:dyDescent="0.25">
      <c r="A14" t="s">
        <v>451</v>
      </c>
      <c r="B14" s="29">
        <f>LM5122_Quickstart!I82</f>
        <v>12</v>
      </c>
      <c r="C14" t="s">
        <v>34</v>
      </c>
      <c r="D14" t="s">
        <v>452</v>
      </c>
      <c r="BN14" t="s">
        <v>699</v>
      </c>
      <c r="BO14" s="36">
        <f>SUM(BO19:BO559)</f>
        <v>62.463354423063926</v>
      </c>
    </row>
    <row r="15" spans="1:67" ht="15.75" thickBot="1" x14ac:dyDescent="0.3">
      <c r="A15" t="s">
        <v>453</v>
      </c>
      <c r="B15" s="29">
        <f>B18</f>
        <v>5</v>
      </c>
      <c r="C15" t="s">
        <v>33</v>
      </c>
      <c r="D15" t="s">
        <v>454</v>
      </c>
      <c r="N15" s="36" t="s">
        <v>577</v>
      </c>
      <c r="O15">
        <f>B14</f>
        <v>12</v>
      </c>
      <c r="P15" t="s">
        <v>34</v>
      </c>
      <c r="BN15" s="169"/>
      <c r="BO15" s="169"/>
    </row>
    <row r="16" spans="1:67" ht="15.75" thickBot="1" x14ac:dyDescent="0.3">
      <c r="N16" s="106"/>
      <c r="O16" s="259" t="s">
        <v>510</v>
      </c>
      <c r="P16" s="259"/>
      <c r="Q16" s="259"/>
      <c r="R16" s="259"/>
      <c r="S16" s="259"/>
      <c r="T16" s="259"/>
      <c r="U16" s="259"/>
      <c r="V16" s="259"/>
      <c r="W16" s="259"/>
      <c r="X16" s="259"/>
      <c r="Y16" s="259"/>
      <c r="Z16" s="259"/>
      <c r="AA16" s="259"/>
      <c r="AB16" s="259"/>
      <c r="AC16" s="259"/>
      <c r="AD16" s="260"/>
      <c r="AE16" s="265" t="s">
        <v>578</v>
      </c>
      <c r="AF16" s="259"/>
      <c r="AG16" s="259"/>
      <c r="AH16" s="259"/>
      <c r="AI16" s="259"/>
      <c r="AJ16" s="259"/>
      <c r="AK16" s="259"/>
      <c r="AL16" s="259"/>
      <c r="AM16" s="259"/>
      <c r="AN16" s="259"/>
      <c r="AO16" s="259"/>
      <c r="AP16" s="259"/>
      <c r="AQ16" s="260"/>
      <c r="AR16" s="265" t="s">
        <v>490</v>
      </c>
      <c r="AS16" s="259"/>
      <c r="AT16" s="259"/>
      <c r="AU16" s="259"/>
      <c r="AV16" s="259"/>
      <c r="AW16" s="259"/>
      <c r="AX16" s="259"/>
      <c r="AY16" s="259"/>
      <c r="AZ16" s="259"/>
      <c r="BA16" s="259"/>
      <c r="BB16" s="259"/>
      <c r="BC16" s="259"/>
      <c r="BD16" s="260"/>
      <c r="BE16" s="265" t="s">
        <v>547</v>
      </c>
      <c r="BF16" s="259"/>
      <c r="BG16" s="260"/>
      <c r="BH16" s="265" t="s">
        <v>575</v>
      </c>
      <c r="BI16" s="259"/>
      <c r="BJ16" s="260"/>
      <c r="BK16" s="265" t="s">
        <v>548</v>
      </c>
      <c r="BL16" s="260"/>
      <c r="BN16" s="169"/>
      <c r="BO16" s="169"/>
    </row>
    <row r="17" spans="1:67" x14ac:dyDescent="0.25">
      <c r="A17" t="s">
        <v>222</v>
      </c>
      <c r="B17" s="29">
        <f>VOUT</f>
        <v>18</v>
      </c>
      <c r="C17" t="s">
        <v>34</v>
      </c>
      <c r="E17" t="s">
        <v>216</v>
      </c>
      <c r="N17" s="107"/>
      <c r="P17" s="261" t="s">
        <v>476</v>
      </c>
      <c r="Q17" s="261"/>
      <c r="R17" s="261"/>
      <c r="S17" s="262" t="s">
        <v>478</v>
      </c>
      <c r="T17" s="262"/>
      <c r="U17" s="262"/>
      <c r="V17" s="262" t="s">
        <v>519</v>
      </c>
      <c r="W17" s="262"/>
      <c r="X17" s="262"/>
      <c r="Y17" s="262" t="s">
        <v>511</v>
      </c>
      <c r="Z17" s="262"/>
      <c r="AA17" s="262"/>
      <c r="AB17" s="263" t="s">
        <v>512</v>
      </c>
      <c r="AC17" s="262"/>
      <c r="AD17" s="264"/>
      <c r="AE17" s="101"/>
      <c r="AF17" s="261" t="s">
        <v>476</v>
      </c>
      <c r="AG17" s="261"/>
      <c r="AH17" s="261"/>
      <c r="AI17" s="268" t="s">
        <v>478</v>
      </c>
      <c r="AJ17" s="268"/>
      <c r="AK17" s="268"/>
      <c r="AL17" s="262" t="s">
        <v>519</v>
      </c>
      <c r="AM17" s="262"/>
      <c r="AN17" s="262"/>
      <c r="AO17" s="269" t="s">
        <v>512</v>
      </c>
      <c r="AP17" s="268"/>
      <c r="AQ17" s="270"/>
      <c r="AS17" s="262" t="s">
        <v>498</v>
      </c>
      <c r="AT17" s="262"/>
      <c r="AU17" s="262"/>
      <c r="AV17" s="262" t="s">
        <v>499</v>
      </c>
      <c r="AW17" s="262"/>
      <c r="AX17" s="262"/>
      <c r="AY17" s="262" t="s">
        <v>497</v>
      </c>
      <c r="AZ17" s="262"/>
      <c r="BA17" s="262"/>
      <c r="BB17" s="263" t="s">
        <v>512</v>
      </c>
      <c r="BC17" s="262"/>
      <c r="BD17" s="264"/>
      <c r="BE17" s="263" t="s">
        <v>512</v>
      </c>
      <c r="BF17" s="262"/>
      <c r="BG17" s="264"/>
      <c r="BH17" s="263" t="s">
        <v>512</v>
      </c>
      <c r="BI17" s="262"/>
      <c r="BJ17" s="264"/>
      <c r="BL17" s="60"/>
      <c r="BN17" s="169"/>
      <c r="BO17" s="169"/>
    </row>
    <row r="18" spans="1:67" ht="15.75" thickBot="1" x14ac:dyDescent="0.3">
      <c r="A18" t="s">
        <v>223</v>
      </c>
      <c r="B18" s="29">
        <f>IOUT_np</f>
        <v>5</v>
      </c>
      <c r="C18" t="s">
        <v>33</v>
      </c>
      <c r="E18" t="s">
        <v>468</v>
      </c>
      <c r="M18" s="66"/>
      <c r="N18" s="108" t="s">
        <v>579</v>
      </c>
      <c r="O18" s="96" t="s">
        <v>367</v>
      </c>
      <c r="P18" s="62" t="s">
        <v>513</v>
      </c>
      <c r="Q18" s="96" t="s">
        <v>514</v>
      </c>
      <c r="R18" s="96" t="s">
        <v>515</v>
      </c>
      <c r="S18" s="96" t="s">
        <v>513</v>
      </c>
      <c r="T18" s="96" t="s">
        <v>514</v>
      </c>
      <c r="U18" s="96" t="s">
        <v>515</v>
      </c>
      <c r="V18" s="96" t="s">
        <v>513</v>
      </c>
      <c r="W18" s="96" t="s">
        <v>514</v>
      </c>
      <c r="X18" s="96" t="s">
        <v>515</v>
      </c>
      <c r="Y18" s="96" t="s">
        <v>513</v>
      </c>
      <c r="Z18" s="96" t="s">
        <v>514</v>
      </c>
      <c r="AA18" s="96" t="s">
        <v>515</v>
      </c>
      <c r="AB18" s="97" t="s">
        <v>516</v>
      </c>
      <c r="AC18" s="96" t="s">
        <v>514</v>
      </c>
      <c r="AD18" s="109" t="s">
        <v>515</v>
      </c>
      <c r="AE18" s="96" t="s">
        <v>367</v>
      </c>
      <c r="AF18" s="96" t="s">
        <v>513</v>
      </c>
      <c r="AG18" s="96" t="s">
        <v>550</v>
      </c>
      <c r="AH18" s="96" t="s">
        <v>515</v>
      </c>
      <c r="AI18" s="96" t="s">
        <v>513</v>
      </c>
      <c r="AJ18" s="96" t="s">
        <v>550</v>
      </c>
      <c r="AK18" s="96" t="s">
        <v>515</v>
      </c>
      <c r="AL18" s="96" t="s">
        <v>513</v>
      </c>
      <c r="AM18" s="96" t="s">
        <v>550</v>
      </c>
      <c r="AN18" s="96" t="s">
        <v>515</v>
      </c>
      <c r="AO18" s="97" t="s">
        <v>516</v>
      </c>
      <c r="AP18" s="96" t="s">
        <v>514</v>
      </c>
      <c r="AQ18" s="109" t="s">
        <v>515</v>
      </c>
      <c r="AR18" s="96" t="s">
        <v>549</v>
      </c>
      <c r="AS18" s="96" t="s">
        <v>513</v>
      </c>
      <c r="AT18" s="96" t="s">
        <v>550</v>
      </c>
      <c r="AU18" s="96" t="s">
        <v>515</v>
      </c>
      <c r="AV18" s="96" t="s">
        <v>513</v>
      </c>
      <c r="AW18" s="96" t="s">
        <v>550</v>
      </c>
      <c r="AX18" s="96" t="s">
        <v>515</v>
      </c>
      <c r="AY18" s="96" t="s">
        <v>513</v>
      </c>
      <c r="AZ18" s="96" t="s">
        <v>550</v>
      </c>
      <c r="BA18" s="96" t="s">
        <v>515</v>
      </c>
      <c r="BB18" s="97" t="s">
        <v>516</v>
      </c>
      <c r="BC18" s="96" t="s">
        <v>514</v>
      </c>
      <c r="BD18" s="109" t="s">
        <v>515</v>
      </c>
      <c r="BE18" s="97" t="s">
        <v>516</v>
      </c>
      <c r="BF18" s="96" t="s">
        <v>514</v>
      </c>
      <c r="BG18" s="109" t="s">
        <v>515</v>
      </c>
      <c r="BH18" s="97" t="s">
        <v>516</v>
      </c>
      <c r="BI18" s="96" t="s">
        <v>514</v>
      </c>
      <c r="BJ18" s="109" t="s">
        <v>515</v>
      </c>
      <c r="BK18" s="67" t="s">
        <v>580</v>
      </c>
      <c r="BL18" s="110" t="s">
        <v>581</v>
      </c>
      <c r="BN18" s="169" t="s">
        <v>700</v>
      </c>
      <c r="BO18" s="169" t="s">
        <v>701</v>
      </c>
    </row>
    <row r="19" spans="1:67" x14ac:dyDescent="0.25">
      <c r="A19" t="s">
        <v>576</v>
      </c>
      <c r="B19" s="21">
        <v>0</v>
      </c>
      <c r="E19" t="s">
        <v>707</v>
      </c>
      <c r="J19" t="s">
        <v>706</v>
      </c>
      <c r="K19" s="174">
        <f>IF(Calculations!B17=2,1,0)</f>
        <v>0</v>
      </c>
      <c r="M19" s="66">
        <v>1</v>
      </c>
      <c r="N19" s="36">
        <f>10^(1+(M19/100))</f>
        <v>10.232929922807543</v>
      </c>
      <c r="O19" s="91" t="str">
        <f>COMPLEX(adc,0)</f>
        <v>22,5</v>
      </c>
      <c r="P19" s="67" t="str">
        <f>IMSUM(COMPLEX(1,0),IMDIV(COMPLEX(0,2*PI()*N19),COMPLEX(wp_lf,0)))</f>
        <v>1+0,0694390265356133i</v>
      </c>
      <c r="Q19" s="67">
        <f>IMABS(P19)</f>
        <v>1.0024079899951983</v>
      </c>
      <c r="R19" s="67">
        <f>IMARGUMENT(P19)</f>
        <v>6.932774177999261E-2</v>
      </c>
      <c r="S19" s="67" t="str">
        <f>IMSUM(COMPLEX(1,0),IMDIV(COMPLEX(0,2*PI()*N19),COMPLEX(wz_esr,0)))</f>
        <v>1+0,00192886184821148i</v>
      </c>
      <c r="T19" s="67">
        <f>IMABS(S19)</f>
        <v>1.0000018602522844</v>
      </c>
      <c r="U19" s="67">
        <f>IMARGUMENT(S19)</f>
        <v>1.9288594561014886E-3</v>
      </c>
      <c r="V19" t="str">
        <f>IMSUB(COMPLEX(1,0),IMDIV(COMPLEX(0,2*PI()*N19),COMPLEX(wz_rhp,0)))</f>
        <v>1-0,000401846218377392i</v>
      </c>
      <c r="W19" s="67">
        <f>IMABS(V19)</f>
        <v>1.0000000807401883</v>
      </c>
      <c r="X19" s="67">
        <f>IMARGUMENT(V19)</f>
        <v>-4.0184619674730028E-4</v>
      </c>
      <c r="Y19" t="str">
        <f>IMSUM(COMPLEX(1,0),IMDIV(COMPLEX(0,2*PI()*N19),COMPLEX(Q*(wsl/2),0)),IMDIV(IMPOWER(COMPLEX(0,2*PI()*N19),2),IMPOWER(COMPLEX(wsl/2,0),2)))</f>
        <v>0,999999993298377+0,00111445351229997i</v>
      </c>
      <c r="Z19" s="67">
        <f>IMABS(Y19)</f>
        <v>1.0000006143015039</v>
      </c>
      <c r="AA19" s="67">
        <f>IMARGUMENT(Y19)</f>
        <v>1.1144530583827347E-3</v>
      </c>
      <c r="AB19" s="92" t="str">
        <f>(IMDIV(IMPRODUCT(O19,S19,V19),IMPRODUCT(P19,Y19)))</f>
        <v>22,3926998748579-1,54564466424061i</v>
      </c>
      <c r="AC19" s="37">
        <f>20*LOG(IMABS(AB19))</f>
        <v>27.022771492204456</v>
      </c>
      <c r="AD19" s="60">
        <f>(180/PI())*IMARGUMENT(AB19)</f>
        <v>-3.948549048855631</v>
      </c>
      <c r="AE19" t="str">
        <f>COMPLEX($B$67,0)</f>
        <v>34,4450883806789</v>
      </c>
      <c r="AF19" t="str">
        <f>IMSUM(COMPLEX(1,0),IMDIV(COMPLEX(0,2*PI()*N19),COMPLEX(wp_lf_DCM,0)))</f>
        <v>1+0,0347195132678067i</v>
      </c>
      <c r="AG19">
        <f>IMABS(AF19)</f>
        <v>1.0006025407730852</v>
      </c>
      <c r="AH19">
        <f>IMARGUMENT(AF19)</f>
        <v>3.4705572532676421E-2</v>
      </c>
      <c r="AI19" t="str">
        <f t="shared" ref="AI19:AI82" si="50">IMSUM(COMPLEX(1,0),IMDIV(COMPLEX(0,2*PI()*N19),COMPLEX(wz1_dcm,0)))</f>
        <v>1+0,00192886184821148i</v>
      </c>
      <c r="AJ19">
        <f>IMABS(AI19)</f>
        <v>1.0000018602522844</v>
      </c>
      <c r="AK19">
        <f>IMARGUMENT(AI19)</f>
        <v>1.9288594561014886E-3</v>
      </c>
      <c r="AL19" t="str">
        <f>IMSUB(COMPLEX(1,0),IMDIV(COMPLEX(0,2*PI()*N19),COMPLEX(wz2_dcm,0)))</f>
        <v>1-0,000131242425345551i</v>
      </c>
      <c r="AM19">
        <f>IMABS(AL19)</f>
        <v>1.0000000086122871</v>
      </c>
      <c r="AN19">
        <f>IMARGUMENT(AL19)</f>
        <v>-1.3124242459201937E-4</v>
      </c>
      <c r="AO19" s="58" t="str">
        <f>(IMDIV(IMPRODUCT(AE19,AI19,AL19),IMPRODUCT(AF19)))</f>
        <v>34,4057726505912-1,1326325201359i</v>
      </c>
      <c r="AP19">
        <f>20*LOG(IMABS(AO19))</f>
        <v>30.737330274593884</v>
      </c>
      <c r="AQ19" s="60">
        <f>(180/PI())*IMARGUMENT(AO19)</f>
        <v>-1.8854869626211856</v>
      </c>
      <c r="AR19" t="str">
        <f>COMPLEX(adc_ea,0)</f>
        <v>-1,36472945891784</v>
      </c>
      <c r="AS19" t="str">
        <f t="shared" ref="AS19:AS82" si="51">IMSUM(COMPLEX(1,0), IMDIV(COMPLEX(0,2*PI()*N19), COMPLEX(wp0_ea,0)))</f>
        <v>1+0,00144491041049522i</v>
      </c>
      <c r="AT19">
        <f>IMABS(AS19)</f>
        <v>1.0000010438825024</v>
      </c>
      <c r="AU19">
        <f>IMARGUMENT(AS19)</f>
        <v>1.4449094049514915E-3</v>
      </c>
      <c r="AV19" t="str">
        <f t="shared" ref="AV19:AV82" si="52">IMSUM(COMPLEX(1,0),IMDIV(COMPLEX(0,2*PI()*N19),COMPLEX(wp1_ea,0)))</f>
        <v>1+0,00144491041049522i</v>
      </c>
      <c r="AW19">
        <f>IMABS(AV19)</f>
        <v>1.0000010438825024</v>
      </c>
      <c r="AX19">
        <f>IMARGUMENT(AV19)</f>
        <v>1.4449094049514915E-3</v>
      </c>
      <c r="AY19" t="str">
        <f t="shared" ref="AY19:AY82" si="53">IMSUM(COMPLEX(1,0),IMDIV(COMPLEX(wz_ea,0),COMPLEX(0,2*PI()*N19)))</f>
        <v>1-10,3812664723337i</v>
      </c>
      <c r="AZ19">
        <f>IMABS(AY19)</f>
        <v>10.429318940832129</v>
      </c>
      <c r="BA19">
        <f>IMARGUMENT(AY19)</f>
        <v>-1.4747652575261228</v>
      </c>
      <c r="BB19" s="58" t="str">
        <f>IMDIV(IMPRODUCT(AR19,AY19), AS19)</f>
        <v>-1,34425571054258+14,1695625047404i</v>
      </c>
      <c r="BC19">
        <f>20*LOG(IMABS(BB19))</f>
        <v>23.066041236679048</v>
      </c>
      <c r="BD19" s="60">
        <f>(180/PI())*IMARGUMENT(BB19)</f>
        <v>95.419387760546726</v>
      </c>
      <c r="BE19" s="58" t="str">
        <f>IMPRODUCT(AB19,BB19)</f>
        <v>-8,20040600116804+319,372502193067i</v>
      </c>
      <c r="BF19" s="37">
        <f>20*LOG(IMABS(BE19))</f>
        <v>50.088812728883518</v>
      </c>
      <c r="BG19" s="60">
        <f>(180/PI())*IMARGUMENT(BE19)</f>
        <v>91.470838711691101</v>
      </c>
      <c r="BH19" s="58" t="str">
        <f>IMPRODUCT(AO19,BB19)</f>
        <v>-30,2012490722197+489,037293829579i</v>
      </c>
      <c r="BI19" s="37">
        <f>20*LOG(IMABS(BH19))</f>
        <v>53.803371511272942</v>
      </c>
      <c r="BJ19" s="60">
        <f>(180/PI())*IMARGUMENT(BH19)</f>
        <v>93.53390079792554</v>
      </c>
      <c r="BK19">
        <f>IF($B$19=0,BF19,BI19)</f>
        <v>50.088812728883518</v>
      </c>
      <c r="BL19" s="60">
        <f>IF($B$19=0,BG19,BJ19)</f>
        <v>91.470838711691101</v>
      </c>
      <c r="BN19">
        <f>SUM((BK20&lt;0)*(BK19&gt;0))*N19</f>
        <v>0</v>
      </c>
      <c r="BO19">
        <f>IF(BN19&gt;0,BL19,0)</f>
        <v>0</v>
      </c>
    </row>
    <row r="20" spans="1:67" x14ac:dyDescent="0.25">
      <c r="A20" t="s">
        <v>455</v>
      </c>
      <c r="M20" s="66">
        <v>2</v>
      </c>
      <c r="N20" s="36">
        <f t="shared" ref="N20:N83" si="54">10^(1+(M20/100))</f>
        <v>10.471285480509</v>
      </c>
      <c r="O20" s="91" t="str">
        <f t="shared" ref="O20:O82" si="55">COMPLEX(adc,0)</f>
        <v>22,5</v>
      </c>
      <c r="P20" s="67" t="str">
        <f t="shared" ref="P20:P82" si="56">IMSUM(COMPLEX(1,0),IMDIV(COMPLEX(0,2*PI()*N20),COMPLEX(wp_lf,0)))</f>
        <v>1+0,0710564692446905i</v>
      </c>
      <c r="Q20" s="67">
        <f t="shared" ref="Q20:Q83" si="57">IMABS(P20)</f>
        <v>1.0025213323523452</v>
      </c>
      <c r="R20" s="67">
        <f t="shared" ref="R20:R83" si="58">IMARGUMENT(P20)</f>
        <v>7.0937241671787166E-2</v>
      </c>
      <c r="S20" s="67" t="str">
        <f t="shared" ref="S20:S82" si="59">IMSUM(COMPLEX(1,0),IMDIV(COMPLEX(0,2*PI()*N20),COMPLEX(wz_esr,0)))</f>
        <v>1+0,00197379081235252i</v>
      </c>
      <c r="T20" s="67">
        <f t="shared" ref="T20:T83" si="60">IMABS(S20)</f>
        <v>1.0000019479231883</v>
      </c>
      <c r="U20" s="67">
        <f t="shared" ref="U20:U83" si="61">IMARGUMENT(S20)</f>
        <v>1.9737882491607534E-3</v>
      </c>
      <c r="V20" t="str">
        <f t="shared" ref="V20:V82" si="62">IMSUB(COMPLEX(1,0),IMDIV(COMPLEX(0,2*PI()*N20),COMPLEX(wz_rhp,0)))</f>
        <v>1-0,000411206419240107i</v>
      </c>
      <c r="W20" s="67">
        <f t="shared" ref="W20:W83" si="63">IMABS(V20)</f>
        <v>1.000000084545356</v>
      </c>
      <c r="X20" s="67">
        <f t="shared" ref="X20:X83" si="64">IMARGUMENT(V20)</f>
        <v>-4.112063960630463E-4</v>
      </c>
      <c r="Y20" t="str">
        <f t="shared" ref="Y20:Y82" si="65">IMSUM(COMPLEX(1,0),IMDIV(COMPLEX(0,2*PI()*N20),COMPLEX(Q*(wsl/2),0)),IMDIV(IMPOWER(COMPLEX(0,2*PI()*N20),2),IMPOWER(COMPLEX(wsl/2,0),2)))</f>
        <v>0,999999992982539+0,00114041246935923i</v>
      </c>
      <c r="Z20" s="67">
        <f t="shared" ref="Z20:Z83" si="66">IMABS(Y20)</f>
        <v>1.0000006432526323</v>
      </c>
      <c r="AA20" s="67">
        <f t="shared" ref="AA20:AA83" si="67">IMARGUMENT(Y20)</f>
        <v>1.1404119829781663E-3</v>
      </c>
      <c r="AB20" s="92" t="str">
        <f t="shared" ref="AB20:AB83" si="68">(IMDIV(IMPRODUCT(O20,S20,V20),IMPRODUCT(P20,Y20)))</f>
        <v>22,3876683797746-1,58128983469634i</v>
      </c>
      <c r="AC20" s="37">
        <f t="shared" ref="AC20:AC83" si="69">20*LOG(IMABS(AB20))</f>
        <v>27.021789976523483</v>
      </c>
      <c r="AD20" s="60">
        <f t="shared" ref="AD20:AD83" si="70">(180/PI())*IMARGUMENT(AB20)</f>
        <v>-4.0402160062975048</v>
      </c>
      <c r="AE20" t="str">
        <f t="shared" ref="AE20:AE83" si="71">COMPLEX($B$67,0)</f>
        <v>34,4450883806789</v>
      </c>
      <c r="AF20" t="str">
        <f t="shared" ref="AF20:AF82" si="72">IMSUM(COMPLEX(1,0),IMDIV(COMPLEX(0,2*PI()*N20),COMPLEX(wp_lf_DCM,0)))</f>
        <v>1+0,0355282346223453i</v>
      </c>
      <c r="AG20">
        <f t="shared" ref="AG20:AG83" si="73">IMABS(AF20)</f>
        <v>1.0006309286921828</v>
      </c>
      <c r="AH20">
        <f t="shared" ref="AH20:AH83" si="74">IMARGUMENT(AF20)</f>
        <v>3.5513297364171734E-2</v>
      </c>
      <c r="AI20" t="str">
        <f t="shared" si="50"/>
        <v>1+0,00197379081235252i</v>
      </c>
      <c r="AJ20">
        <f t="shared" ref="AJ20:AJ83" si="75">IMABS(AI20)</f>
        <v>1.0000019479231883</v>
      </c>
      <c r="AK20">
        <f t="shared" ref="AK20:AK83" si="76">IMARGUMENT(AI20)</f>
        <v>1.9737882491607534E-3</v>
      </c>
      <c r="AL20" t="str">
        <f t="shared" ref="AL20:AL82" si="77">IMSUB(COMPLEX(1,0),IMDIV(COMPLEX(0,2*PI()*N20),COMPLEX(wz2_dcm,0)))</f>
        <v>1-0,000134299454146032i</v>
      </c>
      <c r="AM20">
        <f t="shared" ref="AM20:AM83" si="78">IMABS(AL20)</f>
        <v>1.0000000090181715</v>
      </c>
      <c r="AN20">
        <f t="shared" ref="AN20:AN83" si="79">IMARGUMENT(AL20)</f>
        <v>-1.3429945333860832E-4</v>
      </c>
      <c r="AO20" s="58" t="str">
        <f t="shared" ref="AO20:AO83" si="80">(IMDIV(IMPRODUCT(AE20,AI20,AL20),IMPRODUCT(AF20)))</f>
        <v>34,4039220931928-1,15894917364693i</v>
      </c>
      <c r="AP20">
        <f t="shared" ref="AP20:AP83" si="81">20*LOG(IMABS(AO20))</f>
        <v>30.737084617262575</v>
      </c>
      <c r="AQ20" s="60">
        <f t="shared" ref="AQ20:AQ83" si="82">(180/PI())*IMARGUMENT(AO20)</f>
        <v>-1.9293671110979083</v>
      </c>
      <c r="AR20" t="str">
        <f t="shared" ref="AR20:AR82" si="83">COMPLEX(adc_ea,0)</f>
        <v>-1,36472945891784</v>
      </c>
      <c r="AS20" t="str">
        <f t="shared" si="51"/>
        <v>1+0,00147856669753327i</v>
      </c>
      <c r="AT20">
        <f t="shared" ref="AT20:AT83" si="84">IMABS(AS20)</f>
        <v>1.0000010930791421</v>
      </c>
      <c r="AU20">
        <f t="shared" ref="AU20:AU83" si="85">IMARGUMENT(AS20)</f>
        <v>1.4785656200738163E-3</v>
      </c>
      <c r="AV20" t="str">
        <f t="shared" si="52"/>
        <v>1+0,00147856669753327i</v>
      </c>
      <c r="AW20">
        <f t="shared" ref="AW20:AW83" si="86">IMABS(AV20)</f>
        <v>1.0000010930791421</v>
      </c>
      <c r="AX20">
        <f t="shared" ref="AX20:AX83" si="87">IMARGUMENT(AV20)</f>
        <v>1.4785656200738163E-3</v>
      </c>
      <c r="AY20" t="str">
        <f t="shared" si="53"/>
        <v>1-10,1449599974251i</v>
      </c>
      <c r="AZ20">
        <f t="shared" ref="AZ20:AZ83" si="88">IMABS(AY20)</f>
        <v>10.194126414232633</v>
      </c>
      <c r="BA20">
        <f t="shared" ref="BA20:BA83" si="89">IMARGUMENT(AY20)</f>
        <v>-1.4725426129733086</v>
      </c>
      <c r="BB20" s="58" t="str">
        <f t="shared" ref="BB20:BB83" si="90">IMDIV(IMPRODUCT(AR20,AY20), AS20)</f>
        <v>-1,344255578277+13,8471133395601i</v>
      </c>
      <c r="BC20">
        <f t="shared" ref="BC20:BC83" si="91">20*LOG(IMABS(BB20))</f>
        <v>22.867922128201279</v>
      </c>
      <c r="BD20" s="60">
        <f t="shared" ref="BD20:BD83" si="92">(180/PI())*IMARGUMENT(BB20)</f>
        <v>95.544807553699826</v>
      </c>
      <c r="BE20" s="58" t="str">
        <f t="shared" ref="BE20:BE83" si="93">IMPRODUCT(AB20,BB20)</f>
        <v>-8,19844854039314+312,130239144388i</v>
      </c>
      <c r="BF20" s="37">
        <f t="shared" ref="BF20:BF83" si="94">20*LOG(IMABS(BE20))</f>
        <v>49.889712104724765</v>
      </c>
      <c r="BG20" s="60">
        <f t="shared" ref="BG20:BG83" si="95">(180/PI())*IMARGUMENT(BE20)</f>
        <v>91.504591547402327</v>
      </c>
      <c r="BH20" s="58" t="str">
        <f t="shared" ref="BH20:BH83" si="96">IMPRODUCT(AO20,BB20)</f>
        <v>-30,1995636261032+477,952932441451i</v>
      </c>
      <c r="BI20" s="37">
        <f t="shared" ref="BI20:BI83" si="97">20*LOG(IMABS(BH20))</f>
        <v>53.605006745463861</v>
      </c>
      <c r="BJ20" s="60">
        <f t="shared" ref="BJ20:BJ83" si="98">(180/PI())*IMARGUMENT(BH20)</f>
        <v>93.615440442601923</v>
      </c>
      <c r="BK20">
        <f t="shared" ref="BK20:BK83" si="99">IF($B$19=0,BF20,BI20)</f>
        <v>49.889712104724765</v>
      </c>
      <c r="BL20" s="60">
        <f t="shared" ref="BL20:BL83" si="100">IF($B$19=0,BG20,BJ20)</f>
        <v>91.504591547402327</v>
      </c>
      <c r="BN20">
        <f>SUM((BK21&lt;0)*(BK20&gt;0))*N20</f>
        <v>0</v>
      </c>
      <c r="BO20">
        <f>IF(BN20&gt;0,BL20,0)</f>
        <v>0</v>
      </c>
    </row>
    <row r="21" spans="1:67" x14ac:dyDescent="0.25">
      <c r="A21" t="s">
        <v>456</v>
      </c>
      <c r="B21" s="29">
        <f>Lm</f>
        <v>1.0000000000000001E-5</v>
      </c>
      <c r="C21" t="s">
        <v>246</v>
      </c>
      <c r="E21" t="s">
        <v>457</v>
      </c>
      <c r="M21" s="66">
        <v>3</v>
      </c>
      <c r="N21" s="36">
        <f t="shared" si="54"/>
        <v>10.715193052376069</v>
      </c>
      <c r="O21" s="91" t="str">
        <f t="shared" si="55"/>
        <v>22,5</v>
      </c>
      <c r="P21" s="67" t="str">
        <f t="shared" si="56"/>
        <v>1+0,0727115870343047i</v>
      </c>
      <c r="Q21" s="67">
        <f t="shared" si="57"/>
        <v>1.0026400026375604</v>
      </c>
      <c r="R21" s="67">
        <f t="shared" si="58"/>
        <v>7.2583850548952805E-2</v>
      </c>
      <c r="S21" s="67" t="str">
        <f t="shared" si="59"/>
        <v>1+0,00201976630650847i</v>
      </c>
      <c r="T21" s="67">
        <f t="shared" si="60"/>
        <v>1.0000020397258862</v>
      </c>
      <c r="U21" s="67">
        <f t="shared" si="61"/>
        <v>2.0197635599993121E-3</v>
      </c>
      <c r="V21" t="str">
        <f t="shared" si="62"/>
        <v>1-0,000420784647189263i</v>
      </c>
      <c r="W21" s="67">
        <f t="shared" si="63"/>
        <v>1.0000000885298557</v>
      </c>
      <c r="X21" s="67">
        <f t="shared" si="64"/>
        <v>-4.2078462235459516E-4</v>
      </c>
      <c r="Y21" t="str">
        <f t="shared" si="65"/>
        <v>0,999999992651817+0,00116697608820489i</v>
      </c>
      <c r="Z21" s="67">
        <f t="shared" si="66"/>
        <v>1.0000006735681852</v>
      </c>
      <c r="AA21" s="67">
        <f t="shared" si="67"/>
        <v>1.1669755670382085E-3</v>
      </c>
      <c r="AB21" s="92" t="str">
        <f t="shared" si="68"/>
        <v>22,3824021956776-1,61773989561185i</v>
      </c>
      <c r="AC21" s="37">
        <f t="shared" si="69"/>
        <v>27.020762441393714</v>
      </c>
      <c r="AD21" s="60">
        <f t="shared" si="70"/>
        <v>-4.1339963273921381</v>
      </c>
      <c r="AE21" t="str">
        <f t="shared" si="71"/>
        <v>34,4450883806789</v>
      </c>
      <c r="AF21" t="str">
        <f t="shared" si="72"/>
        <v>1+0,0363557935171524i</v>
      </c>
      <c r="AG21">
        <f t="shared" si="73"/>
        <v>1.0006606536295219</v>
      </c>
      <c r="AH21">
        <f t="shared" si="74"/>
        <v>3.6339788527316903E-2</v>
      </c>
      <c r="AI21" t="str">
        <f t="shared" si="50"/>
        <v>1+0,00201976630650847i</v>
      </c>
      <c r="AJ21">
        <f t="shared" si="75"/>
        <v>1.0000020397258862</v>
      </c>
      <c r="AK21">
        <f t="shared" si="76"/>
        <v>2.0197635599993121E-3</v>
      </c>
      <c r="AL21" t="str">
        <f t="shared" si="77"/>
        <v>1-0,000137427690294765i</v>
      </c>
      <c r="AM21">
        <f t="shared" si="78"/>
        <v>1.0000000094431849</v>
      </c>
      <c r="AN21">
        <f t="shared" si="79"/>
        <v>-1.3742768942959495E-4</v>
      </c>
      <c r="AO21" s="58" t="str">
        <f t="shared" si="80"/>
        <v>34,4019845467747-1,18587412676496i</v>
      </c>
      <c r="AP21">
        <f t="shared" si="81"/>
        <v>30.736827397443065</v>
      </c>
      <c r="AQ21" s="60">
        <f t="shared" si="82"/>
        <v>-1.9742666100034545</v>
      </c>
      <c r="AR21" t="str">
        <f t="shared" si="83"/>
        <v>-1,36472945891784</v>
      </c>
      <c r="AS21" t="str">
        <f t="shared" si="51"/>
        <v>1+0,00151300694020549i</v>
      </c>
      <c r="AT21">
        <f t="shared" si="84"/>
        <v>1.0000011445943455</v>
      </c>
      <c r="AU21">
        <f t="shared" si="85"/>
        <v>1.513005785686956E-3</v>
      </c>
      <c r="AV21" t="str">
        <f t="shared" si="52"/>
        <v>1+0,00151300694020549i</v>
      </c>
      <c r="AW21">
        <f t="shared" si="86"/>
        <v>1.0000011445943455</v>
      </c>
      <c r="AX21">
        <f t="shared" si="87"/>
        <v>1.513005785686956E-3</v>
      </c>
      <c r="AY21" t="str">
        <f t="shared" si="53"/>
        <v>1-9,91403251459162i</v>
      </c>
      <c r="AZ21">
        <f t="shared" si="88"/>
        <v>9.9643384477033816</v>
      </c>
      <c r="BA21">
        <f t="shared" si="89"/>
        <v>-1.4702692043101071</v>
      </c>
      <c r="BB21" s="58" t="str">
        <f t="shared" si="90"/>
        <v>-1,34425543977796+13,5320060971423i</v>
      </c>
      <c r="BC21">
        <f t="shared" si="91"/>
        <v>22.669890790314845</v>
      </c>
      <c r="BD21" s="60">
        <f t="shared" si="92"/>
        <v>95.673090999074375</v>
      </c>
      <c r="BE21" s="58" t="str">
        <f t="shared" si="93"/>
        <v>-8,19639977582787+305,053458635423i</v>
      </c>
      <c r="BF21" s="37">
        <f t="shared" si="94"/>
        <v>49.690653231708566</v>
      </c>
      <c r="BG21" s="60">
        <f t="shared" si="95"/>
        <v>91.539094671682236</v>
      </c>
      <c r="BH21" s="58" t="str">
        <f t="shared" si="96"/>
        <v>-30,1977989523325+467,121982386546i</v>
      </c>
      <c r="BI21" s="37">
        <f t="shared" si="97"/>
        <v>53.406718187757903</v>
      </c>
      <c r="BJ21" s="60">
        <f t="shared" si="98"/>
        <v>93.698824389070921</v>
      </c>
      <c r="BK21">
        <f t="shared" si="99"/>
        <v>49.690653231708566</v>
      </c>
      <c r="BL21" s="60">
        <f t="shared" si="100"/>
        <v>91.539094671682236</v>
      </c>
      <c r="BN21">
        <f t="shared" ref="BN21:BN84" si="101">SUM((BK22&lt;0)*(BK21&gt;0))*N21</f>
        <v>0</v>
      </c>
      <c r="BO21">
        <f t="shared" ref="BO21:BO84" si="102">IF(BN21&gt;0,BL21,0)</f>
        <v>0</v>
      </c>
    </row>
    <row r="22" spans="1:67" x14ac:dyDescent="0.25">
      <c r="M22" s="66">
        <v>4</v>
      </c>
      <c r="N22" s="36">
        <f t="shared" si="54"/>
        <v>10.964781961431854</v>
      </c>
      <c r="O22" s="91" t="str">
        <f t="shared" si="55"/>
        <v>22,5</v>
      </c>
      <c r="P22" s="67" t="str">
        <f t="shared" si="56"/>
        <v>1+0,0744052574698161i</v>
      </c>
      <c r="Q22" s="67">
        <f t="shared" si="57"/>
        <v>1.0027642506288053</v>
      </c>
      <c r="R22" s="67">
        <f t="shared" si="58"/>
        <v>7.4268405729398329E-2</v>
      </c>
      <c r="S22" s="67" t="str">
        <f t="shared" si="59"/>
        <v>1+0,00206681270749489i</v>
      </c>
      <c r="T22" s="67">
        <f t="shared" si="60"/>
        <v>1.000002135855103</v>
      </c>
      <c r="U22" s="67">
        <f t="shared" si="61"/>
        <v>2.0668097645576444E-3</v>
      </c>
      <c r="V22" t="str">
        <f t="shared" si="62"/>
        <v>1-0,000430585980728103i</v>
      </c>
      <c r="W22" s="67">
        <f t="shared" si="63"/>
        <v>1.0000000927021391</v>
      </c>
      <c r="X22" s="67">
        <f t="shared" si="64"/>
        <v>-4.3058595411727709E-4</v>
      </c>
      <c r="Y22" t="str">
        <f t="shared" si="65"/>
        <v>0,999999992305508+0,00119415845321927i</v>
      </c>
      <c r="Z22" s="67">
        <f t="shared" si="66"/>
        <v>1.0000007053124651</v>
      </c>
      <c r="AA22" s="67">
        <f t="shared" si="67"/>
        <v>1.1941578947791307E-3</v>
      </c>
      <c r="AB22" s="92" t="str">
        <f t="shared" si="68"/>
        <v>22,3768904953335-1,65501180074984i</v>
      </c>
      <c r="AC22" s="37">
        <f t="shared" si="69"/>
        <v>27.019686740819754</v>
      </c>
      <c r="AD22" s="60">
        <f t="shared" si="70"/>
        <v>-4.229937688225788</v>
      </c>
      <c r="AE22" t="str">
        <f t="shared" si="71"/>
        <v>34,4450883806789</v>
      </c>
      <c r="AF22" t="str">
        <f t="shared" si="72"/>
        <v>1+0,0372026287349081i</v>
      </c>
      <c r="AG22">
        <f t="shared" si="73"/>
        <v>1.0006917785136378</v>
      </c>
      <c r="AH22">
        <f t="shared" si="74"/>
        <v>3.7185479719560037E-2</v>
      </c>
      <c r="AI22" t="str">
        <f t="shared" si="50"/>
        <v>1+0,00206681270749489i</v>
      </c>
      <c r="AJ22">
        <f t="shared" si="75"/>
        <v>1.000002135855103</v>
      </c>
      <c r="AK22">
        <f t="shared" si="76"/>
        <v>2.0668097645576444E-3</v>
      </c>
      <c r="AL22" t="str">
        <f t="shared" si="77"/>
        <v>1-0,000140628792423963i</v>
      </c>
      <c r="AM22">
        <f t="shared" si="78"/>
        <v>1.0000000098882287</v>
      </c>
      <c r="AN22">
        <f t="shared" si="79"/>
        <v>-1.4062879149691657E-4</v>
      </c>
      <c r="AO22" s="58" t="str">
        <f t="shared" si="80"/>
        <v>34,3999559333406-1,21342121389321i</v>
      </c>
      <c r="AP22">
        <f t="shared" si="81"/>
        <v>30.736558071655907</v>
      </c>
      <c r="AQ22" s="60">
        <f t="shared" si="82"/>
        <v>-2.020209006765326</v>
      </c>
      <c r="AR22" t="str">
        <f t="shared" si="83"/>
        <v>-1,36472945891784</v>
      </c>
      <c r="AS22" t="str">
        <f t="shared" si="51"/>
        <v>1+0,00154824939918443i</v>
      </c>
      <c r="AT22">
        <f t="shared" si="84"/>
        <v>1.0000011985373827</v>
      </c>
      <c r="AU22">
        <f t="shared" si="85"/>
        <v>1.5482481620956129E-3</v>
      </c>
      <c r="AV22" t="str">
        <f t="shared" si="52"/>
        <v>1+0,00154824939918443i</v>
      </c>
      <c r="AW22">
        <f t="shared" si="86"/>
        <v>1.0000011985373827</v>
      </c>
      <c r="AX22">
        <f t="shared" si="87"/>
        <v>1.5482481620956129E-3</v>
      </c>
      <c r="AY22" t="str">
        <f t="shared" si="53"/>
        <v>1-9,68836158302506i</v>
      </c>
      <c r="AZ22">
        <f t="shared" si="88"/>
        <v>9.7398331691788158</v>
      </c>
      <c r="BA22">
        <f t="shared" si="89"/>
        <v>-1.4679439201955682</v>
      </c>
      <c r="BB22" s="58" t="str">
        <f t="shared" si="90"/>
        <v>-1,3442552947517+13,2240737034547i</v>
      </c>
      <c r="BC22">
        <f t="shared" si="91"/>
        <v>22.471951276153881</v>
      </c>
      <c r="BD22" s="60">
        <f t="shared" si="92"/>
        <v>95.804300725578031</v>
      </c>
      <c r="BE22" s="58" t="str">
        <f t="shared" si="93"/>
        <v>-8,19425549522788+298,13840754046i</v>
      </c>
      <c r="BF22" s="37">
        <f t="shared" si="94"/>
        <v>49.491638016973653</v>
      </c>
      <c r="BG22" s="60">
        <f t="shared" si="95"/>
        <v>91.574363037352242</v>
      </c>
      <c r="BH22" s="58" t="str">
        <f t="shared" si="96"/>
        <v>-30,195951336759+456,53870054963i</v>
      </c>
      <c r="BI22" s="37">
        <f t="shared" si="97"/>
        <v>53.208509347809787</v>
      </c>
      <c r="BJ22" s="60">
        <f t="shared" si="98"/>
        <v>93.784091718812718</v>
      </c>
      <c r="BK22">
        <f t="shared" si="99"/>
        <v>49.491638016973653</v>
      </c>
      <c r="BL22" s="60">
        <f t="shared" si="100"/>
        <v>91.574363037352242</v>
      </c>
      <c r="BN22">
        <f t="shared" si="101"/>
        <v>0</v>
      </c>
      <c r="BO22">
        <f t="shared" si="102"/>
        <v>0</v>
      </c>
    </row>
    <row r="23" spans="1:67" x14ac:dyDescent="0.25">
      <c r="A23" t="s">
        <v>458</v>
      </c>
      <c r="B23" s="29">
        <f>Rcs</f>
        <v>4.0000000000000001E-3</v>
      </c>
      <c r="C23" s="70" t="s">
        <v>459</v>
      </c>
      <c r="E23" t="s">
        <v>693</v>
      </c>
      <c r="M23" s="66">
        <v>5</v>
      </c>
      <c r="N23" s="36">
        <f t="shared" si="54"/>
        <v>11.220184543019636</v>
      </c>
      <c r="O23" s="91" t="str">
        <f t="shared" si="55"/>
        <v>22,5</v>
      </c>
      <c r="P23" s="67" t="str">
        <f t="shared" si="56"/>
        <v>1+0,0761383785577081i</v>
      </c>
      <c r="Q23" s="67">
        <f t="shared" si="57"/>
        <v>1.0028943377491952</v>
      </c>
      <c r="R23" s="67">
        <f t="shared" si="58"/>
        <v>7.5991762122700604E-2</v>
      </c>
      <c r="S23" s="67" t="str">
        <f t="shared" si="59"/>
        <v>1+0,00211495495993634i</v>
      </c>
      <c r="T23" s="67">
        <f t="shared" si="60"/>
        <v>1.0000022365147403</v>
      </c>
      <c r="U23" s="67">
        <f t="shared" si="61"/>
        <v>2.1149518065226485E-3</v>
      </c>
      <c r="V23" t="str">
        <f t="shared" si="62"/>
        <v>1-0,000440615616653403i</v>
      </c>
      <c r="W23" s="67">
        <f t="shared" si="63"/>
        <v>1.0000000970710561</v>
      </c>
      <c r="X23" s="67">
        <f t="shared" si="64"/>
        <v>-4.406155881393894E-4</v>
      </c>
      <c r="Y23" t="str">
        <f t="shared" si="65"/>
        <v>0,999999991942877+0,0012219739768521i</v>
      </c>
      <c r="Z23" s="67">
        <f t="shared" si="66"/>
        <v>1.0000007385528045</v>
      </c>
      <c r="AA23" s="67">
        <f t="shared" si="67"/>
        <v>1.2219733784727346E-3</v>
      </c>
      <c r="AB23" s="92" t="str">
        <f t="shared" si="68"/>
        <v>22,3711219634678-1,69312277302982i</v>
      </c>
      <c r="AC23" s="37">
        <f t="shared" si="69"/>
        <v>27.018560629853301</v>
      </c>
      <c r="AD23" s="60">
        <f t="shared" si="70"/>
        <v>-4.3280887658574407</v>
      </c>
      <c r="AE23" t="str">
        <f t="shared" si="71"/>
        <v>34,4450883806789</v>
      </c>
      <c r="AF23" t="str">
        <f t="shared" si="72"/>
        <v>1+0,0380691892788541i</v>
      </c>
      <c r="AG23">
        <f t="shared" si="73"/>
        <v>1.0007243692307835</v>
      </c>
      <c r="AH23">
        <f t="shared" si="74"/>
        <v>3.8050814496139486E-2</v>
      </c>
      <c r="AI23" t="str">
        <f t="shared" si="50"/>
        <v>1+0,00211495495993634i</v>
      </c>
      <c r="AJ23">
        <f t="shared" si="75"/>
        <v>1.0000022365147403</v>
      </c>
      <c r="AK23">
        <f t="shared" si="76"/>
        <v>2.1149518065226485E-3</v>
      </c>
      <c r="AL23" t="str">
        <f t="shared" si="77"/>
        <v>1-0,000143904457800346i</v>
      </c>
      <c r="AM23">
        <f t="shared" si="78"/>
        <v>1.0000000103542463</v>
      </c>
      <c r="AN23">
        <f t="shared" si="79"/>
        <v>-1.4390445680699786E-4</v>
      </c>
      <c r="AO23" s="58" t="str">
        <f t="shared" si="80"/>
        <v>34,397831984788-1,24160456786226i</v>
      </c>
      <c r="AP23">
        <f t="shared" si="81"/>
        <v>30.736276070947184</v>
      </c>
      <c r="AQ23" s="60">
        <f t="shared" si="82"/>
        <v>-2.0672183833048514</v>
      </c>
      <c r="AR23" t="str">
        <f t="shared" si="83"/>
        <v>-1,36472945891784</v>
      </c>
      <c r="AS23" t="str">
        <f t="shared" si="51"/>
        <v>1+0,00158431276048831i</v>
      </c>
      <c r="AT23">
        <f t="shared" si="84"/>
        <v>1.000001255022674</v>
      </c>
      <c r="AU23">
        <f t="shared" si="85"/>
        <v>1.5843114349238497E-3</v>
      </c>
      <c r="AV23" t="str">
        <f t="shared" si="52"/>
        <v>1+0,00158431276048831i</v>
      </c>
      <c r="AW23">
        <f t="shared" si="86"/>
        <v>1.000001255022674</v>
      </c>
      <c r="AX23">
        <f t="shared" si="87"/>
        <v>1.5843114349238497E-3</v>
      </c>
      <c r="AY23" t="str">
        <f t="shared" si="53"/>
        <v>1-9,46782754901045i</v>
      </c>
      <c r="AZ23">
        <f t="shared" si="88"/>
        <v>9.5204915050537817</v>
      </c>
      <c r="BA23">
        <f t="shared" si="89"/>
        <v>-1.4655656283698277</v>
      </c>
      <c r="BB23" s="58" t="str">
        <f t="shared" si="90"/>
        <v>-1,34425514289059+12,9231528886646i</v>
      </c>
      <c r="BC23">
        <f t="shared" si="91"/>
        <v>22.274107821955006</v>
      </c>
      <c r="BD23" s="60">
        <f t="shared" si="92"/>
        <v>95.938500536315004</v>
      </c>
      <c r="BE23" s="58" t="str">
        <f t="shared" si="93"/>
        <v>-8,19201129648009+291,381418420048i</v>
      </c>
      <c r="BF23" s="37">
        <f t="shared" si="94"/>
        <v>49.292668451808325</v>
      </c>
      <c r="BG23" s="60">
        <f t="shared" si="95"/>
        <v>91.610411770457546</v>
      </c>
      <c r="BH23" s="58" t="str">
        <f t="shared" si="96"/>
        <v>-30,1940168920894+446,197475103798i</v>
      </c>
      <c r="BI23" s="37">
        <f t="shared" si="97"/>
        <v>53.010383892902198</v>
      </c>
      <c r="BJ23" s="60">
        <f t="shared" si="98"/>
        <v>93.871282153010142</v>
      </c>
      <c r="BK23">
        <f t="shared" si="99"/>
        <v>49.292668451808325</v>
      </c>
      <c r="BL23" s="60">
        <f t="shared" si="100"/>
        <v>91.610411770457546</v>
      </c>
      <c r="BN23">
        <f t="shared" si="101"/>
        <v>0</v>
      </c>
      <c r="BO23">
        <f t="shared" si="102"/>
        <v>0</v>
      </c>
    </row>
    <row r="24" spans="1:67" x14ac:dyDescent="0.25">
      <c r="A24" t="s">
        <v>460</v>
      </c>
      <c r="B24" s="29">
        <f>Rslope</f>
        <v>100000</v>
      </c>
      <c r="C24" s="70" t="s">
        <v>459</v>
      </c>
      <c r="E24" t="s">
        <v>475</v>
      </c>
      <c r="M24" s="66">
        <v>6</v>
      </c>
      <c r="N24" s="36">
        <f t="shared" si="54"/>
        <v>11.481536214968834</v>
      </c>
      <c r="O24" s="91" t="str">
        <f t="shared" si="55"/>
        <v>22,5</v>
      </c>
      <c r="P24" s="67" t="str">
        <f t="shared" si="56"/>
        <v>1+0,0779118692217219i</v>
      </c>
      <c r="Q24" s="67">
        <f t="shared" si="57"/>
        <v>1.0030305376037276</v>
      </c>
      <c r="R24" s="67">
        <f t="shared" si="58"/>
        <v>7.7754792505956696E-2</v>
      </c>
      <c r="S24" s="67" t="str">
        <f t="shared" si="59"/>
        <v>1+0,00216421858949228i</v>
      </c>
      <c r="T24" s="67">
        <f t="shared" si="60"/>
        <v>1.0000023419183093</v>
      </c>
      <c r="U24" s="67">
        <f t="shared" si="61"/>
        <v>2.1642152105490592E-3</v>
      </c>
      <c r="V24" t="str">
        <f t="shared" si="62"/>
        <v>1-0,000450878872810891i</v>
      </c>
      <c r="W24" s="67">
        <f t="shared" si="63"/>
        <v>1.0000001016458737</v>
      </c>
      <c r="X24" s="67">
        <f t="shared" si="64"/>
        <v>-4.5087884225757514E-4</v>
      </c>
      <c r="Y24" t="str">
        <f t="shared" si="65"/>
        <v>0,999999991563157+0,0012504374072622i</v>
      </c>
      <c r="Z24" s="67">
        <f t="shared" si="66"/>
        <v>1.0000007733597127</v>
      </c>
      <c r="AA24" s="67">
        <f t="shared" si="67"/>
        <v>1.2504367660871843E-3</v>
      </c>
      <c r="AB24" s="92" t="str">
        <f t="shared" si="68"/>
        <v>22,3650847758687-1,732090302117i</v>
      </c>
      <c r="AC24" s="37">
        <f t="shared" si="69"/>
        <v>27.017381760137958</v>
      </c>
      <c r="AD24" s="60">
        <f t="shared" si="70"/>
        <v>-4.4284992539621832</v>
      </c>
      <c r="AE24" t="str">
        <f t="shared" si="71"/>
        <v>34,4450883806789</v>
      </c>
      <c r="AF24" t="str">
        <f t="shared" si="72"/>
        <v>1+0,038955934610861i</v>
      </c>
      <c r="AG24">
        <f t="shared" si="73"/>
        <v>1.0007584947635497</v>
      </c>
      <c r="AH24">
        <f t="shared" si="74"/>
        <v>3.8936246482318075E-2</v>
      </c>
      <c r="AI24" t="str">
        <f t="shared" si="50"/>
        <v>1+0,00216421858949228i</v>
      </c>
      <c r="AJ24">
        <f t="shared" si="75"/>
        <v>1.0000023419183093</v>
      </c>
      <c r="AK24">
        <f t="shared" si="76"/>
        <v>2.1642152105490592E-3</v>
      </c>
      <c r="AL24" t="str">
        <f t="shared" si="77"/>
        <v>1-0,000147256423225056i</v>
      </c>
      <c r="AM24">
        <f t="shared" si="78"/>
        <v>1.0000000108422271</v>
      </c>
      <c r="AN24">
        <f t="shared" si="79"/>
        <v>-1.472564221606643E-4</v>
      </c>
      <c r="AO24" s="58" t="str">
        <f t="shared" si="80"/>
        <v>34,3956082341493-1,27043862519275i</v>
      </c>
      <c r="AP24">
        <f t="shared" si="81"/>
        <v>30.735980799701412</v>
      </c>
      <c r="AQ24" s="60">
        <f t="shared" si="82"/>
        <v>-2.1153193674914452</v>
      </c>
      <c r="AR24" t="str">
        <f t="shared" si="83"/>
        <v>-1,36472945891784</v>
      </c>
      <c r="AS24" t="str">
        <f t="shared" si="51"/>
        <v>1+0,00162121614538867i</v>
      </c>
      <c r="AT24">
        <f t="shared" si="84"/>
        <v>1.0000013141700315</v>
      </c>
      <c r="AU24">
        <f t="shared" si="85"/>
        <v>1.6212147250208614E-3</v>
      </c>
      <c r="AV24" t="str">
        <f t="shared" si="52"/>
        <v>1+0,00162121614538867i</v>
      </c>
      <c r="AW24">
        <f t="shared" si="86"/>
        <v>1.0000013141700315</v>
      </c>
      <c r="AX24">
        <f t="shared" si="87"/>
        <v>1.6212147250208614E-3</v>
      </c>
      <c r="AY24" t="str">
        <f t="shared" si="53"/>
        <v>1-9,25231348248384i</v>
      </c>
      <c r="AZ24">
        <f t="shared" si="88"/>
        <v>9.3061971168760564</v>
      </c>
      <c r="BA24">
        <f t="shared" si="89"/>
        <v>-1.4631331755079842</v>
      </c>
      <c r="BB24" s="58" t="str">
        <f t="shared" si="90"/>
        <v>-1,34425498387252+12,6290841005718i</v>
      </c>
      <c r="BC24">
        <f t="shared" si="91"/>
        <v>22.076364854942074</v>
      </c>
      <c r="BD24" s="60">
        <f t="shared" si="92"/>
        <v>96.075755416390379</v>
      </c>
      <c r="BE24" s="58" t="str">
        <f t="shared" si="93"/>
        <v>-8,18966257947251+284,778907572002i</v>
      </c>
      <c r="BF24" s="37">
        <f t="shared" si="94"/>
        <v>49.093746615080036</v>
      </c>
      <c r="BG24" s="60">
        <f t="shared" si="95"/>
        <v>91.647256162428206</v>
      </c>
      <c r="BH24" s="58" t="str">
        <f t="shared" si="96"/>
        <v>-30,1919915499078+436,092822533011i</v>
      </c>
      <c r="BI24" s="37">
        <f t="shared" si="97"/>
        <v>52.812345654643487</v>
      </c>
      <c r="BJ24" s="60">
        <f t="shared" si="98"/>
        <v>93.960436048898941</v>
      </c>
      <c r="BK24">
        <f t="shared" si="99"/>
        <v>49.093746615080036</v>
      </c>
      <c r="BL24" s="60">
        <f t="shared" si="100"/>
        <v>91.647256162428206</v>
      </c>
      <c r="BN24">
        <f t="shared" si="101"/>
        <v>0</v>
      </c>
      <c r="BO24">
        <f t="shared" si="102"/>
        <v>0</v>
      </c>
    </row>
    <row r="25" spans="1:67" x14ac:dyDescent="0.25">
      <c r="A25" t="s">
        <v>461</v>
      </c>
      <c r="B25" s="21">
        <v>1000</v>
      </c>
      <c r="C25" s="70" t="s">
        <v>459</v>
      </c>
      <c r="E25" t="s">
        <v>694</v>
      </c>
      <c r="M25" s="66">
        <v>7</v>
      </c>
      <c r="N25" s="36">
        <f t="shared" si="54"/>
        <v>11.748975549395301</v>
      </c>
      <c r="O25" s="91" t="str">
        <f t="shared" si="55"/>
        <v>22,5</v>
      </c>
      <c r="P25" s="67" t="str">
        <f t="shared" si="56"/>
        <v>1+0,0797266697900826i</v>
      </c>
      <c r="Q25" s="67">
        <f t="shared" si="57"/>
        <v>1.0031731365401571</v>
      </c>
      <c r="R25" s="67">
        <f t="shared" si="58"/>
        <v>7.9558387796826099E-2</v>
      </c>
      <c r="S25" s="67" t="str">
        <f t="shared" si="59"/>
        <v>1+0,00221462971639119i</v>
      </c>
      <c r="T25" s="67">
        <f t="shared" si="60"/>
        <v>1.0000024522893836</v>
      </c>
      <c r="U25" s="67">
        <f t="shared" si="61"/>
        <v>2.214626095788777E-3</v>
      </c>
      <c r="V25" t="str">
        <f t="shared" si="62"/>
        <v>1-0,00046138119091483i</v>
      </c>
      <c r="W25" s="67">
        <f t="shared" si="63"/>
        <v>1.000000106436296</v>
      </c>
      <c r="X25" s="67">
        <f t="shared" si="64"/>
        <v>-4.6138115817636244E-4</v>
      </c>
      <c r="Y25" t="str">
        <f t="shared" si="65"/>
        <v>0,999999991165541+0,00127956383613713i</v>
      </c>
      <c r="Z25" s="67">
        <f t="shared" si="66"/>
        <v>1.0000008098070186</v>
      </c>
      <c r="AA25" s="67">
        <f t="shared" si="67"/>
        <v>1.2795631491057528E-3</v>
      </c>
      <c r="AB25" s="92" t="str">
        <f t="shared" si="68"/>
        <v>22,3587665777016-1,77193214137142i</v>
      </c>
      <c r="AC25" s="37">
        <f t="shared" si="69"/>
        <v>27.016147675263213</v>
      </c>
      <c r="AD25" s="60">
        <f t="shared" si="70"/>
        <v>-4.5312198783095923</v>
      </c>
      <c r="AE25" t="str">
        <f t="shared" si="71"/>
        <v>34,4450883806789</v>
      </c>
      <c r="AF25" t="str">
        <f t="shared" si="72"/>
        <v>1+0,0398633348950414i</v>
      </c>
      <c r="AG25">
        <f t="shared" si="73"/>
        <v>1.0007942273359465</v>
      </c>
      <c r="AH25">
        <f t="shared" si="74"/>
        <v>3.9842239589329261E-2</v>
      </c>
      <c r="AI25" t="str">
        <f t="shared" si="50"/>
        <v>1+0,00221462971639119i</v>
      </c>
      <c r="AJ25">
        <f t="shared" si="75"/>
        <v>1.0000024522893836</v>
      </c>
      <c r="AK25">
        <f t="shared" si="76"/>
        <v>2.214626095788777E-3</v>
      </c>
      <c r="AL25" t="str">
        <f t="shared" si="77"/>
        <v>1-0,000150686465954528i</v>
      </c>
      <c r="AM25">
        <f t="shared" si="78"/>
        <v>1.0000000113532055</v>
      </c>
      <c r="AN25">
        <f t="shared" si="79"/>
        <v>-1.5068646481401174E-4</v>
      </c>
      <c r="AO25" s="58" t="str">
        <f t="shared" si="80"/>
        <v>34,3932800064388-1,2999381313616i</v>
      </c>
      <c r="AP25">
        <f t="shared" si="81"/>
        <v>30.73567163439964</v>
      </c>
      <c r="AQ25" s="60">
        <f t="shared" si="82"/>
        <v>-2.1645371447929578</v>
      </c>
      <c r="AR25" t="str">
        <f t="shared" si="83"/>
        <v>-1,36472945891784</v>
      </c>
      <c r="AS25" t="str">
        <f t="shared" si="51"/>
        <v>1+0,00165897912054864i</v>
      </c>
      <c r="AT25">
        <f t="shared" si="84"/>
        <v>1.0000013761049145</v>
      </c>
      <c r="AU25">
        <f t="shared" si="85"/>
        <v>1.6589775985972257E-3</v>
      </c>
      <c r="AV25" t="str">
        <f t="shared" si="52"/>
        <v>1+0,00165897912054864i</v>
      </c>
      <c r="AW25">
        <f t="shared" si="86"/>
        <v>1.0000013761049145</v>
      </c>
      <c r="AX25">
        <f t="shared" si="87"/>
        <v>1.6589775985972257E-3</v>
      </c>
      <c r="AY25" t="str">
        <f t="shared" si="53"/>
        <v>1-9,04170511503448i</v>
      </c>
      <c r="AZ25">
        <f t="shared" si="88"/>
        <v>9.0968363394776262</v>
      </c>
      <c r="BA25">
        <f t="shared" si="89"/>
        <v>-1.4606453870932914</v>
      </c>
      <c r="BB25" s="58" t="str">
        <f t="shared" si="90"/>
        <v>-1,34425481736021+12,3417114200104i</v>
      </c>
      <c r="BC25">
        <f t="shared" si="91"/>
        <v>21.878727001511781</v>
      </c>
      <c r="BD25" s="60">
        <f t="shared" si="92"/>
        <v>96.216131539595636</v>
      </c>
      <c r="BE25" s="58" t="str">
        <f t="shared" si="93"/>
        <v>-8,1872045376607+278,327373126441i</v>
      </c>
      <c r="BF25" s="37">
        <f t="shared" si="94"/>
        <v>48.894874676775004</v>
      </c>
      <c r="BG25" s="60">
        <f t="shared" si="95"/>
        <v>91.684911661286051</v>
      </c>
      <c r="BH25" s="58" t="str">
        <f t="shared" si="96"/>
        <v>-30,1898710523415+426,219384722434i</v>
      </c>
      <c r="BI25" s="37">
        <f t="shared" si="97"/>
        <v>52.614398635911414</v>
      </c>
      <c r="BJ25" s="60">
        <f t="shared" si="98"/>
        <v>94.051594394802677</v>
      </c>
      <c r="BK25">
        <f t="shared" si="99"/>
        <v>48.894874676775004</v>
      </c>
      <c r="BL25" s="60">
        <f t="shared" si="100"/>
        <v>91.684911661286051</v>
      </c>
      <c r="BN25">
        <f t="shared" si="101"/>
        <v>0</v>
      </c>
      <c r="BO25">
        <f t="shared" si="102"/>
        <v>0</v>
      </c>
    </row>
    <row r="26" spans="1:67" x14ac:dyDescent="0.25">
      <c r="A26" t="s">
        <v>462</v>
      </c>
      <c r="B26" s="23">
        <f>Vsl/(R_sl+Rsl_int)</f>
        <v>1.1881188118811881E-5</v>
      </c>
      <c r="C26" s="70" t="s">
        <v>33</v>
      </c>
      <c r="E26" t="s">
        <v>695</v>
      </c>
      <c r="M26" s="66">
        <v>8</v>
      </c>
      <c r="N26" s="36">
        <f t="shared" si="54"/>
        <v>12.022644346174133</v>
      </c>
      <c r="O26" s="91" t="str">
        <f t="shared" si="55"/>
        <v>22,5</v>
      </c>
      <c r="P26" s="67" t="str">
        <f t="shared" si="56"/>
        <v>1+0,0815837424940731i</v>
      </c>
      <c r="Q26" s="67">
        <f t="shared" si="57"/>
        <v>1.0033224342350466</v>
      </c>
      <c r="R26" s="67">
        <f t="shared" si="58"/>
        <v>8.140345732307587E-2</v>
      </c>
      <c r="S26" s="67" t="str">
        <f t="shared" si="59"/>
        <v>1+0,00226621506927981i</v>
      </c>
      <c r="T26" s="67">
        <f t="shared" si="60"/>
        <v>1.0000025678620732</v>
      </c>
      <c r="U26" s="67">
        <f t="shared" si="61"/>
        <v>2.2662111897349662E-3</v>
      </c>
      <c r="V26" t="str">
        <f t="shared" si="62"/>
        <v>1-0,000472128139433294i</v>
      </c>
      <c r="W26" s="67">
        <f t="shared" si="63"/>
        <v>1.0000001114524839</v>
      </c>
      <c r="X26" s="67">
        <f t="shared" si="64"/>
        <v>-4.7212810435339419E-4</v>
      </c>
      <c r="Y26" t="str">
        <f t="shared" si="65"/>
        <v>0,999999990749185+0,001309368706695i</v>
      </c>
      <c r="Z26" s="67">
        <f t="shared" si="66"/>
        <v>1.0000008479720304</v>
      </c>
      <c r="AA26" s="67">
        <f t="shared" si="67"/>
        <v>1.3093679705276505E-3</v>
      </c>
      <c r="AB26" s="92" t="str">
        <f t="shared" si="68"/>
        <v>22,3521544610183-1,81266630410554i</v>
      </c>
      <c r="AC26" s="37">
        <f t="shared" si="69"/>
        <v>27.014855805921627</v>
      </c>
      <c r="AD26" s="60">
        <f t="shared" si="70"/>
        <v>-4.636302412038229</v>
      </c>
      <c r="AE26" t="str">
        <f t="shared" si="71"/>
        <v>34,4450883806789</v>
      </c>
      <c r="AF26" t="str">
        <f t="shared" si="72"/>
        <v>1+0,0407918712470366i</v>
      </c>
      <c r="AG26">
        <f t="shared" si="73"/>
        <v>1.0008316425652393</v>
      </c>
      <c r="AH26">
        <f t="shared" si="74"/>
        <v>4.0769268234033387E-2</v>
      </c>
      <c r="AI26" t="str">
        <f t="shared" si="50"/>
        <v>1+0,00226621506927981i</v>
      </c>
      <c r="AJ26">
        <f t="shared" si="75"/>
        <v>1.0000025678620732</v>
      </c>
      <c r="AK26">
        <f t="shared" si="76"/>
        <v>2.2662111897349662E-3</v>
      </c>
      <c r="AL26" t="str">
        <f t="shared" si="77"/>
        <v>1-0,000154196404642821i</v>
      </c>
      <c r="AM26">
        <f t="shared" si="78"/>
        <v>1.0000000118882655</v>
      </c>
      <c r="AN26">
        <f t="shared" si="79"/>
        <v>-1.5419640342073581E-4</v>
      </c>
      <c r="AO26" s="58" t="str">
        <f t="shared" si="80"/>
        <v>34,3908424090893-1,33011814606363i</v>
      </c>
      <c r="AP26">
        <f t="shared" si="81"/>
        <v>30.735347922320457</v>
      </c>
      <c r="AQ26" s="60">
        <f t="shared" si="82"/>
        <v>-2.2148974701218545</v>
      </c>
      <c r="AR26" t="str">
        <f t="shared" si="83"/>
        <v>-1,36472945891784</v>
      </c>
      <c r="AS26" t="str">
        <f t="shared" si="51"/>
        <v>1+0,00169762170839751i</v>
      </c>
      <c r="AT26">
        <f t="shared" si="84"/>
        <v>1.0000014409586941</v>
      </c>
      <c r="AU26">
        <f t="shared" si="85"/>
        <v>1.6976200775973148E-3</v>
      </c>
      <c r="AV26" t="str">
        <f t="shared" si="52"/>
        <v>1+0,00169762170839751i</v>
      </c>
      <c r="AW26">
        <f t="shared" si="86"/>
        <v>1.0000014409586941</v>
      </c>
      <c r="AX26">
        <f t="shared" si="87"/>
        <v>1.6976200775973148E-3</v>
      </c>
      <c r="AY26" t="str">
        <f t="shared" si="53"/>
        <v>1-8,83589077931824i</v>
      </c>
      <c r="AZ26">
        <f t="shared" si="88"/>
        <v>8.8922981205108655</v>
      </c>
      <c r="BA26">
        <f t="shared" si="89"/>
        <v>-1.4581010673115478</v>
      </c>
      <c r="BB26" s="58" t="str">
        <f t="shared" si="90"/>
        <v>-1,34425464300045+12,0608824781797i</v>
      </c>
      <c r="BC26">
        <f t="shared" si="91"/>
        <v>21.681199095731486</v>
      </c>
      <c r="BD26" s="60">
        <f t="shared" si="92"/>
        <v>96.359696273864543</v>
      </c>
      <c r="BE26" s="58" t="str">
        <f t="shared" si="93"/>
        <v>-8,18463214931381+272,023393183966i</v>
      </c>
      <c r="BF26" s="37">
        <f t="shared" si="94"/>
        <v>48.696054901653099</v>
      </c>
      <c r="BG26" s="60">
        <f t="shared" si="95"/>
        <v>91.72339386182631</v>
      </c>
      <c r="BH26" s="58" t="str">
        <f t="shared" si="96"/>
        <v>-30,1876509433474+416,57192611521i</v>
      </c>
      <c r="BI26" s="37">
        <f t="shared" si="97"/>
        <v>52.416547018051951</v>
      </c>
      <c r="BJ26" s="60">
        <f t="shared" si="98"/>
        <v>94.144798803742674</v>
      </c>
      <c r="BK26">
        <f t="shared" si="99"/>
        <v>48.696054901653099</v>
      </c>
      <c r="BL26" s="60">
        <f t="shared" si="100"/>
        <v>91.72339386182631</v>
      </c>
      <c r="BN26">
        <f t="shared" si="101"/>
        <v>0</v>
      </c>
      <c r="BO26">
        <f t="shared" si="102"/>
        <v>0</v>
      </c>
    </row>
    <row r="27" spans="1:67" x14ac:dyDescent="0.25">
      <c r="A27" t="s">
        <v>463</v>
      </c>
      <c r="B27" s="21">
        <v>1.2</v>
      </c>
      <c r="C27" s="70" t="s">
        <v>34</v>
      </c>
      <c r="E27" t="s">
        <v>702</v>
      </c>
      <c r="M27" s="66">
        <v>9</v>
      </c>
      <c r="N27" s="36">
        <f t="shared" si="54"/>
        <v>12.302687708123818</v>
      </c>
      <c r="O27" s="91" t="str">
        <f t="shared" si="55"/>
        <v>22,5</v>
      </c>
      <c r="P27" s="67" t="str">
        <f t="shared" si="56"/>
        <v>1+0,0834840719782227i</v>
      </c>
      <c r="Q27" s="67">
        <f t="shared" si="57"/>
        <v>1.0034787443060591</v>
      </c>
      <c r="R27" s="67">
        <f t="shared" si="58"/>
        <v>8.3290929087890139E-2</v>
      </c>
      <c r="S27" s="67" t="str">
        <f t="shared" si="59"/>
        <v>1+0,00231900199939508i</v>
      </c>
      <c r="T27" s="67">
        <f t="shared" si="60"/>
        <v>1.0000026888815214</v>
      </c>
      <c r="U27" s="67">
        <f t="shared" si="61"/>
        <v>2.3189978423884881E-3</v>
      </c>
      <c r="V27" t="str">
        <f t="shared" si="62"/>
        <v>1-0,000483125416540641i</v>
      </c>
      <c r="W27" s="67">
        <f t="shared" si="63"/>
        <v>1.0000001167050772</v>
      </c>
      <c r="X27" s="67">
        <f t="shared" si="64"/>
        <v>-4.8312537895185139E-4</v>
      </c>
      <c r="Y27" t="str">
        <f t="shared" si="65"/>
        <v>0,999999990313208+0,00133986782187271i</v>
      </c>
      <c r="Z27" s="67">
        <f t="shared" si="66"/>
        <v>1.0000008879357039</v>
      </c>
      <c r="AA27" s="67">
        <f t="shared" si="67"/>
        <v>1.3398670330552205E-3</v>
      </c>
      <c r="AB27" s="92" t="str">
        <f t="shared" si="68"/>
        <v>22,3452349414406-1,85431105909435i</v>
      </c>
      <c r="AC27" s="37">
        <f t="shared" si="69"/>
        <v>27.013503464861071</v>
      </c>
      <c r="AD27" s="60">
        <f t="shared" si="70"/>
        <v>-4.7437996906831161</v>
      </c>
      <c r="AE27" t="str">
        <f t="shared" si="71"/>
        <v>34,4450883806789</v>
      </c>
      <c r="AF27" t="str">
        <f t="shared" si="72"/>
        <v>1+0,0417420359891114i</v>
      </c>
      <c r="AG27">
        <f t="shared" si="73"/>
        <v>1.000870819620852</v>
      </c>
      <c r="AH27">
        <f t="shared" si="74"/>
        <v>4.1717817562280143E-2</v>
      </c>
      <c r="AI27" t="str">
        <f t="shared" si="50"/>
        <v>1+0,00231900199939508i</v>
      </c>
      <c r="AJ27">
        <f t="shared" si="75"/>
        <v>1.0000026888815214</v>
      </c>
      <c r="AK27">
        <f t="shared" si="76"/>
        <v>2.3189978423884881E-3</v>
      </c>
      <c r="AL27" t="str">
        <f t="shared" si="77"/>
        <v>1-0,000157788100305886i</v>
      </c>
      <c r="AM27">
        <f t="shared" si="78"/>
        <v>1.0000000124485422</v>
      </c>
      <c r="AN27">
        <f t="shared" si="79"/>
        <v>-1.5778809899639814E-4</v>
      </c>
      <c r="AO27" s="58" t="str">
        <f t="shared" si="80"/>
        <v>34,3882903219611-1,36099404845963i</v>
      </c>
      <c r="AP27">
        <f t="shared" si="81"/>
        <v>30.735008980181341</v>
      </c>
      <c r="AQ27" s="60">
        <f t="shared" si="82"/>
        <v>-2.2664266798764734</v>
      </c>
      <c r="AR27" t="str">
        <f t="shared" si="83"/>
        <v>-1,36472945891784</v>
      </c>
      <c r="AS27" t="str">
        <f t="shared" si="51"/>
        <v>1+0,00173716439774685i</v>
      </c>
      <c r="AT27">
        <f t="shared" si="84"/>
        <v>1.000001508868934</v>
      </c>
      <c r="AU27">
        <f t="shared" si="85"/>
        <v>1.7371626503131002E-3</v>
      </c>
      <c r="AV27" t="str">
        <f t="shared" si="52"/>
        <v>1+0,00173716439774685i</v>
      </c>
      <c r="AW27">
        <f t="shared" si="86"/>
        <v>1.000001508868934</v>
      </c>
      <c r="AX27">
        <f t="shared" si="87"/>
        <v>1.7371626503131002E-3</v>
      </c>
      <c r="AY27" t="str">
        <f t="shared" si="53"/>
        <v>1-8,63476134985003i</v>
      </c>
      <c r="AZ27">
        <f t="shared" si="88"/>
        <v>8.6924739613566828</v>
      </c>
      <c r="BA27">
        <f t="shared" si="89"/>
        <v>-1.4554989989686768</v>
      </c>
      <c r="BB27" s="58" t="str">
        <f t="shared" si="90"/>
        <v>-1,34425446042342+11,7864483758557i</v>
      </c>
      <c r="BC27">
        <f t="shared" si="91"/>
        <v>21.483786188153971</v>
      </c>
      <c r="BD27" s="60">
        <f t="shared" si="92"/>
        <v>96.506518185387932</v>
      </c>
      <c r="BE27" s="58" t="str">
        <f t="shared" si="93"/>
        <v>-8,18194016844692+265,863623995857i</v>
      </c>
      <c r="BF27" s="37">
        <f t="shared" si="94"/>
        <v>48.497289653015052</v>
      </c>
      <c r="BG27" s="60">
        <f t="shared" si="95"/>
        <v>91.762718494704814</v>
      </c>
      <c r="BH27" s="58" t="str">
        <f t="shared" si="96"/>
        <v>-30,1853265596155+407,145330933984i</v>
      </c>
      <c r="BI27" s="37">
        <f t="shared" si="97"/>
        <v>52.218795168335312</v>
      </c>
      <c r="BJ27" s="60">
        <f t="shared" si="98"/>
        <v>94.240091505511458</v>
      </c>
      <c r="BK27">
        <f t="shared" si="99"/>
        <v>48.497289653015052</v>
      </c>
      <c r="BL27" s="60">
        <f t="shared" si="100"/>
        <v>91.762718494704814</v>
      </c>
      <c r="BN27">
        <f t="shared" si="101"/>
        <v>0</v>
      </c>
      <c r="BO27">
        <f t="shared" si="102"/>
        <v>0</v>
      </c>
    </row>
    <row r="28" spans="1:67" x14ac:dyDescent="0.25">
      <c r="A28" t="s">
        <v>464</v>
      </c>
      <c r="B28" s="21">
        <v>0.75</v>
      </c>
      <c r="C28" s="70" t="s">
        <v>118</v>
      </c>
      <c r="E28" t="s">
        <v>703</v>
      </c>
      <c r="M28" s="66">
        <v>10</v>
      </c>
      <c r="N28" s="36">
        <f t="shared" si="54"/>
        <v>12.58925411794168</v>
      </c>
      <c r="O28" s="91" t="str">
        <f t="shared" si="55"/>
        <v>22,5</v>
      </c>
      <c r="P28" s="67" t="str">
        <f t="shared" si="56"/>
        <v>1+0,0854286658223774i</v>
      </c>
      <c r="Q28" s="67">
        <f t="shared" si="57"/>
        <v>1.003642394951604</v>
      </c>
      <c r="R28" s="67">
        <f t="shared" si="58"/>
        <v>8.5221750030141208E-2</v>
      </c>
      <c r="S28" s="67" t="str">
        <f t="shared" si="59"/>
        <v>1+0,00237301849506604i</v>
      </c>
      <c r="T28" s="67">
        <f t="shared" si="60"/>
        <v>1.0000028156044252</v>
      </c>
      <c r="U28" s="67">
        <f t="shared" si="61"/>
        <v>2.3730140407539021E-3</v>
      </c>
      <c r="V28" t="str">
        <f t="shared" si="62"/>
        <v>1-0,000494378853138758i</v>
      </c>
      <c r="W28" s="67">
        <f t="shared" si="63"/>
        <v>1.0000001222052177</v>
      </c>
      <c r="X28" s="67">
        <f t="shared" si="64"/>
        <v>-4.9437881286164449E-4</v>
      </c>
      <c r="Y28" t="str">
        <f t="shared" si="65"/>
        <v>0,999999989856684+0,00137107735270482i</v>
      </c>
      <c r="Z28" s="67">
        <f t="shared" si="66"/>
        <v>1.0000009297828054</v>
      </c>
      <c r="AA28" s="67">
        <f t="shared" si="67"/>
        <v>1.3710765074716933E-3</v>
      </c>
      <c r="AB28" s="92" t="str">
        <f t="shared" si="68"/>
        <v>22,3379939340002-1,89688492527908i</v>
      </c>
      <c r="AC28" s="37">
        <f t="shared" si="69"/>
        <v>27.012087841624361</v>
      </c>
      <c r="AD28" s="60">
        <f t="shared" si="70"/>
        <v>-4.8537656269108425</v>
      </c>
      <c r="AE28" t="str">
        <f t="shared" si="71"/>
        <v>34,4450883806789</v>
      </c>
      <c r="AF28" t="str">
        <f t="shared" si="72"/>
        <v>1+0,0427143329111888i</v>
      </c>
      <c r="AG28">
        <f t="shared" si="73"/>
        <v>1.000911841390663</v>
      </c>
      <c r="AH28">
        <f t="shared" si="74"/>
        <v>4.2688383675960569E-2</v>
      </c>
      <c r="AI28" t="str">
        <f t="shared" si="50"/>
        <v>1+0,00237301849506604i</v>
      </c>
      <c r="AJ28">
        <f t="shared" si="75"/>
        <v>1.0000028156044252</v>
      </c>
      <c r="AK28">
        <f t="shared" si="76"/>
        <v>2.3730140407539021E-3</v>
      </c>
      <c r="AL28" t="str">
        <f t="shared" si="77"/>
        <v>1-0,000161463457308306i</v>
      </c>
      <c r="AM28">
        <f t="shared" si="78"/>
        <v>1.000000013035224</v>
      </c>
      <c r="AN28">
        <f t="shared" si="79"/>
        <v>-1.6146345590516446E-4</v>
      </c>
      <c r="AO28" s="58" t="str">
        <f t="shared" si="80"/>
        <v>34,3856183869052-1,39258154240106i</v>
      </c>
      <c r="AP28">
        <f t="shared" si="81"/>
        <v>30.734654092717591</v>
      </c>
      <c r="AQ28" s="60">
        <f t="shared" si="82"/>
        <v>-2.3191517041761736</v>
      </c>
      <c r="AR28" t="str">
        <f t="shared" si="83"/>
        <v>-1,36472945891784</v>
      </c>
      <c r="AS28" t="str">
        <f t="shared" si="51"/>
        <v>1+0,00177762815465397i</v>
      </c>
      <c r="AT28">
        <f t="shared" si="84"/>
        <v>1.00000157997968</v>
      </c>
      <c r="AU28">
        <f t="shared" si="85"/>
        <v>1.7776262822451322E-3</v>
      </c>
      <c r="AV28" t="str">
        <f t="shared" si="52"/>
        <v>1+0,00177762815465397i</v>
      </c>
      <c r="AW28">
        <f t="shared" si="86"/>
        <v>1.00000157997968</v>
      </c>
      <c r="AX28">
        <f t="shared" si="87"/>
        <v>1.7776262822451322E-3</v>
      </c>
      <c r="AY28" t="str">
        <f t="shared" si="53"/>
        <v>1-8,43821018514408i</v>
      </c>
      <c r="AZ28">
        <f t="shared" si="88"/>
        <v>8.497257859372592</v>
      </c>
      <c r="BA28">
        <f t="shared" si="89"/>
        <v>-1.452837943433632</v>
      </c>
      <c r="BB28" s="58" t="str">
        <f t="shared" si="90"/>
        <v>-1,34425426924186+11,5182636044427i</v>
      </c>
      <c r="BC28">
        <f t="shared" si="91"/>
        <v>21.286493554958156</v>
      </c>
      <c r="BD28" s="60">
        <f t="shared" si="92"/>
        <v>96.656667041262494</v>
      </c>
      <c r="BE28" s="58" t="str">
        <f t="shared" si="93"/>
        <v>-8,1791231154205+259,844798185323i</v>
      </c>
      <c r="BF28" s="37">
        <f t="shared" si="94"/>
        <v>48.29858139658252</v>
      </c>
      <c r="BG28" s="60">
        <f t="shared" si="95"/>
        <v>91.802901414351652</v>
      </c>
      <c r="BH28" s="58" t="str">
        <f t="shared" si="96"/>
        <v>-30,1828930210619+397,934600465786i</v>
      </c>
      <c r="BI28" s="37">
        <f t="shared" si="97"/>
        <v>52.021147647675754</v>
      </c>
      <c r="BJ28" s="60">
        <f t="shared" si="98"/>
        <v>94.337515337086316</v>
      </c>
      <c r="BK28">
        <f t="shared" si="99"/>
        <v>48.29858139658252</v>
      </c>
      <c r="BL28" s="60">
        <f t="shared" si="100"/>
        <v>91.802901414351652</v>
      </c>
      <c r="BN28">
        <f t="shared" si="101"/>
        <v>0</v>
      </c>
      <c r="BO28">
        <f t="shared" si="102"/>
        <v>0</v>
      </c>
    </row>
    <row r="29" spans="1:67" x14ac:dyDescent="0.25">
      <c r="A29" t="s">
        <v>336</v>
      </c>
      <c r="B29" s="21">
        <v>10</v>
      </c>
      <c r="C29" s="70" t="s">
        <v>118</v>
      </c>
      <c r="E29" t="s">
        <v>692</v>
      </c>
      <c r="M29" s="66">
        <v>11</v>
      </c>
      <c r="N29" s="36">
        <f t="shared" si="54"/>
        <v>12.882495516931346</v>
      </c>
      <c r="O29" s="91" t="str">
        <f t="shared" si="55"/>
        <v>22,5</v>
      </c>
      <c r="P29" s="67" t="str">
        <f t="shared" si="56"/>
        <v>1+0,0874185550759331i</v>
      </c>
      <c r="Q29" s="67">
        <f t="shared" si="57"/>
        <v>1.0038137296189786</v>
      </c>
      <c r="R29" s="67">
        <f t="shared" si="58"/>
        <v>8.7196886278763763E-2</v>
      </c>
      <c r="S29" s="67" t="str">
        <f t="shared" si="59"/>
        <v>1+0,0024282931965537i</v>
      </c>
      <c r="T29" s="67">
        <f t="shared" si="60"/>
        <v>1.000002948299578</v>
      </c>
      <c r="U29" s="67">
        <f t="shared" si="61"/>
        <v>2.4282884236730127E-3</v>
      </c>
      <c r="V29" t="str">
        <f t="shared" si="62"/>
        <v>1-0,000505894415948687i</v>
      </c>
      <c r="W29" s="67">
        <f t="shared" si="63"/>
        <v>1.0000001279645718</v>
      </c>
      <c r="X29" s="67">
        <f t="shared" si="64"/>
        <v>-5.0589437279098255E-4</v>
      </c>
      <c r="Y29" t="str">
        <f t="shared" si="65"/>
        <v>0,999999989378644+0,00140301384689769i</v>
      </c>
      <c r="Z29" s="67">
        <f t="shared" si="66"/>
        <v>1.0000009736020974</v>
      </c>
      <c r="AA29" s="67">
        <f t="shared" si="67"/>
        <v>1.4030129412141254E-3</v>
      </c>
      <c r="AB29" s="92" t="str">
        <f t="shared" si="68"/>
        <v>22,3304167281224-1,94040666560193i</v>
      </c>
      <c r="AC29" s="37">
        <f t="shared" si="69"/>
        <v>27.01060599707009</v>
      </c>
      <c r="AD29" s="60">
        <f t="shared" si="70"/>
        <v>-4.9662552249125653</v>
      </c>
      <c r="AE29" t="str">
        <f t="shared" si="71"/>
        <v>34,4450883806789</v>
      </c>
      <c r="AF29" t="str">
        <f t="shared" si="72"/>
        <v>1+0,0437092775379666i</v>
      </c>
      <c r="AG29">
        <f t="shared" si="73"/>
        <v>1.0009547946550288</v>
      </c>
      <c r="AH29">
        <f t="shared" si="74"/>
        <v>4.3681473863732209E-2</v>
      </c>
      <c r="AI29" t="str">
        <f t="shared" si="50"/>
        <v>1+0,0024282931965537i</v>
      </c>
      <c r="AJ29">
        <f t="shared" si="75"/>
        <v>1.000002948299578</v>
      </c>
      <c r="AK29">
        <f t="shared" si="76"/>
        <v>2.4282884236730127E-3</v>
      </c>
      <c r="AL29" t="str">
        <f t="shared" si="77"/>
        <v>1-0,000165224424373013i</v>
      </c>
      <c r="AM29">
        <f t="shared" si="78"/>
        <v>1.000000013649555</v>
      </c>
      <c r="AN29">
        <f t="shared" si="79"/>
        <v>-1.6522442286951976E-4</v>
      </c>
      <c r="AO29" s="58" t="str">
        <f t="shared" si="80"/>
        <v>34,3828209968623-1,42489666162076i</v>
      </c>
      <c r="AP29">
        <f t="shared" si="81"/>
        <v>30.734282511196213</v>
      </c>
      <c r="AQ29" s="60">
        <f t="shared" si="82"/>
        <v>-2.3731000792888355</v>
      </c>
      <c r="AR29" t="str">
        <f t="shared" si="83"/>
        <v>-1,36472945891784</v>
      </c>
      <c r="AS29" t="str">
        <f t="shared" si="51"/>
        <v>1+0,00181903443353838i</v>
      </c>
      <c r="AT29">
        <f t="shared" si="84"/>
        <v>1.0000016544417665</v>
      </c>
      <c r="AU29">
        <f t="shared" si="85"/>
        <v>1.8190324272163425E-3</v>
      </c>
      <c r="AV29" t="str">
        <f t="shared" si="52"/>
        <v>1+0,00181903443353838i</v>
      </c>
      <c r="AW29">
        <f t="shared" si="86"/>
        <v>1.0000016544417665</v>
      </c>
      <c r="AX29">
        <f t="shared" si="87"/>
        <v>1.8190324272163425E-3</v>
      </c>
      <c r="AY29" t="str">
        <f t="shared" si="53"/>
        <v>1-8,24613307117123i</v>
      </c>
      <c r="AZ29">
        <f t="shared" si="88"/>
        <v>8.306546251449145</v>
      </c>
      <c r="BA29">
        <f t="shared" si="89"/>
        <v>-1.4501166406088932</v>
      </c>
      <c r="BB29" s="58" t="str">
        <f t="shared" si="90"/>
        <v>-1,34425406905024+11,256185968823i</v>
      </c>
      <c r="BC29">
        <f t="shared" si="91"/>
        <v>21.089326707423083</v>
      </c>
      <c r="BD29" s="60">
        <f t="shared" si="92"/>
        <v>96.810213810544312</v>
      </c>
      <c r="BE29" s="58" t="str">
        <f t="shared" si="93"/>
        <v>-8,17617526720701+253,963723008909i</v>
      </c>
      <c r="BF29" s="37">
        <f t="shared" si="94"/>
        <v>48.099932704493156</v>
      </c>
      <c r="BG29" s="60">
        <f t="shared" si="95"/>
        <v>91.843958585631739</v>
      </c>
      <c r="BH29" s="58" t="str">
        <f t="shared" si="96"/>
        <v>-30,1803452208998+388,934850408794i</v>
      </c>
      <c r="BI29" s="37">
        <f t="shared" si="97"/>
        <v>51.823609218619296</v>
      </c>
      <c r="BJ29" s="60">
        <f t="shared" si="98"/>
        <v>94.437113731255465</v>
      </c>
      <c r="BK29">
        <f t="shared" si="99"/>
        <v>48.099932704493156</v>
      </c>
      <c r="BL29" s="60">
        <f t="shared" si="100"/>
        <v>91.843958585631739</v>
      </c>
      <c r="BN29">
        <f t="shared" si="101"/>
        <v>0</v>
      </c>
      <c r="BO29">
        <f t="shared" si="102"/>
        <v>0</v>
      </c>
    </row>
    <row r="30" spans="1:67" x14ac:dyDescent="0.25">
      <c r="C30" s="70"/>
      <c r="M30" s="66">
        <v>12</v>
      </c>
      <c r="N30" s="36">
        <f t="shared" si="54"/>
        <v>13.182567385564075</v>
      </c>
      <c r="O30" s="91" t="str">
        <f t="shared" si="55"/>
        <v>22,5</v>
      </c>
      <c r="P30" s="67" t="str">
        <f t="shared" si="56"/>
        <v>1+0,0894547948045115i</v>
      </c>
      <c r="Q30" s="67">
        <f t="shared" si="57"/>
        <v>1.003993107702198</v>
      </c>
      <c r="R30" s="67">
        <f t="shared" si="58"/>
        <v>8.9217323400299822E-2</v>
      </c>
      <c r="S30" s="67" t="str">
        <f t="shared" si="59"/>
        <v>1+0,00248485541123643i</v>
      </c>
      <c r="T30" s="67">
        <f t="shared" si="60"/>
        <v>1.0000030872484418</v>
      </c>
      <c r="U30" s="67">
        <f t="shared" si="61"/>
        <v>2.4848502970034846E-3</v>
      </c>
      <c r="V30" t="str">
        <f t="shared" si="62"/>
        <v>1-0,000517678210674256i</v>
      </c>
      <c r="W30" s="67">
        <f t="shared" si="63"/>
        <v>1.0000001339953559</v>
      </c>
      <c r="X30" s="67">
        <f t="shared" si="64"/>
        <v>-5.176781644299429E-4</v>
      </c>
      <c r="Y30" t="str">
        <f t="shared" si="65"/>
        <v>0,999999988878075+0,00143569423760327i</v>
      </c>
      <c r="Z30" s="67">
        <f t="shared" si="66"/>
        <v>1.0000010194865274</v>
      </c>
      <c r="AA30" s="67">
        <f t="shared" si="67"/>
        <v>1.4356932671458992E-3</v>
      </c>
      <c r="AB30" s="92" t="str">
        <f t="shared" si="68"/>
        <v>22,3224879617331-1,98489527990467i</v>
      </c>
      <c r="AC30" s="37">
        <f t="shared" si="69"/>
        <v>27.009054857664765</v>
      </c>
      <c r="AD30" s="60">
        <f t="shared" si="70"/>
        <v>-5.0813245944015302</v>
      </c>
      <c r="AE30" t="str">
        <f t="shared" si="71"/>
        <v>34,4450883806789</v>
      </c>
      <c r="AF30" t="str">
        <f t="shared" si="72"/>
        <v>1+0,0447273974022558i</v>
      </c>
      <c r="AG30">
        <f t="shared" si="73"/>
        <v>1.0009997702688944</v>
      </c>
      <c r="AH30">
        <f t="shared" si="74"/>
        <v>4.4697606835387454E-2</v>
      </c>
      <c r="AI30" t="str">
        <f t="shared" si="50"/>
        <v>1+0,00248485541123643i</v>
      </c>
      <c r="AJ30">
        <f t="shared" si="75"/>
        <v>1.0000030872484418</v>
      </c>
      <c r="AK30">
        <f t="shared" si="76"/>
        <v>2.4848502970034846E-3</v>
      </c>
      <c r="AL30" t="str">
        <f t="shared" si="77"/>
        <v>1-0,000169072995614525i</v>
      </c>
      <c r="AM30">
        <f t="shared" si="78"/>
        <v>1.0000000142928389</v>
      </c>
      <c r="AN30">
        <f t="shared" si="79"/>
        <v>-1.6907299400350297E-4</v>
      </c>
      <c r="AO30" s="58" t="str">
        <f t="shared" si="80"/>
        <v>34,3798922844786-1,4579557748781i</v>
      </c>
      <c r="AP30">
        <f t="shared" si="81"/>
        <v>30.733893451861857</v>
      </c>
      <c r="AQ30" s="60">
        <f t="shared" si="82"/>
        <v>-2.4282999602487072</v>
      </c>
      <c r="AR30" t="str">
        <f t="shared" si="83"/>
        <v>-1,36472945891784</v>
      </c>
      <c r="AS30" t="str">
        <f t="shared" si="51"/>
        <v>1+0,00186140518855721i</v>
      </c>
      <c r="AT30">
        <f t="shared" si="84"/>
        <v>1.0000017324131374</v>
      </c>
      <c r="AU30">
        <f t="shared" si="85"/>
        <v>1.8614030387446153E-3</v>
      </c>
      <c r="AV30" t="str">
        <f t="shared" si="52"/>
        <v>1+0,00186140518855721i</v>
      </c>
      <c r="AW30">
        <f t="shared" si="86"/>
        <v>1.0000017324131374</v>
      </c>
      <c r="AX30">
        <f t="shared" si="87"/>
        <v>1.8614030387446153E-3</v>
      </c>
      <c r="AY30" t="str">
        <f t="shared" si="53"/>
        <v>1-8,05842816610317i</v>
      </c>
      <c r="AZ30">
        <f t="shared" si="88"/>
        <v>8.1202379588436244</v>
      </c>
      <c r="BA30">
        <f t="shared" si="89"/>
        <v>-1.4473338089309546</v>
      </c>
      <c r="BB30" s="58" t="str">
        <f t="shared" si="90"/>
        <v>-1,34425385942395+11,000076511963i</v>
      </c>
      <c r="BC30">
        <f t="shared" si="91"/>
        <v>20.892291401741396</v>
      </c>
      <c r="BD30" s="60">
        <f t="shared" si="92"/>
        <v>96.967230663569481</v>
      </c>
      <c r="BE30" s="58" t="str">
        <f t="shared" si="93"/>
        <v>-8,17309064731879+248,217278657001i</v>
      </c>
      <c r="BF30" s="37">
        <f t="shared" si="94"/>
        <v>47.901346259406139</v>
      </c>
      <c r="BG30" s="60">
        <f t="shared" si="95"/>
        <v>91.885906069167959</v>
      </c>
      <c r="BH30" s="58" t="str">
        <f t="shared" si="96"/>
        <v>-30,1776778152726+380,14130827956i</v>
      </c>
      <c r="BI30" s="37">
        <f t="shared" si="97"/>
        <v>51.626184853603235</v>
      </c>
      <c r="BJ30" s="60">
        <f t="shared" si="98"/>
        <v>94.538930703320773</v>
      </c>
      <c r="BK30">
        <f t="shared" si="99"/>
        <v>47.901346259406139</v>
      </c>
      <c r="BL30" s="60">
        <f t="shared" si="100"/>
        <v>91.885906069167959</v>
      </c>
      <c r="BN30">
        <f t="shared" si="101"/>
        <v>0</v>
      </c>
      <c r="BO30">
        <f t="shared" si="102"/>
        <v>0</v>
      </c>
    </row>
    <row r="31" spans="1:67" x14ac:dyDescent="0.25">
      <c r="A31" t="s">
        <v>469</v>
      </c>
      <c r="B31">
        <f>(Rcs*ACS/(2*Lm*fsw))*(1-(B14/VOUT))*(B14/VOUT)</f>
        <v>1.7777777777777779E-3</v>
      </c>
      <c r="E31" t="s">
        <v>474</v>
      </c>
      <c r="M31" s="66">
        <v>13</v>
      </c>
      <c r="N31" s="36">
        <f t="shared" si="54"/>
        <v>13.489628825916535</v>
      </c>
      <c r="O31" s="91" t="str">
        <f t="shared" si="55"/>
        <v>22,5</v>
      </c>
      <c r="P31" s="67" t="str">
        <f t="shared" si="56"/>
        <v>1+0,0915384646493694i</v>
      </c>
      <c r="Q31" s="67">
        <f t="shared" si="57"/>
        <v>1.0041809052707404</v>
      </c>
      <c r="R31" s="67">
        <f t="shared" si="58"/>
        <v>9.1284066638615463E-2</v>
      </c>
      <c r="S31" s="67" t="str">
        <f t="shared" si="59"/>
        <v>1+0,00254273512914915i</v>
      </c>
      <c r="T31" s="67">
        <f t="shared" si="60"/>
        <v>1.0000032327457431</v>
      </c>
      <c r="U31" s="67">
        <f t="shared" si="61"/>
        <v>2.5427296491507744E-3</v>
      </c>
      <c r="V31" t="str">
        <f t="shared" si="62"/>
        <v>1-0,000529736485239406i</v>
      </c>
      <c r="W31" s="67">
        <f t="shared" si="63"/>
        <v>1.000000140310362</v>
      </c>
      <c r="X31" s="67">
        <f t="shared" si="64"/>
        <v>-5.2973643568773215E-4</v>
      </c>
      <c r="Y31" t="str">
        <f t="shared" si="65"/>
        <v>0,999999988353914+0,00146913585239729i</v>
      </c>
      <c r="Z31" s="67">
        <f t="shared" si="66"/>
        <v>1.0000010675334206</v>
      </c>
      <c r="AA31" s="67">
        <f t="shared" si="67"/>
        <v>1.4691348125335435E-3</v>
      </c>
      <c r="AB31" s="92" t="str">
        <f t="shared" si="68"/>
        <v>22,3141915944814-2,03036999682079i</v>
      </c>
      <c r="AC31" s="37">
        <f t="shared" si="69"/>
        <v>27.007431209540684</v>
      </c>
      <c r="AD31" s="60">
        <f t="shared" si="70"/>
        <v>-5.1990309641576316</v>
      </c>
      <c r="AE31" t="str">
        <f t="shared" si="71"/>
        <v>34,4450883806789</v>
      </c>
      <c r="AF31" t="str">
        <f t="shared" si="72"/>
        <v>1+0,0457692323246848i</v>
      </c>
      <c r="AG31">
        <f t="shared" si="73"/>
        <v>1.0010468633523562</v>
      </c>
      <c r="AH31">
        <f t="shared" si="74"/>
        <v>4.5737312959827775E-2</v>
      </c>
      <c r="AI31" t="str">
        <f t="shared" si="50"/>
        <v>1+0,00254273512914915i</v>
      </c>
      <c r="AJ31">
        <f t="shared" si="75"/>
        <v>1.0000032327457431</v>
      </c>
      <c r="AK31">
        <f t="shared" si="76"/>
        <v>2.5427296491507744E-3</v>
      </c>
      <c r="AL31" t="str">
        <f t="shared" si="77"/>
        <v>1-0,000173011211596258i</v>
      </c>
      <c r="AM31">
        <f t="shared" si="78"/>
        <v>1.0000000149664394</v>
      </c>
      <c r="AN31">
        <f t="shared" si="79"/>
        <v>-1.7301120987001678E-4</v>
      </c>
      <c r="AO31" s="58" t="str">
        <f t="shared" si="80"/>
        <v>34,3768261102173-1,49177559104591i</v>
      </c>
      <c r="AP31">
        <f t="shared" si="81"/>
        <v>30.733486094311495</v>
      </c>
      <c r="AQ31" s="60">
        <f t="shared" si="82"/>
        <v>-2.4847801336620217</v>
      </c>
      <c r="AR31" t="str">
        <f t="shared" si="83"/>
        <v>-1,36472945891784</v>
      </c>
      <c r="AS31" t="str">
        <f t="shared" si="51"/>
        <v>1+0,00190476288524563i</v>
      </c>
      <c r="AT31">
        <f t="shared" si="84"/>
        <v>1.0000018140591791</v>
      </c>
      <c r="AU31">
        <f t="shared" si="85"/>
        <v>1.9047605816801577E-3</v>
      </c>
      <c r="AV31" t="str">
        <f t="shared" si="52"/>
        <v>1+0,00190476288524563i</v>
      </c>
      <c r="AW31">
        <f t="shared" si="86"/>
        <v>1.0000018140591791</v>
      </c>
      <c r="AX31">
        <f t="shared" si="87"/>
        <v>1.9047605816801577E-3</v>
      </c>
      <c r="AY31" t="str">
        <f t="shared" si="53"/>
        <v>1-7,8749959463147i</v>
      </c>
      <c r="AZ31">
        <f t="shared" si="88"/>
        <v>7.9382341332611848</v>
      </c>
      <c r="BA31">
        <f t="shared" si="89"/>
        <v>-1.4444881454033671</v>
      </c>
      <c r="BB31" s="58" t="str">
        <f t="shared" si="90"/>
        <v>-1,34425363991834+10,7497994412359i</v>
      </c>
      <c r="BC31">
        <f t="shared" si="91"/>
        <v>20.695393649179014</v>
      </c>
      <c r="BD31" s="60">
        <f t="shared" si="92"/>
        <v>97.127790969394326</v>
      </c>
      <c r="BE31" s="58" t="str">
        <f t="shared" si="93"/>
        <v>-8,16986301539059+242,602416592594i</v>
      </c>
      <c r="BF31" s="37">
        <f t="shared" si="94"/>
        <v>47.702824858719694</v>
      </c>
      <c r="BG31" s="60">
        <f t="shared" si="95"/>
        <v>91.928760005236711</v>
      </c>
      <c r="BH31" s="58" t="str">
        <f t="shared" si="96"/>
        <v>-30,1748852124248+371,549310879282i</v>
      </c>
      <c r="BI31" s="37">
        <f t="shared" si="97"/>
        <v>51.428879743490498</v>
      </c>
      <c r="BJ31" s="60">
        <f t="shared" si="98"/>
        <v>94.643010835732326</v>
      </c>
      <c r="BK31">
        <f t="shared" si="99"/>
        <v>47.702824858719694</v>
      </c>
      <c r="BL31" s="60">
        <f t="shared" si="100"/>
        <v>91.928760005236711</v>
      </c>
      <c r="BN31">
        <f t="shared" si="101"/>
        <v>0</v>
      </c>
      <c r="BO31">
        <f t="shared" si="102"/>
        <v>0</v>
      </c>
    </row>
    <row r="32" spans="1:67" x14ac:dyDescent="0.25">
      <c r="A32" t="s">
        <v>470</v>
      </c>
      <c r="B32">
        <f>1/((0.5-(1-(Vin_vari/VOUT)))*(Rcs*ACS/(Lm*fsw))+(Vslo*ACS/VOUT))</f>
        <v>1.4940239043824701</v>
      </c>
      <c r="E32" t="s">
        <v>474</v>
      </c>
      <c r="M32" s="66">
        <v>14</v>
      </c>
      <c r="N32" s="36">
        <f t="shared" si="54"/>
        <v>13.803842646028857</v>
      </c>
      <c r="O32" s="91" t="str">
        <f t="shared" si="55"/>
        <v>22,5</v>
      </c>
      <c r="P32" s="67" t="str">
        <f t="shared" si="56"/>
        <v>1+0,0936706693998393i</v>
      </c>
      <c r="Q32" s="67">
        <f t="shared" si="57"/>
        <v>1.004377515830484</v>
      </c>
      <c r="R32" s="67">
        <f t="shared" si="58"/>
        <v>9.3398141145715499E-2</v>
      </c>
      <c r="S32" s="67" t="str">
        <f t="shared" si="59"/>
        <v>1+0,00260196303888443i</v>
      </c>
      <c r="T32" s="67">
        <f t="shared" si="60"/>
        <v>1.0000033851000985</v>
      </c>
      <c r="U32" s="67">
        <f t="shared" si="61"/>
        <v>2.6019571669614514E-3</v>
      </c>
      <c r="V32" t="str">
        <f t="shared" si="62"/>
        <v>1-0,000542075633100922i</v>
      </c>
      <c r="W32" s="67">
        <f t="shared" si="63"/>
        <v>1.0000001469229851</v>
      </c>
      <c r="X32" s="67">
        <f t="shared" si="64"/>
        <v>-5.4207558000534729E-4</v>
      </c>
      <c r="Y32" t="str">
        <f t="shared" si="65"/>
        <v>0,999999987805051+0,00150335642246656i</v>
      </c>
      <c r="Z32" s="67">
        <f t="shared" si="66"/>
        <v>1.0000011178446926</v>
      </c>
      <c r="AA32" s="67">
        <f t="shared" si="67"/>
        <v>1.503355308232548E-3</v>
      </c>
      <c r="AB32" s="92" t="str">
        <f t="shared" si="68"/>
        <v>22,305510880062-2,07685026458598i</v>
      </c>
      <c r="AC32" s="37">
        <f t="shared" si="69"/>
        <v>27.005731692309823</v>
      </c>
      <c r="AD32" s="60">
        <f t="shared" si="70"/>
        <v>-5.3194326950576842</v>
      </c>
      <c r="AE32" t="str">
        <f t="shared" si="71"/>
        <v>34,4450883806789</v>
      </c>
      <c r="AF32" t="str">
        <f t="shared" si="72"/>
        <v>1+0,0468353346999197i</v>
      </c>
      <c r="AG32">
        <f t="shared" si="73"/>
        <v>1.0010961734900665</v>
      </c>
      <c r="AH32">
        <f t="shared" si="74"/>
        <v>4.6801134506599895E-2</v>
      </c>
      <c r="AI32" t="str">
        <f t="shared" si="50"/>
        <v>1+0,00260196303888443i</v>
      </c>
      <c r="AJ32">
        <f t="shared" si="75"/>
        <v>1.0000033851000985</v>
      </c>
      <c r="AK32">
        <f t="shared" si="76"/>
        <v>2.6019571669614514E-3</v>
      </c>
      <c r="AL32" t="str">
        <f t="shared" si="77"/>
        <v>1-0,000177041160412454i</v>
      </c>
      <c r="AM32">
        <f t="shared" si="78"/>
        <v>1.0000000156717861</v>
      </c>
      <c r="AN32">
        <f t="shared" si="79"/>
        <v>-1.7704115856275322E-4</v>
      </c>
      <c r="AO32" s="58" t="str">
        <f t="shared" si="80"/>
        <v>34,373616049947-1,52637316412559i</v>
      </c>
      <c r="AP32">
        <f t="shared" si="81"/>
        <v>30.733059579795228</v>
      </c>
      <c r="AQ32" s="60">
        <f t="shared" si="82"/>
        <v>-2.5425700306973003</v>
      </c>
      <c r="AR32" t="str">
        <f t="shared" si="83"/>
        <v>-1,36472945891784</v>
      </c>
      <c r="AS32" t="str">
        <f t="shared" si="51"/>
        <v>1+0,00194913051242833i</v>
      </c>
      <c r="AT32">
        <f t="shared" si="84"/>
        <v>1.0000018995530731</v>
      </c>
      <c r="AU32">
        <f t="shared" si="85"/>
        <v>1.9491280441137088E-3</v>
      </c>
      <c r="AV32" t="str">
        <f t="shared" si="52"/>
        <v>1+0,00194913051242833i</v>
      </c>
      <c r="AW32">
        <f t="shared" si="86"/>
        <v>1.0000018995530731</v>
      </c>
      <c r="AX32">
        <f t="shared" si="87"/>
        <v>1.9491280441137088E-3</v>
      </c>
      <c r="AY32" t="str">
        <f t="shared" si="53"/>
        <v>1-7,69573915361484i</v>
      </c>
      <c r="AZ32">
        <f t="shared" si="88"/>
        <v>7.7604382041531936</v>
      </c>
      <c r="BA32">
        <f t="shared" si="89"/>
        <v>-1.4415783256650325</v>
      </c>
      <c r="BB32" s="58" t="str">
        <f t="shared" si="90"/>
        <v>-1,34425341006783+10,5052220564236i</v>
      </c>
      <c r="BC32">
        <f t="shared" si="91"/>
        <v>20.498639726588195</v>
      </c>
      <c r="BD32" s="60">
        <f t="shared" si="92"/>
        <v>97.291969291199621</v>
      </c>
      <c r="BE32" s="58" t="str">
        <f t="shared" si="93"/>
        <v>-8,1664858564106+237,116157927394i</v>
      </c>
      <c r="BF32" s="37">
        <f t="shared" si="94"/>
        <v>47.504371418898032</v>
      </c>
      <c r="BG32" s="60">
        <f t="shared" si="95"/>
        <v>91.972536596141936</v>
      </c>
      <c r="BH32" s="58" t="str">
        <f t="shared" si="96"/>
        <v>-30,1719615613983+363,154301817851i</v>
      </c>
      <c r="BI32" s="37">
        <f t="shared" si="97"/>
        <v>51.231699306383412</v>
      </c>
      <c r="BJ32" s="60">
        <f t="shared" si="98"/>
        <v>94.749399260502329</v>
      </c>
      <c r="BK32">
        <f t="shared" si="99"/>
        <v>47.504371418898032</v>
      </c>
      <c r="BL32" s="60">
        <f t="shared" si="100"/>
        <v>91.972536596141936</v>
      </c>
      <c r="BN32">
        <f t="shared" si="101"/>
        <v>0</v>
      </c>
      <c r="BO32">
        <f t="shared" si="102"/>
        <v>0</v>
      </c>
    </row>
    <row r="33" spans="1:67" x14ac:dyDescent="0.25">
      <c r="A33" t="s">
        <v>471</v>
      </c>
      <c r="B33">
        <f>2+((VOUT*((Vin_vari/VOUT)^2))/(IOUT_vari*Rcs*ACS))*((1/km)+(kex/(Vin_vari/VOUT)))</f>
        <v>28.880000000000003</v>
      </c>
      <c r="E33" t="s">
        <v>474</v>
      </c>
      <c r="M33" s="66">
        <v>15</v>
      </c>
      <c r="N33" s="36">
        <f t="shared" si="54"/>
        <v>14.125375446227544</v>
      </c>
      <c r="O33" s="91" t="str">
        <f t="shared" si="55"/>
        <v>22,5</v>
      </c>
      <c r="P33" s="67" t="str">
        <f t="shared" si="56"/>
        <v>1+0,0958525395791028i</v>
      </c>
      <c r="Q33" s="67">
        <f t="shared" si="57"/>
        <v>1.0045833511181457</v>
      </c>
      <c r="R33" s="67">
        <f t="shared" si="58"/>
        <v>9.5560592202499933E-2</v>
      </c>
      <c r="S33" s="67" t="str">
        <f t="shared" si="59"/>
        <v>1+0,00266257054386397i</v>
      </c>
      <c r="T33" s="67">
        <f t="shared" si="60"/>
        <v>1.0000035446346682</v>
      </c>
      <c r="U33" s="67">
        <f t="shared" si="61"/>
        <v>2.6625642519863438E-3</v>
      </c>
      <c r="V33" t="str">
        <f t="shared" si="62"/>
        <v>1-0,000554702196638326i</v>
      </c>
      <c r="W33" s="67">
        <f t="shared" si="63"/>
        <v>1.0000001538472516</v>
      </c>
      <c r="X33" s="67">
        <f t="shared" si="64"/>
        <v>-5.5470213974539312E-4</v>
      </c>
      <c r="Y33" t="str">
        <f t="shared" si="65"/>
        <v>0,999999987230321+0,00153837409201029i</v>
      </c>
      <c r="Z33" s="67">
        <f t="shared" si="66"/>
        <v>1.0000011705270595</v>
      </c>
      <c r="AA33" s="67">
        <f t="shared" si="67"/>
        <v>1.5383728980871106E-3</v>
      </c>
      <c r="AB33" s="92" t="str">
        <f t="shared" si="68"/>
        <v>22,2964283376295-2,12435574068747i</v>
      </c>
      <c r="AC33" s="37">
        <f t="shared" si="69"/>
        <v>27.003952792626386</v>
      </c>
      <c r="AD33" s="60">
        <f t="shared" si="70"/>
        <v>-5.4425892925247679</v>
      </c>
      <c r="AE33" t="str">
        <f t="shared" si="71"/>
        <v>34,4450883806789</v>
      </c>
      <c r="AF33" t="str">
        <f t="shared" si="72"/>
        <v>1+0,0479262697895514i</v>
      </c>
      <c r="AG33">
        <f t="shared" si="73"/>
        <v>1.0011478049398803</v>
      </c>
      <c r="AH33">
        <f t="shared" si="74"/>
        <v>4.7889625890937135E-2</v>
      </c>
      <c r="AI33" t="str">
        <f t="shared" si="50"/>
        <v>1+0,00266257054386397i</v>
      </c>
      <c r="AJ33">
        <f t="shared" si="75"/>
        <v>1.0000035446346682</v>
      </c>
      <c r="AK33">
        <f t="shared" si="76"/>
        <v>2.6625642519863438E-3</v>
      </c>
      <c r="AL33" t="str">
        <f t="shared" si="77"/>
        <v>1-0,000181164978795317i</v>
      </c>
      <c r="AM33">
        <f t="shared" si="78"/>
        <v>1.0000000164103746</v>
      </c>
      <c r="AN33">
        <f t="shared" si="79"/>
        <v>-1.8116497681332691E-4</v>
      </c>
      <c r="AO33" s="58" t="str">
        <f t="shared" si="80"/>
        <v>34,3702553819839-1,56176589817564i</v>
      </c>
      <c r="AP33">
        <f t="shared" si="81"/>
        <v>30.732613009439412</v>
      </c>
      <c r="AQ33" s="60">
        <f t="shared" si="82"/>
        <v>-2.6016997402568918</v>
      </c>
      <c r="AR33" t="str">
        <f t="shared" si="83"/>
        <v>-1,36472945891784</v>
      </c>
      <c r="AS33" t="str">
        <f t="shared" si="51"/>
        <v>1+0,0019945315944085i</v>
      </c>
      <c r="AT33">
        <f t="shared" si="84"/>
        <v>1.0000019890761622</v>
      </c>
      <c r="AU33">
        <f t="shared" si="85"/>
        <v>1.9945289495620164E-3</v>
      </c>
      <c r="AV33" t="str">
        <f t="shared" si="52"/>
        <v>1+0,0019945315944085i</v>
      </c>
      <c r="AW33">
        <f t="shared" si="86"/>
        <v>1.0000019890761622</v>
      </c>
      <c r="AX33">
        <f t="shared" si="87"/>
        <v>1.9945289495620164E-3</v>
      </c>
      <c r="AY33" t="str">
        <f t="shared" si="53"/>
        <v>1-7,5205627436794i</v>
      </c>
      <c r="AZ33">
        <f t="shared" si="88"/>
        <v>7.5867558272043141</v>
      </c>
      <c r="BA33">
        <f t="shared" si="89"/>
        <v>-1.4386030040966284</v>
      </c>
      <c r="BB33" s="58" t="str">
        <f t="shared" si="90"/>
        <v>-1,34425316938488+10,2662146793565i</v>
      </c>
      <c r="BC33">
        <f t="shared" si="91"/>
        <v>20.302036187276975</v>
      </c>
      <c r="BD33" s="60">
        <f t="shared" si="92"/>
        <v>97.459841379495103</v>
      </c>
      <c r="BE33" s="58" t="str">
        <f t="shared" si="93"/>
        <v>-8,16295236960035+231,755591834312i</v>
      </c>
      <c r="BF33" s="37">
        <f t="shared" si="94"/>
        <v>47.305988979903361</v>
      </c>
      <c r="BG33" s="60">
        <f t="shared" si="95"/>
        <v>92.017252086970345</v>
      </c>
      <c r="BH33" s="58" t="str">
        <f t="shared" si="96"/>
        <v>-30,1689007402304+354,951829094215i</v>
      </c>
      <c r="BI33" s="37">
        <f t="shared" si="97"/>
        <v>51.034649196716401</v>
      </c>
      <c r="BJ33" s="60">
        <f t="shared" si="98"/>
        <v>94.858141639238198</v>
      </c>
      <c r="BK33">
        <f t="shared" si="99"/>
        <v>47.305988979903361</v>
      </c>
      <c r="BL33" s="60">
        <f t="shared" si="100"/>
        <v>92.017252086970345</v>
      </c>
      <c r="BN33">
        <f t="shared" si="101"/>
        <v>0</v>
      </c>
      <c r="BO33">
        <f t="shared" si="102"/>
        <v>0</v>
      </c>
    </row>
    <row r="34" spans="1:67" x14ac:dyDescent="0.25">
      <c r="M34" s="66">
        <v>16</v>
      </c>
      <c r="N34" s="36">
        <f t="shared" si="54"/>
        <v>14.454397707459275</v>
      </c>
      <c r="O34" s="91" t="str">
        <f t="shared" si="55"/>
        <v>22,5</v>
      </c>
      <c r="P34" s="67" t="str">
        <f t="shared" si="56"/>
        <v>1+0,0980852320436095i</v>
      </c>
      <c r="Q34" s="67">
        <f t="shared" si="57"/>
        <v>1.0047988419305869</v>
      </c>
      <c r="R34" s="67">
        <f t="shared" si="58"/>
        <v>9.777248542822542E-2</v>
      </c>
      <c r="S34" s="67" t="str">
        <f t="shared" si="59"/>
        <v>1+0,00272458977898915i</v>
      </c>
      <c r="T34" s="67">
        <f t="shared" si="60"/>
        <v>1.0000037116878435</v>
      </c>
      <c r="U34" s="67">
        <f t="shared" si="61"/>
        <v>2.7245830371221591E-3</v>
      </c>
      <c r="V34" t="str">
        <f t="shared" si="62"/>
        <v>1-0,00056762287062274i</v>
      </c>
      <c r="W34" s="67">
        <f t="shared" si="63"/>
        <v>1.0000001610978486</v>
      </c>
      <c r="X34" s="67">
        <f t="shared" si="64"/>
        <v>-5.6762280966086466E-4</v>
      </c>
      <c r="Y34" t="str">
        <f t="shared" si="65"/>
        <v>0,999999986628505+0,0015742074278604i</v>
      </c>
      <c r="Z34" s="67">
        <f t="shared" si="66"/>
        <v>1.0000012256922668</v>
      </c>
      <c r="AA34" s="67">
        <f t="shared" si="67"/>
        <v>1.5742061485487485E-3</v>
      </c>
      <c r="AB34" s="92" t="str">
        <f t="shared" si="68"/>
        <v>22,2869257222973-2,17290628026827i</v>
      </c>
      <c r="AC34" s="37">
        <f t="shared" si="69"/>
        <v>27.002090837489746</v>
      </c>
      <c r="AD34" s="60">
        <f t="shared" si="70"/>
        <v>-5.5685614183259462</v>
      </c>
      <c r="AE34" t="str">
        <f t="shared" si="71"/>
        <v>34,4450883806789</v>
      </c>
      <c r="AF34" t="str">
        <f t="shared" si="72"/>
        <v>1+0,0490426160218048i</v>
      </c>
      <c r="AG34">
        <f t="shared" si="73"/>
        <v>1.0012018668511671</v>
      </c>
      <c r="AH34">
        <f t="shared" si="74"/>
        <v>4.9003353922239146E-2</v>
      </c>
      <c r="AI34" t="str">
        <f t="shared" si="50"/>
        <v>1+0,00272458977898915i</v>
      </c>
      <c r="AJ34">
        <f t="shared" si="75"/>
        <v>1.0000037116878435</v>
      </c>
      <c r="AK34">
        <f t="shared" si="76"/>
        <v>2.7245830371221591E-3</v>
      </c>
      <c r="AL34" t="str">
        <f t="shared" si="77"/>
        <v>1-0,000185384853247939i</v>
      </c>
      <c r="AM34">
        <f t="shared" si="78"/>
        <v>1.0000000171837717</v>
      </c>
      <c r="AN34">
        <f t="shared" si="79"/>
        <v>-1.8538485112419835E-4</v>
      </c>
      <c r="AO34" s="58" t="str">
        <f t="shared" si="80"/>
        <v>34,3667370735678-1,5979715521375i</v>
      </c>
      <c r="AP34">
        <f t="shared" si="81"/>
        <v>30.732145442389204</v>
      </c>
      <c r="AQ34" s="60">
        <f t="shared" si="82"/>
        <v>-2.662200022325198</v>
      </c>
      <c r="AR34" t="str">
        <f t="shared" si="83"/>
        <v>-1,36472945891784</v>
      </c>
      <c r="AS34" t="str">
        <f t="shared" si="51"/>
        <v>1+0,00204099020344078i</v>
      </c>
      <c r="AT34">
        <f t="shared" si="84"/>
        <v>1.0000020828183362</v>
      </c>
      <c r="AU34">
        <f t="shared" si="85"/>
        <v>2.0409873694370324E-3</v>
      </c>
      <c r="AV34" t="str">
        <f t="shared" si="52"/>
        <v>1+0,00204099020344078i</v>
      </c>
      <c r="AW34">
        <f t="shared" si="86"/>
        <v>1.0000020828183362</v>
      </c>
      <c r="AX34">
        <f t="shared" si="87"/>
        <v>2.0409873694370324E-3</v>
      </c>
      <c r="AY34" t="str">
        <f t="shared" si="53"/>
        <v>1-7,34937383565706i</v>
      </c>
      <c r="AZ34">
        <f t="shared" si="88"/>
        <v>7.4170948339791751</v>
      </c>
      <c r="BA34">
        <f t="shared" si="89"/>
        <v>-1.4355608139681841</v>
      </c>
      <c r="BB34" s="58" t="str">
        <f t="shared" si="90"/>
        <v>-1,34425291735899+10,0326505851565i</v>
      </c>
      <c r="BC34">
        <f t="shared" si="91"/>
        <v>20.105589872241737</v>
      </c>
      <c r="BD34" s="60">
        <f t="shared" si="92"/>
        <v>97.631484162949647</v>
      </c>
      <c r="BE34" s="58" t="str">
        <f t="shared" si="93"/>
        <v>-8,15925545693757+226,517873995544i</v>
      </c>
      <c r="BF34" s="37">
        <f t="shared" si="94"/>
        <v>47.10768070973149</v>
      </c>
      <c r="BG34" s="60">
        <f t="shared" si="95"/>
        <v>92.062922744623691</v>
      </c>
      <c r="BH34" s="58" t="str">
        <f t="shared" si="96"/>
        <v>-30,1656963436371+346,937542731867i</v>
      </c>
      <c r="BI34" s="37">
        <f t="shared" si="97"/>
        <v>50.83773531463094</v>
      </c>
      <c r="BJ34" s="60">
        <f t="shared" si="98"/>
        <v>94.969284140624438</v>
      </c>
      <c r="BK34">
        <f t="shared" si="99"/>
        <v>47.10768070973149</v>
      </c>
      <c r="BL34" s="60">
        <f t="shared" si="100"/>
        <v>92.062922744623691</v>
      </c>
      <c r="BN34">
        <f t="shared" si="101"/>
        <v>0</v>
      </c>
      <c r="BO34">
        <f t="shared" si="102"/>
        <v>0</v>
      </c>
    </row>
    <row r="35" spans="1:67" x14ac:dyDescent="0.25">
      <c r="A35" t="s">
        <v>367</v>
      </c>
      <c r="B35" s="23">
        <f>Gcomp*((B14/VOUT)*(VOUT/IOUT_vari))/(2*Rcs*ACS)</f>
        <v>22.499999999999996</v>
      </c>
      <c r="C35" t="s">
        <v>118</v>
      </c>
      <c r="E35" t="s">
        <v>473</v>
      </c>
      <c r="M35" s="66">
        <v>17</v>
      </c>
      <c r="N35" s="36">
        <f t="shared" si="54"/>
        <v>14.791083881682074</v>
      </c>
      <c r="O35" s="91" t="str">
        <f t="shared" si="55"/>
        <v>22,5</v>
      </c>
      <c r="P35" s="67" t="str">
        <f t="shared" si="56"/>
        <v>1+0,100369930596457i</v>
      </c>
      <c r="Q35" s="67">
        <f t="shared" si="57"/>
        <v>1.0050244389903846</v>
      </c>
      <c r="R35" s="67">
        <f t="shared" si="58"/>
        <v>0.10003490697734206</v>
      </c>
      <c r="S35" s="67" t="str">
        <f t="shared" si="59"/>
        <v>1+0,00278805362767937i</v>
      </c>
      <c r="T35" s="67">
        <f t="shared" si="60"/>
        <v>1.0000038866139624</v>
      </c>
      <c r="U35" s="67">
        <f t="shared" si="61"/>
        <v>2.7880464036402521E-3</v>
      </c>
      <c r="V35" t="str">
        <f t="shared" si="62"/>
        <v>1-0,000580844505766535i</v>
      </c>
      <c r="W35" s="67">
        <f t="shared" si="63"/>
        <v>1.0000001686901556</v>
      </c>
      <c r="X35" s="67">
        <f t="shared" si="64"/>
        <v>-5.808444404447092E-4</v>
      </c>
      <c r="Y35" t="str">
        <f t="shared" si="65"/>
        <v>0,999999985998326+0,00161087542932586i</v>
      </c>
      <c r="Z35" s="67">
        <f t="shared" si="66"/>
        <v>1.0000012834573269</v>
      </c>
      <c r="AA35" s="67">
        <f t="shared" si="67"/>
        <v>1.6108740585188226E-3</v>
      </c>
      <c r="AB35" s="92" t="str">
        <f t="shared" si="68"/>
        <v>22,2769839947177-2,22252192319732i</v>
      </c>
      <c r="AC35" s="37">
        <f t="shared" si="69"/>
        <v>27.000141987280003</v>
      </c>
      <c r="AD35" s="60">
        <f t="shared" si="70"/>
        <v>-5.6974109016416428</v>
      </c>
      <c r="AE35" t="str">
        <f t="shared" si="71"/>
        <v>34,4450883806789</v>
      </c>
      <c r="AF35" t="str">
        <f t="shared" si="72"/>
        <v>1+0,0501849652982287i</v>
      </c>
      <c r="AG35">
        <f t="shared" si="73"/>
        <v>1.0012584734932257</v>
      </c>
      <c r="AH35">
        <f t="shared" si="74"/>
        <v>5.0142898055911267E-2</v>
      </c>
      <c r="AI35" t="str">
        <f t="shared" si="50"/>
        <v>1+0,00278805362767937i</v>
      </c>
      <c r="AJ35">
        <f t="shared" si="75"/>
        <v>1.0000038866139624</v>
      </c>
      <c r="AK35">
        <f t="shared" si="76"/>
        <v>2.7880464036402521E-3</v>
      </c>
      <c r="AL35" t="str">
        <f t="shared" si="77"/>
        <v>1-0,000189703021203612i</v>
      </c>
      <c r="AM35">
        <f t="shared" si="78"/>
        <v>1.0000000179936179</v>
      </c>
      <c r="AN35">
        <f t="shared" si="79"/>
        <v>-1.897030189279829E-4</v>
      </c>
      <c r="AO35" s="58" t="str">
        <f t="shared" si="80"/>
        <v>34,3630537667472-1,63500824454133i</v>
      </c>
      <c r="AP35">
        <f t="shared" si="81"/>
        <v>30.731655893866538</v>
      </c>
      <c r="AQ35" s="60">
        <f t="shared" si="82"/>
        <v>-2.7241023214887115</v>
      </c>
      <c r="AR35" t="str">
        <f t="shared" si="83"/>
        <v>-1,36472945891784</v>
      </c>
      <c r="AS35" t="str">
        <f t="shared" si="51"/>
        <v>1+0,00208853097249462i</v>
      </c>
      <c r="AT35">
        <f t="shared" si="84"/>
        <v>1.0000021809784332</v>
      </c>
      <c r="AU35">
        <f t="shared" si="85"/>
        <v>2.0885279358052507E-3</v>
      </c>
      <c r="AV35" t="str">
        <f t="shared" si="52"/>
        <v>1+0,00208853097249462i</v>
      </c>
      <c r="AW35">
        <f t="shared" si="86"/>
        <v>1.0000021809784332</v>
      </c>
      <c r="AX35">
        <f t="shared" si="87"/>
        <v>2.0885279358052507E-3</v>
      </c>
      <c r="AY35" t="str">
        <f t="shared" si="53"/>
        <v>1-7,18208166292285i</v>
      </c>
      <c r="AZ35">
        <f t="shared" si="88"/>
        <v>7.2513651827012993</v>
      </c>
      <c r="BA35">
        <f t="shared" si="89"/>
        <v>-1.4324503676310247</v>
      </c>
      <c r="BB35" s="58" t="str">
        <f t="shared" si="90"/>
        <v>-1,34425265345559+9,80440593504604i</v>
      </c>
      <c r="BC35">
        <f t="shared" si="91"/>
        <v>19.909307921766182</v>
      </c>
      <c r="BD35" s="60">
        <f t="shared" si="92"/>
        <v>97.806975736662309</v>
      </c>
      <c r="BE35" s="58" t="str">
        <f t="shared" si="93"/>
        <v>-8,15538771132124+221,400225085357i</v>
      </c>
      <c r="BF35" s="37">
        <f t="shared" si="94"/>
        <v>46.909449909046181</v>
      </c>
      <c r="BG35" s="60">
        <f t="shared" si="95"/>
        <v>92.109564835020663</v>
      </c>
      <c r="BH35" s="58" t="str">
        <f t="shared" si="96"/>
        <v>-30,1623416701568+339,107192468149i</v>
      </c>
      <c r="BI35" s="37">
        <f t="shared" si="97"/>
        <v>50.640963815632716</v>
      </c>
      <c r="BJ35" s="60">
        <f t="shared" si="98"/>
        <v>95.082873415173594</v>
      </c>
      <c r="BK35">
        <f t="shared" si="99"/>
        <v>46.909449909046181</v>
      </c>
      <c r="BL35" s="60">
        <f t="shared" si="100"/>
        <v>92.109564835020663</v>
      </c>
      <c r="BN35">
        <f t="shared" si="101"/>
        <v>0</v>
      </c>
      <c r="BO35">
        <f t="shared" si="102"/>
        <v>0</v>
      </c>
    </row>
    <row r="36" spans="1:67" x14ac:dyDescent="0.25">
      <c r="A36" t="s">
        <v>476</v>
      </c>
      <c r="B36" s="23">
        <f>w_p_low</f>
        <v>925.92592592592587</v>
      </c>
      <c r="C36" t="s">
        <v>483</v>
      </c>
      <c r="E36" t="s">
        <v>484</v>
      </c>
      <c r="M36" s="66">
        <v>18</v>
      </c>
      <c r="N36" s="36">
        <f t="shared" si="54"/>
        <v>15.135612484362087</v>
      </c>
      <c r="O36" s="91" t="str">
        <f t="shared" si="55"/>
        <v>22,5</v>
      </c>
      <c r="P36" s="67" t="str">
        <f t="shared" si="56"/>
        <v>1+0,10270784661506i</v>
      </c>
      <c r="Q36" s="67">
        <f t="shared" si="57"/>
        <v>1.0052606138491167</v>
      </c>
      <c r="R36" s="67">
        <f t="shared" si="58"/>
        <v>0.10234896372228655</v>
      </c>
      <c r="S36" s="67" t="str">
        <f t="shared" si="59"/>
        <v>1+0,00285299573930724i</v>
      </c>
      <c r="T36" s="67">
        <f t="shared" si="60"/>
        <v>1.0000040697840626</v>
      </c>
      <c r="U36" s="67">
        <f t="shared" si="61"/>
        <v>2.8529879986115649E-3</v>
      </c>
      <c r="V36" t="str">
        <f t="shared" si="62"/>
        <v>1-0,000594374112355674i</v>
      </c>
      <c r="W36" s="67">
        <f t="shared" si="63"/>
        <v>1.0000001766402771</v>
      </c>
      <c r="X36" s="67">
        <f t="shared" si="64"/>
        <v>-5.9437404236207733E-4</v>
      </c>
      <c r="Y36" t="str">
        <f t="shared" si="65"/>
        <v>0,999999985338447+0,0016483975382664i</v>
      </c>
      <c r="Z36" s="67">
        <f t="shared" si="66"/>
        <v>1.0000013439447661</v>
      </c>
      <c r="AA36" s="67">
        <f t="shared" si="67"/>
        <v>1.6483960694203029E-3</v>
      </c>
      <c r="AB36" s="92" t="str">
        <f t="shared" si="68"/>
        <v>22,2665832897395-2,27322287971174i</v>
      </c>
      <c r="AC36" s="37">
        <f t="shared" si="69"/>
        <v>26.998102228516956</v>
      </c>
      <c r="AD36" s="60">
        <f t="shared" si="70"/>
        <v>-5.8292007493258824</v>
      </c>
      <c r="AE36" t="str">
        <f t="shared" si="71"/>
        <v>34,4450883806789</v>
      </c>
      <c r="AF36" t="str">
        <f t="shared" si="72"/>
        <v>1+0,0513539233075303i</v>
      </c>
      <c r="AG36">
        <f t="shared" si="73"/>
        <v>1.0013177444942618</v>
      </c>
      <c r="AH36">
        <f t="shared" si="74"/>
        <v>5.130885064847375E-2</v>
      </c>
      <c r="AI36" t="str">
        <f t="shared" si="50"/>
        <v>1+0,00285299573930724i</v>
      </c>
      <c r="AJ36">
        <f t="shared" si="75"/>
        <v>1.0000040697840626</v>
      </c>
      <c r="AK36">
        <f t="shared" si="76"/>
        <v>2.8529879986115649E-3</v>
      </c>
      <c r="AL36" t="str">
        <f t="shared" si="77"/>
        <v>1-0,000194121772212144i</v>
      </c>
      <c r="AM36">
        <f t="shared" si="78"/>
        <v>1.0000000188416311</v>
      </c>
      <c r="AN36">
        <f t="shared" si="79"/>
        <v>-1.9412176977376351E-4</v>
      </c>
      <c r="AO36" s="58" t="str">
        <f t="shared" si="80"/>
        <v>34,3591977636521-1,67289445807318i</v>
      </c>
      <c r="AP36">
        <f t="shared" si="81"/>
        <v>30.73114333314027</v>
      </c>
      <c r="AQ36" s="60">
        <f t="shared" si="82"/>
        <v>-2.787438780622352</v>
      </c>
      <c r="AR36" t="str">
        <f t="shared" si="83"/>
        <v>-1,36472945891784</v>
      </c>
      <c r="AS36" t="str">
        <f t="shared" si="51"/>
        <v>1+0,00213717910831505i</v>
      </c>
      <c r="AT36">
        <f t="shared" si="84"/>
        <v>1.0000022837646627</v>
      </c>
      <c r="AU36">
        <f t="shared" si="85"/>
        <v>2.137175854444168E-3</v>
      </c>
      <c r="AV36" t="str">
        <f t="shared" si="52"/>
        <v>1+0,00213717910831505i</v>
      </c>
      <c r="AW36">
        <f t="shared" si="86"/>
        <v>1.0000022837646627</v>
      </c>
      <c r="AX36">
        <f t="shared" si="87"/>
        <v>2.137175854444168E-3</v>
      </c>
      <c r="AY36" t="str">
        <f t="shared" si="53"/>
        <v>1-7,01859752495241i</v>
      </c>
      <c r="AZ36">
        <f t="shared" si="88"/>
        <v>7.08947891013635</v>
      </c>
      <c r="BA36">
        <f t="shared" si="89"/>
        <v>-1.429270256757454</v>
      </c>
      <c r="BB36" s="58" t="str">
        <f t="shared" si="90"/>
        <v>-1,34425237711491+9,58135971068706i</v>
      </c>
      <c r="BC36">
        <f t="shared" si="91"/>
        <v>19.713197787389429</v>
      </c>
      <c r="BD36" s="60">
        <f t="shared" si="92"/>
        <v>97.986395347681452</v>
      </c>
      <c r="BE36" s="58" t="str">
        <f t="shared" si="93"/>
        <v>-8,15134140437737+216,399929286732i</v>
      </c>
      <c r="BF36" s="37">
        <f t="shared" si="94"/>
        <v>46.711300015906367</v>
      </c>
      <c r="BG36" s="60">
        <f t="shared" si="95"/>
        <v>92.157194598355588</v>
      </c>
      <c r="BH36" s="58" t="str">
        <f t="shared" si="96"/>
        <v>-30,1588297087366+331,456625496112i</v>
      </c>
      <c r="BI36" s="37">
        <f t="shared" si="97"/>
        <v>50.444341120529685</v>
      </c>
      <c r="BJ36" s="60">
        <f t="shared" si="98"/>
        <v>95.198956567059113</v>
      </c>
      <c r="BK36">
        <f t="shared" si="99"/>
        <v>46.711300015906367</v>
      </c>
      <c r="BL36" s="60">
        <f t="shared" si="100"/>
        <v>92.157194598355588</v>
      </c>
      <c r="BN36">
        <f t="shared" si="101"/>
        <v>0</v>
      </c>
      <c r="BO36">
        <f t="shared" si="102"/>
        <v>0</v>
      </c>
    </row>
    <row r="37" spans="1:67" x14ac:dyDescent="0.25">
      <c r="B37" s="23">
        <f>wp_lf/(2*PI())</f>
        <v>147.36568804805123</v>
      </c>
      <c r="C37" t="s">
        <v>70</v>
      </c>
      <c r="E37" t="s">
        <v>485</v>
      </c>
      <c r="M37" s="66">
        <v>19</v>
      </c>
      <c r="N37" s="36">
        <f t="shared" si="54"/>
        <v>15.488166189124817</v>
      </c>
      <c r="O37" s="91" t="str">
        <f t="shared" si="55"/>
        <v>22,5</v>
      </c>
      <c r="P37" s="67" t="str">
        <f t="shared" si="56"/>
        <v>1+0,105100219693438i</v>
      </c>
      <c r="Q37" s="67">
        <f t="shared" si="57"/>
        <v>1.0055078598298517</v>
      </c>
      <c r="R37" s="67">
        <f t="shared" si="58"/>
        <v>0.1047157834207073</v>
      </c>
      <c r="S37" s="67" t="str">
        <f t="shared" si="59"/>
        <v>1+0,00291945054703994i</v>
      </c>
      <c r="T37" s="67">
        <f t="shared" si="60"/>
        <v>1.0000042615866678</v>
      </c>
      <c r="U37" s="67">
        <f t="shared" si="61"/>
        <v>2.9194422527369971E-3</v>
      </c>
      <c r="V37" t="str">
        <f t="shared" si="62"/>
        <v>1-0,000608218863966654i</v>
      </c>
      <c r="W37" s="67">
        <f t="shared" si="63"/>
        <v>1.0000001849650761</v>
      </c>
      <c r="X37" s="67">
        <f t="shared" si="64"/>
        <v>-6.0821878896716471E-4</v>
      </c>
      <c r="Y37" t="str">
        <f t="shared" si="65"/>
        <v>0,999999984647469+0,00168679364940085i</v>
      </c>
      <c r="Z37" s="67">
        <f t="shared" si="66"/>
        <v>1.0000014072828869</v>
      </c>
      <c r="AA37" s="67">
        <f t="shared" si="67"/>
        <v>1.6867920755040209E-3</v>
      </c>
      <c r="AB37" s="92" t="str">
        <f t="shared" si="68"/>
        <v>22,2557028841477-2,32502951453207i</v>
      </c>
      <c r="AC37" s="37">
        <f t="shared" si="69"/>
        <v>26.995967366335183</v>
      </c>
      <c r="AD37" s="60">
        <f t="shared" si="70"/>
        <v>-5.9639951552693953</v>
      </c>
      <c r="AE37" t="str">
        <f t="shared" si="71"/>
        <v>34,4450883806789</v>
      </c>
      <c r="AF37" t="str">
        <f t="shared" si="72"/>
        <v>1+0,052550109846719i</v>
      </c>
      <c r="AG37">
        <f t="shared" si="73"/>
        <v>1.001379805091406</v>
      </c>
      <c r="AH37">
        <f t="shared" si="74"/>
        <v>5.2501817215834037E-2</v>
      </c>
      <c r="AI37" t="str">
        <f t="shared" si="50"/>
        <v>1+0,00291945054703994i</v>
      </c>
      <c r="AJ37">
        <f t="shared" si="75"/>
        <v>1.0000042615866678</v>
      </c>
      <c r="AK37">
        <f t="shared" si="76"/>
        <v>2.9194422527369971E-3</v>
      </c>
      <c r="AL37" t="str">
        <f t="shared" si="77"/>
        <v>1-0,000198643449153807i</v>
      </c>
      <c r="AM37">
        <f t="shared" si="78"/>
        <v>1.0000000197296097</v>
      </c>
      <c r="AN37">
        <f t="shared" si="79"/>
        <v>-1.9864344654103522E-4</v>
      </c>
      <c r="AO37" s="58" t="str">
        <f t="shared" si="80"/>
        <v>34,3551610111293-1,71164904398309i</v>
      </c>
      <c r="AP37">
        <f t="shared" si="81"/>
        <v>30.730606681404407</v>
      </c>
      <c r="AQ37" s="60">
        <f t="shared" si="82"/>
        <v>-2.8522422547353052</v>
      </c>
      <c r="AR37" t="str">
        <f t="shared" si="83"/>
        <v>-1,36472945891784</v>
      </c>
      <c r="AS37" t="str">
        <f t="shared" si="51"/>
        <v>1+0,00218696040478762i</v>
      </c>
      <c r="AT37">
        <f t="shared" si="84"/>
        <v>1.0000023913950467</v>
      </c>
      <c r="AU37">
        <f t="shared" si="85"/>
        <v>2.1869569182026037E-3</v>
      </c>
      <c r="AV37" t="str">
        <f t="shared" si="52"/>
        <v>1+0,00218696040478762i</v>
      </c>
      <c r="AW37">
        <f t="shared" si="86"/>
        <v>1.0000023913950467</v>
      </c>
      <c r="AX37">
        <f t="shared" si="87"/>
        <v>2.1869569182026037E-3</v>
      </c>
      <c r="AY37" t="str">
        <f t="shared" si="53"/>
        <v>1-6,85883474029183i</v>
      </c>
      <c r="AZ37">
        <f t="shared" si="88"/>
        <v>6.9313500845530882</v>
      </c>
      <c r="BA37">
        <f t="shared" si="89"/>
        <v>-1.4260190526317496</v>
      </c>
      <c r="BB37" s="58" t="str">
        <f t="shared" si="90"/>
        <v>-1,34425208775082+9,36339365001531i</v>
      </c>
      <c r="BC37">
        <f t="shared" si="91"/>
        <v>19.517267244245247</v>
      </c>
      <c r="BD37" s="60">
        <f t="shared" si="92"/>
        <v>98.169823377566814</v>
      </c>
      <c r="BE37" s="58" t="str">
        <f t="shared" si="93"/>
        <v>-8,14710847390973+211,514332841048i</v>
      </c>
      <c r="BF37" s="37">
        <f t="shared" si="94"/>
        <v>46.513234610580426</v>
      </c>
      <c r="BG37" s="60">
        <f t="shared" si="95"/>
        <v>92.205828222297427</v>
      </c>
      <c r="BH37" s="58" t="str">
        <f t="shared" si="96"/>
        <v>-30,1551531247401+323,981784257733i</v>
      </c>
      <c r="BI37" s="37">
        <f t="shared" si="97"/>
        <v>50.247873925649664</v>
      </c>
      <c r="BJ37" s="60">
        <f t="shared" si="98"/>
        <v>95.317581122831513</v>
      </c>
      <c r="BK37">
        <f t="shared" si="99"/>
        <v>46.513234610580426</v>
      </c>
      <c r="BL37" s="60">
        <f t="shared" si="100"/>
        <v>92.205828222297427</v>
      </c>
      <c r="BN37">
        <f t="shared" si="101"/>
        <v>0</v>
      </c>
      <c r="BO37">
        <f t="shared" si="102"/>
        <v>0</v>
      </c>
    </row>
    <row r="38" spans="1:67" x14ac:dyDescent="0.25">
      <c r="M38" s="66">
        <v>20</v>
      </c>
      <c r="N38" s="36">
        <f t="shared" si="54"/>
        <v>15.848931924611136</v>
      </c>
      <c r="O38" s="91" t="str">
        <f t="shared" si="55"/>
        <v>22,5</v>
      </c>
      <c r="P38" s="67" t="str">
        <f t="shared" si="56"/>
        <v>1+0,107548318299463i</v>
      </c>
      <c r="Q38" s="67">
        <f t="shared" si="57"/>
        <v>1.0057666930103832</v>
      </c>
      <c r="R38" s="67">
        <f t="shared" si="58"/>
        <v>0.1071365148654965</v>
      </c>
      <c r="S38" s="67" t="str">
        <f t="shared" si="59"/>
        <v>1+0,00298745328609619i</v>
      </c>
      <c r="T38" s="67">
        <f t="shared" si="60"/>
        <v>1.0000044624286117</v>
      </c>
      <c r="U38" s="67">
        <f t="shared" si="61"/>
        <v>2.9874443985926052E-3</v>
      </c>
      <c r="V38" t="str">
        <f t="shared" si="62"/>
        <v>1-0,000622386101270039i</v>
      </c>
      <c r="W38" s="67">
        <f t="shared" si="63"/>
        <v>1.0000001936822107</v>
      </c>
      <c r="X38" s="67">
        <f t="shared" si="64"/>
        <v>-6.223860209066391E-4</v>
      </c>
      <c r="Y38" t="str">
        <f t="shared" si="65"/>
        <v>0,999999983923927+0,00172608412085557i</v>
      </c>
      <c r="Z38" s="67">
        <f t="shared" si="66"/>
        <v>1.0000014736060374</v>
      </c>
      <c r="AA38" s="67">
        <f t="shared" si="67"/>
        <v>1.7260824343948665E-3</v>
      </c>
      <c r="AB38" s="92" t="str">
        <f t="shared" si="68"/>
        <v>22,2443211634911-2,37796232934622i</v>
      </c>
      <c r="AC38" s="37">
        <f t="shared" si="69"/>
        <v>26.993733016666877</v>
      </c>
      <c r="AD38" s="60">
        <f t="shared" si="70"/>
        <v>-6.101859508772586</v>
      </c>
      <c r="AE38" t="str">
        <f t="shared" si="71"/>
        <v>34,4450883806789</v>
      </c>
      <c r="AF38" t="str">
        <f t="shared" si="72"/>
        <v>1+0,0537741591497314i</v>
      </c>
      <c r="AG38">
        <f t="shared" si="73"/>
        <v>1.0014447863922706</v>
      </c>
      <c r="AH38">
        <f t="shared" si="74"/>
        <v>5.3722416694604203E-2</v>
      </c>
      <c r="AI38" t="str">
        <f t="shared" si="50"/>
        <v>1+0,00298745328609619i</v>
      </c>
      <c r="AJ38">
        <f t="shared" si="75"/>
        <v>1.0000044624286117</v>
      </c>
      <c r="AK38">
        <f t="shared" si="76"/>
        <v>2.9874443985926052E-3</v>
      </c>
      <c r="AL38" t="str">
        <f t="shared" si="77"/>
        <v>1-0,000203270449481569i</v>
      </c>
      <c r="AM38">
        <f t="shared" si="78"/>
        <v>1.0000000206594377</v>
      </c>
      <c r="AN38">
        <f t="shared" si="79"/>
        <v>-2.0327044668193357E-4</v>
      </c>
      <c r="AO38" s="58" t="str">
        <f t="shared" si="80"/>
        <v>34,3509350847155-1,75129122631243i</v>
      </c>
      <c r="AP38">
        <f t="shared" si="81"/>
        <v>30.730044809560422</v>
      </c>
      <c r="AQ38" s="60">
        <f t="shared" si="82"/>
        <v>-2.9185463249692449</v>
      </c>
      <c r="AR38" t="str">
        <f t="shared" si="83"/>
        <v>-1,36472945891784</v>
      </c>
      <c r="AS38" t="str">
        <f t="shared" si="51"/>
        <v>1+0,00223790125661466i</v>
      </c>
      <c r="AT38">
        <f t="shared" si="84"/>
        <v>1.0000025040978819</v>
      </c>
      <c r="AU38">
        <f t="shared" si="85"/>
        <v>2.2378975206720111E-3</v>
      </c>
      <c r="AV38" t="str">
        <f t="shared" si="52"/>
        <v>1+0,00223790125661466i</v>
      </c>
      <c r="AW38">
        <f t="shared" si="86"/>
        <v>1.0000025040978819</v>
      </c>
      <c r="AX38">
        <f t="shared" si="87"/>
        <v>2.2378975206720111E-3</v>
      </c>
      <c r="AY38" t="str">
        <f t="shared" si="53"/>
        <v>1-6,70270860059795i</v>
      </c>
      <c r="AZ38">
        <f t="shared" si="88"/>
        <v>6.7768947597354448</v>
      </c>
      <c r="BA38">
        <f t="shared" si="89"/>
        <v>-1.4226953064962125</v>
      </c>
      <c r="BB38" s="58" t="str">
        <f t="shared" si="90"/>
        <v>-1,34425178474955+9,15039218453629i</v>
      </c>
      <c r="BC38">
        <f t="shared" si="91"/>
        <v>19.321524403773545</v>
      </c>
      <c r="BD38" s="60">
        <f t="shared" si="92"/>
        <v>98.357341321778634</v>
      </c>
      <c r="BE38" s="58" t="str">
        <f t="shared" si="93"/>
        <v>-8,14268051099373+206,740842630015i</v>
      </c>
      <c r="BF38" s="37">
        <f t="shared" si="94"/>
        <v>46.315257420440417</v>
      </c>
      <c r="BG38" s="60">
        <f t="shared" si="95"/>
        <v>92.255481813006057</v>
      </c>
      <c r="BH38" s="58" t="str">
        <f t="shared" si="96"/>
        <v>-30,1513042453485+316,678704287281i</v>
      </c>
      <c r="BI38" s="37">
        <f t="shared" si="97"/>
        <v>50.051569213333963</v>
      </c>
      <c r="BJ38" s="60">
        <f t="shared" si="98"/>
        <v>95.438794996809378</v>
      </c>
      <c r="BK38">
        <f t="shared" si="99"/>
        <v>46.315257420440417</v>
      </c>
      <c r="BL38" s="60">
        <f t="shared" si="100"/>
        <v>92.255481813006057</v>
      </c>
      <c r="BN38">
        <f t="shared" si="101"/>
        <v>0</v>
      </c>
      <c r="BO38">
        <f t="shared" si="102"/>
        <v>0</v>
      </c>
    </row>
    <row r="39" spans="1:67" x14ac:dyDescent="0.25">
      <c r="A39" t="s">
        <v>477</v>
      </c>
      <c r="B39" s="23">
        <f>((VOUT/IOUT_vari)*((Vin_vari/VOUT)^2))/Lm</f>
        <v>159999.99999999997</v>
      </c>
      <c r="C39" t="s">
        <v>483</v>
      </c>
      <c r="M39" s="66">
        <v>21</v>
      </c>
      <c r="N39" s="36">
        <f t="shared" si="54"/>
        <v>16.218100973589298</v>
      </c>
      <c r="O39" s="91" t="str">
        <f t="shared" si="55"/>
        <v>22,5</v>
      </c>
      <c r="P39" s="67" t="str">
        <f t="shared" si="56"/>
        <v>1+0,11005344044742i</v>
      </c>
      <c r="Q39" s="67">
        <f t="shared" si="57"/>
        <v>1.0060376532487807</v>
      </c>
      <c r="R39" s="67">
        <f t="shared" si="58"/>
        <v>0.10961232801589764</v>
      </c>
      <c r="S39" s="67" t="str">
        <f t="shared" si="59"/>
        <v>1+0,00305704001242833i</v>
      </c>
      <c r="T39" s="67">
        <f t="shared" si="60"/>
        <v>1.0000046727359015</v>
      </c>
      <c r="U39" s="67">
        <f t="shared" si="61"/>
        <v>3.0570304892990671E-3</v>
      </c>
      <c r="V39" t="str">
        <f t="shared" si="62"/>
        <v>1-0,000636883335922569i</v>
      </c>
      <c r="W39" s="67">
        <f t="shared" si="63"/>
        <v>1.0000002028101711</v>
      </c>
      <c r="X39" s="67">
        <f t="shared" si="64"/>
        <v>-6.3688324981163566E-4</v>
      </c>
      <c r="Y39" t="str">
        <f t="shared" si="65"/>
        <v>0,999999983166285+0,00176628978495859i</v>
      </c>
      <c r="Z39" s="67">
        <f t="shared" si="66"/>
        <v>1.0000015430548967</v>
      </c>
      <c r="AA39" s="67">
        <f t="shared" si="67"/>
        <v>1.7662879778835392E-3</v>
      </c>
      <c r="AB39" s="92" t="str">
        <f t="shared" si="68"/>
        <v>22,2324155880066-2,43204194355219i</v>
      </c>
      <c r="AC39" s="37">
        <f t="shared" si="69"/>
        <v>26.991394598123595</v>
      </c>
      <c r="AD39" s="60">
        <f t="shared" si="70"/>
        <v>-6.2428604018290699</v>
      </c>
      <c r="AE39" t="str">
        <f t="shared" si="71"/>
        <v>34,4450883806789</v>
      </c>
      <c r="AF39" t="str">
        <f t="shared" si="72"/>
        <v>1+0,05502672022371i</v>
      </c>
      <c r="AG39">
        <f t="shared" si="73"/>
        <v>1.0015128256485677</v>
      </c>
      <c r="AH39">
        <f t="shared" si="74"/>
        <v>5.4971281706325877E-2</v>
      </c>
      <c r="AI39" t="str">
        <f t="shared" si="50"/>
        <v>1+0,00305704001242833i</v>
      </c>
      <c r="AJ39">
        <f t="shared" si="75"/>
        <v>1.0000046727359015</v>
      </c>
      <c r="AK39">
        <f t="shared" si="76"/>
        <v>3.0570304892990671E-3</v>
      </c>
      <c r="AL39" t="str">
        <f t="shared" si="77"/>
        <v>1-0,000208005226492249i</v>
      </c>
      <c r="AM39">
        <f t="shared" si="78"/>
        <v>1.0000000216330869</v>
      </c>
      <c r="AN39">
        <f t="shared" si="79"/>
        <v>-2.0800522349238563E-4</v>
      </c>
      <c r="AO39" s="58" t="str">
        <f t="shared" si="80"/>
        <v>34,3465111719247-1,79184060591684i</v>
      </c>
      <c r="AP39">
        <f t="shared" si="81"/>
        <v>30.729456535899971</v>
      </c>
      <c r="AQ39" s="60">
        <f t="shared" si="82"/>
        <v>-2.9863853127403326</v>
      </c>
      <c r="AR39" t="str">
        <f t="shared" si="83"/>
        <v>-1,36472945891784</v>
      </c>
      <c r="AS39" t="str">
        <f t="shared" si="51"/>
        <v>1+0,00229002867331006i</v>
      </c>
      <c r="AT39">
        <f t="shared" si="84"/>
        <v>1.0000026221122245</v>
      </c>
      <c r="AU39">
        <f t="shared" si="85"/>
        <v>2.290024670175955E-3</v>
      </c>
      <c r="AV39" t="str">
        <f t="shared" si="52"/>
        <v>1+0,00229002867331006i</v>
      </c>
      <c r="AW39">
        <f t="shared" si="86"/>
        <v>1.0000026221122245</v>
      </c>
      <c r="AX39">
        <f t="shared" si="87"/>
        <v>2.290024670175955E-3</v>
      </c>
      <c r="AY39" t="str">
        <f t="shared" si="53"/>
        <v>1-6,55013632572497i</v>
      </c>
      <c r="AZ39">
        <f t="shared" si="88"/>
        <v>6.6260309300200069</v>
      </c>
      <c r="BA39">
        <f t="shared" si="89"/>
        <v>-1.4192975499562226</v>
      </c>
      <c r="BB39" s="58" t="str">
        <f t="shared" si="90"/>
        <v>-1,34425146746842+8,94224237804937i</v>
      </c>
      <c r="BC39">
        <f t="shared" si="91"/>
        <v>19.125977726803413</v>
      </c>
      <c r="BD39" s="60">
        <f t="shared" si="92"/>
        <v>98.549031765668417</v>
      </c>
      <c r="BE39" s="58" t="str">
        <f t="shared" si="93"/>
        <v>-8,1380487467197+202,076924789043i</v>
      </c>
      <c r="BF39" s="37">
        <f t="shared" si="94"/>
        <v>46.117372324927011</v>
      </c>
      <c r="BG39" s="60">
        <f t="shared" si="95"/>
        <v>92.30617136383934</v>
      </c>
      <c r="BH39" s="58" t="str">
        <f t="shared" si="96"/>
        <v>-30,147275044341+309,543512103704i</v>
      </c>
      <c r="BI39" s="37">
        <f t="shared" si="97"/>
        <v>49.855434262703369</v>
      </c>
      <c r="BJ39" s="60">
        <f t="shared" si="98"/>
        <v>95.562646452928078</v>
      </c>
      <c r="BK39">
        <f t="shared" si="99"/>
        <v>46.117372324927011</v>
      </c>
      <c r="BL39" s="60">
        <f t="shared" si="100"/>
        <v>92.30617136383934</v>
      </c>
      <c r="BN39">
        <f t="shared" si="101"/>
        <v>0</v>
      </c>
      <c r="BO39">
        <f t="shared" si="102"/>
        <v>0</v>
      </c>
    </row>
    <row r="40" spans="1:67" x14ac:dyDescent="0.25">
      <c r="B40" s="23">
        <f>wz_rhp/(2*PI())</f>
        <v>25464.790894703248</v>
      </c>
      <c r="C40" t="s">
        <v>70</v>
      </c>
      <c r="E40" t="s">
        <v>486</v>
      </c>
      <c r="M40" s="66">
        <v>22</v>
      </c>
      <c r="N40" s="36">
        <f t="shared" si="54"/>
        <v>16.595869074375614</v>
      </c>
      <c r="O40" s="91" t="str">
        <f t="shared" si="55"/>
        <v>22,5</v>
      </c>
      <c r="P40" s="67" t="str">
        <f t="shared" si="56"/>
        <v>1+0,112616914386232i</v>
      </c>
      <c r="Q40" s="67">
        <f t="shared" si="57"/>
        <v>1.0063213052528879</v>
      </c>
      <c r="R40" s="67">
        <f t="shared" si="58"/>
        <v>0.11214441410783131</v>
      </c>
      <c r="S40" s="67" t="str">
        <f t="shared" si="59"/>
        <v>1+0,00312824762183979i</v>
      </c>
      <c r="T40" s="67">
        <f t="shared" si="60"/>
        <v>1.0000048929546212</v>
      </c>
      <c r="U40" s="67">
        <f t="shared" si="61"/>
        <v>3.1282374176256349E-3</v>
      </c>
      <c r="V40" t="str">
        <f t="shared" si="62"/>
        <v>1-0,000651718254549956i</v>
      </c>
      <c r="W40" s="67">
        <f t="shared" si="63"/>
        <v>1.0000002123683192</v>
      </c>
      <c r="X40" s="67">
        <f t="shared" si="64"/>
        <v>-6.5171816228042957E-4</v>
      </c>
      <c r="Y40" t="str">
        <f t="shared" si="65"/>
        <v>0,999999982372936+0,00180743195928521i</v>
      </c>
      <c r="Z40" s="67">
        <f t="shared" si="66"/>
        <v>1.0000016157767744</v>
      </c>
      <c r="AA40" s="67">
        <f t="shared" si="67"/>
        <v>1.807430022969577E-3</v>
      </c>
      <c r="AB40" s="92" t="str">
        <f t="shared" si="68"/>
        <v>22,2199626576592-2,48728907314438i</v>
      </c>
      <c r="AC40" s="37">
        <f t="shared" si="69"/>
        <v>26.988947323570205</v>
      </c>
      <c r="AD40" s="60">
        <f t="shared" si="70"/>
        <v>-6.3870656352133599</v>
      </c>
      <c r="AE40" t="str">
        <f t="shared" si="71"/>
        <v>34,4450883806789</v>
      </c>
      <c r="AF40" t="str">
        <f t="shared" si="72"/>
        <v>1+0,0563084571931163i</v>
      </c>
      <c r="AG40">
        <f t="shared" si="73"/>
        <v>1.0015840665423292</v>
      </c>
      <c r="AH40">
        <f t="shared" si="74"/>
        <v>5.6249058824452303E-2</v>
      </c>
      <c r="AI40" t="str">
        <f t="shared" si="50"/>
        <v>1+0,00312824762183979i</v>
      </c>
      <c r="AJ40">
        <f t="shared" si="75"/>
        <v>1.0000048929546212</v>
      </c>
      <c r="AK40">
        <f t="shared" si="76"/>
        <v>3.1282374176256349E-3</v>
      </c>
      <c r="AL40" t="str">
        <f t="shared" si="77"/>
        <v>1-0,00021285029062729i</v>
      </c>
      <c r="AM40">
        <f t="shared" si="78"/>
        <v>1.0000000226526229</v>
      </c>
      <c r="AN40">
        <f t="shared" si="79"/>
        <v>-2.1285028741287849E-4</v>
      </c>
      <c r="AO40" s="58" t="str">
        <f t="shared" si="80"/>
        <v>34,3418800548213-1,83331716425963i</v>
      </c>
      <c r="AP40">
        <f t="shared" si="81"/>
        <v>30.728840623683148</v>
      </c>
      <c r="AQ40" s="60">
        <f t="shared" si="82"/>
        <v>-3.0557942940162692</v>
      </c>
      <c r="AR40" t="str">
        <f t="shared" si="83"/>
        <v>-1,36472945891784</v>
      </c>
      <c r="AS40" t="str">
        <f t="shared" si="51"/>
        <v>1+0,00234337029352019i</v>
      </c>
      <c r="AT40">
        <f t="shared" si="84"/>
        <v>1.0000027456883969</v>
      </c>
      <c r="AU40">
        <f t="shared" si="85"/>
        <v>2.3433660040853514E-3</v>
      </c>
      <c r="AV40" t="str">
        <f t="shared" si="52"/>
        <v>1+0,00234337029352019i</v>
      </c>
      <c r="AW40">
        <f t="shared" si="86"/>
        <v>1.0000027456883969</v>
      </c>
      <c r="AX40">
        <f t="shared" si="87"/>
        <v>2.3433660040853514E-3</v>
      </c>
      <c r="AY40" t="str">
        <f t="shared" si="53"/>
        <v>1-6,40103701983316i</v>
      </c>
      <c r="AZ40">
        <f t="shared" si="88"/>
        <v>6.47867848633304</v>
      </c>
      <c r="BA40">
        <f t="shared" si="89"/>
        <v>-1.4158242954484259</v>
      </c>
      <c r="BB40" s="58" t="str">
        <f t="shared" si="90"/>
        <v>-1,34425113523445+8,73883386676731i</v>
      </c>
      <c r="BC40">
        <f t="shared" si="91"/>
        <v>18.930636037005449</v>
      </c>
      <c r="BD40" s="60">
        <f t="shared" si="92"/>
        <v>98.744978356833343</v>
      </c>
      <c r="BE40" s="58" t="str">
        <f t="shared" si="93"/>
        <v>-8,13320403859108+197,520103351288i</v>
      </c>
      <c r="BF40" s="37">
        <f t="shared" si="94"/>
        <v>45.919583360575665</v>
      </c>
      <c r="BG40" s="60">
        <f t="shared" si="95"/>
        <v>92.357912721619982</v>
      </c>
      <c r="BH40" s="58" t="str">
        <f t="shared" si="96"/>
        <v>-30,143057126221+302,572423150834i</v>
      </c>
      <c r="BI40" s="37">
        <f t="shared" si="97"/>
        <v>49.659476660688597</v>
      </c>
      <c r="BJ40" s="60">
        <f t="shared" si="98"/>
        <v>95.689184062817077</v>
      </c>
      <c r="BK40">
        <f t="shared" si="99"/>
        <v>45.919583360575665</v>
      </c>
      <c r="BL40" s="60">
        <f t="shared" si="100"/>
        <v>92.357912721619982</v>
      </c>
      <c r="BN40">
        <f t="shared" si="101"/>
        <v>0</v>
      </c>
      <c r="BO40">
        <f t="shared" si="102"/>
        <v>0</v>
      </c>
    </row>
    <row r="41" spans="1:67" x14ac:dyDescent="0.25">
      <c r="M41" s="66">
        <v>23</v>
      </c>
      <c r="N41" s="36">
        <f t="shared" si="54"/>
        <v>16.982436524617448</v>
      </c>
      <c r="O41" s="91" t="str">
        <f t="shared" si="55"/>
        <v>22,5</v>
      </c>
      <c r="P41" s="67" t="str">
        <f t="shared" si="56"/>
        <v>1+0,115240099303713i</v>
      </c>
      <c r="Q41" s="67">
        <f t="shared" si="57"/>
        <v>1.0066182396954317</v>
      </c>
      <c r="R41" s="67">
        <f t="shared" si="58"/>
        <v>0.11473398574146425</v>
      </c>
      <c r="S41" s="67" t="str">
        <f t="shared" si="59"/>
        <v>1+0,00320111386954758i</v>
      </c>
      <c r="T41" s="67">
        <f t="shared" si="60"/>
        <v>1.0000051235518774</v>
      </c>
      <c r="U41" s="67">
        <f t="shared" si="61"/>
        <v>3.2011029355381439E-3</v>
      </c>
      <c r="V41" t="str">
        <f t="shared" si="62"/>
        <v>1-0,000666898722822413i</v>
      </c>
      <c r="W41" s="67">
        <f t="shared" si="63"/>
        <v>1.0000002223769286</v>
      </c>
      <c r="X41" s="67">
        <f t="shared" si="64"/>
        <v>-6.6689862395383529E-4</v>
      </c>
      <c r="Y41" t="str">
        <f t="shared" si="65"/>
        <v>0,999999981542198+0,00184953245796082i</v>
      </c>
      <c r="Z41" s="67">
        <f t="shared" si="66"/>
        <v>1.0000016919259236</v>
      </c>
      <c r="AA41" s="67">
        <f t="shared" si="67"/>
        <v>1.8495303831614278E-3</v>
      </c>
      <c r="AB41" s="92" t="str">
        <f t="shared" si="68"/>
        <v>22,2069378763158-2,54372450762168i</v>
      </c>
      <c r="AC41" s="37">
        <f t="shared" si="69"/>
        <v>26.986386191381992</v>
      </c>
      <c r="AD41" s="60">
        <f t="shared" si="70"/>
        <v>-6.5345442232588056</v>
      </c>
      <c r="AE41" t="str">
        <f t="shared" si="71"/>
        <v>34,4450883806789</v>
      </c>
      <c r="AF41" t="str">
        <f t="shared" si="72"/>
        <v>1+0,0576200496518565i</v>
      </c>
      <c r="AG41">
        <f t="shared" si="73"/>
        <v>1.0016586594852972</v>
      </c>
      <c r="AH41">
        <f t="shared" si="74"/>
        <v>5.7556408843911645E-2</v>
      </c>
      <c r="AI41" t="str">
        <f t="shared" si="50"/>
        <v>1+0,00320111386954758i</v>
      </c>
      <c r="AJ41">
        <f t="shared" si="75"/>
        <v>1.0000051235518774</v>
      </c>
      <c r="AK41">
        <f t="shared" si="76"/>
        <v>3.2011029355381439E-3</v>
      </c>
      <c r="AL41" t="str">
        <f t="shared" si="77"/>
        <v>1-0,000217808210803827i</v>
      </c>
      <c r="AM41">
        <f t="shared" si="78"/>
        <v>1.000000023720208</v>
      </c>
      <c r="AN41">
        <f t="shared" si="79"/>
        <v>-2.17808207359523E-4</v>
      </c>
      <c r="AO41" s="58" t="str">
        <f t="shared" si="80"/>
        <v>34,3370320918538-1,875741266948i</v>
      </c>
      <c r="AP41">
        <f t="shared" si="81"/>
        <v>30.728195778608118</v>
      </c>
      <c r="AQ41" s="60">
        <f t="shared" si="82"/>
        <v>-3.1268091137173228</v>
      </c>
      <c r="AR41" t="str">
        <f t="shared" si="83"/>
        <v>-1,36472945891784</v>
      </c>
      <c r="AS41" t="str">
        <f t="shared" si="51"/>
        <v>1+0,0023979543996781i</v>
      </c>
      <c r="AT41">
        <f t="shared" si="84"/>
        <v>1.0000028750885184</v>
      </c>
      <c r="AU41">
        <f t="shared" si="85"/>
        <v>2.3979498034665753E-3</v>
      </c>
      <c r="AV41" t="str">
        <f t="shared" si="52"/>
        <v>1+0,0023979543996781i</v>
      </c>
      <c r="AW41">
        <f t="shared" si="86"/>
        <v>1.0000028750885184</v>
      </c>
      <c r="AX41">
        <f t="shared" si="87"/>
        <v>2.3979498034665753E-3</v>
      </c>
      <c r="AY41" t="str">
        <f t="shared" si="53"/>
        <v>1-6,25533162849704i</v>
      </c>
      <c r="AZ41">
        <f t="shared" si="88"/>
        <v>6.3347591732026745</v>
      </c>
      <c r="BA41">
        <f t="shared" si="89"/>
        <v>-1.4122740367764046</v>
      </c>
      <c r="BB41" s="58" t="str">
        <f t="shared" si="90"/>
        <v>-1,34425078734295+8,5400588008002i</v>
      </c>
      <c r="BC41">
        <f t="shared" si="91"/>
        <v>18.735508534710434</v>
      </c>
      <c r="BD41" s="60">
        <f t="shared" si="92"/>
        <v>98.945265773585533</v>
      </c>
      <c r="BE41" s="58" t="str">
        <f t="shared" si="93"/>
        <v>-8,1281368565878+193,067958921608i</v>
      </c>
      <c r="BF41" s="37">
        <f t="shared" si="94"/>
        <v>45.721894726092422</v>
      </c>
      <c r="BG41" s="60">
        <f t="shared" si="95"/>
        <v>92.410721550326727</v>
      </c>
      <c r="BH41" s="58" t="str">
        <f t="shared" si="96"/>
        <v>-30,1386417096712+295,761739784341i</v>
      </c>
      <c r="BI41" s="37">
        <f t="shared" si="97"/>
        <v>49.463704313318537</v>
      </c>
      <c r="BJ41" s="60">
        <f t="shared" si="98"/>
        <v>95.818456659868218</v>
      </c>
      <c r="BK41">
        <f t="shared" si="99"/>
        <v>45.721894726092422</v>
      </c>
      <c r="BL41" s="60">
        <f t="shared" si="100"/>
        <v>92.410721550326727</v>
      </c>
      <c r="BN41">
        <f t="shared" si="101"/>
        <v>0</v>
      </c>
      <c r="BO41">
        <f t="shared" si="102"/>
        <v>0</v>
      </c>
    </row>
    <row r="42" spans="1:67" x14ac:dyDescent="0.25">
      <c r="A42" t="s">
        <v>478</v>
      </c>
      <c r="B42" s="23">
        <f>1/(COUT*RESR)</f>
        <v>33333.333333333336</v>
      </c>
      <c r="C42" t="s">
        <v>483</v>
      </c>
      <c r="M42" s="66">
        <v>24</v>
      </c>
      <c r="N42" s="36">
        <f t="shared" si="54"/>
        <v>17.378008287493756</v>
      </c>
      <c r="O42" s="91" t="str">
        <f t="shared" si="55"/>
        <v>22,5</v>
      </c>
      <c r="P42" s="67" t="str">
        <f t="shared" si="56"/>
        <v>1+0,117924386047228i</v>
      </c>
      <c r="Q42" s="67">
        <f t="shared" si="57"/>
        <v>1.0069290743764505</v>
      </c>
      <c r="R42" s="67">
        <f t="shared" si="58"/>
        <v>0.11738227694392528</v>
      </c>
      <c r="S42" s="67" t="str">
        <f t="shared" si="59"/>
        <v>1+0,00327567739020078i</v>
      </c>
      <c r="T42" s="67">
        <f t="shared" si="60"/>
        <v>1.0000053650167906</v>
      </c>
      <c r="U42" s="67">
        <f t="shared" si="61"/>
        <v>3.2756656742019799E-3</v>
      </c>
      <c r="V42" t="str">
        <f t="shared" si="62"/>
        <v>1-0,000682432789625163i</v>
      </c>
      <c r="W42" s="67">
        <f t="shared" si="63"/>
        <v>1.0000002328572291</v>
      </c>
      <c r="X42" s="67">
        <f t="shared" si="64"/>
        <v>-6.8243268368557459E-4</v>
      </c>
      <c r="Y42" t="str">
        <f t="shared" si="65"/>
        <v>0,999999980672309+0,00189261360322712i</v>
      </c>
      <c r="Z42" s="67">
        <f t="shared" si="66"/>
        <v>1.0000017716638654</v>
      </c>
      <c r="AA42" s="67">
        <f t="shared" si="67"/>
        <v>1.8926113800397286E-3</v>
      </c>
      <c r="AB42" s="92" t="str">
        <f t="shared" si="68"/>
        <v>22,1933157150822-2,60136908479108i</v>
      </c>
      <c r="AC42" s="37">
        <f t="shared" si="69"/>
        <v>26.98370597637809</v>
      </c>
      <c r="AD42" s="60">
        <f t="shared" si="70"/>
        <v>-6.6853663972067174</v>
      </c>
      <c r="AE42" t="str">
        <f t="shared" si="71"/>
        <v>34,4450883806789</v>
      </c>
      <c r="AF42" t="str">
        <f t="shared" si="72"/>
        <v>1+0,0589621930236141i</v>
      </c>
      <c r="AG42">
        <f t="shared" si="73"/>
        <v>1.0017367619320725</v>
      </c>
      <c r="AH42">
        <f t="shared" si="74"/>
        <v>5.8894007053067653E-2</v>
      </c>
      <c r="AI42" t="str">
        <f t="shared" si="50"/>
        <v>1+0,00327567739020078i</v>
      </c>
      <c r="AJ42">
        <f t="shared" si="75"/>
        <v>1.0000053650167906</v>
      </c>
      <c r="AK42">
        <f t="shared" si="76"/>
        <v>3.2756656742019799E-3</v>
      </c>
      <c r="AL42" t="str">
        <f t="shared" si="77"/>
        <v>1-0,000222881615776766i</v>
      </c>
      <c r="AM42">
        <f t="shared" si="78"/>
        <v>1.0000000248381071</v>
      </c>
      <c r="AN42">
        <f t="shared" si="79"/>
        <v>-2.2288161208612779E-4</v>
      </c>
      <c r="AO42" s="58" t="str">
        <f t="shared" si="80"/>
        <v>34,3319571989231-1,91913366698316i</v>
      </c>
      <c r="AP42">
        <f t="shared" si="81"/>
        <v>30.727520646167882</v>
      </c>
      <c r="AQ42" s="60">
        <f t="shared" si="82"/>
        <v>-3.1994664002304325</v>
      </c>
      <c r="AR42" t="str">
        <f t="shared" si="83"/>
        <v>-1,36472945891784</v>
      </c>
      <c r="AS42" t="str">
        <f t="shared" si="51"/>
        <v>1+0,00245380993299941i</v>
      </c>
      <c r="AT42">
        <f t="shared" si="84"/>
        <v>1.0000030105870619</v>
      </c>
      <c r="AU42">
        <f t="shared" si="85"/>
        <v>2.4538050080708312E-3</v>
      </c>
      <c r="AV42" t="str">
        <f t="shared" si="52"/>
        <v>1+0,00245380993299941i</v>
      </c>
      <c r="AW42">
        <f t="shared" si="86"/>
        <v>1.0000030105870619</v>
      </c>
      <c r="AX42">
        <f t="shared" si="87"/>
        <v>2.4538050080708312E-3</v>
      </c>
      <c r="AY42" t="str">
        <f t="shared" si="53"/>
        <v>1-6,11294289678941i</v>
      </c>
      <c r="AZ42">
        <f t="shared" si="88"/>
        <v>6.1941965467208169</v>
      </c>
      <c r="BA42">
        <f t="shared" si="89"/>
        <v>-1.4086452497183442</v>
      </c>
      <c r="BB42" s="58" t="str">
        <f t="shared" si="90"/>
        <v>-1,34425042305603+8,34581178697159i</v>
      </c>
      <c r="BC42">
        <f t="shared" si="91"/>
        <v>18.540604811087803</v>
      </c>
      <c r="BD42" s="60">
        <f t="shared" si="92"/>
        <v>99.149979689276478</v>
      </c>
      <c r="BE42" s="58" t="str">
        <f t="shared" si="93"/>
        <v>-8,12283726890239+188,71812737967i</v>
      </c>
      <c r="BF42" s="37">
        <f t="shared" si="94"/>
        <v>45.524310787465893</v>
      </c>
      <c r="BG42" s="60">
        <f t="shared" si="95"/>
        <v>92.464613292069757</v>
      </c>
      <c r="BH42" s="58" t="str">
        <f t="shared" si="96"/>
        <v>-30,1340196103118+289,10784930432i</v>
      </c>
      <c r="BI42" s="37">
        <f t="shared" si="97"/>
        <v>49.268125457255692</v>
      </c>
      <c r="BJ42" s="60">
        <f t="shared" si="98"/>
        <v>95.950513289046029</v>
      </c>
      <c r="BK42">
        <f t="shared" si="99"/>
        <v>45.524310787465893</v>
      </c>
      <c r="BL42" s="60">
        <f t="shared" si="100"/>
        <v>92.464613292069757</v>
      </c>
      <c r="BN42">
        <f t="shared" si="101"/>
        <v>0</v>
      </c>
      <c r="BO42">
        <f t="shared" si="102"/>
        <v>0</v>
      </c>
    </row>
    <row r="43" spans="1:67" x14ac:dyDescent="0.25">
      <c r="B43" s="23">
        <f>B42/(2*PI())</f>
        <v>5305.1647697298449</v>
      </c>
      <c r="C43" t="s">
        <v>70</v>
      </c>
      <c r="E43" t="s">
        <v>487</v>
      </c>
      <c r="M43" s="66">
        <v>25</v>
      </c>
      <c r="N43" s="36">
        <f t="shared" si="54"/>
        <v>17.782794100389236</v>
      </c>
      <c r="O43" s="91" t="str">
        <f t="shared" si="55"/>
        <v>22,5</v>
      </c>
      <c r="P43" s="67" t="str">
        <f t="shared" si="56"/>
        <v>1+0,120671197861138i</v>
      </c>
      <c r="Q43" s="67">
        <f t="shared" si="57"/>
        <v>1.0072544554347933</v>
      </c>
      <c r="R43" s="67">
        <f t="shared" si="58"/>
        <v>0.12009054320492858</v>
      </c>
      <c r="S43" s="67" t="str">
        <f t="shared" si="59"/>
        <v>1+0,00335197771836495i</v>
      </c>
      <c r="T43" s="67">
        <f t="shared" si="60"/>
        <v>1.000005617861532</v>
      </c>
      <c r="U43" s="67">
        <f t="shared" si="61"/>
        <v>3.3519651644498649E-3</v>
      </c>
      <c r="V43" t="str">
        <f t="shared" si="62"/>
        <v>1-0,000698328691326031i</v>
      </c>
      <c r="W43" s="67">
        <f t="shared" si="63"/>
        <v>1.0000002438314508</v>
      </c>
      <c r="X43" s="67">
        <f t="shared" si="64"/>
        <v>-6.9832857780971849E-4</v>
      </c>
      <c r="Y43" t="str">
        <f t="shared" si="65"/>
        <v>0,999999979761423+0,00193669823727753i</v>
      </c>
      <c r="Z43" s="67">
        <f t="shared" si="66"/>
        <v>1.0000018551597336</v>
      </c>
      <c r="AA43" s="67">
        <f t="shared" si="67"/>
        <v>1.9366958550895599E-3</v>
      </c>
      <c r="AB43" s="92" t="str">
        <f t="shared" si="68"/>
        <v>22,1790695748367-2,66024366333314i</v>
      </c>
      <c r="AC43" s="37">
        <f t="shared" si="69"/>
        <v>26.980901220423522</v>
      </c>
      <c r="AD43" s="60">
        <f t="shared" si="70"/>
        <v>-6.8396036069970041</v>
      </c>
      <c r="AE43" t="str">
        <f t="shared" si="71"/>
        <v>34,4450883806789</v>
      </c>
      <c r="AF43" t="str">
        <f t="shared" si="72"/>
        <v>1+0,0603355989305692i</v>
      </c>
      <c r="AG43">
        <f t="shared" si="73"/>
        <v>1.0018185387076397</v>
      </c>
      <c r="AH43">
        <f t="shared" si="74"/>
        <v>6.0262543507853664E-2</v>
      </c>
      <c r="AI43" t="str">
        <f t="shared" si="50"/>
        <v>1+0,00335197771836495i</v>
      </c>
      <c r="AJ43">
        <f t="shared" si="75"/>
        <v>1.000005617861532</v>
      </c>
      <c r="AK43">
        <f t="shared" si="76"/>
        <v>3.3519651644498649E-3</v>
      </c>
      <c r="AL43" t="str">
        <f t="shared" si="77"/>
        <v>1-0,000228073195532575i</v>
      </c>
      <c r="AM43">
        <f t="shared" si="78"/>
        <v>1.000000026008691</v>
      </c>
      <c r="AN43">
        <f t="shared" si="79"/>
        <v>-2.2807319157798489E-4</v>
      </c>
      <c r="AO43" s="58" t="str">
        <f t="shared" si="80"/>
        <v>34,3266448296544-1,96351550769236i</v>
      </c>
      <c r="AP43">
        <f t="shared" si="81"/>
        <v>30.726813808888593</v>
      </c>
      <c r="AQ43" s="60">
        <f t="shared" si="82"/>
        <v>-3.2738035800231571</v>
      </c>
      <c r="AR43" t="str">
        <f t="shared" si="83"/>
        <v>-1,36472945891784</v>
      </c>
      <c r="AS43" t="str">
        <f t="shared" si="51"/>
        <v>1+0,00251096650882719i</v>
      </c>
      <c r="AT43">
        <f t="shared" si="84"/>
        <v>1.0000031524714352</v>
      </c>
      <c r="AU43">
        <f t="shared" si="85"/>
        <v>2.5109612316720391E-3</v>
      </c>
      <c r="AV43" t="str">
        <f t="shared" si="52"/>
        <v>1+0,00251096650882719i</v>
      </c>
      <c r="AW43">
        <f t="shared" si="86"/>
        <v>1.0000031524714352</v>
      </c>
      <c r="AX43">
        <f t="shared" si="87"/>
        <v>2.5109612316720391E-3</v>
      </c>
      <c r="AY43" t="str">
        <f t="shared" si="53"/>
        <v>1-5,97379532832008i</v>
      </c>
      <c r="AZ43">
        <f t="shared" si="88"/>
        <v>6.0569159334317018</v>
      </c>
      <c r="BA43">
        <f t="shared" si="89"/>
        <v>-1.4049363927114595</v>
      </c>
      <c r="BB43" s="58" t="str">
        <f t="shared" si="90"/>
        <v>-1,344250041601+8,15598983293813i</v>
      </c>
      <c r="BC43">
        <f t="shared" si="91"/>
        <v>18.345934862677986</v>
      </c>
      <c r="BD43" s="60">
        <f t="shared" si="92"/>
        <v>99.359206732203219</v>
      </c>
      <c r="BE43" s="58" t="str">
        <f t="shared" si="93"/>
        <v>-8,11729492736253+184,4682986115i</v>
      </c>
      <c r="BF43" s="37">
        <f t="shared" si="94"/>
        <v>45.326836083101512</v>
      </c>
      <c r="BG43" s="60">
        <f t="shared" si="95"/>
        <v>92.519603125206217</v>
      </c>
      <c r="BH43" s="58" t="str">
        <f t="shared" si="96"/>
        <v>-30,1291812227304+282,607222032439i</v>
      </c>
      <c r="BI43" s="37">
        <f t="shared" si="97"/>
        <v>49.072748671566572</v>
      </c>
      <c r="BJ43" s="60">
        <f t="shared" si="98"/>
        <v>96.085403152180064</v>
      </c>
      <c r="BK43">
        <f t="shared" si="99"/>
        <v>45.326836083101512</v>
      </c>
      <c r="BL43" s="60">
        <f t="shared" si="100"/>
        <v>92.519603125206217</v>
      </c>
      <c r="BN43">
        <f t="shared" si="101"/>
        <v>0</v>
      </c>
      <c r="BO43">
        <f t="shared" si="102"/>
        <v>0</v>
      </c>
    </row>
    <row r="44" spans="1:67" x14ac:dyDescent="0.25">
      <c r="M44" s="66">
        <v>26</v>
      </c>
      <c r="N44" s="36">
        <f t="shared" si="54"/>
        <v>18.197008586099841</v>
      </c>
      <c r="O44" s="91" t="str">
        <f t="shared" si="55"/>
        <v>22,5</v>
      </c>
      <c r="P44" s="67" t="str">
        <f t="shared" si="56"/>
        <v>1+0,123481991141427i</v>
      </c>
      <c r="Q44" s="67">
        <f t="shared" si="57"/>
        <v>1.0075950586104774</v>
      </c>
      <c r="R44" s="67">
        <f t="shared" si="58"/>
        <v>0.12286006148293464</v>
      </c>
      <c r="S44" s="67" t="str">
        <f t="shared" si="59"/>
        <v>1+0,00343005530948409i</v>
      </c>
      <c r="T44" s="67">
        <f t="shared" si="60"/>
        <v>1.0000058826224103</v>
      </c>
      <c r="U44" s="67">
        <f t="shared" si="61"/>
        <v>3.4300418577259935E-3</v>
      </c>
      <c r="V44" t="str">
        <f t="shared" si="62"/>
        <v>1-0,000714594856142519i</v>
      </c>
      <c r="W44" s="67">
        <f t="shared" si="63"/>
        <v>1.0000002553228717</v>
      </c>
      <c r="X44" s="67">
        <f t="shared" si="64"/>
        <v>-7.1459473450760029E-4</v>
      </c>
      <c r="Y44" t="str">
        <f t="shared" si="65"/>
        <v>0,999999978807608+0,00198180973436859i</v>
      </c>
      <c r="Z44" s="67">
        <f t="shared" si="66"/>
        <v>1.000001942590633</v>
      </c>
      <c r="AA44" s="67">
        <f t="shared" si="67"/>
        <v>1.9818071818084593E-3</v>
      </c>
      <c r="AB44" s="92" t="str">
        <f t="shared" si="68"/>
        <v>22,1641717480027-2,72036909299078i</v>
      </c>
      <c r="AC44" s="37">
        <f t="shared" si="69"/>
        <v>26.977966222693148</v>
      </c>
      <c r="AD44" s="60">
        <f t="shared" si="70"/>
        <v>-6.997328521364949</v>
      </c>
      <c r="AE44" t="str">
        <f t="shared" si="71"/>
        <v>34,4450883806789</v>
      </c>
      <c r="AF44" t="str">
        <f t="shared" si="72"/>
        <v>1+0,0617409955707137i</v>
      </c>
      <c r="AG44">
        <f t="shared" si="73"/>
        <v>1.0019041623499041</v>
      </c>
      <c r="AH44">
        <f t="shared" si="74"/>
        <v>6.1662723307857485E-2</v>
      </c>
      <c r="AI44" t="str">
        <f t="shared" si="50"/>
        <v>1+0,00343005530948409i</v>
      </c>
      <c r="AJ44">
        <f t="shared" si="75"/>
        <v>1.0000058826224103</v>
      </c>
      <c r="AK44">
        <f t="shared" si="76"/>
        <v>3.4300418577259935E-3</v>
      </c>
      <c r="AL44" t="str">
        <f t="shared" si="77"/>
        <v>1-0,000233385702715563i</v>
      </c>
      <c r="AM44">
        <f t="shared" si="78"/>
        <v>1.0000000272344427</v>
      </c>
      <c r="AN44">
        <f t="shared" si="79"/>
        <v>-2.3338569847814337E-4</v>
      </c>
      <c r="AO44" s="58" t="str">
        <f t="shared" si="80"/>
        <v>34,3210839548483-2,00890832530941i</v>
      </c>
      <c r="AP44">
        <f t="shared" si="81"/>
        <v>30.726073783445372</v>
      </c>
      <c r="AQ44" s="60">
        <f t="shared" si="82"/>
        <v>-3.349858892343804</v>
      </c>
      <c r="AR44" t="str">
        <f t="shared" si="83"/>
        <v>-1,36472945891784</v>
      </c>
      <c r="AS44" t="str">
        <f t="shared" si="51"/>
        <v>1+0,00256945443233454i</v>
      </c>
      <c r="AT44">
        <f t="shared" si="84"/>
        <v>1.0000033010425915</v>
      </c>
      <c r="AU44">
        <f t="shared" si="85"/>
        <v>2.5694487777619271E-3</v>
      </c>
      <c r="AV44" t="str">
        <f t="shared" si="52"/>
        <v>1+0,00256945443233454i</v>
      </c>
      <c r="AW44">
        <f t="shared" si="86"/>
        <v>1.0000033010425915</v>
      </c>
      <c r="AX44">
        <f t="shared" si="87"/>
        <v>2.5694487777619271E-3</v>
      </c>
      <c r="AY44" t="str">
        <f t="shared" si="53"/>
        <v>1-5,83781514520631i</v>
      </c>
      <c r="AZ44">
        <f t="shared" si="88"/>
        <v>5.9228443901220453</v>
      </c>
      <c r="BA44">
        <f t="shared" si="89"/>
        <v>-1.4011459076180826</v>
      </c>
      <c r="BB44" s="58" t="str">
        <f t="shared" si="90"/>
        <v>-1,34424964216878+7,97049229258101i</v>
      </c>
      <c r="BC44">
        <f t="shared" si="91"/>
        <v>18.151509106266875</v>
      </c>
      <c r="BD44" s="60">
        <f t="shared" si="92"/>
        <v>99.573034440815931</v>
      </c>
      <c r="BE44" s="58" t="str">
        <f t="shared" si="93"/>
        <v>-8,11149905256141+180,316215268717i</v>
      </c>
      <c r="BF44" s="37">
        <f t="shared" si="94"/>
        <v>45.129475328960012</v>
      </c>
      <c r="BG44" s="60">
        <f t="shared" si="95"/>
        <v>92.575705919450982</v>
      </c>
      <c r="BH44" s="58" t="str">
        <f t="shared" si="96"/>
        <v>-30,124116501769+276,256409432591i</v>
      </c>
      <c r="BI44" s="37">
        <f t="shared" si="97"/>
        <v>48.877582889712244</v>
      </c>
      <c r="BJ44" s="60">
        <f t="shared" si="98"/>
        <v>96.223175548472128</v>
      </c>
      <c r="BK44">
        <f t="shared" si="99"/>
        <v>45.129475328960012</v>
      </c>
      <c r="BL44" s="60">
        <f t="shared" si="100"/>
        <v>92.575705919450982</v>
      </c>
      <c r="BN44">
        <f t="shared" si="101"/>
        <v>0</v>
      </c>
      <c r="BO44">
        <f t="shared" si="102"/>
        <v>0</v>
      </c>
    </row>
    <row r="45" spans="1:67" x14ac:dyDescent="0.25">
      <c r="M45" s="66">
        <v>27</v>
      </c>
      <c r="N45" s="36">
        <f t="shared" si="54"/>
        <v>18.62087136662868</v>
      </c>
      <c r="O45" s="91" t="str">
        <f t="shared" si="55"/>
        <v>22,5</v>
      </c>
      <c r="P45" s="67" t="str">
        <f t="shared" si="56"/>
        <v>1+0,126358256207897i</v>
      </c>
      <c r="Q45" s="67">
        <f t="shared" si="57"/>
        <v>1.0079515905597354</v>
      </c>
      <c r="R45" s="67">
        <f t="shared" si="58"/>
        <v>0.12569213017931324</v>
      </c>
      <c r="S45" s="67" t="str">
        <f t="shared" si="59"/>
        <v>1+0,00350995156133046i</v>
      </c>
      <c r="T45" s="67">
        <f t="shared" si="60"/>
        <v>1.0000061598610095</v>
      </c>
      <c r="U45" s="67">
        <f t="shared" si="61"/>
        <v>3.5099371475167656E-3</v>
      </c>
      <c r="V45" t="str">
        <f t="shared" si="62"/>
        <v>1-0,000731239908610513i</v>
      </c>
      <c r="W45" s="67">
        <f t="shared" si="63"/>
        <v>1.0000002673558663</v>
      </c>
      <c r="X45" s="67">
        <f t="shared" si="64"/>
        <v>-7.312397782763512E-4</v>
      </c>
      <c r="Y45" t="str">
        <f t="shared" si="65"/>
        <v>0,999999977808842+0,00202797201321315i</v>
      </c>
      <c r="Z45" s="67">
        <f t="shared" si="66"/>
        <v>1.0000020341420164</v>
      </c>
      <c r="AA45" s="67">
        <f t="shared" si="67"/>
        <v>2.0279692780959917E-3</v>
      </c>
      <c r="AB45" s="92" t="str">
        <f t="shared" si="68"/>
        <v>22,1485933796098-2,78176618223618i</v>
      </c>
      <c r="AC45" s="37">
        <f t="shared" si="69"/>
        <v>26.974895029590598</v>
      </c>
      <c r="AD45" s="60">
        <f t="shared" si="70"/>
        <v>-7.1586150260990724</v>
      </c>
      <c r="AE45" t="str">
        <f t="shared" si="71"/>
        <v>34,4450883806789</v>
      </c>
      <c r="AF45" t="str">
        <f t="shared" si="72"/>
        <v>1+0,0631791281039484i</v>
      </c>
      <c r="AG45">
        <f t="shared" si="73"/>
        <v>1.0019938134679152</v>
      </c>
      <c r="AH45">
        <f t="shared" si="74"/>
        <v>6.309526687408247E-2</v>
      </c>
      <c r="AI45" t="str">
        <f t="shared" si="50"/>
        <v>1+0,00350995156133046i</v>
      </c>
      <c r="AJ45">
        <f t="shared" si="75"/>
        <v>1.0000061598610095</v>
      </c>
      <c r="AK45">
        <f t="shared" si="76"/>
        <v>3.5099371475167656E-3</v>
      </c>
      <c r="AL45" t="str">
        <f t="shared" si="77"/>
        <v>1-0,000238821954087354i</v>
      </c>
      <c r="AM45">
        <f t="shared" si="78"/>
        <v>1.0000000285179624</v>
      </c>
      <c r="AN45">
        <f t="shared" si="79"/>
        <v>-2.3882194954687706E-4</v>
      </c>
      <c r="AO45" s="58" t="str">
        <f t="shared" si="80"/>
        <v>34,3152630410794-2,0553340511669i</v>
      </c>
      <c r="AP45">
        <f t="shared" si="81"/>
        <v>30.725299017649917</v>
      </c>
      <c r="AQ45" s="60">
        <f t="shared" si="82"/>
        <v>-3.4276714039917446</v>
      </c>
      <c r="AR45" t="str">
        <f t="shared" si="83"/>
        <v>-1,36472945891784</v>
      </c>
      <c r="AS45" t="str">
        <f t="shared" si="51"/>
        <v>1+0,00262930471459265i</v>
      </c>
      <c r="AT45">
        <f t="shared" si="84"/>
        <v>1.000003456615667</v>
      </c>
      <c r="AU45">
        <f t="shared" si="85"/>
        <v>2.629298655610064E-3</v>
      </c>
      <c r="AV45" t="str">
        <f t="shared" si="52"/>
        <v>1+0,00262930471459265i</v>
      </c>
      <c r="AW45">
        <f t="shared" si="86"/>
        <v>1.000003456615667</v>
      </c>
      <c r="AX45">
        <f t="shared" si="87"/>
        <v>2.629298655610064E-3</v>
      </c>
      <c r="AY45" t="str">
        <f t="shared" si="53"/>
        <v>1-5,70493024895516i</v>
      </c>
      <c r="AZ45">
        <f t="shared" si="88"/>
        <v>5.7919106644909135</v>
      </c>
      <c r="BA45">
        <f t="shared" si="89"/>
        <v>-1.3972722205785859</v>
      </c>
      <c r="BB45" s="58" t="str">
        <f t="shared" si="90"/>
        <v>-1,34424922391216+7,78922081264261i</v>
      </c>
      <c r="BC45">
        <f t="shared" si="91"/>
        <v>17.957338394092723</v>
      </c>
      <c r="BD45" s="60">
        <f t="shared" si="92"/>
        <v>99.791551213928571</v>
      </c>
      <c r="BE45" s="58" t="str">
        <f t="shared" si="93"/>
        <v>-8,10543841870705+176,259671554791i</v>
      </c>
      <c r="BF45" s="37">
        <f t="shared" si="94"/>
        <v>44.932233423683314</v>
      </c>
      <c r="BG45" s="60">
        <f t="shared" si="95"/>
        <v>92.6329361878295</v>
      </c>
      <c r="BH45" s="58" t="str">
        <f t="shared" si="96"/>
        <v>-30,1188149430303+270,052042274043i</v>
      </c>
      <c r="BI45" s="37">
        <f t="shared" si="97"/>
        <v>48.682637411742647</v>
      </c>
      <c r="BJ45" s="60">
        <f t="shared" si="98"/>
        <v>96.363879809936819</v>
      </c>
      <c r="BK45">
        <f t="shared" si="99"/>
        <v>44.932233423683314</v>
      </c>
      <c r="BL45" s="60">
        <f t="shared" si="100"/>
        <v>92.6329361878295</v>
      </c>
      <c r="BN45">
        <f t="shared" si="101"/>
        <v>0</v>
      </c>
      <c r="BO45">
        <f t="shared" si="102"/>
        <v>0</v>
      </c>
    </row>
    <row r="46" spans="1:67" x14ac:dyDescent="0.25">
      <c r="A46" t="s">
        <v>480</v>
      </c>
      <c r="B46" s="23">
        <f>(Rcs*Vin_vari*ACS)/Lm</f>
        <v>47999.999999999993</v>
      </c>
      <c r="C46" t="s">
        <v>118</v>
      </c>
      <c r="E46" t="s">
        <v>488</v>
      </c>
      <c r="J46">
        <f>(0.5-(1-(Vin_vari/VOUT)))</f>
        <v>0.16666666666666663</v>
      </c>
      <c r="M46" s="66">
        <v>28</v>
      </c>
      <c r="N46" s="36">
        <f t="shared" si="54"/>
        <v>19.054607179632477</v>
      </c>
      <c r="O46" s="91" t="str">
        <f t="shared" si="55"/>
        <v>22,5</v>
      </c>
      <c r="P46" s="67" t="str">
        <f t="shared" si="56"/>
        <v>1+0,129301518094357i</v>
      </c>
      <c r="Q46" s="67">
        <f t="shared" si="57"/>
        <v>1.0083247902246106</v>
      </c>
      <c r="R46" s="67">
        <f t="shared" si="58"/>
        <v>0.12858806907785034</v>
      </c>
      <c r="S46" s="67" t="str">
        <f t="shared" si="59"/>
        <v>1+0,00359170883595435i</v>
      </c>
      <c r="T46" s="67">
        <f t="shared" si="60"/>
        <v>1.0000064501653789</v>
      </c>
      <c r="U46" s="67">
        <f t="shared" si="61"/>
        <v>3.5916933912800947E-3</v>
      </c>
      <c r="V46" t="str">
        <f t="shared" si="62"/>
        <v>1-0,000748272674157156i</v>
      </c>
      <c r="W46" s="67">
        <f t="shared" si="63"/>
        <v>1.0000002799559584</v>
      </c>
      <c r="X46" s="67">
        <f t="shared" si="64"/>
        <v>-7.4827253450158765E-4</v>
      </c>
      <c r="Y46" t="str">
        <f t="shared" si="65"/>
        <v>0,999999976763004+0,00207520954966251i</v>
      </c>
      <c r="Z46" s="67">
        <f>IMABS(Y46)</f>
        <v>1.0000021300080733</v>
      </c>
      <c r="AA46" s="67">
        <f t="shared" si="67"/>
        <v>2.075206618932012E-3</v>
      </c>
      <c r="AB46" s="92" t="str">
        <f t="shared" si="68"/>
        <v>22,1323044277035-2,84445566326511i</v>
      </c>
      <c r="AC46" s="37">
        <f t="shared" si="69"/>
        <v>26.971681424316483</v>
      </c>
      <c r="AD46" s="60">
        <f t="shared" si="70"/>
        <v>-7.3235382203070607</v>
      </c>
      <c r="AE46" t="str">
        <f t="shared" si="71"/>
        <v>34,4450883806789</v>
      </c>
      <c r="AF46" t="str">
        <f t="shared" si="72"/>
        <v>1+0,0646507590471784i</v>
      </c>
      <c r="AG46">
        <f t="shared" si="73"/>
        <v>1.0020876811164663</v>
      </c>
      <c r="AH46">
        <f t="shared" si="74"/>
        <v>6.4560910228109086E-2</v>
      </c>
      <c r="AI46" t="str">
        <f t="shared" si="50"/>
        <v>1+0,00359170883595435i</v>
      </c>
      <c r="AJ46">
        <f t="shared" si="75"/>
        <v>1.0000064501653789</v>
      </c>
      <c r="AK46">
        <f t="shared" si="76"/>
        <v>3.5916933912800947E-3</v>
      </c>
      <c r="AL46" t="str">
        <f t="shared" si="77"/>
        <v>1-0,000244384832020386i</v>
      </c>
      <c r="AM46">
        <f t="shared" si="78"/>
        <v>1.0000000298619725</v>
      </c>
      <c r="AN46">
        <f t="shared" si="79"/>
        <v>-2.4438482715517736E-4</v>
      </c>
      <c r="AO46" s="58" t="str">
        <f t="shared" si="80"/>
        <v>34,3091700284147-2,10281501346144i</v>
      </c>
      <c r="AP46">
        <f t="shared" si="81"/>
        <v>30.724487887304864</v>
      </c>
      <c r="AQ46" s="60">
        <f t="shared" si="82"/>
        <v>-3.5072810241412857</v>
      </c>
      <c r="AR46" t="str">
        <f t="shared" si="83"/>
        <v>-1,36472945891784</v>
      </c>
      <c r="AS46" t="str">
        <f t="shared" si="51"/>
        <v>1+0,00269054908901341i</v>
      </c>
      <c r="AT46">
        <f t="shared" si="84"/>
        <v>1.0000036195206496</v>
      </c>
      <c r="AU46">
        <f t="shared" si="85"/>
        <v>2.690542596697868E-3</v>
      </c>
      <c r="AV46" t="str">
        <f t="shared" si="52"/>
        <v>1+0,00269054908901341i</v>
      </c>
      <c r="AW46">
        <f t="shared" si="86"/>
        <v>1.0000036195206496</v>
      </c>
      <c r="AX46">
        <f t="shared" si="87"/>
        <v>2.690542596697868E-3</v>
      </c>
      <c r="AY46" t="str">
        <f t="shared" si="53"/>
        <v>1-5,57507018223568i</v>
      </c>
      <c r="AZ46">
        <f t="shared" si="88"/>
        <v>5.6640451566749865</v>
      </c>
      <c r="BA46">
        <f t="shared" si="89"/>
        <v>-1.3933137429564353</v>
      </c>
      <c r="BB46" s="58" t="str">
        <f t="shared" si="90"/>
        <v>-1,34424878594398+7,61207928057791i</v>
      </c>
      <c r="BC46">
        <f t="shared" si="91"/>
        <v>17.76343402936833</v>
      </c>
      <c r="BD46" s="60">
        <f t="shared" si="92"/>
        <v>100.01484625562965</v>
      </c>
      <c r="BE46" s="58" t="str">
        <f t="shared" si="93"/>
        <v>-8,09910133822016+172,29651203758i</v>
      </c>
      <c r="BF46" s="37">
        <f t="shared" si="94"/>
        <v>44.735115453684806</v>
      </c>
      <c r="BG46" s="60">
        <f t="shared" si="95"/>
        <v>92.691308035322592</v>
      </c>
      <c r="BH46" s="58" t="str">
        <f t="shared" si="96"/>
        <v>-30,1132655625841+263,99082883603i</v>
      </c>
      <c r="BI46" s="37">
        <f t="shared" si="97"/>
        <v>48.48792191667318</v>
      </c>
      <c r="BJ46" s="60">
        <f t="shared" si="98"/>
        <v>96.507565231488385</v>
      </c>
      <c r="BK46">
        <f t="shared" si="99"/>
        <v>44.735115453684806</v>
      </c>
      <c r="BL46" s="60">
        <f t="shared" si="100"/>
        <v>92.691308035322592</v>
      </c>
      <c r="BN46">
        <f t="shared" si="101"/>
        <v>0</v>
      </c>
      <c r="BO46">
        <f t="shared" si="102"/>
        <v>0</v>
      </c>
    </row>
    <row r="47" spans="1:67" x14ac:dyDescent="0.25">
      <c r="A47" t="s">
        <v>479</v>
      </c>
      <c r="B47" s="23">
        <f>(B26*(B25+B24)*fsw)</f>
        <v>300000</v>
      </c>
      <c r="C47" t="s">
        <v>118</v>
      </c>
      <c r="J47">
        <f>Lm*fsw</f>
        <v>2.5</v>
      </c>
      <c r="M47" s="66">
        <v>29</v>
      </c>
      <c r="N47" s="36">
        <f t="shared" si="54"/>
        <v>19.498445997580465</v>
      </c>
      <c r="O47" s="91" t="str">
        <f t="shared" si="55"/>
        <v>22,5</v>
      </c>
      <c r="P47" s="67" t="str">
        <f t="shared" si="56"/>
        <v>1+0,132313337357219i</v>
      </c>
      <c r="Q47" s="67">
        <f t="shared" si="57"/>
        <v>1.0087154302590029</v>
      </c>
      <c r="R47" s="67">
        <f t="shared" si="58"/>
        <v>0.13154921924676116</v>
      </c>
      <c r="S47" s="67" t="str">
        <f t="shared" si="59"/>
        <v>1+0,00367537048214496i</v>
      </c>
      <c r="T47" s="67">
        <f t="shared" si="60"/>
        <v>1.0000067541512812</v>
      </c>
      <c r="U47" s="67">
        <f t="shared" si="61"/>
        <v>3.6753539328843693E-3</v>
      </c>
      <c r="V47" t="str">
        <f t="shared" si="62"/>
        <v>1-0,0007657021837802i</v>
      </c>
      <c r="W47" s="67">
        <f t="shared" si="63"/>
        <v>1.0000002931498742</v>
      </c>
      <c r="X47" s="67">
        <f t="shared" si="64"/>
        <v>-7.6570203413656483E-4</v>
      </c>
      <c r="Y47" t="str">
        <f t="shared" si="65"/>
        <v>0,999999975667879+0,00212354738968375i</v>
      </c>
      <c r="Z47" s="67">
        <f t="shared" si="66"/>
        <v>1.0000022303921501</v>
      </c>
      <c r="AA47" s="67">
        <f t="shared" si="67"/>
        <v>2.1235442493498188E-3</v>
      </c>
      <c r="AB47" s="92" t="str">
        <f t="shared" si="68"/>
        <v>22,1152736231724-2,90845815416174i</v>
      </c>
      <c r="AC47" s="37">
        <f t="shared" si="69"/>
        <v>26.968318916080097</v>
      </c>
      <c r="AD47" s="60">
        <f t="shared" si="70"/>
        <v>-7.4921744105271362</v>
      </c>
      <c r="AE47" t="str">
        <f t="shared" si="71"/>
        <v>34,4450883806789</v>
      </c>
      <c r="AF47" t="str">
        <f t="shared" si="72"/>
        <v>1+0,0661566686786094i</v>
      </c>
      <c r="AG47">
        <f t="shared" si="73"/>
        <v>1.0021859631877965</v>
      </c>
      <c r="AH47">
        <f t="shared" si="74"/>
        <v>6.6060405272334491E-2</v>
      </c>
      <c r="AI47" t="str">
        <f t="shared" si="50"/>
        <v>1+0,00367537048214496i</v>
      </c>
      <c r="AJ47">
        <f t="shared" si="75"/>
        <v>1.0000067541512812</v>
      </c>
      <c r="AK47">
        <f t="shared" si="76"/>
        <v>3.6753539328843693E-3</v>
      </c>
      <c r="AL47" t="str">
        <f t="shared" si="77"/>
        <v>1-0,00025007728602617i</v>
      </c>
      <c r="AM47">
        <f t="shared" si="78"/>
        <v>1.000000031269324</v>
      </c>
      <c r="AN47">
        <f t="shared" si="79"/>
        <v>-2.5007728081300498E-4</v>
      </c>
      <c r="AO47" s="58" t="str">
        <f t="shared" si="80"/>
        <v>34,302792307222-2,15137393854999i</v>
      </c>
      <c r="AP47">
        <f t="shared" si="81"/>
        <v>30.723638692919355</v>
      </c>
      <c r="AQ47" s="60">
        <f t="shared" si="82"/>
        <v>-3.5887285192001523</v>
      </c>
      <c r="AR47" t="str">
        <f t="shared" si="83"/>
        <v>-1,36472945891784</v>
      </c>
      <c r="AS47" t="str">
        <f t="shared" si="51"/>
        <v>1+0,00275322002817479i</v>
      </c>
      <c r="AT47">
        <f t="shared" si="84"/>
        <v>1.0000037901030794</v>
      </c>
      <c r="AU47">
        <f t="shared" si="85"/>
        <v>2.7532130715347751E-3</v>
      </c>
      <c r="AV47" t="str">
        <f t="shared" si="52"/>
        <v>1+0,00275322002817479i</v>
      </c>
      <c r="AW47">
        <f t="shared" si="86"/>
        <v>1.0000037901030794</v>
      </c>
      <c r="AX47">
        <f t="shared" si="87"/>
        <v>2.7532130715347751E-3</v>
      </c>
      <c r="AY47" t="str">
        <f t="shared" si="53"/>
        <v>1-5,44816609152159i</v>
      </c>
      <c r="AZ47">
        <f t="shared" si="88"/>
        <v>5.5391798816075317</v>
      </c>
      <c r="BA47">
        <f t="shared" si="89"/>
        <v>-1.3892688723809159</v>
      </c>
      <c r="BB47" s="58" t="str">
        <f t="shared" si="90"/>
        <v>-1,34424832733531+7,43897377359444i</v>
      </c>
      <c r="BC47">
        <f t="shared" si="91"/>
        <v>17.569807782102458</v>
      </c>
      <c r="BD47" s="60">
        <f t="shared" si="92"/>
        <v>100.24300951457533</v>
      </c>
      <c r="BE47" s="58" t="str">
        <f t="shared" si="93"/>
        <v>-8,09247564610612+168,424630487501i</v>
      </c>
      <c r="BF47" s="37">
        <f t="shared" si="94"/>
        <v>44.538126698182552</v>
      </c>
      <c r="BG47" s="60">
        <f t="shared" si="95"/>
        <v>92.750835104048193</v>
      </c>
      <c r="BH47" s="58" t="str">
        <f t="shared" si="96"/>
        <v>-30,1074568758458+258,06955315285i</v>
      </c>
      <c r="BI47" s="37">
        <f t="shared" si="97"/>
        <v>48.293446475021817</v>
      </c>
      <c r="BJ47" s="60">
        <f t="shared" si="98"/>
        <v>96.654280995375174</v>
      </c>
      <c r="BK47">
        <f t="shared" si="99"/>
        <v>44.538126698182552</v>
      </c>
      <c r="BL47" s="60">
        <f t="shared" si="100"/>
        <v>92.750835104048193</v>
      </c>
      <c r="BN47">
        <f t="shared" si="101"/>
        <v>0</v>
      </c>
      <c r="BO47">
        <f t="shared" si="102"/>
        <v>0</v>
      </c>
    </row>
    <row r="48" spans="1:67" x14ac:dyDescent="0.25">
      <c r="A48" t="s">
        <v>481</v>
      </c>
      <c r="B48" s="23">
        <f>2*PI()*fsw</f>
        <v>1570796.3267948965</v>
      </c>
      <c r="C48" t="s">
        <v>489</v>
      </c>
      <c r="M48" s="66">
        <v>30</v>
      </c>
      <c r="N48" s="36">
        <f t="shared" si="54"/>
        <v>19.952623149688804</v>
      </c>
      <c r="O48" s="91" t="str">
        <f t="shared" si="55"/>
        <v>22,5</v>
      </c>
      <c r="P48" s="67" t="str">
        <f t="shared" si="56"/>
        <v>1+0,135395310902921i</v>
      </c>
      <c r="Q48" s="67">
        <f t="shared" si="57"/>
        <v>1.0091243185130852</v>
      </c>
      <c r="R48" s="67">
        <f t="shared" si="58"/>
        <v>0.13457694290020278</v>
      </c>
      <c r="S48" s="67" t="str">
        <f t="shared" si="59"/>
        <v>1+0,00376098085841448i</v>
      </c>
      <c r="T48" s="67">
        <f t="shared" si="60"/>
        <v>1.0000070724634988</v>
      </c>
      <c r="U48" s="67">
        <f t="shared" si="61"/>
        <v>3.760963125569043E-3</v>
      </c>
      <c r="V48" t="str">
        <f t="shared" si="62"/>
        <v>1-0,00078353767883635i</v>
      </c>
      <c r="W48" s="67">
        <f t="shared" si="63"/>
        <v>1.0000003069656</v>
      </c>
      <c r="X48" s="67">
        <f t="shared" si="64"/>
        <v>-7.8353751849030869E-4</v>
      </c>
      <c r="Y48" t="str">
        <f t="shared" si="65"/>
        <v>0,999999974521141+0,00217301116263948i</v>
      </c>
      <c r="Z48" s="67">
        <f t="shared" si="66"/>
        <v>1.0000023355071703</v>
      </c>
      <c r="AA48" s="67">
        <f t="shared" si="67"/>
        <v>2.1730077977114735E-3</v>
      </c>
      <c r="AB48" s="92" t="str">
        <f t="shared" si="68"/>
        <v>22,0974684290732-2,97379411807128i</v>
      </c>
      <c r="AC48" s="37">
        <f t="shared" si="69"/>
        <v>26.964800728949786</v>
      </c>
      <c r="AD48" s="60">
        <f t="shared" si="70"/>
        <v>-7.6646011025127665</v>
      </c>
      <c r="AE48" t="str">
        <f t="shared" si="71"/>
        <v>34,4450883806789</v>
      </c>
      <c r="AF48" t="str">
        <f t="shared" si="72"/>
        <v>1+0,0676976554514607i</v>
      </c>
      <c r="AG48">
        <f t="shared" si="73"/>
        <v>1.0022888668211498</v>
      </c>
      <c r="AH48">
        <f t="shared" si="74"/>
        <v>6.759452007094495E-2</v>
      </c>
      <c r="AI48" t="str">
        <f t="shared" si="50"/>
        <v>1+0,00376098085841448i</v>
      </c>
      <c r="AJ48">
        <f t="shared" si="75"/>
        <v>1.0000070724634988</v>
      </c>
      <c r="AK48">
        <f t="shared" si="76"/>
        <v>3.760963125569043E-3</v>
      </c>
      <c r="AL48" t="str">
        <f t="shared" si="77"/>
        <v>1-0,00025590233431917i</v>
      </c>
      <c r="AM48">
        <f t="shared" si="78"/>
        <v>1.0000000327430019</v>
      </c>
      <c r="AN48">
        <f t="shared" si="79"/>
        <v>-2.559023287331631E-4</v>
      </c>
      <c r="AO48" s="58" t="str">
        <f t="shared" si="80"/>
        <v>34,2961166940387-2,20103395173244i</v>
      </c>
      <c r="AP48">
        <f t="shared" si="81"/>
        <v>30.722749656280378</v>
      </c>
      <c r="AQ48" s="60">
        <f t="shared" si="82"/>
        <v>-3.6720555276820246</v>
      </c>
      <c r="AR48" t="str">
        <f t="shared" si="83"/>
        <v>-1,36472945891784</v>
      </c>
      <c r="AS48" t="str">
        <f t="shared" si="51"/>
        <v>1+0,00281735076103829i</v>
      </c>
      <c r="AT48">
        <f t="shared" si="84"/>
        <v>1.0000039687247799</v>
      </c>
      <c r="AU48">
        <f t="shared" si="85"/>
        <v>2.8173433068658122E-3</v>
      </c>
      <c r="AV48" t="str">
        <f t="shared" si="52"/>
        <v>1+0,00281735076103829i</v>
      </c>
      <c r="AW48">
        <f t="shared" si="86"/>
        <v>1.0000039687247799</v>
      </c>
      <c r="AX48">
        <f t="shared" si="87"/>
        <v>2.8173433068658122E-3</v>
      </c>
      <c r="AY48" t="str">
        <f t="shared" si="53"/>
        <v>1-5,32415069058423i</v>
      </c>
      <c r="AZ48">
        <f t="shared" si="88"/>
        <v>5.4172484321884795</v>
      </c>
      <c r="BA48">
        <f t="shared" si="89"/>
        <v>-1.3851359938932253</v>
      </c>
      <c r="BB48" s="58" t="str">
        <f t="shared" si="90"/>
        <v>-1,34424784711342+7,26981250885315i</v>
      </c>
      <c r="BC48">
        <f t="shared" si="91"/>
        <v>17.376471905198709</v>
      </c>
      <c r="BD48" s="60">
        <f t="shared" si="92"/>
        <v>100.4761316173368</v>
      </c>
      <c r="BE48" s="58" t="str">
        <f t="shared" si="93"/>
        <v>-8,0855486841299+164,64196874064i</v>
      </c>
      <c r="BF48" s="37">
        <f t="shared" si="94"/>
        <v>44.34127263414851</v>
      </c>
      <c r="BG48" s="60">
        <f t="shared" si="95"/>
        <v>92.811530514824028</v>
      </c>
      <c r="BH48" s="58" t="str">
        <f t="shared" si="96"/>
        <v>-30,1013768755972+252,28507329845i</v>
      </c>
      <c r="BI48" s="37">
        <f t="shared" si="97"/>
        <v>48.099221561479098</v>
      </c>
      <c r="BJ48" s="60">
        <f t="shared" si="98"/>
        <v>96.804076089654785</v>
      </c>
      <c r="BK48">
        <f t="shared" si="99"/>
        <v>44.34127263414851</v>
      </c>
      <c r="BL48" s="60">
        <f t="shared" si="100"/>
        <v>92.811530514824028</v>
      </c>
      <c r="BN48">
        <f t="shared" si="101"/>
        <v>0</v>
      </c>
      <c r="BO48">
        <f t="shared" si="102"/>
        <v>0</v>
      </c>
    </row>
    <row r="49" spans="1:67" x14ac:dyDescent="0.25">
      <c r="A49" t="s">
        <v>482</v>
      </c>
      <c r="B49" s="23">
        <f>1/(PI()*(((Vin_vari/VOUT)*(1+(Se/B46)))-0.5))</f>
        <v>7.3456127580874761E-2</v>
      </c>
      <c r="M49" s="66">
        <v>31</v>
      </c>
      <c r="N49" s="36">
        <f t="shared" si="54"/>
        <v>20.4173794466953</v>
      </c>
      <c r="O49" s="91" t="str">
        <f t="shared" si="55"/>
        <v>22,5</v>
      </c>
      <c r="P49" s="67" t="str">
        <f t="shared" si="56"/>
        <v>1+0,138549072834633i</v>
      </c>
      <c r="Q49" s="67">
        <f t="shared" si="57"/>
        <v>1.0095522995780539</v>
      </c>
      <c r="R49" s="67">
        <f t="shared" si="58"/>
        <v>0.13767262321613721</v>
      </c>
      <c r="S49" s="67" t="str">
        <f t="shared" si="59"/>
        <v>1+0,00384858535651758i</v>
      </c>
      <c r="T49" s="67">
        <f t="shared" si="60"/>
        <v>1.0000074057772004</v>
      </c>
      <c r="U49" s="67">
        <f t="shared" si="61"/>
        <v>3.8485663554389577E-3</v>
      </c>
      <c r="V49" t="str">
        <f t="shared" si="62"/>
        <v>1-0,000801788615941162i</v>
      </c>
      <c r="W49" s="67">
        <f t="shared" si="63"/>
        <v>1.0000003214324407</v>
      </c>
      <c r="X49" s="67">
        <f t="shared" si="64"/>
        <v>-8.0178844412728616E-4</v>
      </c>
      <c r="Y49" t="str">
        <f t="shared" si="65"/>
        <v>0,99999997332036+0,00222362709487682i</v>
      </c>
      <c r="Z49" s="67">
        <f t="shared" si="66"/>
        <v>1.0000024455760983</v>
      </c>
      <c r="AA49" s="67">
        <f t="shared" si="67"/>
        <v>2.2236234892919755E-3</v>
      </c>
      <c r="AB49" s="92" t="str">
        <f t="shared" si="68"/>
        <v>22,0788549995461-3,04048381921275i</v>
      </c>
      <c r="AC49" s="37">
        <f t="shared" si="69"/>
        <v>26.961119790338003</v>
      </c>
      <c r="AD49" s="60">
        <f t="shared" si="70"/>
        <v>-7.8408969905101724</v>
      </c>
      <c r="AE49" t="str">
        <f t="shared" si="71"/>
        <v>34,4450883806789</v>
      </c>
      <c r="AF49" t="str">
        <f t="shared" si="72"/>
        <v>1+0,0692745364173165i</v>
      </c>
      <c r="AG49">
        <f t="shared" si="73"/>
        <v>1.0023966088309728</v>
      </c>
      <c r="AH49">
        <f t="shared" si="74"/>
        <v>6.9164039131244776E-2</v>
      </c>
      <c r="AI49" t="str">
        <f t="shared" si="50"/>
        <v>1+0,00384858535651758i</v>
      </c>
      <c r="AJ49">
        <f t="shared" si="75"/>
        <v>1.0000074057772004</v>
      </c>
      <c r="AK49">
        <f t="shared" si="76"/>
        <v>3.8485663554389577E-3</v>
      </c>
      <c r="AL49" t="str">
        <f t="shared" si="77"/>
        <v>1-0,000261863065417093i</v>
      </c>
      <c r="AM49">
        <f t="shared" si="78"/>
        <v>1.0000000342861319</v>
      </c>
      <c r="AN49">
        <f t="shared" si="79"/>
        <v>-2.6186305943157873E-4</v>
      </c>
      <c r="AO49" s="58" t="str">
        <f t="shared" si="80"/>
        <v>34,2891294064699-2,25181857747267i</v>
      </c>
      <c r="AP49">
        <f t="shared" si="81"/>
        <v>30.721818916873573</v>
      </c>
      <c r="AQ49" s="60">
        <f t="shared" si="82"/>
        <v>-3.7573045750711147</v>
      </c>
      <c r="AR49" t="str">
        <f t="shared" si="83"/>
        <v>-1,36472945891784</v>
      </c>
      <c r="AS49" t="str">
        <f t="shared" si="51"/>
        <v>1+0,00288297529056732i</v>
      </c>
      <c r="AT49">
        <f t="shared" si="84"/>
        <v>1.0000041557646278</v>
      </c>
      <c r="AU49">
        <f t="shared" si="85"/>
        <v>2.8829673032793983E-3</v>
      </c>
      <c r="AV49" t="str">
        <f t="shared" si="52"/>
        <v>1+0,00288297529056732i</v>
      </c>
      <c r="AW49">
        <f t="shared" si="86"/>
        <v>1.0000041557646278</v>
      </c>
      <c r="AX49">
        <f t="shared" si="87"/>
        <v>2.8829673032793983E-3</v>
      </c>
      <c r="AY49" t="str">
        <f t="shared" si="53"/>
        <v>1-5,20295822481651i</v>
      </c>
      <c r="AZ49">
        <f t="shared" si="88"/>
        <v>5.2981859432437597</v>
      </c>
      <c r="BA49">
        <f t="shared" si="89"/>
        <v>-1.3809134812018087</v>
      </c>
      <c r="BB49" s="58" t="str">
        <f t="shared" si="90"/>
        <v>-1,34424734425973+7,10450579480387i</v>
      </c>
      <c r="BC49">
        <f t="shared" si="91"/>
        <v>17.183439150807693</v>
      </c>
      <c r="BD49" s="60">
        <f t="shared" si="92"/>
        <v>100.71430379546611</v>
      </c>
      <c r="BE49" s="58" t="str">
        <f t="shared" si="93"/>
        <v>-8,07830728483112+160,946515586151i</v>
      </c>
      <c r="BF49" s="37">
        <f t="shared" si="94"/>
        <v>44.144558941145689</v>
      </c>
      <c r="BG49" s="60">
        <f t="shared" si="95"/>
        <v>92.873406804955948</v>
      </c>
      <c r="BH49" s="58" t="str">
        <f t="shared" si="96"/>
        <v>-30,0950130091238+246,634319709568i</v>
      </c>
      <c r="BI49" s="37">
        <f t="shared" si="97"/>
        <v>47.905258067681288</v>
      </c>
      <c r="BJ49" s="60">
        <f t="shared" si="98"/>
        <v>96.956999220394991</v>
      </c>
      <c r="BK49">
        <f t="shared" si="99"/>
        <v>44.144558941145689</v>
      </c>
      <c r="BL49" s="60">
        <f t="shared" si="100"/>
        <v>92.873406804955948</v>
      </c>
      <c r="BN49">
        <f t="shared" si="101"/>
        <v>0</v>
      </c>
      <c r="BO49">
        <f t="shared" si="102"/>
        <v>0</v>
      </c>
    </row>
    <row r="50" spans="1:67" x14ac:dyDescent="0.25">
      <c r="M50" s="66">
        <v>32</v>
      </c>
      <c r="N50" s="36">
        <f t="shared" si="54"/>
        <v>20.8929613085404</v>
      </c>
      <c r="O50" s="91" t="str">
        <f t="shared" si="55"/>
        <v>22,5</v>
      </c>
      <c r="P50" s="67" t="str">
        <f t="shared" si="56"/>
        <v>1+0,141776295318676i</v>
      </c>
      <c r="Q50" s="67">
        <f t="shared" si="57"/>
        <v>1.0100002563931796</v>
      </c>
      <c r="R50" s="67">
        <f t="shared" si="58"/>
        <v>0.14083766410718196</v>
      </c>
      <c r="S50" s="67" t="str">
        <f t="shared" si="59"/>
        <v>1+0,00393823042551879i</v>
      </c>
      <c r="T50" s="67">
        <f t="shared" si="60"/>
        <v>1.0000077547993738</v>
      </c>
      <c r="U50" s="67">
        <f t="shared" si="61"/>
        <v>3.9382100655047537E-3</v>
      </c>
      <c r="V50" t="str">
        <f t="shared" si="62"/>
        <v>1-0,000820464671983081i</v>
      </c>
      <c r="W50" s="67">
        <f t="shared" si="63"/>
        <v>1.0000003365810823</v>
      </c>
      <c r="X50" s="67">
        <f t="shared" si="64"/>
        <v>-8.2046448788119944E-4</v>
      </c>
      <c r="Y50" t="str">
        <f t="shared" si="65"/>
        <v>0,999999972062987+0,00227542202363308i</v>
      </c>
      <c r="Z50" s="67">
        <f t="shared" si="66"/>
        <v>1.0000025608324012</v>
      </c>
      <c r="AA50" s="67">
        <f t="shared" si="67"/>
        <v>2.2754181601798468E-3</v>
      </c>
      <c r="AB50" s="92" t="str">
        <f t="shared" si="68"/>
        <v>22,0593981384269-3,10854727555781i</v>
      </c>
      <c r="AC50" s="37">
        <f t="shared" si="69"/>
        <v>26.957268719118193</v>
      </c>
      <c r="AD50" s="60">
        <f t="shared" si="70"/>
        <v>-8.0211419438349889</v>
      </c>
      <c r="AE50" t="str">
        <f t="shared" si="71"/>
        <v>34,4450883806789</v>
      </c>
      <c r="AF50" t="str">
        <f t="shared" si="72"/>
        <v>1+0,0708881476593383i</v>
      </c>
      <c r="AG50">
        <f t="shared" si="73"/>
        <v>1.0025094161545676</v>
      </c>
      <c r="AH50">
        <f t="shared" si="74"/>
        <v>7.0769763684925754E-2</v>
      </c>
      <c r="AI50" t="str">
        <f t="shared" si="50"/>
        <v>1+0,00393823042551879i</v>
      </c>
      <c r="AJ50">
        <f t="shared" si="75"/>
        <v>1.0000077547993738</v>
      </c>
      <c r="AK50">
        <f t="shared" si="76"/>
        <v>3.9382100655047537E-3</v>
      </c>
      <c r="AL50" t="str">
        <f t="shared" si="77"/>
        <v>1-0,000267962639778469i</v>
      </c>
      <c r="AM50">
        <f t="shared" si="78"/>
        <v>1.0000000359019876</v>
      </c>
      <c r="AN50">
        <f t="shared" si="79"/>
        <v>-2.6796263336487493E-4</v>
      </c>
      <c r="AO50" s="58" t="str">
        <f t="shared" si="80"/>
        <v>34,281816037088-2,30375173900678i</v>
      </c>
      <c r="AP50">
        <f t="shared" si="81"/>
        <v>30.720844528148238</v>
      </c>
      <c r="AQ50" s="60">
        <f t="shared" si="82"/>
        <v>-3.8445190886540992</v>
      </c>
      <c r="AR50" t="str">
        <f t="shared" si="83"/>
        <v>-1,36472945891784</v>
      </c>
      <c r="AS50" t="str">
        <f t="shared" si="51"/>
        <v>1+0,00295012841175613i</v>
      </c>
      <c r="AT50">
        <f t="shared" si="84"/>
        <v>1.0000043516193546</v>
      </c>
      <c r="AU50">
        <f t="shared" si="85"/>
        <v>2.9501198532249366E-3</v>
      </c>
      <c r="AV50" t="str">
        <f t="shared" si="52"/>
        <v>1+0,00295012841175613i</v>
      </c>
      <c r="AW50">
        <f t="shared" si="86"/>
        <v>1.0000043516193546</v>
      </c>
      <c r="AX50">
        <f t="shared" si="87"/>
        <v>2.9501198532249366E-3</v>
      </c>
      <c r="AY50" t="str">
        <f t="shared" si="53"/>
        <v>1-5,08452443636884i</v>
      </c>
      <c r="AZ50">
        <f t="shared" si="88"/>
        <v>5.1819290562523017</v>
      </c>
      <c r="BA50">
        <f t="shared" si="89"/>
        <v>-1.376599698052972</v>
      </c>
      <c r="BB50" s="58" t="str">
        <f t="shared" si="90"/>
        <v>-1,34424681770768+6,94296598362951i</v>
      </c>
      <c r="BC50">
        <f t="shared" si="91"/>
        <v>16.990722786904268</v>
      </c>
      <c r="BD50" s="60">
        <f t="shared" si="92"/>
        <v>100.95761780593368</v>
      </c>
      <c r="BE50" s="58" t="str">
        <f t="shared" si="93"/>
        <v>-8,07073775542502+157,336305677301i</v>
      </c>
      <c r="BF50" s="37">
        <f t="shared" si="94"/>
        <v>43.947991506022476</v>
      </c>
      <c r="BG50" s="60">
        <f t="shared" si="95"/>
        <v>92.936475862098703</v>
      </c>
      <c r="BH50" s="58" t="str">
        <f t="shared" si="96"/>
        <v>-30,0883521544443+241,114293546495i</v>
      </c>
      <c r="BI50" s="37">
        <f t="shared" si="97"/>
        <v>47.711567315052505</v>
      </c>
      <c r="BJ50" s="60">
        <f t="shared" si="98"/>
        <v>97.113098717279598</v>
      </c>
      <c r="BK50">
        <f t="shared" si="99"/>
        <v>43.947991506022476</v>
      </c>
      <c r="BL50" s="60">
        <f t="shared" si="100"/>
        <v>92.936475862098703</v>
      </c>
      <c r="BN50">
        <f t="shared" si="101"/>
        <v>0</v>
      </c>
      <c r="BO50">
        <f t="shared" si="102"/>
        <v>0</v>
      </c>
    </row>
    <row r="51" spans="1:67" ht="15.75" x14ac:dyDescent="0.25">
      <c r="A51" s="74" t="s">
        <v>490</v>
      </c>
      <c r="M51" s="66">
        <v>33</v>
      </c>
      <c r="N51" s="36">
        <f t="shared" si="54"/>
        <v>21.379620895022335</v>
      </c>
      <c r="O51" s="91" t="str">
        <f t="shared" si="55"/>
        <v>22,5</v>
      </c>
      <c r="P51" s="67" t="str">
        <f t="shared" si="56"/>
        <v>1+0,145078689471128i</v>
      </c>
      <c r="Q51" s="67">
        <f t="shared" si="57"/>
        <v>1.0104691119171629</v>
      </c>
      <c r="R51" s="67">
        <f t="shared" si="58"/>
        <v>0.14407348994093899</v>
      </c>
      <c r="S51" s="67" t="str">
        <f t="shared" si="59"/>
        <v>1+0,00402996359642022i</v>
      </c>
      <c r="T51" s="67">
        <f t="shared" si="60"/>
        <v>1.0000081202703248</v>
      </c>
      <c r="U51" s="67">
        <f t="shared" si="61"/>
        <v>4.0299417802816921E-3</v>
      </c>
      <c r="V51" t="str">
        <f t="shared" si="62"/>
        <v>1-0,000839575749254212i</v>
      </c>
      <c r="W51" s="67">
        <f t="shared" si="63"/>
        <v>1.0000003524436571</v>
      </c>
      <c r="X51" s="67">
        <f t="shared" si="64"/>
        <v>-8.3957555198549557E-4</v>
      </c>
      <c r="Y51" t="str">
        <f t="shared" si="65"/>
        <v>0,999999970746356+0,00232842341126502i</v>
      </c>
      <c r="Z51" s="67">
        <f t="shared" si="66"/>
        <v>1.0000026815205523</v>
      </c>
      <c r="AA51" s="67">
        <f t="shared" si="67"/>
        <v>2.3284192715008955E-3</v>
      </c>
      <c r="AB51" s="92" t="str">
        <f t="shared" si="68"/>
        <v>22,039061257673-3,17800420799764i</v>
      </c>
      <c r="AC51" s="37">
        <f t="shared" si="69"/>
        <v>26.953239813370335</v>
      </c>
      <c r="AD51" s="60">
        <f t="shared" si="70"/>
        <v>-8.2054169905478194</v>
      </c>
      <c r="AE51" t="str">
        <f t="shared" si="71"/>
        <v>34,4450883806789</v>
      </c>
      <c r="AF51" t="str">
        <f t="shared" si="72"/>
        <v>1+0,072539344735564i</v>
      </c>
      <c r="AG51">
        <f t="shared" si="73"/>
        <v>1.0026275263200513</v>
      </c>
      <c r="AH51">
        <f t="shared" si="74"/>
        <v>7.2412511968822035E-2</v>
      </c>
      <c r="AI51" t="str">
        <f t="shared" si="50"/>
        <v>1+0,00402996359642022i</v>
      </c>
      <c r="AJ51">
        <f t="shared" si="75"/>
        <v>1.0000081202703248</v>
      </c>
      <c r="AK51">
        <f t="shared" si="76"/>
        <v>4.0299417802816921E-3</v>
      </c>
      <c r="AL51" t="str">
        <f t="shared" si="77"/>
        <v>1-0,000274204291478359i</v>
      </c>
      <c r="AM51">
        <f t="shared" si="78"/>
        <v>1.0000000375939959</v>
      </c>
      <c r="AN51">
        <f t="shared" si="79"/>
        <v>-2.7420428460606913E-4</v>
      </c>
      <c r="AO51" s="58" t="str">
        <f t="shared" si="80"/>
        <v>34,2741615263007-2,35685775728345i</v>
      </c>
      <c r="AP51">
        <f t="shared" si="81"/>
        <v>30.719824453619488</v>
      </c>
      <c r="AQ51" s="60">
        <f t="shared" si="82"/>
        <v>-3.9337434122928117</v>
      </c>
      <c r="AR51" t="str">
        <f t="shared" si="83"/>
        <v>-1,36472945891784</v>
      </c>
      <c r="AS51" t="str">
        <f t="shared" si="51"/>
        <v>1+0,00301884573007839i</v>
      </c>
      <c r="AT51">
        <f t="shared" si="84"/>
        <v>1.0000045567043891</v>
      </c>
      <c r="AU51">
        <f t="shared" si="85"/>
        <v>3.0188365594492491E-3</v>
      </c>
      <c r="AV51" t="str">
        <f t="shared" si="52"/>
        <v>1+0,00301884573007839i</v>
      </c>
      <c r="AW51">
        <f t="shared" si="86"/>
        <v>1.0000045567043891</v>
      </c>
      <c r="AX51">
        <f t="shared" si="87"/>
        <v>3.0188365594492491E-3</v>
      </c>
      <c r="AY51" t="str">
        <f t="shared" si="53"/>
        <v>1-4,96878653007901i</v>
      </c>
      <c r="AZ51">
        <f t="shared" si="88"/>
        <v>5.0684158848198919</v>
      </c>
      <c r="BA51">
        <f t="shared" si="89"/>
        <v>-1.3721929997229687</v>
      </c>
      <c r="BB51" s="58" t="str">
        <f t="shared" si="90"/>
        <v>-1,34424626634044+6,7851074247743i</v>
      </c>
      <c r="BC51">
        <f t="shared" si="91"/>
        <v>16.798336614058226</v>
      </c>
      <c r="BD51" s="60">
        <f t="shared" si="92"/>
        <v>101.20616584458153</v>
      </c>
      <c r="BE51" s="58" t="str">
        <f t="shared" si="93"/>
        <v>-8,06282586162642+153,809418465508i</v>
      </c>
      <c r="BF51" s="37">
        <f t="shared" si="94"/>
        <v>43.751576427428574</v>
      </c>
      <c r="BG51" s="60">
        <f t="shared" si="95"/>
        <v>93.000748854033716</v>
      </c>
      <c r="BH51" s="58" t="str">
        <f t="shared" si="96"/>
        <v>-30,081380595598+235,72206509054i</v>
      </c>
      <c r="BI51" s="37">
        <f t="shared" si="97"/>
        <v>47.518161067677703</v>
      </c>
      <c r="BJ51" s="60">
        <f t="shared" si="98"/>
        <v>97.272422432288721</v>
      </c>
      <c r="BK51">
        <f t="shared" si="99"/>
        <v>43.751576427428574</v>
      </c>
      <c r="BL51" s="60">
        <f t="shared" si="100"/>
        <v>93.000748854033716</v>
      </c>
      <c r="BN51">
        <f t="shared" si="101"/>
        <v>0</v>
      </c>
      <c r="BO51">
        <f t="shared" si="102"/>
        <v>0</v>
      </c>
    </row>
    <row r="52" spans="1:67" x14ac:dyDescent="0.25">
      <c r="A52" t="s">
        <v>491</v>
      </c>
      <c r="M52" s="66">
        <v>34</v>
      </c>
      <c r="N52" s="36">
        <f t="shared" si="54"/>
        <v>21.877616239495538</v>
      </c>
      <c r="O52" s="91" t="str">
        <f t="shared" si="55"/>
        <v>22,5</v>
      </c>
      <c r="P52" s="67" t="str">
        <f t="shared" si="56"/>
        <v>1+0,148458006265081i</v>
      </c>
      <c r="Q52" s="67">
        <f t="shared" si="57"/>
        <v>1.0109598308657981</v>
      </c>
      <c r="R52" s="67">
        <f t="shared" si="58"/>
        <v>0.14738154520608487</v>
      </c>
      <c r="S52" s="67" t="str">
        <f t="shared" si="59"/>
        <v>1+0,00412383350736336i</v>
      </c>
      <c r="T52" s="67">
        <f t="shared" si="60"/>
        <v>1.0000085029652479</v>
      </c>
      <c r="U52" s="67">
        <f t="shared" si="61"/>
        <v>4.1238101309604971E-3</v>
      </c>
      <c r="V52" t="str">
        <f t="shared" si="62"/>
        <v>1-0,0008591319807007i</v>
      </c>
      <c r="W52" s="67">
        <f t="shared" si="63"/>
        <v>1.000000369053812</v>
      </c>
      <c r="X52" s="67">
        <f t="shared" si="64"/>
        <v>-8.5913176932346622E-4</v>
      </c>
      <c r="Y52" t="str">
        <f t="shared" si="65"/>
        <v>0,999999969367674+0,00238265935980994i</v>
      </c>
      <c r="Z52" s="67">
        <f t="shared" si="66"/>
        <v>1.0000028078965446</v>
      </c>
      <c r="AA52" s="67">
        <f t="shared" si="67"/>
        <v>2.3826549239734352E-3</v>
      </c>
      <c r="AB52" s="92" t="str">
        <f t="shared" si="68"/>
        <v>22,0178063357408-3,2488739858151i</v>
      </c>
      <c r="AC52" s="37">
        <f t="shared" si="69"/>
        <v>26.949025037755231</v>
      </c>
      <c r="AD52" s="60">
        <f t="shared" si="70"/>
        <v>-8.3938042980155014</v>
      </c>
      <c r="AE52" t="str">
        <f t="shared" si="71"/>
        <v>34,4450883806789</v>
      </c>
      <c r="AF52" t="str">
        <f t="shared" si="72"/>
        <v>1+0,0742290031325406i</v>
      </c>
      <c r="AG52">
        <f t="shared" si="73"/>
        <v>1.0027511879354971</v>
      </c>
      <c r="AH52">
        <f t="shared" si="74"/>
        <v>7.4093119504670901E-2</v>
      </c>
      <c r="AI52" t="str">
        <f t="shared" si="50"/>
        <v>1+0,00412383350736336i</v>
      </c>
      <c r="AJ52">
        <f t="shared" si="75"/>
        <v>1.0000085029652479</v>
      </c>
      <c r="AK52">
        <f t="shared" si="76"/>
        <v>4.1238101309604971E-3</v>
      </c>
      <c r="AL52" t="str">
        <f t="shared" si="77"/>
        <v>1-0,000280591329923114i</v>
      </c>
      <c r="AM52">
        <f t="shared" si="78"/>
        <v>1.0000000393657464</v>
      </c>
      <c r="AN52">
        <f t="shared" si="79"/>
        <v>-2.805913225593228E-4</v>
      </c>
      <c r="AO52" s="58" t="str">
        <f t="shared" si="80"/>
        <v>34,2661501341603-2,41116134917841i</v>
      </c>
      <c r="AP52">
        <f t="shared" si="81"/>
        <v>30.718756562802017</v>
      </c>
      <c r="AQ52" s="60">
        <f t="shared" si="82"/>
        <v>-4.0250228211093999</v>
      </c>
      <c r="AR52" t="str">
        <f t="shared" si="83"/>
        <v>-1,36472945891784</v>
      </c>
      <c r="AS52" t="str">
        <f t="shared" si="51"/>
        <v>1+0,0030891636803659i</v>
      </c>
      <c r="AT52">
        <f t="shared" si="84"/>
        <v>1.0000047714547387</v>
      </c>
      <c r="AU52">
        <f t="shared" si="85"/>
        <v>3.0891538538622668E-3</v>
      </c>
      <c r="AV52" t="str">
        <f t="shared" si="52"/>
        <v>1+0,0030891636803659i</v>
      </c>
      <c r="AW52">
        <f t="shared" si="86"/>
        <v>1.0000047714547387</v>
      </c>
      <c r="AX52">
        <f t="shared" si="87"/>
        <v>3.0891538538622668E-3</v>
      </c>
      <c r="AY52" t="str">
        <f t="shared" si="53"/>
        <v>1-4,85568314017707i</v>
      </c>
      <c r="AZ52">
        <f t="shared" si="88"/>
        <v>4.9575859808781786</v>
      </c>
      <c r="BA52">
        <f t="shared" si="89"/>
        <v>-1.367691734637837</v>
      </c>
      <c r="BB52" s="58" t="str">
        <f t="shared" si="90"/>
        <v>-1,34424568898854+6,63084641953024i</v>
      </c>
      <c r="BC52">
        <f t="shared" si="91"/>
        <v>16.606294982360541</v>
      </c>
      <c r="BD52" s="60">
        <f t="shared" si="92"/>
        <v>101.46004045223249</v>
      </c>
      <c r="BE52" s="58" t="str">
        <f t="shared" si="93"/>
        <v>-8,05455681145714+150,363977156756i</v>
      </c>
      <c r="BF52" s="37">
        <f t="shared" si="94"/>
        <v>43.555320020115772</v>
      </c>
      <c r="BG52" s="60">
        <f t="shared" si="95"/>
        <v>93.066236154216995</v>
      </c>
      <c r="BH52" s="58" t="str">
        <f t="shared" si="96"/>
        <v>-30,0740839969697+230,454772177271i</v>
      </c>
      <c r="BI52" s="37">
        <f t="shared" si="97"/>
        <v>47.325051545162545</v>
      </c>
      <c r="BJ52" s="60">
        <f t="shared" si="98"/>
        <v>97.435017631123102</v>
      </c>
      <c r="BK52">
        <f t="shared" si="99"/>
        <v>43.555320020115772</v>
      </c>
      <c r="BL52" s="60">
        <f t="shared" si="100"/>
        <v>93.066236154216995</v>
      </c>
      <c r="BN52">
        <f t="shared" si="101"/>
        <v>0</v>
      </c>
      <c r="BO52">
        <f t="shared" si="102"/>
        <v>0</v>
      </c>
    </row>
    <row r="53" spans="1:67" x14ac:dyDescent="0.25">
      <c r="A53" t="s">
        <v>492</v>
      </c>
      <c r="B53" s="29">
        <f>RFB_TOP</f>
        <v>49900</v>
      </c>
      <c r="C53" s="70" t="s">
        <v>459</v>
      </c>
      <c r="E53" t="s">
        <v>500</v>
      </c>
      <c r="M53" s="66">
        <v>35</v>
      </c>
      <c r="N53" s="36">
        <f t="shared" si="54"/>
        <v>22.387211385683404</v>
      </c>
      <c r="O53" s="91" t="str">
        <f t="shared" si="55"/>
        <v>22,5</v>
      </c>
      <c r="P53" s="67" t="str">
        <f t="shared" si="56"/>
        <v>1+0,15191603745903i</v>
      </c>
      <c r="Q53" s="67">
        <f t="shared" si="57"/>
        <v>1.0114734215179624</v>
      </c>
      <c r="R53" s="67">
        <f t="shared" si="58"/>
        <v>0.15076329412032194</v>
      </c>
      <c r="S53" s="67" t="str">
        <f t="shared" si="59"/>
        <v>1+0,0042198899294175i</v>
      </c>
      <c r="T53" s="67">
        <f t="shared" si="60"/>
        <v>1.0000089036958704</v>
      </c>
      <c r="U53" s="67">
        <f t="shared" si="61"/>
        <v>4.2198648811625902E-3</v>
      </c>
      <c r="V53" t="str">
        <f t="shared" si="62"/>
        <v>1-0,000879143735295312i</v>
      </c>
      <c r="W53" s="67">
        <f t="shared" si="63"/>
        <v>1.000000386446779</v>
      </c>
      <c r="X53" s="67">
        <f t="shared" si="64"/>
        <v>-8.7914350880053012E-4</v>
      </c>
      <c r="Y53" t="str">
        <f t="shared" si="65"/>
        <v>0,999999967924017+0,00243815862588567i</v>
      </c>
      <c r="Z53" s="67">
        <f t="shared" si="66"/>
        <v>1.0000029402284376</v>
      </c>
      <c r="AA53" s="67">
        <f t="shared" si="67"/>
        <v>2.4381538728019746E-3</v>
      </c>
      <c r="AB53" s="92" t="str">
        <f t="shared" si="68"/>
        <v>21,9955938760655-3,32117556827481i</v>
      </c>
      <c r="AC53" s="37">
        <f t="shared" si="69"/>
        <v>26.944616010517365</v>
      </c>
      <c r="AD53" s="60">
        <f t="shared" si="70"/>
        <v>-8.5863871501334366</v>
      </c>
      <c r="AE53" t="str">
        <f t="shared" si="71"/>
        <v>34,4450883806789</v>
      </c>
      <c r="AF53" t="str">
        <f t="shared" si="72"/>
        <v>1+0,0759580187295151i</v>
      </c>
      <c r="AG53">
        <f t="shared" si="73"/>
        <v>1.0028806612001815</v>
      </c>
      <c r="AH53">
        <f t="shared" si="74"/>
        <v>7.581243937732958E-2</v>
      </c>
      <c r="AI53" t="str">
        <f t="shared" si="50"/>
        <v>1+0,0042198899294175i</v>
      </c>
      <c r="AJ53">
        <f t="shared" si="75"/>
        <v>1.0000089036958704</v>
      </c>
      <c r="AK53">
        <f t="shared" si="76"/>
        <v>4.2198648811625902E-3</v>
      </c>
      <c r="AL53" t="str">
        <f t="shared" si="77"/>
        <v>1-0,000287127141605061i</v>
      </c>
      <c r="AM53">
        <f t="shared" si="78"/>
        <v>1.0000000412209968</v>
      </c>
      <c r="AN53">
        <f t="shared" si="79"/>
        <v>-2.8712713371461656E-4</v>
      </c>
      <c r="AO53" s="58" t="str">
        <f t="shared" si="80"/>
        <v>34,2577654110822-2,46668762491987i</v>
      </c>
      <c r="AP53">
        <f t="shared" si="81"/>
        <v>30.717638626968164</v>
      </c>
      <c r="AQ53" s="60">
        <f t="shared" si="82"/>
        <v>-4.1184035360518374</v>
      </c>
      <c r="AR53" t="str">
        <f t="shared" si="83"/>
        <v>-1,36472945891784</v>
      </c>
      <c r="AS53" t="str">
        <f t="shared" si="51"/>
        <v>1+0,00316111954612665i</v>
      </c>
      <c r="AT53">
        <f t="shared" si="84"/>
        <v>1.0000049963259108</v>
      </c>
      <c r="AU53">
        <f t="shared" si="85"/>
        <v>3.1611090168411449E-3</v>
      </c>
      <c r="AV53" t="str">
        <f t="shared" si="52"/>
        <v>1+0,00316111954612665i</v>
      </c>
      <c r="AW53">
        <f t="shared" si="86"/>
        <v>1.0000049963259108</v>
      </c>
      <c r="AX53">
        <f t="shared" si="87"/>
        <v>3.1611090168411449E-3</v>
      </c>
      <c r="AY53" t="str">
        <f t="shared" si="53"/>
        <v>1-4,74515429774861i</v>
      </c>
      <c r="AZ53">
        <f t="shared" si="88"/>
        <v>4.8493803015892771</v>
      </c>
      <c r="BA53">
        <f t="shared" si="89"/>
        <v>-1.3630942461274416</v>
      </c>
      <c r="BB53" s="58" t="str">
        <f t="shared" si="90"/>
        <v>-1,34424508442742+6,48010117665929i</v>
      </c>
      <c r="BC53">
        <f t="shared" si="91"/>
        <v>16.414612808465773</v>
      </c>
      <c r="BD53" s="60">
        <f t="shared" si="92"/>
        <v>101.71933441308516</v>
      </c>
      <c r="BE53" s="58" t="str">
        <f t="shared" si="93"/>
        <v>-8,04591523909323+146,998147689786i</v>
      </c>
      <c r="BF53" s="37">
        <f t="shared" si="94"/>
        <v>43.359228818983141</v>
      </c>
      <c r="BG53" s="60">
        <f t="shared" si="95"/>
        <v>93.132947262951717</v>
      </c>
      <c r="BH53" s="58" t="str">
        <f t="shared" si="96"/>
        <v>-30,0664473766208+225,309618664688i</v>
      </c>
      <c r="BI53" s="37">
        <f t="shared" si="97"/>
        <v>47.132251435433929</v>
      </c>
      <c r="BJ53" s="60">
        <f t="shared" si="98"/>
        <v>97.600930877033335</v>
      </c>
      <c r="BK53">
        <f t="shared" si="99"/>
        <v>43.359228818983141</v>
      </c>
      <c r="BL53" s="60">
        <f t="shared" si="100"/>
        <v>93.132947262951717</v>
      </c>
      <c r="BN53">
        <f t="shared" si="101"/>
        <v>0</v>
      </c>
      <c r="BO53">
        <f t="shared" si="102"/>
        <v>0</v>
      </c>
    </row>
    <row r="54" spans="1:67" x14ac:dyDescent="0.25">
      <c r="A54" t="s">
        <v>493</v>
      </c>
      <c r="B54" s="29">
        <f>Calculations!$B$162</f>
        <v>2670</v>
      </c>
      <c r="C54" s="70" t="s">
        <v>459</v>
      </c>
      <c r="E54" t="s">
        <v>501</v>
      </c>
      <c r="M54" s="66">
        <v>36</v>
      </c>
      <c r="N54" s="36">
        <f t="shared" si="54"/>
        <v>22.908676527677727</v>
      </c>
      <c r="O54" s="91" t="str">
        <f t="shared" si="55"/>
        <v>22,5</v>
      </c>
      <c r="P54" s="67" t="str">
        <f t="shared" si="56"/>
        <v>1+0,155454616546886i</v>
      </c>
      <c r="Q54" s="67">
        <f t="shared" si="57"/>
        <v>1.0120109375919508</v>
      </c>
      <c r="R54" s="67">
        <f t="shared" si="58"/>
        <v>0.15422022017609407</v>
      </c>
      <c r="S54" s="67" t="str">
        <f t="shared" si="59"/>
        <v>1+0,00431818379296905i</v>
      </c>
      <c r="T54" s="67">
        <f t="shared" si="60"/>
        <v>1.000009323312173</v>
      </c>
      <c r="U54" s="67">
        <f t="shared" si="61"/>
        <v>4.3181569532938667E-3</v>
      </c>
      <c r="V54" t="str">
        <f t="shared" si="62"/>
        <v>1-0,000899621623535219i</v>
      </c>
      <c r="W54" s="67">
        <f t="shared" si="63"/>
        <v>1.0000004046594508</v>
      </c>
      <c r="X54" s="67">
        <f t="shared" si="64"/>
        <v>-8.996213808416929E-4</v>
      </c>
      <c r="Y54" t="str">
        <f t="shared" si="65"/>
        <v>0,999999966412323+0,00249495063593767i</v>
      </c>
      <c r="Z54" s="67">
        <f t="shared" si="66"/>
        <v>1.0000030787969221</v>
      </c>
      <c r="AA54" s="67">
        <f t="shared" si="67"/>
        <v>2.4949455429175765E-3</v>
      </c>
      <c r="AB54" s="92" t="str">
        <f t="shared" si="68"/>
        <v>21,9723828658108-3,39492744214121i</v>
      </c>
      <c r="AC54" s="37">
        <f t="shared" si="69"/>
        <v>26.940003990117383</v>
      </c>
      <c r="AD54" s="60">
        <f t="shared" si="70"/>
        <v>-8.7832499209757895</v>
      </c>
      <c r="AE54" t="str">
        <f t="shared" si="71"/>
        <v>34,4450883806789</v>
      </c>
      <c r="AF54" t="str">
        <f t="shared" si="72"/>
        <v>1+0,077727308273443i</v>
      </c>
      <c r="AG54">
        <f t="shared" si="73"/>
        <v>1.003016218438882</v>
      </c>
      <c r="AH54">
        <f t="shared" si="74"/>
        <v>7.7571342510881824E-2</v>
      </c>
      <c r="AI54" t="str">
        <f t="shared" si="50"/>
        <v>1+0,00431818379296905i</v>
      </c>
      <c r="AJ54">
        <f t="shared" si="75"/>
        <v>1.000009323312173</v>
      </c>
      <c r="AK54">
        <f t="shared" si="76"/>
        <v>4.3181569532938667E-3</v>
      </c>
      <c r="AL54" t="str">
        <f t="shared" si="77"/>
        <v>1-0,000293815191898062i</v>
      </c>
      <c r="AM54">
        <f t="shared" si="78"/>
        <v>1.0000000431636826</v>
      </c>
      <c r="AN54">
        <f t="shared" si="79"/>
        <v>-2.9381518344329848E-4</v>
      </c>
      <c r="AO54" s="58" t="str">
        <f t="shared" si="80"/>
        <v>34,2489901674453-2,52346208465882i</v>
      </c>
      <c r="AP54">
        <f t="shared" si="81"/>
        <v>30.716468314724192</v>
      </c>
      <c r="AQ54" s="60">
        <f t="shared" si="82"/>
        <v>-4.2139327383066298</v>
      </c>
      <c r="AR54" t="str">
        <f t="shared" si="83"/>
        <v>-1,36472945891784</v>
      </c>
      <c r="AS54" t="str">
        <f t="shared" si="51"/>
        <v>1+0,00323475147931312i</v>
      </c>
      <c r="AT54">
        <f t="shared" si="84"/>
        <v>1.0000052317948807</v>
      </c>
      <c r="AU54">
        <f t="shared" si="85"/>
        <v>3.2347401969836194E-3</v>
      </c>
      <c r="AV54" t="str">
        <f t="shared" si="52"/>
        <v>1+0,00323475147931312i</v>
      </c>
      <c r="AW54">
        <f t="shared" si="86"/>
        <v>1.0000052317948807</v>
      </c>
      <c r="AX54">
        <f t="shared" si="87"/>
        <v>3.2347401969836194E-3</v>
      </c>
      <c r="AY54" t="str">
        <f t="shared" si="53"/>
        <v>1-4,63714139893838i</v>
      </c>
      <c r="AZ54">
        <f t="shared" si="88"/>
        <v>4.7437411769349511</v>
      </c>
      <c r="BA54">
        <f t="shared" si="89"/>
        <v>-1.3583988743201794</v>
      </c>
      <c r="BB54" s="58" t="str">
        <f t="shared" si="90"/>
        <v>-1,3442444513748+6,33279176902633i</v>
      </c>
      <c r="BC54">
        <f t="shared" si="91"/>
        <v>16.223305592702747</v>
      </c>
      <c r="BD54" s="60">
        <f t="shared" si="92"/>
        <v>101.98414064502332</v>
      </c>
      <c r="BE54" s="58" t="str">
        <f t="shared" si="93"/>
        <v>-8,03688518881543+143,71013773542i</v>
      </c>
      <c r="BF54" s="37">
        <f t="shared" si="94"/>
        <v>43.163309582820119</v>
      </c>
      <c r="BG54" s="60">
        <f t="shared" si="95"/>
        <v>93.200890724047525</v>
      </c>
      <c r="BH54" s="58" t="str">
        <f t="shared" si="96"/>
        <v>-30,058455078601+220,283872935419i</v>
      </c>
      <c r="BI54" s="37">
        <f t="shared" si="97"/>
        <v>46.939773907426954</v>
      </c>
      <c r="BJ54" s="60">
        <f t="shared" si="98"/>
        <v>97.770207906716649</v>
      </c>
      <c r="BK54">
        <f t="shared" si="99"/>
        <v>43.163309582820119</v>
      </c>
      <c r="BL54" s="60">
        <f t="shared" si="100"/>
        <v>93.200890724047525</v>
      </c>
      <c r="BN54">
        <f t="shared" si="101"/>
        <v>0</v>
      </c>
      <c r="BO54">
        <f t="shared" si="102"/>
        <v>0</v>
      </c>
    </row>
    <row r="55" spans="1:67" x14ac:dyDescent="0.25">
      <c r="A55" t="s">
        <v>494</v>
      </c>
      <c r="B55" s="29">
        <f>Rcomp_S</f>
        <v>68100</v>
      </c>
      <c r="C55" s="70" t="s">
        <v>459</v>
      </c>
      <c r="E55" t="s">
        <v>502</v>
      </c>
      <c r="M55" s="66">
        <v>37</v>
      </c>
      <c r="N55" s="36">
        <f t="shared" si="54"/>
        <v>23.442288153199236</v>
      </c>
      <c r="O55" s="91" t="str">
        <f t="shared" si="55"/>
        <v>22,5</v>
      </c>
      <c r="P55" s="67" t="str">
        <f t="shared" si="56"/>
        <v>1+0,15907561973012i</v>
      </c>
      <c r="Q55" s="67">
        <f t="shared" si="57"/>
        <v>1.0125734801941644</v>
      </c>
      <c r="R55" s="67">
        <f t="shared" si="58"/>
        <v>0.15775382561977874</v>
      </c>
      <c r="S55" s="67" t="str">
        <f t="shared" si="59"/>
        <v>1+0,00441876721472557i</v>
      </c>
      <c r="T55" s="67">
        <f t="shared" si="60"/>
        <v>1.0000097627041937</v>
      </c>
      <c r="U55" s="67">
        <f t="shared" si="61"/>
        <v>4.4187384555106285E-3</v>
      </c>
      <c r="V55" t="str">
        <f t="shared" si="62"/>
        <v>1-0,000920576503067825i</v>
      </c>
      <c r="W55" s="67">
        <f t="shared" si="63"/>
        <v>1.0000004237304592</v>
      </c>
      <c r="X55" s="67">
        <f t="shared" si="64"/>
        <v>-9.2057624301703259E-4</v>
      </c>
      <c r="Y55" t="str">
        <f t="shared" si="65"/>
        <v>0,999999964829384+0,00255306550184143i</v>
      </c>
      <c r="Z55" s="67">
        <f t="shared" si="66"/>
        <v>1.0000032238959162</v>
      </c>
      <c r="AA55" s="67">
        <f t="shared" si="67"/>
        <v>2.5530600445730295E-3</v>
      </c>
      <c r="AB55" s="92" t="str">
        <f t="shared" si="68"/>
        <v>21,948130735081-3,4701475549316i</v>
      </c>
      <c r="AC55" s="37">
        <f t="shared" si="69"/>
        <v>26.93517986149881</v>
      </c>
      <c r="AD55" s="60">
        <f t="shared" si="70"/>
        <v>-8.9844780446255648</v>
      </c>
      <c r="AE55" t="str">
        <f t="shared" si="71"/>
        <v>34,4450883806789</v>
      </c>
      <c r="AF55" t="str">
        <f t="shared" si="72"/>
        <v>1+0,0795378098650602i</v>
      </c>
      <c r="AG55">
        <f t="shared" si="73"/>
        <v>1.0031581446602178</v>
      </c>
      <c r="AH55">
        <f t="shared" si="74"/>
        <v>7.9370717942000527E-2</v>
      </c>
      <c r="AI55" t="str">
        <f t="shared" si="50"/>
        <v>1+0,00441876721472557i</v>
      </c>
      <c r="AJ55">
        <f t="shared" si="75"/>
        <v>1.0000097627041937</v>
      </c>
      <c r="AK55">
        <f t="shared" si="76"/>
        <v>4.4187384555106285E-3</v>
      </c>
      <c r="AL55" t="str">
        <f t="shared" si="77"/>
        <v>1-0,000300659026894912i</v>
      </c>
      <c r="AM55">
        <f t="shared" si="78"/>
        <v>1.0000000451979241</v>
      </c>
      <c r="AN55">
        <f t="shared" si="79"/>
        <v>-3.006590178354697E-4</v>
      </c>
      <c r="AO55" s="58" t="str">
        <f t="shared" si="80"/>
        <v>34,2398064420442-2,58151061411275i</v>
      </c>
      <c r="AP55">
        <f t="shared" si="81"/>
        <v>30.715243187397405</v>
      </c>
      <c r="AQ55" s="60">
        <f t="shared" si="82"/>
        <v>-4.3116585835215151</v>
      </c>
      <c r="AR55" t="str">
        <f t="shared" si="83"/>
        <v>-1,36472945891784</v>
      </c>
      <c r="AS55" t="str">
        <f t="shared" si="51"/>
        <v>1+0,00331009852055092i</v>
      </c>
      <c r="AT55">
        <f t="shared" si="84"/>
        <v>1.0000054783611017</v>
      </c>
      <c r="AU55">
        <f t="shared" si="85"/>
        <v>3.3100864313206288E-3</v>
      </c>
      <c r="AV55" t="str">
        <f t="shared" si="52"/>
        <v>1+0,00331009852055092i</v>
      </c>
      <c r="AW55">
        <f t="shared" si="86"/>
        <v>1.0000054783611017</v>
      </c>
      <c r="AX55">
        <f t="shared" si="87"/>
        <v>3.3100864313206288E-3</v>
      </c>
      <c r="AY55" t="str">
        <f t="shared" si="53"/>
        <v>1-4,53158717387768i</v>
      </c>
      <c r="AZ55">
        <f t="shared" si="88"/>
        <v>4.6406122779707317</v>
      </c>
      <c r="BA55">
        <f t="shared" si="89"/>
        <v>-1.3536039581849013</v>
      </c>
      <c r="BB55" s="58" t="str">
        <f t="shared" si="90"/>
        <v>-1,34424378848796+6,18884009122064i</v>
      </c>
      <c r="BC55">
        <f t="shared" si="91"/>
        <v>16.032389436202774</v>
      </c>
      <c r="BD55" s="60">
        <f t="shared" si="92"/>
        <v>102.25455208146417</v>
      </c>
      <c r="BE55" s="58" t="str">
        <f t="shared" si="93"/>
        <v>-8,02745009914235+140,498195716475i</v>
      </c>
      <c r="BF55" s="37">
        <f t="shared" si="94"/>
        <v>42.967569297701601</v>
      </c>
      <c r="BG55" s="60">
        <f t="shared" si="95"/>
        <v>93.270074036838594</v>
      </c>
      <c r="BH55" s="58" t="str">
        <f t="shared" si="96"/>
        <v>-30,0500907442153+215,374866432095i</v>
      </c>
      <c r="BI55" s="37">
        <f t="shared" si="97"/>
        <v>46.747632623600197</v>
      </c>
      <c r="BJ55" s="60">
        <f t="shared" si="98"/>
        <v>97.94289349794262</v>
      </c>
      <c r="BK55">
        <f t="shared" si="99"/>
        <v>42.967569297701601</v>
      </c>
      <c r="BL55" s="60">
        <f t="shared" si="100"/>
        <v>93.270074036838594</v>
      </c>
      <c r="BN55">
        <f t="shared" si="101"/>
        <v>0</v>
      </c>
      <c r="BO55">
        <f t="shared" si="102"/>
        <v>0</v>
      </c>
    </row>
    <row r="56" spans="1:67" x14ac:dyDescent="0.25">
      <c r="A56" t="s">
        <v>495</v>
      </c>
      <c r="B56" s="29">
        <f>Ccomp_S</f>
        <v>2.2000000000000002E-8</v>
      </c>
      <c r="C56" s="70" t="s">
        <v>354</v>
      </c>
      <c r="E56" t="s">
        <v>503</v>
      </c>
      <c r="M56" s="66">
        <v>38</v>
      </c>
      <c r="N56" s="36">
        <f t="shared" si="54"/>
        <v>23.988329190194907</v>
      </c>
      <c r="O56" s="91" t="str">
        <f t="shared" si="55"/>
        <v>22,5</v>
      </c>
      <c r="P56" s="67" t="str">
        <f t="shared" si="56"/>
        <v>1+0,16278096691255i</v>
      </c>
      <c r="Q56" s="67">
        <f t="shared" si="57"/>
        <v>1.0131621998421501</v>
      </c>
      <c r="R56" s="67">
        <f t="shared" si="58"/>
        <v>0.16136563085985914</v>
      </c>
      <c r="S56" s="67" t="str">
        <f t="shared" si="59"/>
        <v>1+0,0045216935253486i</v>
      </c>
      <c r="T56" s="67">
        <f t="shared" si="60"/>
        <v>1.0000102228039158</v>
      </c>
      <c r="U56" s="67">
        <f t="shared" si="61"/>
        <v>4.5216627093116009E-3</v>
      </c>
      <c r="V56" t="str">
        <f t="shared" si="62"/>
        <v>1-0,000942019484447625i</v>
      </c>
      <c r="W56" s="67">
        <f t="shared" si="63"/>
        <v>1.0000004437002561</v>
      </c>
      <c r="X56" s="67">
        <f t="shared" si="64"/>
        <v>-9.4201920579818719E-4</v>
      </c>
      <c r="Y56" t="str">
        <f t="shared" si="65"/>
        <v>0,999999963171844+0,00261253403686808i</v>
      </c>
      <c r="Z56" s="67">
        <f t="shared" si="66"/>
        <v>1.0000033758331934</v>
      </c>
      <c r="AA56" s="67">
        <f t="shared" si="67"/>
        <v>2.6125281893007008E-3</v>
      </c>
      <c r="AB56" s="92" t="str">
        <f t="shared" si="68"/>
        <v>21,9227933168011-3,54685324370992i</v>
      </c>
      <c r="AC56" s="37">
        <f t="shared" si="69"/>
        <v>26.930134121992644</v>
      </c>
      <c r="AD56" s="60">
        <f t="shared" si="70"/>
        <v>-9.190157980929019</v>
      </c>
      <c r="AE56" t="str">
        <f t="shared" si="71"/>
        <v>34,4450883806789</v>
      </c>
      <c r="AF56" t="str">
        <f t="shared" si="72"/>
        <v>1+0,0813904834562749i</v>
      </c>
      <c r="AG56">
        <f t="shared" si="73"/>
        <v>1.0033067381400596</v>
      </c>
      <c r="AH56">
        <f t="shared" si="74"/>
        <v>8.1211473089885022E-2</v>
      </c>
      <c r="AI56" t="str">
        <f t="shared" si="50"/>
        <v>1+0,0045216935253486i</v>
      </c>
      <c r="AJ56">
        <f t="shared" si="75"/>
        <v>1.0000102228039158</v>
      </c>
      <c r="AK56">
        <f t="shared" si="76"/>
        <v>4.5216627093116009E-3</v>
      </c>
      <c r="AL56" t="str">
        <f t="shared" si="77"/>
        <v>1-0,000307662275287514i</v>
      </c>
      <c r="AM56">
        <f t="shared" si="78"/>
        <v>1.0000000473280366</v>
      </c>
      <c r="AN56">
        <f t="shared" si="79"/>
        <v>-3.0766226558014674E-4</v>
      </c>
      <c r="AO56" s="58" t="str">
        <f t="shared" si="80"/>
        <v>34,2301954693664-2,64085947920723i</v>
      </c>
      <c r="AP56">
        <f t="shared" si="81"/>
        <v>30.713960694227328</v>
      </c>
      <c r="AQ56" s="60">
        <f t="shared" si="82"/>
        <v>-4.4116302157986107</v>
      </c>
      <c r="AR56" t="str">
        <f t="shared" si="83"/>
        <v>-1,36472945891784</v>
      </c>
      <c r="AS56" t="str">
        <f t="shared" si="51"/>
        <v>1+0,00338720061983864i</v>
      </c>
      <c r="AT56">
        <f t="shared" si="84"/>
        <v>1.0000057365475654</v>
      </c>
      <c r="AU56">
        <f t="shared" si="85"/>
        <v>3.3871876659990106E-3</v>
      </c>
      <c r="AV56" t="str">
        <f t="shared" si="52"/>
        <v>1+0,00338720061983864i</v>
      </c>
      <c r="AW56">
        <f t="shared" si="86"/>
        <v>1.0000057365475654</v>
      </c>
      <c r="AX56">
        <f t="shared" si="87"/>
        <v>3.3871876659990106E-3</v>
      </c>
      <c r="AY56" t="str">
        <f t="shared" si="53"/>
        <v>1-4,42843565631923i</v>
      </c>
      <c r="AZ56">
        <f t="shared" si="88"/>
        <v>4.5399385857255306</v>
      </c>
      <c r="BA56">
        <f t="shared" si="89"/>
        <v>-1.3487078377266122</v>
      </c>
      <c r="BB56" s="58" t="str">
        <f t="shared" si="90"/>
        <v>-1,34424309436094+6,04816981814344i</v>
      </c>
      <c r="BC56">
        <f t="shared" si="91"/>
        <v>15.841881057988163</v>
      </c>
      <c r="BD56" s="60">
        <f t="shared" si="92"/>
        <v>102.53066154436956</v>
      </c>
      <c r="BE56" s="58" t="str">
        <f t="shared" si="93"/>
        <v>-8,01759278722155+137,360609847642i</v>
      </c>
      <c r="BF56" s="37">
        <f t="shared" si="94"/>
        <v>42.772015179980812</v>
      </c>
      <c r="BG56" s="60">
        <f t="shared" si="95"/>
        <v>93.340503563440535</v>
      </c>
      <c r="BH56" s="58" t="str">
        <f t="shared" si="96"/>
        <v>-30,0413372822217+210,579992225074i</v>
      </c>
      <c r="BI56" s="37">
        <f t="shared" si="97"/>
        <v>46.555841752215485</v>
      </c>
      <c r="BJ56" s="60">
        <f t="shared" si="98"/>
        <v>98.119031328570941</v>
      </c>
      <c r="BK56">
        <f t="shared" si="99"/>
        <v>42.772015179980812</v>
      </c>
      <c r="BL56" s="60">
        <f t="shared" si="100"/>
        <v>93.340503563440535</v>
      </c>
      <c r="BN56">
        <f t="shared" si="101"/>
        <v>0</v>
      </c>
      <c r="BO56">
        <f t="shared" si="102"/>
        <v>0</v>
      </c>
    </row>
    <row r="57" spans="1:67" x14ac:dyDescent="0.25">
      <c r="A57" t="s">
        <v>392</v>
      </c>
      <c r="B57" s="29">
        <f>CHF_S</f>
        <v>3.3E-10</v>
      </c>
      <c r="C57" s="70" t="s">
        <v>354</v>
      </c>
      <c r="E57" t="s">
        <v>504</v>
      </c>
      <c r="M57" s="66">
        <v>39</v>
      </c>
      <c r="N57" s="36">
        <f t="shared" si="54"/>
        <v>24.547089156850316</v>
      </c>
      <c r="O57" s="91" t="str">
        <f t="shared" si="55"/>
        <v>22,5</v>
      </c>
      <c r="P57" s="67" t="str">
        <f t="shared" si="56"/>
        <v>1+0,166572622718297i</v>
      </c>
      <c r="Q57" s="67">
        <f t="shared" si="57"/>
        <v>1.0137782985639672</v>
      </c>
      <c r="R57" s="67">
        <f t="shared" si="58"/>
        <v>0.16505717379938289</v>
      </c>
      <c r="S57" s="67" t="str">
        <f t="shared" si="59"/>
        <v>1+0,00462701729773047i</v>
      </c>
      <c r="T57" s="67">
        <f t="shared" si="60"/>
        <v>1.0000107045872426</v>
      </c>
      <c r="U57" s="67">
        <f t="shared" si="61"/>
        <v>4.6269842777710048E-3</v>
      </c>
      <c r="V57" t="str">
        <f t="shared" si="62"/>
        <v>1-0,000963961937027181i</v>
      </c>
      <c r="W57" s="67">
        <f t="shared" si="63"/>
        <v>1.0000004646112</v>
      </c>
      <c r="X57" s="67">
        <f t="shared" si="64"/>
        <v>-9.6396163844893656E-4</v>
      </c>
      <c r="Y57" t="str">
        <f t="shared" si="65"/>
        <v>0,999999961436187+0,00267338777202205i</v>
      </c>
      <c r="Z57" s="67">
        <f t="shared" si="66"/>
        <v>1.0000035349310294</v>
      </c>
      <c r="AA57" s="67">
        <f t="shared" si="67"/>
        <v>2.6733815062419098E-3</v>
      </c>
      <c r="AB57" s="92" t="str">
        <f t="shared" si="68"/>
        <v>21,8963248074991-3,62506115922605i</v>
      </c>
      <c r="AC57" s="37">
        <f t="shared" si="69"/>
        <v>26.924856866867867</v>
      </c>
      <c r="AD57" s="60">
        <f t="shared" si="70"/>
        <v>-9.4003771769039108</v>
      </c>
      <c r="AE57" t="str">
        <f t="shared" si="71"/>
        <v>34,4450883806789</v>
      </c>
      <c r="AF57" t="str">
        <f t="shared" si="72"/>
        <v>1+0,0832863113591485i</v>
      </c>
      <c r="AG57">
        <f t="shared" si="73"/>
        <v>1.0034623110310685</v>
      </c>
      <c r="AH57">
        <f t="shared" si="74"/>
        <v>8.3094534022043962E-2</v>
      </c>
      <c r="AI57" t="str">
        <f t="shared" si="50"/>
        <v>1+0,00462701729773047i</v>
      </c>
      <c r="AJ57">
        <f t="shared" si="75"/>
        <v>1.0000107045872426</v>
      </c>
      <c r="AK57">
        <f t="shared" si="76"/>
        <v>4.6269842777710048E-3</v>
      </c>
      <c r="AL57" t="str">
        <f t="shared" si="77"/>
        <v>1-0,000314828650290864i</v>
      </c>
      <c r="AM57">
        <f t="shared" si="78"/>
        <v>1.0000000495585382</v>
      </c>
      <c r="AN57">
        <f t="shared" si="79"/>
        <v>-3.1482863988923255E-4</v>
      </c>
      <c r="AO57" s="58" t="str">
        <f t="shared" si="80"/>
        <v>34,2201376456669-2,70153531963471i</v>
      </c>
      <c r="AP57">
        <f t="shared" si="81"/>
        <v>30.712618167353476</v>
      </c>
      <c r="AQ57" s="60">
        <f t="shared" si="82"/>
        <v>-4.5138977814151708</v>
      </c>
      <c r="AR57" t="str">
        <f t="shared" si="83"/>
        <v>-1,36472945891784</v>
      </c>
      <c r="AS57" t="str">
        <f t="shared" si="51"/>
        <v>1+0,0034660986577299i</v>
      </c>
      <c r="AT57">
        <f t="shared" si="84"/>
        <v>1.0000060069019112</v>
      </c>
      <c r="AU57">
        <f t="shared" si="85"/>
        <v>3.4660847774451633E-3</v>
      </c>
      <c r="AV57" t="str">
        <f t="shared" si="52"/>
        <v>1+0,0034660986577299i</v>
      </c>
      <c r="AW57">
        <f t="shared" si="86"/>
        <v>1.0000060069019112</v>
      </c>
      <c r="AX57">
        <f t="shared" si="87"/>
        <v>3.4660847774451633E-3</v>
      </c>
      <c r="AY57" t="str">
        <f t="shared" si="53"/>
        <v>1-4,32763215396303i</v>
      </c>
      <c r="AZ57">
        <f t="shared" si="88"/>
        <v>4.4416663607270976</v>
      </c>
      <c r="BA57">
        <f t="shared" si="89"/>
        <v>-1.3437088563424575</v>
      </c>
      <c r="BB57" s="58" t="str">
        <f t="shared" si="90"/>
        <v>-1,34424236752148+5,91070636453914i</v>
      </c>
      <c r="BC57">
        <f t="shared" si="91"/>
        <v>15.65179781195717</v>
      </c>
      <c r="BD57" s="60">
        <f t="shared" si="92"/>
        <v>102.81256160804445</v>
      </c>
      <c r="BE57" s="58" t="str">
        <f t="shared" si="93"/>
        <v>-8,00729543357086+134,295707194789i</v>
      </c>
      <c r="BF57" s="37">
        <f t="shared" si="94"/>
        <v>42.576654678825008</v>
      </c>
      <c r="BG57" s="60">
        <f t="shared" si="95"/>
        <v>93.412184431140531</v>
      </c>
      <c r="BH57" s="58" t="str">
        <f t="shared" si="96"/>
        <v>-30,03217683793+205,896703611657i</v>
      </c>
      <c r="BI57" s="37">
        <f t="shared" si="97"/>
        <v>46.364415979310635</v>
      </c>
      <c r="BJ57" s="60">
        <f t="shared" si="98"/>
        <v>98.29866382662928</v>
      </c>
      <c r="BK57">
        <f t="shared" si="99"/>
        <v>42.576654678825008</v>
      </c>
      <c r="BL57" s="60">
        <f t="shared" si="100"/>
        <v>93.412184431140531</v>
      </c>
      <c r="BN57">
        <f t="shared" si="101"/>
        <v>0</v>
      </c>
      <c r="BO57">
        <f t="shared" si="102"/>
        <v>0</v>
      </c>
    </row>
    <row r="58" spans="1:67" x14ac:dyDescent="0.25">
      <c r="C58" s="70"/>
      <c r="M58" s="66">
        <v>40</v>
      </c>
      <c r="N58" s="36">
        <f t="shared" si="54"/>
        <v>25.118864315095799</v>
      </c>
      <c r="O58" s="91" t="str">
        <f t="shared" si="55"/>
        <v>22,5</v>
      </c>
      <c r="P58" s="67" t="str">
        <f t="shared" si="56"/>
        <v>1+0,17045259753346i</v>
      </c>
      <c r="Q58" s="67">
        <f t="shared" si="57"/>
        <v>1.0144230320758216</v>
      </c>
      <c r="R58" s="67">
        <f t="shared" si="58"/>
        <v>0.16883000908782389</v>
      </c>
      <c r="S58" s="67" t="str">
        <f t="shared" si="59"/>
        <v>1+0,00473479437592945i</v>
      </c>
      <c r="T58" s="67">
        <f t="shared" si="60"/>
        <v>1.0000112090760696</v>
      </c>
      <c r="U58" s="67">
        <f t="shared" si="61"/>
        <v>4.7347589944268442E-3</v>
      </c>
      <c r="V58" t="str">
        <f t="shared" si="62"/>
        <v>1-0,0009864154949853i</v>
      </c>
      <c r="W58" s="67">
        <f t="shared" si="63"/>
        <v>1.0000004865076462</v>
      </c>
      <c r="X58" s="67">
        <f t="shared" si="64"/>
        <v>-9.8641517505295524E-4</v>
      </c>
      <c r="Y58" t="str">
        <f t="shared" si="65"/>
        <v>0,99999995961873+0,00273565897275923i</v>
      </c>
      <c r="Z58" s="67">
        <f t="shared" si="66"/>
        <v>1.0000037015268879</v>
      </c>
      <c r="AA58" s="67">
        <f t="shared" si="67"/>
        <v>2.7356522588561907E-3</v>
      </c>
      <c r="AB58" s="92" t="str">
        <f t="shared" si="68"/>
        <v>21,868677729245-3,70478718520641i</v>
      </c>
      <c r="AC58" s="37">
        <f t="shared" si="69"/>
        <v>26.919337774536679</v>
      </c>
      <c r="AD58" s="60">
        <f t="shared" si="70"/>
        <v>-9.6152240235214652</v>
      </c>
      <c r="AE58" t="str">
        <f t="shared" si="71"/>
        <v>34,4450883806789</v>
      </c>
      <c r="AF58" t="str">
        <f t="shared" si="72"/>
        <v>1+0,08522629876673i</v>
      </c>
      <c r="AG58">
        <f t="shared" si="73"/>
        <v>1.0036251899994717</v>
      </c>
      <c r="AH58">
        <f t="shared" si="74"/>
        <v>8.5020845715124554E-2</v>
      </c>
      <c r="AI58" t="str">
        <f t="shared" si="50"/>
        <v>1+0,00473479437592945i</v>
      </c>
      <c r="AJ58">
        <f t="shared" si="75"/>
        <v>1.0000112090760696</v>
      </c>
      <c r="AK58">
        <f t="shared" si="76"/>
        <v>4.7347589944268442E-3</v>
      </c>
      <c r="AL58" t="str">
        <f t="shared" si="77"/>
        <v>1-0,000322161951611851i</v>
      </c>
      <c r="AM58">
        <f t="shared" si="78"/>
        <v>1.0000000518941601</v>
      </c>
      <c r="AN58">
        <f t="shared" si="79"/>
        <v>-3.2216194046630212E-4</v>
      </c>
      <c r="AO58" s="58" t="str">
        <f t="shared" si="80"/>
        <v>34,2096124938148-2,76356514124485i</v>
      </c>
      <c r="AP58">
        <f t="shared" si="81"/>
        <v>30.711212816592351</v>
      </c>
      <c r="AQ58" s="60">
        <f t="shared" si="82"/>
        <v>-4.6185124422257644</v>
      </c>
      <c r="AR58" t="str">
        <f t="shared" si="83"/>
        <v>-1,36472945891784</v>
      </c>
      <c r="AS58" t="str">
        <f t="shared" si="51"/>
        <v>1+0,00354683446700875i</v>
      </c>
      <c r="AT58">
        <f t="shared" si="84"/>
        <v>1.0000062899975861</v>
      </c>
      <c r="AU58">
        <f t="shared" si="85"/>
        <v>3.546819594020745E-3</v>
      </c>
      <c r="AV58" t="str">
        <f t="shared" si="52"/>
        <v>1+0,00354683446700875i</v>
      </c>
      <c r="AW58">
        <f t="shared" si="86"/>
        <v>1.0000062899975861</v>
      </c>
      <c r="AX58">
        <f t="shared" si="87"/>
        <v>3.546819594020745E-3</v>
      </c>
      <c r="AY58" t="str">
        <f t="shared" si="53"/>
        <v>1-4,22912321945783i</v>
      </c>
      <c r="AZ58">
        <f t="shared" si="88"/>
        <v>4.345743113134664</v>
      </c>
      <c r="BA58">
        <f t="shared" si="89"/>
        <v>-1.3386053633444717</v>
      </c>
      <c r="BB58" s="58" t="str">
        <f t="shared" si="90"/>
        <v>-1,34424160642797+5,77637684544923i</v>
      </c>
      <c r="BC58">
        <f t="shared" si="91"/>
        <v>15.462157703696345</v>
      </c>
      <c r="BD58" s="60">
        <f t="shared" si="92"/>
        <v>103.10034445335401</v>
      </c>
      <c r="BE58" s="58" t="str">
        <f t="shared" si="93"/>
        <v>-7,99653956727254+131,301852753118i</v>
      </c>
      <c r="BF58" s="37">
        <f t="shared" si="94"/>
        <v>42.381495478233042</v>
      </c>
      <c r="BG58" s="60">
        <f t="shared" si="95"/>
        <v>93.485120429832534</v>
      </c>
      <c r="BH58" s="58" t="str">
        <f t="shared" si="96"/>
        <v>-30,0225907611866+201,322512745998i</v>
      </c>
      <c r="BI58" s="37">
        <f t="shared" si="97"/>
        <v>46.173370520288699</v>
      </c>
      <c r="BJ58" s="60">
        <f t="shared" si="98"/>
        <v>98.481832011128233</v>
      </c>
      <c r="BK58">
        <f t="shared" si="99"/>
        <v>42.381495478233042</v>
      </c>
      <c r="BL58" s="60">
        <f t="shared" si="100"/>
        <v>93.485120429832534</v>
      </c>
      <c r="BN58">
        <f t="shared" si="101"/>
        <v>0</v>
      </c>
      <c r="BO58">
        <f t="shared" si="102"/>
        <v>0</v>
      </c>
    </row>
    <row r="59" spans="1:67" x14ac:dyDescent="0.25">
      <c r="A59" t="s">
        <v>496</v>
      </c>
      <c r="B59" s="23">
        <f>-(Rcomp_S) / (RFBT)</f>
        <v>-1.3647294589178356</v>
      </c>
      <c r="C59" t="s">
        <v>118</v>
      </c>
      <c r="E59" t="s">
        <v>704</v>
      </c>
      <c r="J59" t="s">
        <v>419</v>
      </c>
      <c r="K59" s="23">
        <f>-(Rcomp_S)/(RFB_TOP)</f>
        <v>-1.3647294589178356</v>
      </c>
      <c r="L59" t="s">
        <v>118</v>
      </c>
      <c r="M59" s="66">
        <v>41</v>
      </c>
      <c r="N59" s="36">
        <f t="shared" si="54"/>
        <v>25.703957827688647</v>
      </c>
      <c r="O59" s="91" t="str">
        <f t="shared" si="55"/>
        <v>22,5</v>
      </c>
      <c r="P59" s="67" t="str">
        <f t="shared" si="56"/>
        <v>1+0,174422948572041i</v>
      </c>
      <c r="Q59" s="67">
        <f t="shared" si="57"/>
        <v>1.015097712039863</v>
      </c>
      <c r="R59" s="67">
        <f t="shared" si="58"/>
        <v>0.17268570728723412</v>
      </c>
      <c r="S59" s="67" t="str">
        <f t="shared" si="59"/>
        <v>1+0,00484508190477891i</v>
      </c>
      <c r="T59" s="67">
        <f t="shared" si="60"/>
        <v>1.0000117373404493</v>
      </c>
      <c r="U59" s="67">
        <f t="shared" si="61"/>
        <v>4.8450439928398514E-3</v>
      </c>
      <c r="V59" t="str">
        <f t="shared" si="62"/>
        <v>1-0,00100939206349561i</v>
      </c>
      <c r="W59" s="67">
        <f t="shared" si="63"/>
        <v>1.0000005094360391</v>
      </c>
      <c r="X59" s="67">
        <f t="shared" si="64"/>
        <v>-1.0093917206819357E-3</v>
      </c>
      <c r="Y59" t="str">
        <f t="shared" si="65"/>
        <v>0,999999957715619+0,00279938065609448i</v>
      </c>
      <c r="Z59" s="67">
        <f t="shared" si="66"/>
        <v>1.0000038759741372</v>
      </c>
      <c r="AA59" s="67">
        <f t="shared" si="67"/>
        <v>2.7993734620192674E-3</v>
      </c>
      <c r="AB59" s="92" t="str">
        <f t="shared" si="68"/>
        <v>21,8398028930259-3,78604635260352i</v>
      </c>
      <c r="AC59" s="37">
        <f t="shared" si="69"/>
        <v>26.913566091425967</v>
      </c>
      <c r="AD59" s="60">
        <f t="shared" si="70"/>
        <v>-9.8347878075702848</v>
      </c>
      <c r="AE59" t="str">
        <f t="shared" si="71"/>
        <v>34,4450883806789</v>
      </c>
      <c r="AF59" t="str">
        <f t="shared" si="72"/>
        <v>1+0,0872114742860205i</v>
      </c>
      <c r="AG59">
        <f t="shared" si="73"/>
        <v>1.0037957168902152</v>
      </c>
      <c r="AH59">
        <f t="shared" si="74"/>
        <v>8.6991372309933063E-2</v>
      </c>
      <c r="AI59" t="str">
        <f t="shared" si="50"/>
        <v>1+0,00484508190477891i</v>
      </c>
      <c r="AJ59">
        <f t="shared" si="75"/>
        <v>1.0000117373404493</v>
      </c>
      <c r="AK59">
        <f t="shared" si="76"/>
        <v>4.8450439928398514E-3</v>
      </c>
      <c r="AL59" t="str">
        <f t="shared" si="77"/>
        <v>1-0,000329666067463898i</v>
      </c>
      <c r="AM59">
        <f t="shared" si="78"/>
        <v>1.0000000543398566</v>
      </c>
      <c r="AN59">
        <f t="shared" si="79"/>
        <v>-3.2966605552122726E-4</v>
      </c>
      <c r="AO59" s="58" t="str">
        <f t="shared" si="80"/>
        <v>34,1985986268893-2,82697630717506i</v>
      </c>
      <c r="AP59">
        <f t="shared" si="81"/>
        <v>30.709741723996416</v>
      </c>
      <c r="AQ59" s="60">
        <f t="shared" si="82"/>
        <v>-4.7255263886955357</v>
      </c>
      <c r="AR59" t="str">
        <f t="shared" si="83"/>
        <v>-1,36472945891784</v>
      </c>
      <c r="AS59" t="str">
        <f t="shared" si="51"/>
        <v>1+0,00362945085486989i</v>
      </c>
      <c r="AT59">
        <f t="shared" si="84"/>
        <v>1.0000065864350633</v>
      </c>
      <c r="AU59">
        <f t="shared" si="85"/>
        <v>3.6294349181817853E-3</v>
      </c>
      <c r="AV59" t="str">
        <f t="shared" si="52"/>
        <v>1+0,00362945085486989i</v>
      </c>
      <c r="AW59">
        <f t="shared" si="86"/>
        <v>1.0000065864350633</v>
      </c>
      <c r="AX59">
        <f t="shared" si="87"/>
        <v>3.6294349181817853E-3</v>
      </c>
      <c r="AY59" t="str">
        <f t="shared" si="53"/>
        <v>1-4,13285662206267i</v>
      </c>
      <c r="AZ59">
        <f t="shared" si="88"/>
        <v>4.252117573459989</v>
      </c>
      <c r="BA59">
        <f t="shared" si="89"/>
        <v>-1.3333957166554049</v>
      </c>
      <c r="BB59" s="58" t="str">
        <f t="shared" si="90"/>
        <v>-1,34424080946616+5,64511003756767i</v>
      </c>
      <c r="BC59">
        <f t="shared" si="91"/>
        <v>15.272979407043506</v>
      </c>
      <c r="BD59" s="60">
        <f t="shared" si="92"/>
        <v>103.39410171199434</v>
      </c>
      <c r="BE59" s="58" t="str">
        <f t="shared" si="93"/>
        <v>-7,98530605172392+128,37744854362i</v>
      </c>
      <c r="BF59" s="37">
        <f t="shared" si="94"/>
        <v>42.186545498469464</v>
      </c>
      <c r="BG59" s="60">
        <f t="shared" si="95"/>
        <v>93.559313904424059</v>
      </c>
      <c r="BH59" s="58" t="str">
        <f t="shared" si="96"/>
        <v>-30,0125595732181+196,854989298899i</v>
      </c>
      <c r="BI59" s="37">
        <f t="shared" si="97"/>
        <v>45.982721131039909</v>
      </c>
      <c r="BJ59" s="60">
        <f t="shared" si="98"/>
        <v>98.668575323298825</v>
      </c>
      <c r="BK59">
        <f t="shared" si="99"/>
        <v>42.186545498469464</v>
      </c>
      <c r="BL59" s="60">
        <f t="shared" si="100"/>
        <v>93.559313904424059</v>
      </c>
      <c r="BN59">
        <f t="shared" si="101"/>
        <v>0</v>
      </c>
      <c r="BO59">
        <f t="shared" si="102"/>
        <v>0</v>
      </c>
    </row>
    <row r="60" spans="1:67" x14ac:dyDescent="0.25">
      <c r="A60" t="s">
        <v>497</v>
      </c>
      <c r="B60" s="23">
        <f>1/(Rcomp_S*Ccomp_S)</f>
        <v>667.46762782005067</v>
      </c>
      <c r="C60" t="s">
        <v>489</v>
      </c>
      <c r="E60" t="s">
        <v>505</v>
      </c>
      <c r="M60" s="66">
        <v>42</v>
      </c>
      <c r="N60" s="36">
        <f t="shared" si="54"/>
        <v>26.302679918953825</v>
      </c>
      <c r="O60" s="91" t="str">
        <f t="shared" si="55"/>
        <v>22,5</v>
      </c>
      <c r="P60" s="67" t="str">
        <f t="shared" si="56"/>
        <v>1+0,178485780966715i</v>
      </c>
      <c r="Q60" s="67">
        <f t="shared" si="57"/>
        <v>1.0158037084039899</v>
      </c>
      <c r="R60" s="67">
        <f t="shared" si="58"/>
        <v>0.17662585394742616</v>
      </c>
      <c r="S60" s="67" t="str">
        <f t="shared" si="59"/>
        <v>1+0,00495793836018654i</v>
      </c>
      <c r="T60" s="67">
        <f t="shared" si="60"/>
        <v>1.0000122905008635</v>
      </c>
      <c r="U60" s="67">
        <f t="shared" si="61"/>
        <v>4.9578977368389052E-3</v>
      </c>
      <c r="V60" t="str">
        <f t="shared" si="62"/>
        <v>1-0,00103290382503886i</v>
      </c>
      <c r="W60" s="67">
        <f t="shared" si="63"/>
        <v>1.0000005334450137</v>
      </c>
      <c r="X60" s="67">
        <f t="shared" si="64"/>
        <v>-1.0329034577074006E-3</v>
      </c>
      <c r="Y60" t="str">
        <f t="shared" si="65"/>
        <v>0,999999955722818+0,00286458660810778i</v>
      </c>
      <c r="Z60" s="67">
        <f t="shared" si="66"/>
        <v>1.0000040586428003</v>
      </c>
      <c r="AA60" s="67">
        <f t="shared" si="67"/>
        <v>2.8645788995189944E-3</v>
      </c>
      <c r="AB60" s="92" t="str">
        <f t="shared" si="68"/>
        <v>21,8096493638659-3,86885274861642i</v>
      </c>
      <c r="AC60" s="37">
        <f t="shared" si="69"/>
        <v>26.907530616529659</v>
      </c>
      <c r="AD60" s="60">
        <f t="shared" si="70"/>
        <v>-10.059158658299006</v>
      </c>
      <c r="AE60" t="str">
        <f t="shared" si="71"/>
        <v>34,4450883806789</v>
      </c>
      <c r="AF60" t="str">
        <f t="shared" si="72"/>
        <v>1+0,0892428904833578i</v>
      </c>
      <c r="AG60">
        <f t="shared" si="73"/>
        <v>1.0039742494216795</v>
      </c>
      <c r="AH60">
        <f t="shared" si="74"/>
        <v>8.9007097359731641E-2</v>
      </c>
      <c r="AI60" t="str">
        <f t="shared" si="50"/>
        <v>1+0,00495793836018654i</v>
      </c>
      <c r="AJ60">
        <f t="shared" si="75"/>
        <v>1.0000122905008635</v>
      </c>
      <c r="AK60">
        <f t="shared" si="76"/>
        <v>4.9578977368389052E-3</v>
      </c>
      <c r="AL60" t="str">
        <f t="shared" si="77"/>
        <v>1-0,00033734497662856i</v>
      </c>
      <c r="AM60">
        <f t="shared" si="78"/>
        <v>1.0000000569008149</v>
      </c>
      <c r="AN60">
        <f t="shared" si="79"/>
        <v>-3.3734496383175773E-4</v>
      </c>
      <c r="AO60" s="58" t="str">
        <f t="shared" si="80"/>
        <v>34,1870737105005-2,89179652762484i</v>
      </c>
      <c r="AP60">
        <f t="shared" si="81"/>
        <v>30.708201838186788</v>
      </c>
      <c r="AQ60" s="60">
        <f t="shared" si="82"/>
        <v>-4.8349928525118546</v>
      </c>
      <c r="AR60" t="str">
        <f t="shared" si="83"/>
        <v>-1,36472945891784</v>
      </c>
      <c r="AS60" t="str">
        <f t="shared" si="51"/>
        <v>1+0,00371399162561574i</v>
      </c>
      <c r="AT60">
        <f t="shared" si="84"/>
        <v>1.0000068968431144</v>
      </c>
      <c r="AU60">
        <f t="shared" si="85"/>
        <v>3.713974549153135E-3</v>
      </c>
      <c r="AV60" t="str">
        <f t="shared" si="52"/>
        <v>1+0,00371399162561574i</v>
      </c>
      <c r="AW60">
        <f t="shared" si="86"/>
        <v>1.0000068968431144</v>
      </c>
      <c r="AX60">
        <f t="shared" si="87"/>
        <v>3.713974549153135E-3</v>
      </c>
      <c r="AY60" t="str">
        <f t="shared" si="53"/>
        <v>1-4,03878131995335i</v>
      </c>
      <c r="AZ60">
        <f t="shared" si="88"/>
        <v>4.1607396638583536</v>
      </c>
      <c r="BA60">
        <f t="shared" si="89"/>
        <v>-1.3280782856837821</v>
      </c>
      <c r="BB60" s="58" t="str">
        <f t="shared" si="90"/>
        <v>-1,3442399749457+5,51683634147719i</v>
      </c>
      <c r="BC60">
        <f t="shared" si="91"/>
        <v>15.084282280317964</v>
      </c>
      <c r="BD60" s="60">
        <f t="shared" si="92"/>
        <v>103.69392430046416</v>
      </c>
      <c r="BE60" s="58" t="str">
        <f t="shared" si="93"/>
        <v>-7,97357507106662+125,520932727319i</v>
      </c>
      <c r="BF60" s="37">
        <f t="shared" si="94"/>
        <v>41.99181289684762</v>
      </c>
      <c r="BG60" s="60">
        <f t="shared" si="95"/>
        <v>93.634765642165149</v>
      </c>
      <c r="BH60" s="58" t="str">
        <f t="shared" si="96"/>
        <v>-30,0020629323117+192,491759146691i</v>
      </c>
      <c r="BI60" s="37">
        <f t="shared" si="97"/>
        <v>45.792484118504753</v>
      </c>
      <c r="BJ60" s="60">
        <f t="shared" si="98"/>
        <v>98.858931447952301</v>
      </c>
      <c r="BK60">
        <f t="shared" si="99"/>
        <v>41.99181289684762</v>
      </c>
      <c r="BL60" s="60">
        <f t="shared" si="100"/>
        <v>93.634765642165149</v>
      </c>
      <c r="BN60">
        <f t="shared" si="101"/>
        <v>0</v>
      </c>
      <c r="BO60">
        <f t="shared" si="102"/>
        <v>0</v>
      </c>
    </row>
    <row r="61" spans="1:67" x14ac:dyDescent="0.25">
      <c r="A61" t="s">
        <v>498</v>
      </c>
      <c r="B61" s="23">
        <f>1/(Rcomp_S*CHF_S)</f>
        <v>44497.841854670049</v>
      </c>
      <c r="C61" t="s">
        <v>489</v>
      </c>
      <c r="E61" t="s">
        <v>506</v>
      </c>
      <c r="J61" t="s">
        <v>513</v>
      </c>
      <c r="K61" s="23">
        <f>1/(Rcomp_S*(1/(1/CHF_S+1/Ccomp_S)))</f>
        <v>45165.309482490105</v>
      </c>
      <c r="L61" t="s">
        <v>489</v>
      </c>
      <c r="M61" s="66">
        <v>43</v>
      </c>
      <c r="N61" s="36">
        <f t="shared" si="54"/>
        <v>26.915348039269158</v>
      </c>
      <c r="O61" s="91" t="str">
        <f t="shared" si="55"/>
        <v>22,5</v>
      </c>
      <c r="P61" s="67" t="str">
        <f t="shared" si="56"/>
        <v>1+0,182643248884998i</v>
      </c>
      <c r="Q61" s="67">
        <f t="shared" si="57"/>
        <v>1.0165424518254351</v>
      </c>
      <c r="R61" s="67">
        <f t="shared" si="58"/>
        <v>0.18065204858468156</v>
      </c>
      <c r="S61" s="67" t="str">
        <f t="shared" si="59"/>
        <v>1+0,00507342358013884i</v>
      </c>
      <c r="T61" s="67">
        <f t="shared" si="60"/>
        <v>1.0000128697305968</v>
      </c>
      <c r="U61" s="67">
        <f t="shared" si="61"/>
        <v>5.0733800514678618E-3</v>
      </c>
      <c r="V61" t="str">
        <f t="shared" si="62"/>
        <v>1-0,00105696324586226i</v>
      </c>
      <c r="W61" s="67">
        <f t="shared" si="63"/>
        <v>1.0000005585854954</v>
      </c>
      <c r="X61" s="67">
        <f t="shared" si="64"/>
        <v>-1.0569628522595215E-3</v>
      </c>
      <c r="Y61" t="str">
        <f t="shared" si="65"/>
        <v>0,999999953636099+0,00293131140185799i</v>
      </c>
      <c r="Z61" s="67">
        <f t="shared" si="66"/>
        <v>1.0000042499203363</v>
      </c>
      <c r="AA61" s="67">
        <f t="shared" si="67"/>
        <v>2.9313031419581849E-3</v>
      </c>
      <c r="AB61" s="92" t="str">
        <f t="shared" si="68"/>
        <v>21,7781644280238-3,95321942029885i</v>
      </c>
      <c r="AC61" s="37">
        <f t="shared" si="69"/>
        <v>26.901219685658333</v>
      </c>
      <c r="AD61" s="60">
        <f t="shared" si="70"/>
        <v>-10.28842748852378</v>
      </c>
      <c r="AE61" t="str">
        <f t="shared" si="71"/>
        <v>34,4450883806789</v>
      </c>
      <c r="AF61" t="str">
        <f t="shared" si="72"/>
        <v>1+0,091321624442499i</v>
      </c>
      <c r="AG61">
        <f t="shared" si="73"/>
        <v>1.0041611619111828</v>
      </c>
      <c r="AH61">
        <f t="shared" si="74"/>
        <v>9.1069024070808122E-2</v>
      </c>
      <c r="AI61" t="str">
        <f t="shared" si="50"/>
        <v>1+0,00507342358013884i</v>
      </c>
      <c r="AJ61">
        <f t="shared" si="75"/>
        <v>1.0000128697305968</v>
      </c>
      <c r="AK61">
        <f t="shared" si="76"/>
        <v>5.0733800514678618E-3</v>
      </c>
      <c r="AL61" t="str">
        <f t="shared" si="77"/>
        <v>1-0,000345202750565121i</v>
      </c>
      <c r="AM61">
        <f t="shared" si="78"/>
        <v>1.0000000595824678</v>
      </c>
      <c r="AN61">
        <f t="shared" si="79"/>
        <v>-3.4520273685310037E-4</v>
      </c>
      <c r="AO61" s="58" t="str">
        <f t="shared" si="80"/>
        <v>34,1750144238178-2,95805384817084i</v>
      </c>
      <c r="AP61">
        <f t="shared" si="81"/>
        <v>30.70658996845237</v>
      </c>
      <c r="AQ61" s="60">
        <f t="shared" si="82"/>
        <v>-4.9469661187156806</v>
      </c>
      <c r="AR61" t="str">
        <f t="shared" si="83"/>
        <v>-1,36472945891784</v>
      </c>
      <c r="AS61" t="str">
        <f t="shared" si="51"/>
        <v>1+0,003800501603882i</v>
      </c>
      <c r="AT61">
        <f t="shared" si="84"/>
        <v>1.0000072218801428</v>
      </c>
      <c r="AU61">
        <f t="shared" si="85"/>
        <v>3.8004833061297903E-3</v>
      </c>
      <c r="AV61" t="str">
        <f t="shared" si="52"/>
        <v>1+0,003800501603882i</v>
      </c>
      <c r="AW61">
        <f t="shared" si="86"/>
        <v>1.0000072218801428</v>
      </c>
      <c r="AX61">
        <f t="shared" si="87"/>
        <v>3.8004833061297903E-3</v>
      </c>
      <c r="AY61" t="str">
        <f t="shared" si="53"/>
        <v>1-3,94684743315944i</v>
      </c>
      <c r="AZ61">
        <f t="shared" si="88"/>
        <v>4.0715604699718337</v>
      </c>
      <c r="BA61">
        <f t="shared" si="89"/>
        <v>-1.322651454384105</v>
      </c>
      <c r="BB61" s="58" t="str">
        <f t="shared" si="90"/>
        <v>-1,34423910109662+5,39148774474667i</v>
      </c>
      <c r="BC61">
        <f t="shared" si="91"/>
        <v>14.89608638212745</v>
      </c>
      <c r="BD61" s="60">
        <f t="shared" si="92"/>
        <v>103.99990224339948</v>
      </c>
      <c r="BE61" s="58" t="str">
        <f t="shared" si="93"/>
        <v>-7,96132611742531+122,730778736748i</v>
      </c>
      <c r="BF61" s="37">
        <f t="shared" si="94"/>
        <v>41.797306067785755</v>
      </c>
      <c r="BG61" s="60">
        <f t="shared" si="95"/>
        <v>93.711474754875709</v>
      </c>
      <c r="BH61" s="58" t="str">
        <f t="shared" si="96"/>
        <v>-29,9910795983231+188,230503088415i</v>
      </c>
      <c r="BI61" s="37">
        <f t="shared" si="97"/>
        <v>45.60267635057982</v>
      </c>
      <c r="BJ61" s="60">
        <f t="shared" si="98"/>
        <v>99.052936124683811</v>
      </c>
      <c r="BK61">
        <f t="shared" si="99"/>
        <v>41.797306067785755</v>
      </c>
      <c r="BL61" s="60">
        <f t="shared" si="100"/>
        <v>93.711474754875709</v>
      </c>
      <c r="BN61">
        <f t="shared" si="101"/>
        <v>0</v>
      </c>
      <c r="BO61">
        <f t="shared" si="102"/>
        <v>0</v>
      </c>
    </row>
    <row r="62" spans="1:67" x14ac:dyDescent="0.25">
      <c r="A62" t="s">
        <v>499</v>
      </c>
      <c r="B62" s="23">
        <f>1/(Rcomp_S*CHF_S)</f>
        <v>44497.841854670049</v>
      </c>
      <c r="C62" t="s">
        <v>489</v>
      </c>
      <c r="E62" t="s">
        <v>507</v>
      </c>
      <c r="M62" s="66">
        <v>44</v>
      </c>
      <c r="N62" s="36">
        <f t="shared" si="54"/>
        <v>27.542287033381665</v>
      </c>
      <c r="O62" s="91" t="str">
        <f t="shared" si="55"/>
        <v>22,5</v>
      </c>
      <c r="P62" s="67" t="str">
        <f t="shared" si="56"/>
        <v>1+0,186897556671408i</v>
      </c>
      <c r="Q62" s="67">
        <f t="shared" si="57"/>
        <v>1.0173154361798225</v>
      </c>
      <c r="R62" s="67">
        <f t="shared" si="58"/>
        <v>0.1847659035583244</v>
      </c>
      <c r="S62" s="67" t="str">
        <f t="shared" si="59"/>
        <v>1+0,00519159879642802i</v>
      </c>
      <c r="T62" s="67">
        <f t="shared" si="60"/>
        <v>1.0000134762582267</v>
      </c>
      <c r="U62" s="67">
        <f t="shared" si="61"/>
        <v>5.1915521546506823E-3</v>
      </c>
      <c r="V62" t="str">
        <f t="shared" si="62"/>
        <v>1-0,00108158308258917i</v>
      </c>
      <c r="W62" s="67">
        <f t="shared" si="63"/>
        <v>1.0000005849108113</v>
      </c>
      <c r="X62" s="67">
        <f t="shared" si="64"/>
        <v>-1.0815826608362505E-3</v>
      </c>
      <c r="Y62" t="str">
        <f t="shared" si="65"/>
        <v>0,999999951451035+0,00299959041571396i</v>
      </c>
      <c r="Z62" s="67">
        <f t="shared" si="66"/>
        <v>1.0000044502124652</v>
      </c>
      <c r="AA62" s="67">
        <f t="shared" si="67"/>
        <v>2.9995815650739888E-3</v>
      </c>
      <c r="AB62" s="92" t="str">
        <f t="shared" si="68"/>
        <v>21,7452935626365-4,03915827257999i</v>
      </c>
      <c r="AC62" s="37">
        <f t="shared" si="69"/>
        <v>26.894621155407563</v>
      </c>
      <c r="AD62" s="60">
        <f t="shared" si="70"/>
        <v>-10.522685929874095</v>
      </c>
      <c r="AE62" t="str">
        <f t="shared" si="71"/>
        <v>34,4450883806789</v>
      </c>
      <c r="AF62" t="str">
        <f t="shared" si="72"/>
        <v>1+0,0934487783357043i</v>
      </c>
      <c r="AG62">
        <f t="shared" si="73"/>
        <v>1.0043568460325423</v>
      </c>
      <c r="AH62">
        <f t="shared" si="74"/>
        <v>9.3178175534258903E-2</v>
      </c>
      <c r="AI62" t="str">
        <f t="shared" si="50"/>
        <v>1+0,00519159879642802i</v>
      </c>
      <c r="AJ62">
        <f t="shared" si="75"/>
        <v>1.0000134762582267</v>
      </c>
      <c r="AK62">
        <f t="shared" si="76"/>
        <v>5.1915521546506823E-3</v>
      </c>
      <c r="AL62" t="str">
        <f t="shared" si="77"/>
        <v>1-0,00035324355556933i</v>
      </c>
      <c r="AM62">
        <f t="shared" si="78"/>
        <v>1.0000000623905028</v>
      </c>
      <c r="AN62">
        <f t="shared" si="79"/>
        <v>-3.532435408766353E-4</v>
      </c>
      <c r="AO62" s="58" t="str">
        <f t="shared" si="80"/>
        <v>34,1623964192869-3,0257766365139i</v>
      </c>
      <c r="AP62">
        <f t="shared" si="81"/>
        <v>30.704902778607153</v>
      </c>
      <c r="AQ62" s="60">
        <f t="shared" si="82"/>
        <v>-5.0615015372911332</v>
      </c>
      <c r="AR62" t="str">
        <f t="shared" si="83"/>
        <v>-1,36472945891784</v>
      </c>
      <c r="AS62" t="str">
        <f t="shared" si="51"/>
        <v>1+0,00388902665840423i</v>
      </c>
      <c r="AT62">
        <f t="shared" si="84"/>
        <v>1.0000075622355811</v>
      </c>
      <c r="AU62">
        <f t="shared" si="85"/>
        <v>3.8890070520175026E-3</v>
      </c>
      <c r="AV62" t="str">
        <f t="shared" si="52"/>
        <v>1+0,00388902665840423i</v>
      </c>
      <c r="AW62">
        <f t="shared" si="86"/>
        <v>1.0000075622355811</v>
      </c>
      <c r="AX62">
        <f t="shared" si="87"/>
        <v>3.8890070520175026E-3</v>
      </c>
      <c r="AY62" t="str">
        <f t="shared" si="53"/>
        <v>1-3,8570062171173i</v>
      </c>
      <c r="AZ62">
        <f t="shared" si="88"/>
        <v>3.9845322133070407</v>
      </c>
      <c r="BA62">
        <f t="shared" si="89"/>
        <v>-1.317113624507789</v>
      </c>
      <c r="BB62" s="58" t="str">
        <f t="shared" si="90"/>
        <v>-1,34423818606552+5,26899778587009i</v>
      </c>
      <c r="BC62">
        <f t="shared" si="91"/>
        <v>14.708412486653499</v>
      </c>
      <c r="BD62" s="60">
        <f t="shared" si="92"/>
        <v>104.31212448594782</v>
      </c>
      <c r="BE62" s="58" t="str">
        <f t="shared" si="93"/>
        <v>-7,94853797909789+120,005494424191i</v>
      </c>
      <c r="BF62" s="37">
        <f t="shared" si="94"/>
        <v>41.603033642061035</v>
      </c>
      <c r="BG62" s="60">
        <f t="shared" si="95"/>
        <v>93.789438556073719</v>
      </c>
      <c r="BH62" s="58" t="str">
        <f t="shared" si="96"/>
        <v>-29,9795873959842+184,068955590546i</v>
      </c>
      <c r="BI62" s="37">
        <f t="shared" si="97"/>
        <v>45.413315265260657</v>
      </c>
      <c r="BJ62" s="60">
        <f t="shared" si="98"/>
        <v>99.250622948656655</v>
      </c>
      <c r="BK62">
        <f t="shared" si="99"/>
        <v>41.603033642061035</v>
      </c>
      <c r="BL62" s="60">
        <f t="shared" si="100"/>
        <v>93.789438556073719</v>
      </c>
      <c r="BN62">
        <f t="shared" si="101"/>
        <v>0</v>
      </c>
      <c r="BO62">
        <f t="shared" si="102"/>
        <v>0</v>
      </c>
    </row>
    <row r="63" spans="1:67" x14ac:dyDescent="0.25">
      <c r="M63" s="66">
        <v>45</v>
      </c>
      <c r="N63" s="36">
        <f t="shared" si="54"/>
        <v>28.183829312644548</v>
      </c>
      <c r="O63" s="91" t="str">
        <f t="shared" si="55"/>
        <v>22,5</v>
      </c>
      <c r="P63" s="67" t="str">
        <f t="shared" si="56"/>
        <v>1+0,191250960016247i</v>
      </c>
      <c r="Q63" s="67">
        <f t="shared" si="57"/>
        <v>1.018124221157289</v>
      </c>
      <c r="R63" s="67">
        <f t="shared" si="58"/>
        <v>0.18896904283934179</v>
      </c>
      <c r="S63" s="67" t="str">
        <f t="shared" si="59"/>
        <v>1+0,00531252666711799i</v>
      </c>
      <c r="T63" s="67">
        <f t="shared" si="60"/>
        <v>1.000014111370229</v>
      </c>
      <c r="U63" s="67">
        <f t="shared" si="61"/>
        <v>5.3124766895912313E-3</v>
      </c>
      <c r="V63" t="str">
        <f t="shared" si="62"/>
        <v>1-0,00110677638898291i</v>
      </c>
      <c r="W63" s="67">
        <f t="shared" si="63"/>
        <v>1.0000006124767999</v>
      </c>
      <c r="X63" s="67">
        <f t="shared" si="64"/>
        <v>-1.1067759370665296E-3</v>
      </c>
      <c r="Y63" t="str">
        <f t="shared" si="65"/>
        <v>0,999999949162993+0,00306945985211261i</v>
      </c>
      <c r="Z63" s="67">
        <f t="shared" si="66"/>
        <v>1.0000046599440284</v>
      </c>
      <c r="AA63" s="67">
        <f t="shared" si="67"/>
        <v>3.0694503684834036E-3</v>
      </c>
      <c r="AB63" s="92" t="str">
        <f t="shared" si="68"/>
        <v>21,7109804081998-4,12667996053334i</v>
      </c>
      <c r="AC63" s="37">
        <f t="shared" si="69"/>
        <v>26.88772238686683</v>
      </c>
      <c r="AD63" s="60">
        <f t="shared" si="70"/>
        <v>-10.762026261845458</v>
      </c>
      <c r="AE63" t="str">
        <f t="shared" si="71"/>
        <v>34,4450883806789</v>
      </c>
      <c r="AF63" t="str">
        <f t="shared" si="72"/>
        <v>1+0,0956254800081237i</v>
      </c>
      <c r="AG63">
        <f t="shared" si="73"/>
        <v>1.0045617116069994</v>
      </c>
      <c r="AH63">
        <f t="shared" si="74"/>
        <v>9.5335594947837887E-2</v>
      </c>
      <c r="AI63" t="str">
        <f t="shared" si="50"/>
        <v>1+0,00531252666711799i</v>
      </c>
      <c r="AJ63">
        <f t="shared" si="75"/>
        <v>1.000014111370229</v>
      </c>
      <c r="AK63">
        <f t="shared" si="76"/>
        <v>5.3124766895912313E-3</v>
      </c>
      <c r="AL63" t="str">
        <f t="shared" si="77"/>
        <v>1-0,000361471654982433i</v>
      </c>
      <c r="AM63">
        <f t="shared" si="78"/>
        <v>1.0000000653308765</v>
      </c>
      <c r="AN63">
        <f t="shared" si="79"/>
        <v>-3.6147163923892702E-4</v>
      </c>
      <c r="AO63" s="58" t="str">
        <f t="shared" si="80"/>
        <v>34,1491942810216-3,09499356754275i</v>
      </c>
      <c r="AP63">
        <f t="shared" si="81"/>
        <v>30.70313678059776</v>
      </c>
      <c r="AQ63" s="60">
        <f t="shared" si="82"/>
        <v>-5.1786555341467002</v>
      </c>
      <c r="AR63" t="str">
        <f t="shared" si="83"/>
        <v>-1,36472945891784</v>
      </c>
      <c r="AS63" t="str">
        <f t="shared" si="51"/>
        <v>1+0,00397961372633808i</v>
      </c>
      <c r="AT63">
        <f t="shared" si="84"/>
        <v>1.0000079186313531</v>
      </c>
      <c r="AU63">
        <f t="shared" si="85"/>
        <v>3.9795927177251802E-3</v>
      </c>
      <c r="AV63" t="str">
        <f t="shared" si="52"/>
        <v>1+0,00397961372633808i</v>
      </c>
      <c r="AW63">
        <f t="shared" si="86"/>
        <v>1.0000079186313531</v>
      </c>
      <c r="AX63">
        <f t="shared" si="87"/>
        <v>3.9795927177251802E-3</v>
      </c>
      <c r="AY63" t="str">
        <f t="shared" si="53"/>
        <v>1-3,769210036825i</v>
      </c>
      <c r="AZ63">
        <f t="shared" si="88"/>
        <v>3.8996082241299983</v>
      </c>
      <c r="BA63">
        <f t="shared" si="89"/>
        <v>-1.3114632190500173</v>
      </c>
      <c r="BB63" s="58" t="str">
        <f t="shared" si="90"/>
        <v>-1,34423722791166+5,14930151902752i</v>
      </c>
      <c r="BC63">
        <f t="shared" si="91"/>
        <v>14.521282098308619</v>
      </c>
      <c r="BD63" s="60">
        <f t="shared" si="92"/>
        <v>104.63067869488634</v>
      </c>
      <c r="BE63" s="58" t="str">
        <f t="shared" si="93"/>
        <v>-7,9351887298481+117,343621226146i</v>
      </c>
      <c r="BF63" s="37">
        <f t="shared" si="94"/>
        <v>41.409004485175458</v>
      </c>
      <c r="BG63" s="60">
        <f t="shared" si="95"/>
        <v>93.868652433040879</v>
      </c>
      <c r="BH63" s="58" t="str">
        <f t="shared" si="96"/>
        <v>-29,9675631770089+180,004903558468i</v>
      </c>
      <c r="BI63" s="37">
        <f t="shared" si="97"/>
        <v>45.224418878906356</v>
      </c>
      <c r="BJ63" s="60">
        <f t="shared" si="98"/>
        <v>99.452023160739671</v>
      </c>
      <c r="BK63">
        <f t="shared" si="99"/>
        <v>41.409004485175458</v>
      </c>
      <c r="BL63" s="60">
        <f t="shared" si="100"/>
        <v>93.868652433040879</v>
      </c>
      <c r="BN63">
        <f t="shared" si="101"/>
        <v>0</v>
      </c>
      <c r="BO63">
        <f t="shared" si="102"/>
        <v>0</v>
      </c>
    </row>
    <row r="64" spans="1:67" x14ac:dyDescent="0.25">
      <c r="A64" s="105" t="s">
        <v>705</v>
      </c>
      <c r="M64" s="66">
        <v>46</v>
      </c>
      <c r="N64" s="36">
        <f t="shared" si="54"/>
        <v>28.840315031266066</v>
      </c>
      <c r="O64" s="91" t="str">
        <f t="shared" si="55"/>
        <v>22,5</v>
      </c>
      <c r="P64" s="67" t="str">
        <f t="shared" si="56"/>
        <v>1+0,195705767151593i</v>
      </c>
      <c r="Q64" s="67">
        <f t="shared" si="57"/>
        <v>1.0189704349471547</v>
      </c>
      <c r="R64" s="67">
        <f t="shared" si="58"/>
        <v>0.19326310066501892</v>
      </c>
      <c r="S64" s="67" t="str">
        <f t="shared" si="59"/>
        <v>1+0,00543627130976647i</v>
      </c>
      <c r="T64" s="67">
        <f t="shared" si="60"/>
        <v>1.0000147764137055</v>
      </c>
      <c r="U64" s="67">
        <f t="shared" si="61"/>
        <v>5.4362177579244568E-3</v>
      </c>
      <c r="V64" t="str">
        <f t="shared" si="62"/>
        <v>1-0,00113255652286801i</v>
      </c>
      <c r="W64" s="67">
        <f t="shared" si="63"/>
        <v>1.0000006413419331</v>
      </c>
      <c r="X64" s="67">
        <f t="shared" si="64"/>
        <v>-1.1325560386309008E-3</v>
      </c>
      <c r="Y64" t="str">
        <f t="shared" si="65"/>
        <v>0,999999946767119+0,00314095675675395i</v>
      </c>
      <c r="Z64" s="67">
        <f t="shared" si="66"/>
        <v>1.0000048795598893</v>
      </c>
      <c r="AA64" s="67">
        <f t="shared" si="67"/>
        <v>3.1409465948648483E-3</v>
      </c>
      <c r="AB64" s="92" t="str">
        <f t="shared" si="68"/>
        <v>21,67516674432-4,21579377574122i</v>
      </c>
      <c r="AC64" s="37">
        <f t="shared" si="69"/>
        <v>26.880510229098363</v>
      </c>
      <c r="AD64" s="60">
        <f t="shared" si="70"/>
        <v>-11.006541334311761</v>
      </c>
      <c r="AE64" t="str">
        <f t="shared" si="71"/>
        <v>34,4450883806789</v>
      </c>
      <c r="AF64" t="str">
        <f t="shared" si="72"/>
        <v>1+0,0978528835757964i</v>
      </c>
      <c r="AG64">
        <f t="shared" si="73"/>
        <v>1.0047761874288712</v>
      </c>
      <c r="AH64">
        <f t="shared" si="74"/>
        <v>9.7542345826641674E-2</v>
      </c>
      <c r="AI64" t="str">
        <f t="shared" si="50"/>
        <v>1+0,00543627130976647i</v>
      </c>
      <c r="AJ64">
        <f t="shared" si="75"/>
        <v>1.0000147764137055</v>
      </c>
      <c r="AK64">
        <f t="shared" si="76"/>
        <v>5.4362177579244568E-3</v>
      </c>
      <c r="AL64" t="str">
        <f t="shared" si="77"/>
        <v>1-0,00036989141145165i</v>
      </c>
      <c r="AM64">
        <f t="shared" si="78"/>
        <v>1.0000000684098258</v>
      </c>
      <c r="AN64">
        <f t="shared" si="79"/>
        <v>-3.6989139458217944E-4</v>
      </c>
      <c r="AO64" s="58" t="str">
        <f t="shared" si="80"/>
        <v>34,1353814818604-3,16573360659234i</v>
      </c>
      <c r="AP64">
        <f t="shared" si="81"/>
        <v>30.701288327853259</v>
      </c>
      <c r="AQ64" s="60">
        <f t="shared" si="82"/>
        <v>-5.2984856214167237</v>
      </c>
      <c r="AR64" t="str">
        <f t="shared" si="83"/>
        <v>-1,36472945891784</v>
      </c>
      <c r="AS64" t="str">
        <f t="shared" si="51"/>
        <v>1+0,00407231083814606i</v>
      </c>
      <c r="AT64">
        <f t="shared" si="84"/>
        <v>1.0000082918234041</v>
      </c>
      <c r="AU64">
        <f t="shared" si="85"/>
        <v>4.0722883270218439E-3</v>
      </c>
      <c r="AV64" t="str">
        <f t="shared" si="52"/>
        <v>1+0,00407231083814606i</v>
      </c>
      <c r="AW64">
        <f t="shared" si="86"/>
        <v>1.0000082918234041</v>
      </c>
      <c r="AX64">
        <f t="shared" si="87"/>
        <v>4.0722883270218439E-3</v>
      </c>
      <c r="AY64" t="str">
        <f t="shared" si="53"/>
        <v>1-3,68341234158561i</v>
      </c>
      <c r="AZ64">
        <f t="shared" si="88"/>
        <v>3.8167429148614644</v>
      </c>
      <c r="BA64">
        <f t="shared" si="89"/>
        <v>-1.3056986858972459</v>
      </c>
      <c r="BB64" s="58" t="str">
        <f t="shared" si="90"/>
        <v>-1,34423622460287+5,0323354796499i</v>
      </c>
      <c r="BC64">
        <f t="shared" si="91"/>
        <v>14.334717465651414</v>
      </c>
      <c r="BD64" s="60">
        <f t="shared" si="92"/>
        <v>104.95565104821128</v>
      </c>
      <c r="BE64" s="58" t="str">
        <f t="shared" si="93"/>
        <v>-7,92125571947264+114,743733343576i</v>
      </c>
      <c r="BF64" s="37">
        <f t="shared" si="94"/>
        <v>41.215227694749792</v>
      </c>
      <c r="BG64" s="60">
        <f t="shared" si="95"/>
        <v>93.949109713899517</v>
      </c>
      <c r="BH64" s="58" t="str">
        <f t="shared" si="96"/>
        <v>-29,9549827809801+176,036185133974i</v>
      </c>
      <c r="BI64" s="37">
        <f t="shared" si="97"/>
        <v>45.036005793504657</v>
      </c>
      <c r="BJ64" s="60">
        <f t="shared" si="98"/>
        <v>99.657165426794577</v>
      </c>
      <c r="BK64">
        <f t="shared" si="99"/>
        <v>41.215227694749792</v>
      </c>
      <c r="BL64" s="60">
        <f t="shared" si="100"/>
        <v>93.949109713899517</v>
      </c>
      <c r="BN64">
        <f t="shared" si="101"/>
        <v>0</v>
      </c>
      <c r="BO64">
        <f t="shared" si="102"/>
        <v>0</v>
      </c>
    </row>
    <row r="65" spans="1:67" x14ac:dyDescent="0.25">
      <c r="A65" t="s">
        <v>568</v>
      </c>
      <c r="B65" s="23">
        <f>SQRT((2*IOUT_vari*Lm*fsw*(VOUT-Vin_vari)/(Vin_vari^2)))</f>
        <v>1.0206207261596576</v>
      </c>
      <c r="M65" s="66">
        <v>47</v>
      </c>
      <c r="N65" s="36">
        <f t="shared" si="54"/>
        <v>29.512092266663863</v>
      </c>
      <c r="O65" s="91" t="str">
        <f t="shared" si="55"/>
        <v>22,5</v>
      </c>
      <c r="P65" s="67" t="str">
        <f t="shared" si="56"/>
        <v>1+0,200264340075153i</v>
      </c>
      <c r="Q65" s="67">
        <f t="shared" si="57"/>
        <v>1.0198557770124834</v>
      </c>
      <c r="R65" s="67">
        <f t="shared" si="58"/>
        <v>0.1976497200734525</v>
      </c>
      <c r="S65" s="67" t="str">
        <f t="shared" si="59"/>
        <v>1+0,00556289833542094i</v>
      </c>
      <c r="T65" s="67">
        <f t="shared" si="60"/>
        <v>1.0000154727992414</v>
      </c>
      <c r="U65" s="67">
        <f t="shared" si="61"/>
        <v>5.5628409536363438E-3</v>
      </c>
      <c r="V65" t="str">
        <f t="shared" si="62"/>
        <v>1-0,00115893715321269i</v>
      </c>
      <c r="W65" s="67">
        <f t="shared" si="63"/>
        <v>1.000000671567437</v>
      </c>
      <c r="X65" s="67">
        <f t="shared" si="64"/>
        <v>-1.1589366343432981E-3</v>
      </c>
      <c r="Y65" t="str">
        <f t="shared" si="65"/>
        <v>0,99999994425833+0,0032141190382432i</v>
      </c>
      <c r="Z65" s="67">
        <f t="shared" si="66"/>
        <v>1.000005109525874</v>
      </c>
      <c r="AA65" s="67">
        <f t="shared" si="67"/>
        <v>3.2141081495858561E-3</v>
      </c>
      <c r="AB65" s="92" t="str">
        <f t="shared" si="68"/>
        <v>21,6377924691947-4,30650752661811i</v>
      </c>
      <c r="AC65" s="37">
        <f t="shared" si="69"/>
        <v>26.872971002415454</v>
      </c>
      <c r="AD65" s="60">
        <f t="shared" si="70"/>
        <v>-11.256324483145884</v>
      </c>
      <c r="AE65" t="str">
        <f t="shared" si="71"/>
        <v>34,4450883806789</v>
      </c>
      <c r="AF65" t="str">
        <f t="shared" si="72"/>
        <v>1+0,100132170037577i</v>
      </c>
      <c r="AG65">
        <f t="shared" si="73"/>
        <v>1.0050007221273198</v>
      </c>
      <c r="AH65">
        <f t="shared" si="74"/>
        <v>9.9799512201309837E-2</v>
      </c>
      <c r="AI65" t="str">
        <f t="shared" si="50"/>
        <v>1+0,00556289833542094i</v>
      </c>
      <c r="AJ65">
        <f t="shared" si="75"/>
        <v>1.0000154727992414</v>
      </c>
      <c r="AK65">
        <f t="shared" si="76"/>
        <v>5.5628409536363438E-3</v>
      </c>
      <c r="AL65" t="str">
        <f t="shared" si="77"/>
        <v>1-0,00037850728924331i</v>
      </c>
      <c r="AM65">
        <f t="shared" si="78"/>
        <v>1.0000000716338815</v>
      </c>
      <c r="AN65">
        <f t="shared" si="79"/>
        <v>-3.785072711673467E-4</v>
      </c>
      <c r="AO65" s="58" t="str">
        <f t="shared" si="80"/>
        <v>34,1209303390797-3,23802599076746i</v>
      </c>
      <c r="AP65">
        <f t="shared" si="81"/>
        <v>30.699353608368831</v>
      </c>
      <c r="AQ65" s="60">
        <f t="shared" si="82"/>
        <v>-5.4210504070064287</v>
      </c>
      <c r="AR65" t="str">
        <f t="shared" si="83"/>
        <v>-1,36472945891784</v>
      </c>
      <c r="AS65" t="str">
        <f t="shared" si="51"/>
        <v>1+0,00416716714306382i</v>
      </c>
      <c r="AT65">
        <f t="shared" si="84"/>
        <v>1.0000086826033052</v>
      </c>
      <c r="AU65">
        <f t="shared" si="85"/>
        <v>4.1671430219709501E-3</v>
      </c>
      <c r="AV65" t="str">
        <f t="shared" si="52"/>
        <v>1+0,00416716714306382i</v>
      </c>
      <c r="AW65">
        <f t="shared" si="86"/>
        <v>1.0000086826033052</v>
      </c>
      <c r="AX65">
        <f t="shared" si="87"/>
        <v>4.1671430219709501E-3</v>
      </c>
      <c r="AY65" t="str">
        <f t="shared" si="53"/>
        <v>1-3,59956764032546i</v>
      </c>
      <c r="AZ65">
        <f t="shared" si="88"/>
        <v>3.7358917539562357</v>
      </c>
      <c r="BA65">
        <f t="shared" si="89"/>
        <v>-1.2998185016795074</v>
      </c>
      <c r="BB65" s="58" t="str">
        <f t="shared" si="90"/>
        <v>-1,3442351740112+4,91803765076922i</v>
      </c>
      <c r="BC65">
        <f t="shared" si="91"/>
        <v>14.148741594437087</v>
      </c>
      <c r="BD65" s="60">
        <f t="shared" si="92"/>
        <v>105.28712601295955</v>
      </c>
      <c r="BE65" s="58" t="str">
        <f t="shared" si="93"/>
        <v>-7,90671556581728+112,204436937454i</v>
      </c>
      <c r="BF65" s="37">
        <f t="shared" si="94"/>
        <v>41.021712596852524</v>
      </c>
      <c r="BG65" s="60">
        <f t="shared" si="95"/>
        <v>94.030801529813687</v>
      </c>
      <c r="BH65" s="58" t="str">
        <f t="shared" si="96"/>
        <v>-29,9418209950132+172,16068851802i</v>
      </c>
      <c r="BI65" s="37">
        <f t="shared" si="97"/>
        <v>44.848095202805929</v>
      </c>
      <c r="BJ65" s="60">
        <f t="shared" si="98"/>
        <v>99.866075605953128</v>
      </c>
      <c r="BK65">
        <f t="shared" si="99"/>
        <v>41.021712596852524</v>
      </c>
      <c r="BL65" s="60">
        <f t="shared" si="100"/>
        <v>94.030801529813687</v>
      </c>
      <c r="BN65">
        <f t="shared" si="101"/>
        <v>0</v>
      </c>
      <c r="BO65">
        <f t="shared" si="102"/>
        <v>0</v>
      </c>
    </row>
    <row r="66" spans="1:67" x14ac:dyDescent="0.25">
      <c r="A66" t="s">
        <v>569</v>
      </c>
      <c r="B66" s="23">
        <f>(fsw*Gcomp)/((Rcs*ACS*(Vin_vari/Lm))+((R_sl+Rsl_int)*Isl))</f>
        <v>3.9061523461913454</v>
      </c>
      <c r="C66" t="s">
        <v>118</v>
      </c>
      <c r="M66" s="66">
        <v>48</v>
      </c>
      <c r="N66" s="36">
        <f t="shared" si="54"/>
        <v>30.199517204020164</v>
      </c>
      <c r="O66" s="91" t="str">
        <f t="shared" si="55"/>
        <v>22,5</v>
      </c>
      <c r="P66" s="67" t="str">
        <f t="shared" si="56"/>
        <v>1+0,204929095802634i</v>
      </c>
      <c r="Q66" s="67">
        <f t="shared" si="57"/>
        <v>1.0207820209557401</v>
      </c>
      <c r="R66" s="67">
        <f t="shared" si="58"/>
        <v>0.20213055131166746</v>
      </c>
      <c r="S66" s="67" t="str">
        <f t="shared" si="59"/>
        <v>1+0,00569247488340652i</v>
      </c>
      <c r="T66" s="67">
        <f t="shared" si="60"/>
        <v>1.0000162020038965</v>
      </c>
      <c r="U66" s="67">
        <f t="shared" si="61"/>
        <v>5.6924133977703578E-3</v>
      </c>
      <c r="V66" t="str">
        <f t="shared" si="62"/>
        <v>1-0,00118593226737636i</v>
      </c>
      <c r="W66" s="67">
        <f t="shared" si="63"/>
        <v>1.0000007032174241</v>
      </c>
      <c r="X66" s="67">
        <f t="shared" si="64"/>
        <v>-1.1859317113978108E-3</v>
      </c>
      <c r="Y66" t="str">
        <f t="shared" si="65"/>
        <v>0,999999941631306+0,00328898548819043i</v>
      </c>
      <c r="Z66" s="67">
        <f t="shared" si="66"/>
        <v>1.0000053503297655</v>
      </c>
      <c r="AA66" s="67">
        <f t="shared" si="67"/>
        <v>3.2889738207872495E-3</v>
      </c>
      <c r="AB66" s="92" t="str">
        <f t="shared" si="68"/>
        <v>21,5987955833229-4,39882741257601i</v>
      </c>
      <c r="AC66" s="37">
        <f t="shared" si="69"/>
        <v>26.865090481496985</v>
      </c>
      <c r="AD66" s="60">
        <f t="shared" si="70"/>
        <v>-11.51146943858906</v>
      </c>
      <c r="AE66" t="str">
        <f t="shared" si="71"/>
        <v>34,4450883806789</v>
      </c>
      <c r="AF66" t="str">
        <f t="shared" si="72"/>
        <v>1+0,102464547901317i</v>
      </c>
      <c r="AG66">
        <f t="shared" si="73"/>
        <v>1.0052357850656837</v>
      </c>
      <c r="AH66">
        <f t="shared" si="74"/>
        <v>0.10210819880233245</v>
      </c>
      <c r="AI66" t="str">
        <f t="shared" si="50"/>
        <v>1+0,00569247488340652i</v>
      </c>
      <c r="AJ66">
        <f t="shared" si="75"/>
        <v>1.0000162020038965</v>
      </c>
      <c r="AK66">
        <f t="shared" si="76"/>
        <v>5.6924133977703578E-3</v>
      </c>
      <c r="AL66" t="str">
        <f t="shared" si="77"/>
        <v>1-0,000387323856609864i</v>
      </c>
      <c r="AM66">
        <f t="shared" si="78"/>
        <v>1.0000000750098821</v>
      </c>
      <c r="AN66">
        <f t="shared" si="79"/>
        <v>-3.8732383724112047E-4</v>
      </c>
      <c r="AO66" s="58" t="str">
        <f t="shared" si="80"/>
        <v>34,1058119687618-3,31190020819564i</v>
      </c>
      <c r="AP66">
        <f t="shared" si="81"/>
        <v>30.697328637515202</v>
      </c>
      <c r="AQ66" s="60">
        <f t="shared" si="82"/>
        <v>-5.546409603299173</v>
      </c>
      <c r="AR66" t="str">
        <f t="shared" si="83"/>
        <v>-1,36472945891784</v>
      </c>
      <c r="AS66" t="str">
        <f t="shared" si="51"/>
        <v>1+0,00426423293515982i</v>
      </c>
      <c r="AT66">
        <f t="shared" si="84"/>
        <v>1.0000090917999322</v>
      </c>
      <c r="AU66">
        <f t="shared" si="85"/>
        <v>4.2642070889558382E-3</v>
      </c>
      <c r="AV66" t="str">
        <f t="shared" si="52"/>
        <v>1+0,00426423293515982i</v>
      </c>
      <c r="AW66">
        <f t="shared" si="86"/>
        <v>1.0000090917999322</v>
      </c>
      <c r="AX66">
        <f t="shared" si="87"/>
        <v>4.2642070889558382E-3</v>
      </c>
      <c r="AY66" t="str">
        <f t="shared" si="53"/>
        <v>1-3,51763147747411i</v>
      </c>
      <c r="AZ66">
        <f t="shared" si="88"/>
        <v>3.6570112402502528</v>
      </c>
      <c r="BA66">
        <f t="shared" si="89"/>
        <v>-1.2938211758309746</v>
      </c>
      <c r="BB66" s="58" t="str">
        <f t="shared" si="90"/>
        <v>-1,34423407390843+4,80634743013612i</v>
      </c>
      <c r="BC66">
        <f t="shared" si="91"/>
        <v>13.963378259672098</v>
      </c>
      <c r="BD66" s="60">
        <f t="shared" si="92"/>
        <v>105.62518611106464</v>
      </c>
      <c r="BE66" s="58" t="str">
        <f t="shared" si="93"/>
        <v>-7,89154414843852+109,724369339167i</v>
      </c>
      <c r="BF66" s="37">
        <f t="shared" si="94"/>
        <v>40.828468741169118</v>
      </c>
      <c r="BG66" s="60">
        <f t="shared" si="95"/>
        <v>94.113716672475533</v>
      </c>
      <c r="BH66" s="58" t="str">
        <f t="shared" si="96"/>
        <v>-29,9280515121952+168,376350818005i</v>
      </c>
      <c r="BI66" s="37">
        <f t="shared" si="97"/>
        <v>44.660706897187296</v>
      </c>
      <c r="BJ66" s="60">
        <f t="shared" si="98"/>
        <v>100.07877650776545</v>
      </c>
      <c r="BK66">
        <f t="shared" si="99"/>
        <v>40.828468741169118</v>
      </c>
      <c r="BL66" s="60">
        <f t="shared" si="100"/>
        <v>94.113716672475533</v>
      </c>
      <c r="BN66">
        <f t="shared" si="101"/>
        <v>0</v>
      </c>
      <c r="BO66">
        <f t="shared" si="102"/>
        <v>0</v>
      </c>
    </row>
    <row r="67" spans="1:67" x14ac:dyDescent="0.25">
      <c r="A67" t="s">
        <v>570</v>
      </c>
      <c r="B67" s="23">
        <f>(B66*2*VOUT/DC_VIN_var_DCM)*(((VOUT/Vin_vari)-1)/((2*VOUT/Vin_vari)-1))</f>
        <v>34.445088380678925</v>
      </c>
      <c r="C67" t="s">
        <v>118</v>
      </c>
      <c r="M67" s="66">
        <v>49</v>
      </c>
      <c r="N67" s="36">
        <f t="shared" si="54"/>
        <v>30.902954325135919</v>
      </c>
      <c r="O67" s="91" t="str">
        <f t="shared" si="55"/>
        <v>22,5</v>
      </c>
      <c r="P67" s="67" t="str">
        <f t="shared" si="56"/>
        <v>1+0,209702507649267i</v>
      </c>
      <c r="Q67" s="67">
        <f t="shared" si="57"/>
        <v>1.0217510174765627</v>
      </c>
      <c r="R67" s="67">
        <f t="shared" si="58"/>
        <v>0.20670725011091667</v>
      </c>
      <c r="S67" s="67" t="str">
        <f t="shared" si="59"/>
        <v>1+0,00582506965692409i</v>
      </c>
      <c r="T67" s="67">
        <f t="shared" si="60"/>
        <v>1.0000169655743387</v>
      </c>
      <c r="U67" s="67">
        <f t="shared" si="61"/>
        <v>5.8250037739383149E-3</v>
      </c>
      <c r="V67" t="str">
        <f t="shared" si="62"/>
        <v>1-0,00121355617852585i</v>
      </c>
      <c r="W67" s="67">
        <f t="shared" si="63"/>
        <v>1.0000007363590282</v>
      </c>
      <c r="X67" s="67">
        <f t="shared" si="64"/>
        <v>-1.2135555827841251E-3</v>
      </c>
      <c r="Y67" t="str">
        <f t="shared" si="65"/>
        <v>0,999999938880474+0,00336559580177836i</v>
      </c>
      <c r="Z67" s="67">
        <f t="shared" si="66"/>
        <v>1.0000056024823325</v>
      </c>
      <c r="AA67" s="67">
        <f t="shared" si="67"/>
        <v>3.3655832999343934E-3</v>
      </c>
      <c r="AB67" s="92" t="str">
        <f t="shared" si="68"/>
        <v>21,5581121779777-4,49275789193577i</v>
      </c>
      <c r="AC67" s="37">
        <f t="shared" si="69"/>
        <v>26.856853878378047</v>
      </c>
      <c r="AD67" s="60">
        <f t="shared" si="70"/>
        <v>-11.772070226000249</v>
      </c>
      <c r="AE67" t="str">
        <f t="shared" si="71"/>
        <v>34,4450883806789</v>
      </c>
      <c r="AF67" t="str">
        <f t="shared" si="72"/>
        <v>1+0,104851253824634i</v>
      </c>
      <c r="AG67">
        <f t="shared" si="73"/>
        <v>1.0054818672798618</v>
      </c>
      <c r="AH67">
        <f t="shared" si="74"/>
        <v>0.10446953122895485</v>
      </c>
      <c r="AI67" t="str">
        <f t="shared" si="50"/>
        <v>1+0,00582506965692409i</v>
      </c>
      <c r="AJ67">
        <f t="shared" si="75"/>
        <v>1.0000169655743387</v>
      </c>
      <c r="AK67">
        <f t="shared" si="76"/>
        <v>5.8250037739383149E-3</v>
      </c>
      <c r="AL67" t="str">
        <f t="shared" si="77"/>
        <v>1-0,000396345788212029i</v>
      </c>
      <c r="AM67">
        <f t="shared" si="78"/>
        <v>1.000000078544989</v>
      </c>
      <c r="AN67">
        <f t="shared" si="79"/>
        <v>-3.9634576745804648E-4</v>
      </c>
      <c r="AO67" s="58" t="str">
        <f t="shared" si="80"/>
        <v>34,0899962388215-3,3873859750654i</v>
      </c>
      <c r="AP67">
        <f t="shared" si="81"/>
        <v>30.695209250565902</v>
      </c>
      <c r="AQ67" s="60">
        <f t="shared" si="82"/>
        <v>-5.6746240349380361</v>
      </c>
      <c r="AR67" t="str">
        <f t="shared" si="83"/>
        <v>-1,36472945891784</v>
      </c>
      <c r="AS67" t="str">
        <f t="shared" si="51"/>
        <v>1+0,00436355968000183i</v>
      </c>
      <c r="AT67">
        <f t="shared" si="84"/>
        <v>1.0000095202812225</v>
      </c>
      <c r="AU67">
        <f t="shared" si="85"/>
        <v>4.3635319853095366E-3</v>
      </c>
      <c r="AV67" t="str">
        <f t="shared" si="52"/>
        <v>1+0,00436355968000183i</v>
      </c>
      <c r="AW67">
        <f t="shared" si="86"/>
        <v>1.0000095202812225</v>
      </c>
      <c r="AX67">
        <f t="shared" si="87"/>
        <v>4.3635319853095366E-3</v>
      </c>
      <c r="AY67" t="str">
        <f t="shared" si="53"/>
        <v>1-3,43756040939349i</v>
      </c>
      <c r="AZ67">
        <f t="shared" si="88"/>
        <v>3.5800588777601883</v>
      </c>
      <c r="BA67">
        <f t="shared" si="89"/>
        <v>-1.2877052548614998</v>
      </c>
      <c r="BB67" s="58" t="str">
        <f t="shared" si="90"/>
        <v>-1,34423292196135+4,69720559808777i</v>
      </c>
      <c r="BC67">
        <f t="shared" si="91"/>
        <v>13.778652016534124</v>
      </c>
      <c r="BD67" s="60">
        <f t="shared" si="92"/>
        <v>105.9699116730895</v>
      </c>
      <c r="BE67" s="58" t="str">
        <f t="shared" si="93"/>
        <v>-7,87571660411983+107,302198275343i</v>
      </c>
      <c r="BF67" s="37">
        <f t="shared" si="94"/>
        <v>40.6355058949122</v>
      </c>
      <c r="BG67" s="60">
        <f t="shared" si="95"/>
        <v>94.197841447089246</v>
      </c>
      <c r="BH67" s="58" t="str">
        <f t="shared" si="96"/>
        <v>-29,9136468888013+164,681156918856i</v>
      </c>
      <c r="BI67" s="37">
        <f t="shared" si="97"/>
        <v>44.473861267100006</v>
      </c>
      <c r="BJ67" s="60">
        <f t="shared" si="98"/>
        <v>100.29528763815151</v>
      </c>
      <c r="BK67">
        <f t="shared" si="99"/>
        <v>40.6355058949122</v>
      </c>
      <c r="BL67" s="60">
        <f t="shared" si="100"/>
        <v>94.197841447089246</v>
      </c>
      <c r="BN67">
        <f t="shared" si="101"/>
        <v>0</v>
      </c>
      <c r="BO67">
        <f t="shared" si="102"/>
        <v>0</v>
      </c>
    </row>
    <row r="68" spans="1:67" x14ac:dyDescent="0.25">
      <c r="A68" t="s">
        <v>571</v>
      </c>
      <c r="B68" s="23">
        <f>(B18*((2*VOUT)-Vin_vari))/(COUT*VOUT*(VOUT-Vin_vari))</f>
        <v>1851.851851851852</v>
      </c>
      <c r="C68" t="s">
        <v>525</v>
      </c>
      <c r="M68" s="66">
        <v>50</v>
      </c>
      <c r="N68" s="36">
        <f t="shared" si="54"/>
        <v>31.622776601683803</v>
      </c>
      <c r="O68" s="91" t="str">
        <f t="shared" si="55"/>
        <v>22,5</v>
      </c>
      <c r="P68" s="67" t="str">
        <f t="shared" si="56"/>
        <v>1+0,214587106541196i</v>
      </c>
      <c r="Q68" s="67">
        <f t="shared" si="57"/>
        <v>1.0227646974224924</v>
      </c>
      <c r="R68" s="67">
        <f t="shared" si="58"/>
        <v>0.21138147582271596</v>
      </c>
      <c r="S68" s="67" t="str">
        <f t="shared" si="59"/>
        <v>1+0,00596075295947767i</v>
      </c>
      <c r="T68" s="67">
        <f t="shared" si="60"/>
        <v>1.0000177651301221</v>
      </c>
      <c r="U68" s="67">
        <f t="shared" si="61"/>
        <v>5.9606823646542574E-3</v>
      </c>
      <c r="V68" t="str">
        <f t="shared" si="62"/>
        <v>1-0,00124182353322451i</v>
      </c>
      <c r="W68" s="67">
        <f t="shared" si="63"/>
        <v>1.0000007710625465</v>
      </c>
      <c r="X68" s="67">
        <f t="shared" si="64"/>
        <v>-1.2418228948757773E-3</v>
      </c>
      <c r="Y68" t="str">
        <f t="shared" si="65"/>
        <v>0,999999936+0,00344399059880931i</v>
      </c>
      <c r="Z68" s="67">
        <f t="shared" si="66"/>
        <v>1.0000058665184164</v>
      </c>
      <c r="AA68" s="67">
        <f t="shared" si="67"/>
        <v>3.4439772028463911E-3</v>
      </c>
      <c r="AB68" s="92" t="str">
        <f t="shared" si="68"/>
        <v>21,5156764290117-4,58830154351676i</v>
      </c>
      <c r="AC68" s="37">
        <f t="shared" si="69"/>
        <v>26.848245825361637</v>
      </c>
      <c r="AD68" s="60">
        <f t="shared" si="70"/>
        <v>-12.03822105861703</v>
      </c>
      <c r="AE68" t="str">
        <f t="shared" si="71"/>
        <v>34,4450883806789</v>
      </c>
      <c r="AF68" t="str">
        <f t="shared" si="72"/>
        <v>1+0,107293553270598i</v>
      </c>
      <c r="AG68">
        <f t="shared" si="73"/>
        <v>1.0057394824572765</v>
      </c>
      <c r="AH68">
        <f t="shared" si="74"/>
        <v>0.10688465610105424</v>
      </c>
      <c r="AI68" t="str">
        <f t="shared" si="50"/>
        <v>1+0,00596075295947767i</v>
      </c>
      <c r="AJ68">
        <f t="shared" si="75"/>
        <v>1.0000177651301221</v>
      </c>
      <c r="AK68">
        <f t="shared" si="76"/>
        <v>5.9606823646542574E-3</v>
      </c>
      <c r="AL68" t="str">
        <f t="shared" si="77"/>
        <v>1-0,000405577867597361i</v>
      </c>
      <c r="AM68">
        <f t="shared" si="78"/>
        <v>1.0000000822466999</v>
      </c>
      <c r="AN68">
        <f t="shared" si="79"/>
        <v>-4.0557784535906813E-4</v>
      </c>
      <c r="AO68" s="58" t="str">
        <f t="shared" si="80"/>
        <v>34,0734517206984-3,46451321029794i</v>
      </c>
      <c r="AP68">
        <f t="shared" si="81"/>
        <v>30.692991094933987</v>
      </c>
      <c r="AQ68" s="60">
        <f t="shared" si="82"/>
        <v>-5.8057556455879693</v>
      </c>
      <c r="AR68" t="str">
        <f t="shared" si="83"/>
        <v>-1,36472945891784</v>
      </c>
      <c r="AS68" t="str">
        <f t="shared" si="51"/>
        <v>1+0,00446520004194472i</v>
      </c>
      <c r="AT68">
        <f t="shared" si="84"/>
        <v>1.0000099689560171</v>
      </c>
      <c r="AU68">
        <f t="shared" si="85"/>
        <v>4.4651703665632521E-3</v>
      </c>
      <c r="AV68" t="str">
        <f t="shared" si="52"/>
        <v>1+0,00446520004194472i</v>
      </c>
      <c r="AW68">
        <f t="shared" si="86"/>
        <v>1.0000099689560171</v>
      </c>
      <c r="AX68">
        <f t="shared" si="87"/>
        <v>4.4651703665632521E-3</v>
      </c>
      <c r="AY68" t="str">
        <f t="shared" si="53"/>
        <v>1-3,35931198134342i</v>
      </c>
      <c r="AZ68">
        <f t="shared" si="88"/>
        <v>3.5049931509201913</v>
      </c>
      <c r="BA68">
        <f t="shared" si="89"/>
        <v>-1.2814693268409121</v>
      </c>
      <c r="BB68" s="58" t="str">
        <f t="shared" si="90"/>
        <v>-1,34423171572678+4,59055428614847i</v>
      </c>
      <c r="BC68">
        <f t="shared" si="91"/>
        <v>13.594588210008624</v>
      </c>
      <c r="BD68" s="60">
        <f t="shared" si="92"/>
        <v>106.32138057973411</v>
      </c>
      <c r="BE68" s="58" t="str">
        <f t="shared" si="93"/>
        <v>-7,85920732446013+104,936621106697i</v>
      </c>
      <c r="BF68" s="37">
        <f t="shared" si="94"/>
        <v>40.442834035370289</v>
      </c>
      <c r="BG68" s="60">
        <f t="shared" si="95"/>
        <v>94.283159521117057</v>
      </c>
      <c r="BH68" s="58" t="str">
        <f t="shared" si="96"/>
        <v>-29,8985785002968+161,073138377162i</v>
      </c>
      <c r="BI68" s="37">
        <f t="shared" si="97"/>
        <v>44.287579304942625</v>
      </c>
      <c r="BJ68" s="60">
        <f t="shared" si="98"/>
        <v>100.51562493414612</v>
      </c>
      <c r="BK68">
        <f t="shared" si="99"/>
        <v>40.442834035370289</v>
      </c>
      <c r="BL68" s="60">
        <f t="shared" si="100"/>
        <v>94.283159521117057</v>
      </c>
      <c r="BN68">
        <f t="shared" si="101"/>
        <v>0</v>
      </c>
      <c r="BO68">
        <f t="shared" si="102"/>
        <v>0</v>
      </c>
    </row>
    <row r="69" spans="1:67" x14ac:dyDescent="0.25">
      <c r="B69" s="23">
        <f>B68/(2*PI())</f>
        <v>294.73137609610251</v>
      </c>
      <c r="C69" t="s">
        <v>70</v>
      </c>
      <c r="M69" s="66">
        <v>51</v>
      </c>
      <c r="N69" s="36">
        <f t="shared" si="54"/>
        <v>32.359365692962832</v>
      </c>
      <c r="O69" s="91" t="str">
        <f t="shared" si="55"/>
        <v>22,5</v>
      </c>
      <c r="P69" s="67" t="str">
        <f t="shared" si="56"/>
        <v>1+0,219585482357409i</v>
      </c>
      <c r="Q69" s="67">
        <f t="shared" si="57"/>
        <v>1.0238250749332798</v>
      </c>
      <c r="R69" s="67">
        <f t="shared" si="58"/>
        <v>0.21615488940906566</v>
      </c>
      <c r="S69" s="67" t="str">
        <f t="shared" si="59"/>
        <v>1+0,00609959673215026i</v>
      </c>
      <c r="T69" s="67">
        <f t="shared" si="60"/>
        <v>1.0000186023671234</v>
      </c>
      <c r="U69" s="67">
        <f t="shared" si="61"/>
        <v>6.0995210885101212E-3</v>
      </c>
      <c r="V69" t="str">
        <f t="shared" si="62"/>
        <v>1-0,00127074931919797i</v>
      </c>
      <c r="W69" s="67">
        <f t="shared" si="63"/>
        <v>1.0000008074015903</v>
      </c>
      <c r="X69" s="67">
        <f t="shared" si="64"/>
        <v>-1.2707486351950092E-3</v>
      </c>
      <c r="Y69" t="str">
        <f t="shared" si="65"/>
        <v>0,999999932983773+0,00352421144524237i</v>
      </c>
      <c r="Z69" s="67">
        <f t="shared" si="66"/>
        <v>1.0000061429980625</v>
      </c>
      <c r="AA69" s="67">
        <f t="shared" si="67"/>
        <v>3.524197091214252E-3</v>
      </c>
      <c r="AB69" s="92" t="str">
        <f t="shared" si="68"/>
        <v>21,471420596604-4,68545892186613i</v>
      </c>
      <c r="AC69" s="37">
        <f t="shared" si="69"/>
        <v>26.839250357901868</v>
      </c>
      <c r="AD69" s="60">
        <f t="shared" si="70"/>
        <v>-12.310016221951377</v>
      </c>
      <c r="AE69" t="str">
        <f t="shared" si="71"/>
        <v>34,4450883806789</v>
      </c>
      <c r="AF69" t="str">
        <f t="shared" si="72"/>
        <v>1+0,109792741178705i</v>
      </c>
      <c r="AG69">
        <f t="shared" si="73"/>
        <v>1.0060091679579934</v>
      </c>
      <c r="AH69">
        <f t="shared" si="74"/>
        <v>0.10935474119228666</v>
      </c>
      <c r="AI69" t="str">
        <f t="shared" si="50"/>
        <v>1+0,00609959673215026i</v>
      </c>
      <c r="AJ69">
        <f t="shared" si="75"/>
        <v>1.0000186023671234</v>
      </c>
      <c r="AK69">
        <f t="shared" si="76"/>
        <v>6.0995210885101212E-3</v>
      </c>
      <c r="AL69" t="str">
        <f t="shared" si="77"/>
        <v>1-0,00041502498973655i</v>
      </c>
      <c r="AM69">
        <f t="shared" si="78"/>
        <v>1.0000000861228673</v>
      </c>
      <c r="AN69">
        <f t="shared" si="79"/>
        <v>-4.1502496590779001E-4</v>
      </c>
      <c r="AO69" s="58" t="str">
        <f t="shared" si="80"/>
        <v>34,0561456397298-3,54331200769339i</v>
      </c>
      <c r="AP69">
        <f t="shared" si="81"/>
        <v>30.690669622109958</v>
      </c>
      <c r="AQ69" s="60">
        <f t="shared" si="82"/>
        <v>-5.9398675035798494</v>
      </c>
      <c r="AR69" t="str">
        <f t="shared" si="83"/>
        <v>-1,36472945891784</v>
      </c>
      <c r="AS69" t="str">
        <f t="shared" si="51"/>
        <v>1+0,00456920791205376i</v>
      </c>
      <c r="AT69">
        <f t="shared" si="84"/>
        <v>1.0000104387759878</v>
      </c>
      <c r="AU69">
        <f t="shared" si="85"/>
        <v>4.5691761143275538E-3</v>
      </c>
      <c r="AV69" t="str">
        <f t="shared" si="52"/>
        <v>1+0,00456920791205376i</v>
      </c>
      <c r="AW69">
        <f t="shared" si="86"/>
        <v>1.0000104387759878</v>
      </c>
      <c r="AX69">
        <f t="shared" si="87"/>
        <v>4.5691761143275538E-3</v>
      </c>
      <c r="AY69" t="str">
        <f t="shared" si="53"/>
        <v>1-3,2828447049716i</v>
      </c>
      <c r="AZ69">
        <f t="shared" si="88"/>
        <v>3.4317735002415404</v>
      </c>
      <c r="BA69">
        <f t="shared" si="89"/>
        <v>-1.2751120260968789</v>
      </c>
      <c r="BB69" s="58" t="str">
        <f t="shared" si="90"/>
        <v>-1,34423045264645+4,48633694634705i</v>
      </c>
      <c r="BC69">
        <f t="shared" si="91"/>
        <v>13.411212983087129</v>
      </c>
      <c r="BD69" s="60">
        <f t="shared" si="92"/>
        <v>106.67966799107054</v>
      </c>
      <c r="BE69" s="58" t="str">
        <f t="shared" si="93"/>
        <v>-7,84198995577587+102,626364080498i</v>
      </c>
      <c r="BF69" s="37">
        <f t="shared" si="94"/>
        <v>40.250463340989</v>
      </c>
      <c r="BG69" s="60">
        <f t="shared" si="95"/>
        <v>94.369651769119173</v>
      </c>
      <c r="BH69" s="58" t="str">
        <f t="shared" si="96"/>
        <v>-29,8828164961374+157,550372337665i</v>
      </c>
      <c r="BI69" s="37">
        <f t="shared" si="97"/>
        <v>44.10188260519709</v>
      </c>
      <c r="BJ69" s="60">
        <f t="shared" si="98"/>
        <v>100.73980048749071</v>
      </c>
      <c r="BK69">
        <f t="shared" si="99"/>
        <v>40.250463340989</v>
      </c>
      <c r="BL69" s="60">
        <f t="shared" si="100"/>
        <v>94.369651769119173</v>
      </c>
      <c r="BN69">
        <f t="shared" si="101"/>
        <v>0</v>
      </c>
      <c r="BO69">
        <f t="shared" si="102"/>
        <v>0</v>
      </c>
    </row>
    <row r="70" spans="1:67" x14ac:dyDescent="0.25">
      <c r="A70" t="s">
        <v>572</v>
      </c>
      <c r="B70" s="23">
        <f>1/(COUT*RESR)</f>
        <v>33333.333333333336</v>
      </c>
      <c r="C70" t="s">
        <v>525</v>
      </c>
      <c r="M70" s="66">
        <v>52</v>
      </c>
      <c r="N70" s="36">
        <f t="shared" si="54"/>
        <v>33.113112148259127</v>
      </c>
      <c r="O70" s="91" t="str">
        <f t="shared" si="55"/>
        <v>22,5</v>
      </c>
      <c r="P70" s="67" t="str">
        <f t="shared" si="56"/>
        <v>1+0,224700285302927i</v>
      </c>
      <c r="Q70" s="67">
        <f t="shared" si="57"/>
        <v>1.0249342506791432</v>
      </c>
      <c r="R70" s="67">
        <f t="shared" si="58"/>
        <v>0.22102915128030767</v>
      </c>
      <c r="S70" s="67" t="str">
        <f t="shared" si="59"/>
        <v>1+0,00624167459174797i</v>
      </c>
      <c r="T70" s="67">
        <f t="shared" si="60"/>
        <v>1.0000194790611376</v>
      </c>
      <c r="U70" s="67">
        <f t="shared" si="61"/>
        <v>6.241593538212512E-3</v>
      </c>
      <c r="V70" t="str">
        <f t="shared" si="62"/>
        <v>1-0,00130034887328083i</v>
      </c>
      <c r="W70" s="67">
        <f t="shared" si="63"/>
        <v>1.0000008454532388</v>
      </c>
      <c r="X70" s="67">
        <f t="shared" si="64"/>
        <v>-1.3003481403584861E-3</v>
      </c>
      <c r="Y70" t="str">
        <f t="shared" si="65"/>
        <v>0,999999929825395+0,00360630087523215i</v>
      </c>
      <c r="Z70" s="67">
        <f t="shared" si="66"/>
        <v>1.0000064325077103</v>
      </c>
      <c r="AA70" s="67">
        <f t="shared" si="67"/>
        <v>3.6062854946192591E-3</v>
      </c>
      <c r="AB70" s="92" t="str">
        <f t="shared" si="68"/>
        <v>21,4252750315967-4,78422840612583i</v>
      </c>
      <c r="AC70" s="37">
        <f t="shared" si="69"/>
        <v>26.829850897515392</v>
      </c>
      <c r="AD70" s="60">
        <f t="shared" si="70"/>
        <v>-12.58754994944568</v>
      </c>
      <c r="AE70" t="str">
        <f t="shared" si="71"/>
        <v>34,4450883806789</v>
      </c>
      <c r="AF70" t="str">
        <f t="shared" si="72"/>
        <v>1+0,112350142651463i</v>
      </c>
      <c r="AG70">
        <f t="shared" si="73"/>
        <v>1.0062914858796153</v>
      </c>
      <c r="AH70">
        <f t="shared" si="74"/>
        <v>0.11188097554263357</v>
      </c>
      <c r="AI70" t="str">
        <f t="shared" si="50"/>
        <v>1+0,00624167459174797i</v>
      </c>
      <c r="AJ70">
        <f t="shared" si="75"/>
        <v>1.0000194790611376</v>
      </c>
      <c r="AK70">
        <f t="shared" si="76"/>
        <v>6.241593538212512E-3</v>
      </c>
      <c r="AL70" t="str">
        <f t="shared" si="77"/>
        <v>1-0,000424692163618805i</v>
      </c>
      <c r="AM70">
        <f t="shared" si="78"/>
        <v>1.0000000901817128</v>
      </c>
      <c r="AN70">
        <f t="shared" si="79"/>
        <v>-4.2469213808582875E-4</v>
      </c>
      <c r="AO70" s="58" t="str">
        <f t="shared" si="80"/>
        <v>34,0380438242277-3,62381260538296i</v>
      </c>
      <c r="AP70">
        <f t="shared" si="81"/>
        <v>30.688240079293418</v>
      </c>
      <c r="AQ70" s="60">
        <f t="shared" si="82"/>
        <v>-6.0770238063282811</v>
      </c>
      <c r="AR70" t="str">
        <f t="shared" si="83"/>
        <v>-1,36472945891784</v>
      </c>
      <c r="AS70" t="str">
        <f t="shared" si="51"/>
        <v>1+0,0046756384366784i</v>
      </c>
      <c r="AT70">
        <f t="shared" si="84"/>
        <v>1.0000109307376548</v>
      </c>
      <c r="AU70">
        <f t="shared" si="85"/>
        <v>4.6756043648210214E-3</v>
      </c>
      <c r="AV70" t="str">
        <f t="shared" si="52"/>
        <v>1+0,0046756384366784i</v>
      </c>
      <c r="AW70">
        <f t="shared" si="86"/>
        <v>1.0000109307376548</v>
      </c>
      <c r="AX70">
        <f t="shared" si="87"/>
        <v>4.6756043648210214E-3</v>
      </c>
      <c r="AY70" t="str">
        <f t="shared" si="53"/>
        <v>1-3,20811803631593i</v>
      </c>
      <c r="AZ70">
        <f t="shared" si="88"/>
        <v>3.3603602983810497</v>
      </c>
      <c r="BA70">
        <f t="shared" si="89"/>
        <v>-1.2686320381259539</v>
      </c>
      <c r="BB70" s="58" t="str">
        <f t="shared" si="90"/>
        <v>-1,34422913004153+4,38449832123413i</v>
      </c>
      <c r="BC70">
        <f t="shared" si="91"/>
        <v>13.228553283361826</v>
      </c>
      <c r="BD70" s="60">
        <f t="shared" si="92"/>
        <v>107.04484606352595</v>
      </c>
      <c r="BE70" s="58" t="str">
        <f t="shared" si="93"/>
        <v>-7,82403740156441+100,370181596302i</v>
      </c>
      <c r="BF70" s="37">
        <f t="shared" si="94"/>
        <v>40.058404180877233</v>
      </c>
      <c r="BG70" s="60">
        <f t="shared" si="95"/>
        <v>94.457296114080265</v>
      </c>
      <c r="BH70" s="58" t="str">
        <f t="shared" si="96"/>
        <v>-29,8663297533884+154,110980471388i</v>
      </c>
      <c r="BI70" s="37">
        <f t="shared" si="97"/>
        <v>43.91679336265527</v>
      </c>
      <c r="BJ70" s="60">
        <f t="shared" si="98"/>
        <v>100.96782225719764</v>
      </c>
      <c r="BK70">
        <f t="shared" si="99"/>
        <v>40.058404180877233</v>
      </c>
      <c r="BL70" s="60">
        <f t="shared" si="100"/>
        <v>94.457296114080265</v>
      </c>
      <c r="BN70">
        <f t="shared" si="101"/>
        <v>0</v>
      </c>
      <c r="BO70">
        <f t="shared" si="102"/>
        <v>0</v>
      </c>
    </row>
    <row r="71" spans="1:67" x14ac:dyDescent="0.25">
      <c r="B71" s="23">
        <f>B70/(2*PI())</f>
        <v>5305.1647697298449</v>
      </c>
      <c r="C71" t="s">
        <v>70</v>
      </c>
      <c r="M71" s="66">
        <v>53</v>
      </c>
      <c r="N71" s="36">
        <f t="shared" si="54"/>
        <v>33.884415613920268</v>
      </c>
      <c r="O71" s="91" t="str">
        <f t="shared" si="55"/>
        <v>22,5</v>
      </c>
      <c r="P71" s="67" t="str">
        <f t="shared" si="56"/>
        <v>1+0,22993422731397i</v>
      </c>
      <c r="Q71" s="67">
        <f t="shared" si="57"/>
        <v>1.0260944151931013</v>
      </c>
      <c r="R71" s="67">
        <f t="shared" si="58"/>
        <v>0.22600591897407374</v>
      </c>
      <c r="S71" s="67" t="str">
        <f t="shared" si="59"/>
        <v>1+0,00638706186983251i</v>
      </c>
      <c r="T71" s="67">
        <f t="shared" si="60"/>
        <v>1.0000203970716444</v>
      </c>
      <c r="U71" s="67">
        <f t="shared" si="61"/>
        <v>6.3869750195001841E-3</v>
      </c>
      <c r="V71" t="str">
        <f t="shared" si="62"/>
        <v>1-0,00133063788954844i</v>
      </c>
      <c r="W71" s="67">
        <f t="shared" si="63"/>
        <v>1.0000008852982047</v>
      </c>
      <c r="X71" s="67">
        <f t="shared" si="64"/>
        <v>-1.3306371042080369E-3</v>
      </c>
      <c r="Y71" t="str">
        <f t="shared" si="65"/>
        <v>0,999999926518168+0,003690302413681i</v>
      </c>
      <c r="Z71" s="67">
        <f t="shared" si="66"/>
        <v>1.0000067356614386</v>
      </c>
      <c r="AA71" s="67">
        <f t="shared" si="67"/>
        <v>3.6902859330633551E-3</v>
      </c>
      <c r="AB71" s="92" t="str">
        <f t="shared" si="68"/>
        <v>21,3771681891037-4,88460604257416i</v>
      </c>
      <c r="AC71" s="37">
        <f t="shared" si="69"/>
        <v>26.820030234782081</v>
      </c>
      <c r="AD71" s="60">
        <f t="shared" si="70"/>
        <v>-12.870916289012939</v>
      </c>
      <c r="AE71" t="str">
        <f t="shared" si="71"/>
        <v>34,4450883806789</v>
      </c>
      <c r="AF71" t="str">
        <f t="shared" si="72"/>
        <v>1+0,114967113656985i</v>
      </c>
      <c r="AG71">
        <f t="shared" si="73"/>
        <v>1.0065870241676167</v>
      </c>
      <c r="AH71">
        <f t="shared" si="74"/>
        <v>0.11446456954841749</v>
      </c>
      <c r="AI71" t="str">
        <f t="shared" si="50"/>
        <v>1+0,00638706186983251i</v>
      </c>
      <c r="AJ71">
        <f t="shared" si="75"/>
        <v>1.0000203970716444</v>
      </c>
      <c r="AK71">
        <f t="shared" si="76"/>
        <v>6.3869750195001841E-3</v>
      </c>
      <c r="AL71" t="str">
        <f t="shared" si="77"/>
        <v>1-0,000434584514907673i</v>
      </c>
      <c r="AM71">
        <f t="shared" si="78"/>
        <v>1.0000000944318459</v>
      </c>
      <c r="AN71">
        <f t="shared" si="79"/>
        <v>-4.3458448754859618E-4</v>
      </c>
      <c r="AO71" s="58" t="str">
        <f t="shared" si="80"/>
        <v>34,0191106532884-3,70604535241178i</v>
      </c>
      <c r="AP71">
        <f t="shared" si="81"/>
        <v>30.685697500710248</v>
      </c>
      <c r="AQ71" s="60">
        <f t="shared" si="82"/>
        <v>-6.2172898834115466</v>
      </c>
      <c r="AR71" t="str">
        <f t="shared" si="83"/>
        <v>-1,36472945891784</v>
      </c>
      <c r="AS71" t="str">
        <f t="shared" si="51"/>
        <v>1+0,00478454804669153i</v>
      </c>
      <c r="AT71">
        <f t="shared" si="84"/>
        <v>1.0000114458845015</v>
      </c>
      <c r="AU71">
        <f t="shared" si="85"/>
        <v>4.7845115380611529E-3</v>
      </c>
      <c r="AV71" t="str">
        <f t="shared" si="52"/>
        <v>1+0,00478454804669153i</v>
      </c>
      <c r="AW71">
        <f t="shared" si="86"/>
        <v>1.0000114458845015</v>
      </c>
      <c r="AX71">
        <f t="shared" si="87"/>
        <v>4.7845115380611529E-3</v>
      </c>
      <c r="AY71" t="str">
        <f t="shared" si="53"/>
        <v>1-3,13509235430761i</v>
      </c>
      <c r="AZ71">
        <f t="shared" si="88"/>
        <v>3.2907148266050084</v>
      </c>
      <c r="BA71">
        <f t="shared" si="89"/>
        <v>-1.2620281047161825</v>
      </c>
      <c r="BB71" s="58" t="str">
        <f t="shared" si="90"/>
        <v>-1,34422774510694+4,28498441458384i</v>
      </c>
      <c r="BC71">
        <f t="shared" si="91"/>
        <v>13.046636867845177</v>
      </c>
      <c r="BD71" s="60">
        <f t="shared" si="92"/>
        <v>107.4169836547059</v>
      </c>
      <c r="BE71" s="58" t="str">
        <f t="shared" si="93"/>
        <v>-7,80532182779835+98,166855484592i</v>
      </c>
      <c r="BF71" s="37">
        <f t="shared" si="94"/>
        <v>39.866667102627261</v>
      </c>
      <c r="BG71" s="60">
        <f t="shared" si="95"/>
        <v>94.546067365692949</v>
      </c>
      <c r="BH71" s="58" t="str">
        <f t="shared" si="96"/>
        <v>-29,849085829188+150,75312793468i</v>
      </c>
      <c r="BI71" s="37">
        <f t="shared" si="97"/>
        <v>43.732334368555399</v>
      </c>
      <c r="BJ71" s="60">
        <f t="shared" si="98"/>
        <v>101.19969377129438</v>
      </c>
      <c r="BK71">
        <f t="shared" si="99"/>
        <v>39.866667102627261</v>
      </c>
      <c r="BL71" s="60">
        <f t="shared" si="100"/>
        <v>94.546067365692949</v>
      </c>
      <c r="BN71">
        <f t="shared" si="101"/>
        <v>0</v>
      </c>
      <c r="BO71">
        <f t="shared" si="102"/>
        <v>0</v>
      </c>
    </row>
    <row r="72" spans="1:67" x14ac:dyDescent="0.25">
      <c r="A72" t="s">
        <v>573</v>
      </c>
      <c r="B72" s="23">
        <f>2*fsw/(DC_VIN_var_DCM)</f>
        <v>489897.94855663559</v>
      </c>
      <c r="C72" t="s">
        <v>525</v>
      </c>
      <c r="M72" s="66">
        <v>54</v>
      </c>
      <c r="N72" s="36">
        <f t="shared" si="54"/>
        <v>34.67368504525318</v>
      </c>
      <c r="O72" s="91" t="str">
        <f t="shared" si="55"/>
        <v>22,5</v>
      </c>
      <c r="P72" s="67" t="str">
        <f t="shared" si="56"/>
        <v>1+0,235290083495876i</v>
      </c>
      <c r="Q72" s="67">
        <f t="shared" si="57"/>
        <v>1.0273078522972052</v>
      </c>
      <c r="R72" s="67">
        <f t="shared" si="58"/>
        <v>0.23108684466887924</v>
      </c>
      <c r="S72" s="67" t="str">
        <f t="shared" si="59"/>
        <v>1+0,00653583565266322i</v>
      </c>
      <c r="T72" s="67">
        <f t="shared" si="60"/>
        <v>1.0000213583457498</v>
      </c>
      <c r="U72" s="67">
        <f t="shared" si="61"/>
        <v>6.535742590962814E-3</v>
      </c>
      <c r="V72" t="str">
        <f t="shared" si="62"/>
        <v>1-0,00136163242763817i</v>
      </c>
      <c r="W72" s="67">
        <f t="shared" si="63"/>
        <v>1.0000009270210042</v>
      </c>
      <c r="X72" s="67">
        <f t="shared" si="64"/>
        <v>-1.3616315861308091E-3</v>
      </c>
      <c r="Y72" t="str">
        <f t="shared" si="65"/>
        <v>0,999999923055076+0,00377626059931652i</v>
      </c>
      <c r="Z72" s="67">
        <f t="shared" si="66"/>
        <v>1.0000070531022627</v>
      </c>
      <c r="AA72" s="67">
        <f t="shared" si="67"/>
        <v>3.7762429400232779E-3</v>
      </c>
      <c r="AB72" s="92" t="str">
        <f t="shared" si="68"/>
        <v>21,3270266501153-4,98658538092651i</v>
      </c>
      <c r="AC72" s="37">
        <f t="shared" si="69"/>
        <v>26.809770512503924</v>
      </c>
      <c r="AD72" s="60">
        <f t="shared" si="70"/>
        <v>-13.160208960092332</v>
      </c>
      <c r="AE72" t="str">
        <f t="shared" si="71"/>
        <v>34,4450883806789</v>
      </c>
      <c r="AF72" t="str">
        <f t="shared" si="72"/>
        <v>1+0,117645041747938i</v>
      </c>
      <c r="AG72">
        <f t="shared" si="73"/>
        <v>1.0068963977728167</v>
      </c>
      <c r="AH72">
        <f t="shared" si="74"/>
        <v>0.11710675502767533</v>
      </c>
      <c r="AI72" t="str">
        <f t="shared" si="50"/>
        <v>1+0,00653583565266322i</v>
      </c>
      <c r="AJ72">
        <f t="shared" si="75"/>
        <v>1.0000213583457498</v>
      </c>
      <c r="AK72">
        <f t="shared" si="76"/>
        <v>6.535742590962814E-3</v>
      </c>
      <c r="AL72" t="str">
        <f t="shared" si="77"/>
        <v>1-0,000444707288658753i</v>
      </c>
      <c r="AM72">
        <f t="shared" si="78"/>
        <v>1.0000000988822813</v>
      </c>
      <c r="AN72">
        <f t="shared" si="79"/>
        <v>-4.447072593429742E-4</v>
      </c>
      <c r="AO72" s="58" t="str">
        <f t="shared" si="80"/>
        <v>33,9993090033757-3,79004067226698i</v>
      </c>
      <c r="AP72">
        <f t="shared" si="81"/>
        <v>30.683036698608099</v>
      </c>
      <c r="AQ72" s="60">
        <f t="shared" si="82"/>
        <v>-6.3607321981913394</v>
      </c>
      <c r="AR72" t="str">
        <f t="shared" si="83"/>
        <v>-1,36472945891784</v>
      </c>
      <c r="AS72" t="str">
        <f t="shared" si="51"/>
        <v>1+0,00489599448741002i</v>
      </c>
      <c r="AT72">
        <f t="shared" si="84"/>
        <v>1.0000119853091864</v>
      </c>
      <c r="AU72">
        <f t="shared" si="85"/>
        <v>4.8959553677330849E-3</v>
      </c>
      <c r="AV72" t="str">
        <f t="shared" si="52"/>
        <v>1+0,00489599448741002i</v>
      </c>
      <c r="AW72">
        <f t="shared" si="86"/>
        <v>1.0000119853091864</v>
      </c>
      <c r="AX72">
        <f t="shared" si="87"/>
        <v>4.8959553677330849E-3</v>
      </c>
      <c r="AY72" t="str">
        <f t="shared" si="53"/>
        <v>1-3,06372893976338i</v>
      </c>
      <c r="AZ72">
        <f t="shared" si="88"/>
        <v>3.2227992516357027</v>
      </c>
      <c r="BA72">
        <f t="shared" si="89"/>
        <v>-1.2552990292781732</v>
      </c>
      <c r="BB72" s="58" t="str">
        <f t="shared" si="90"/>
        <v>-1,34422629490546+4,18774246276389i</v>
      </c>
      <c r="BC72">
        <f t="shared" si="91"/>
        <v>12.865492305834092</v>
      </c>
      <c r="BD72" s="60">
        <f t="shared" si="92"/>
        <v>107.79614601623607</v>
      </c>
      <c r="BE72" s="58" t="str">
        <f t="shared" si="93"/>
        <v>-7,7858146713309+96,0151942980175i</v>
      </c>
      <c r="BF72" s="37">
        <f t="shared" si="94"/>
        <v>39.675262818338012</v>
      </c>
      <c r="BG72" s="60">
        <f t="shared" si="95"/>
        <v>94.635937056143746</v>
      </c>
      <c r="BH72" s="58" t="str">
        <f t="shared" si="96"/>
        <v>-29,8310509120989+147,47502234849i</v>
      </c>
      <c r="BI72" s="37">
        <f t="shared" si="97"/>
        <v>43.548529004442216</v>
      </c>
      <c r="BJ72" s="60">
        <f t="shared" si="98"/>
        <v>101.43541381804468</v>
      </c>
      <c r="BK72">
        <f t="shared" si="99"/>
        <v>39.675262818338012</v>
      </c>
      <c r="BL72" s="60">
        <f t="shared" si="100"/>
        <v>94.635937056143746</v>
      </c>
      <c r="BN72">
        <f t="shared" si="101"/>
        <v>0</v>
      </c>
      <c r="BO72">
        <f t="shared" si="102"/>
        <v>0</v>
      </c>
    </row>
    <row r="73" spans="1:67" x14ac:dyDescent="0.25">
      <c r="B73" s="23">
        <f>B72/(2*PI())</f>
        <v>77969.680123367609</v>
      </c>
      <c r="C73" t="s">
        <v>70</v>
      </c>
      <c r="M73" s="66">
        <v>55</v>
      </c>
      <c r="N73" s="36">
        <f t="shared" si="54"/>
        <v>35.481338923357555</v>
      </c>
      <c r="O73" s="91" t="str">
        <f t="shared" si="55"/>
        <v>22,5</v>
      </c>
      <c r="P73" s="67" t="str">
        <f t="shared" si="56"/>
        <v>1+0,240770693594483i</v>
      </c>
      <c r="Q73" s="67">
        <f t="shared" si="57"/>
        <v>1.0285769426221687</v>
      </c>
      <c r="R73" s="67">
        <f t="shared" si="58"/>
        <v>0.23627357252595116</v>
      </c>
      <c r="S73" s="67" t="str">
        <f t="shared" si="59"/>
        <v>1+0,00668807482206898i</v>
      </c>
      <c r="T73" s="67">
        <f t="shared" si="60"/>
        <v>1.0000223649223179</v>
      </c>
      <c r="U73" s="67">
        <f t="shared" si="61"/>
        <v>6.6879751047808625E-3</v>
      </c>
      <c r="V73" t="str">
        <f t="shared" si="62"/>
        <v>1-0,00139334892126437i</v>
      </c>
      <c r="W73" s="67">
        <f t="shared" si="63"/>
        <v>1.0000009707101372</v>
      </c>
      <c r="X73" s="67">
        <f t="shared" si="64"/>
        <v>-1.3933480195730344E-3</v>
      </c>
      <c r="Y73" t="str">
        <f t="shared" si="65"/>
        <v>0,999999919428774+0,00386422100830652i</v>
      </c>
      <c r="Z73" s="67">
        <f t="shared" si="66"/>
        <v>1.000007385503505</v>
      </c>
      <c r="AA73" s="67">
        <f t="shared" si="67"/>
        <v>3.8642020860404401E-3</v>
      </c>
      <c r="AB73" s="92" t="str">
        <f t="shared" si="68"/>
        <v>21,2747751518583-5,09015730452923i</v>
      </c>
      <c r="AC73" s="37">
        <f t="shared" si="69"/>
        <v>26.799053209096975</v>
      </c>
      <c r="AD73" s="60">
        <f t="shared" si="70"/>
        <v>-13.455521200852866</v>
      </c>
      <c r="AE73" t="str">
        <f t="shared" si="71"/>
        <v>34,4450883806789</v>
      </c>
      <c r="AF73" t="str">
        <f t="shared" si="72"/>
        <v>1+0,120385346797242i</v>
      </c>
      <c r="AG73">
        <f t="shared" si="73"/>
        <v>1.0072202498577421</v>
      </c>
      <c r="AH73">
        <f t="shared" si="74"/>
        <v>0.11980878525868024</v>
      </c>
      <c r="AI73" t="str">
        <f t="shared" si="50"/>
        <v>1+0,00668807482206898i</v>
      </c>
      <c r="AJ73">
        <f t="shared" si="75"/>
        <v>1.0000223649223179</v>
      </c>
      <c r="AK73">
        <f t="shared" si="76"/>
        <v>6.6879751047808625E-3</v>
      </c>
      <c r="AL73" t="str">
        <f t="shared" si="77"/>
        <v>1-0,000455065852100677i</v>
      </c>
      <c r="AM73">
        <f t="shared" si="78"/>
        <v>1.0000001035424595</v>
      </c>
      <c r="AN73">
        <f t="shared" si="79"/>
        <v>-4.5506582068825422E-4</v>
      </c>
      <c r="AO73" s="58" t="str">
        <f t="shared" si="80"/>
        <v>33,978600193724-3,87582902315817i</v>
      </c>
      <c r="AP73">
        <f t="shared" si="81"/>
        <v>30.680252253922365</v>
      </c>
      <c r="AQ73" s="60">
        <f t="shared" si="82"/>
        <v>-6.5074183478451477</v>
      </c>
      <c r="AR73" t="str">
        <f t="shared" si="83"/>
        <v>-1,36472945891784</v>
      </c>
      <c r="AS73" t="str">
        <f t="shared" si="51"/>
        <v>1+0,00501003684921187i</v>
      </c>
      <c r="AT73">
        <f t="shared" si="84"/>
        <v>1.0000125501558621</v>
      </c>
      <c r="AU73">
        <f t="shared" si="85"/>
        <v>5.0099949317512311E-3</v>
      </c>
      <c r="AV73" t="str">
        <f t="shared" si="52"/>
        <v>1+0,00501003684921187i</v>
      </c>
      <c r="AW73">
        <f t="shared" si="86"/>
        <v>1.0000125501558621</v>
      </c>
      <c r="AX73">
        <f t="shared" si="87"/>
        <v>5.0099949317512311E-3</v>
      </c>
      <c r="AY73" t="str">
        <f t="shared" si="53"/>
        <v>1-2,99398995485625i</v>
      </c>
      <c r="AZ73">
        <f t="shared" si="88"/>
        <v>3.1565766028690212</v>
      </c>
      <c r="BA73">
        <f t="shared" si="89"/>
        <v>-1.2484436823800462</v>
      </c>
      <c r="BB73" s="58" t="str">
        <f t="shared" si="90"/>
        <v>-1,34422477636143+4,09272090675961i</v>
      </c>
      <c r="BC73">
        <f t="shared" si="91"/>
        <v>12.685148979633585</v>
      </c>
      <c r="BD73" s="60">
        <f t="shared" si="92"/>
        <v>108.18239447488097</v>
      </c>
      <c r="BE73" s="58" t="str">
        <f t="shared" si="93"/>
        <v>-7,76548665170451+93,9140326149456i</v>
      </c>
      <c r="BF73" s="37">
        <f t="shared" si="94"/>
        <v>39.484202188730556</v>
      </c>
      <c r="BG73" s="60">
        <f t="shared" si="95"/>
        <v>94.726873274028108</v>
      </c>
      <c r="BH73" s="58" t="str">
        <f t="shared" si="96"/>
        <v>-29,812189772378+144,27491279715i</v>
      </c>
      <c r="BI73" s="37">
        <f t="shared" si="97"/>
        <v>43.365401233555936</v>
      </c>
      <c r="BJ73" s="60">
        <f t="shared" si="98"/>
        <v>101.67497612703585</v>
      </c>
      <c r="BK73">
        <f t="shared" si="99"/>
        <v>39.484202188730556</v>
      </c>
      <c r="BL73" s="60">
        <f t="shared" si="100"/>
        <v>94.726873274028108</v>
      </c>
      <c r="BN73">
        <f t="shared" si="101"/>
        <v>0</v>
      </c>
      <c r="BO73">
        <f t="shared" si="102"/>
        <v>0</v>
      </c>
    </row>
    <row r="74" spans="1:67" x14ac:dyDescent="0.25">
      <c r="M74" s="66">
        <v>56</v>
      </c>
      <c r="N74" s="36">
        <f t="shared" si="54"/>
        <v>36.307805477010156</v>
      </c>
      <c r="O74" s="91" t="str">
        <f t="shared" si="55"/>
        <v>22,5</v>
      </c>
      <c r="P74" s="67" t="str">
        <f t="shared" si="56"/>
        <v>1+0,246378963501812i</v>
      </c>
      <c r="Q74" s="67">
        <f t="shared" si="57"/>
        <v>1.0299041672195657</v>
      </c>
      <c r="R74" s="67">
        <f t="shared" si="58"/>
        <v>0.24156773585314889</v>
      </c>
      <c r="S74" s="67" t="str">
        <f t="shared" si="59"/>
        <v>1+0,00684386009727256i</v>
      </c>
      <c r="T74" s="67">
        <f t="shared" si="60"/>
        <v>1.0000234189362922</v>
      </c>
      <c r="U74" s="67">
        <f t="shared" si="61"/>
        <v>6.843753248408419E-3</v>
      </c>
      <c r="V74" t="str">
        <f t="shared" si="62"/>
        <v>1-0,00142580418693178i</v>
      </c>
      <c r="W74" s="67">
        <f t="shared" si="63"/>
        <v>1.0000010164582731</v>
      </c>
      <c r="X74" s="67">
        <f t="shared" si="64"/>
        <v>-1.4258032207521598E-3</v>
      </c>
      <c r="Y74" t="str">
        <f t="shared" si="65"/>
        <v>0,999999915631569+0,00395423027842414i</v>
      </c>
      <c r="Z74" s="67">
        <f t="shared" si="66"/>
        <v>1.000007733570216</v>
      </c>
      <c r="AA74" s="67">
        <f t="shared" si="67"/>
        <v>3.9542100028592047E-3</v>
      </c>
      <c r="AB74" s="92" t="str">
        <f t="shared" si="68"/>
        <v>21,2203366277051-5,19530985463929i</v>
      </c>
      <c r="AC74" s="37">
        <f t="shared" si="69"/>
        <v>26.787859122297888</v>
      </c>
      <c r="AD74" s="60">
        <f t="shared" si="70"/>
        <v>-13.756945605191309</v>
      </c>
      <c r="AE74" t="str">
        <f t="shared" si="71"/>
        <v>34,4450883806789</v>
      </c>
      <c r="AF74" t="str">
        <f t="shared" si="72"/>
        <v>1+0,123189481750906i</v>
      </c>
      <c r="AG74">
        <f t="shared" si="73"/>
        <v>1.0075592530536637</v>
      </c>
      <c r="AH74">
        <f t="shared" si="74"/>
        <v>0.12257193498924819</v>
      </c>
      <c r="AI74" t="str">
        <f t="shared" si="50"/>
        <v>1+0,00684386009727256i</v>
      </c>
      <c r="AJ74">
        <f t="shared" si="75"/>
        <v>1.0000234189362922</v>
      </c>
      <c r="AK74">
        <f t="shared" si="76"/>
        <v>6.843753248408419E-3</v>
      </c>
      <c r="AL74" t="str">
        <f t="shared" si="77"/>
        <v>1-0,000465665697480894i</v>
      </c>
      <c r="AM74">
        <f t="shared" si="78"/>
        <v>1.0000001084222652</v>
      </c>
      <c r="AN74">
        <f t="shared" si="79"/>
        <v>-4.6566566382187679E-4</v>
      </c>
      <c r="AO74" s="58" t="str">
        <f t="shared" si="80"/>
        <v>33,9569439306247-3,96344085484825i</v>
      </c>
      <c r="AP74">
        <f t="shared" si="81"/>
        <v>30.677338506606464</v>
      </c>
      <c r="AQ74" s="60">
        <f t="shared" si="82"/>
        <v>-6.6574170616742183</v>
      </c>
      <c r="AR74" t="str">
        <f t="shared" si="83"/>
        <v>-1,36472945891784</v>
      </c>
      <c r="AS74" t="str">
        <f t="shared" si="51"/>
        <v>1+0,00512673559886687i</v>
      </c>
      <c r="AT74">
        <f t="shared" si="84"/>
        <v>1.0000131416225992</v>
      </c>
      <c r="AU74">
        <f t="shared" si="85"/>
        <v>5.1266906835304472E-3</v>
      </c>
      <c r="AV74" t="str">
        <f t="shared" si="52"/>
        <v>1+0,00512673559886687i</v>
      </c>
      <c r="AW74">
        <f t="shared" si="86"/>
        <v>1.0000131416225992</v>
      </c>
      <c r="AX74">
        <f t="shared" si="87"/>
        <v>5.1266906835304472E-3</v>
      </c>
      <c r="AY74" t="str">
        <f t="shared" si="53"/>
        <v>1-2,92583842305333i</v>
      </c>
      <c r="AZ74">
        <f t="shared" si="88"/>
        <v>3.0920107499514287</v>
      </c>
      <c r="BA74">
        <f t="shared" si="89"/>
        <v>-1.2414610074798662</v>
      </c>
      <c r="BB74" s="58" t="str">
        <f t="shared" si="90"/>
        <v>-1,34422318625432+3,99986936483639i</v>
      </c>
      <c r="BC74">
        <f t="shared" si="91"/>
        <v>12.505637082946194</v>
      </c>
      <c r="BD74" s="60">
        <f t="shared" si="92"/>
        <v>108.57578610230925</v>
      </c>
      <c r="BE74" s="58" t="str">
        <f t="shared" si="93"/>
        <v>-7,74430778667871+91,8622303550549i</v>
      </c>
      <c r="BF74" s="37">
        <f t="shared" si="94"/>
        <v>39.293496205244082</v>
      </c>
      <c r="BG74" s="60">
        <f t="shared" si="95"/>
        <v>94.818840497117932</v>
      </c>
      <c r="BH74" s="58" t="str">
        <f t="shared" si="96"/>
        <v>-29,7924657112352+141,151088846007i</v>
      </c>
      <c r="BI74" s="37">
        <f t="shared" si="97"/>
        <v>43.18297558955264</v>
      </c>
      <c r="BJ74" s="60">
        <f t="shared" si="98"/>
        <v>101.91836904063507</v>
      </c>
      <c r="BK74">
        <f t="shared" si="99"/>
        <v>39.293496205244082</v>
      </c>
      <c r="BL74" s="60">
        <f t="shared" si="100"/>
        <v>94.818840497117932</v>
      </c>
      <c r="BN74">
        <f t="shared" si="101"/>
        <v>0</v>
      </c>
      <c r="BO74">
        <f t="shared" si="102"/>
        <v>0</v>
      </c>
    </row>
    <row r="75" spans="1:67" x14ac:dyDescent="0.25">
      <c r="M75" s="66">
        <v>57</v>
      </c>
      <c r="N75" s="36">
        <f t="shared" si="54"/>
        <v>37.15352290971726</v>
      </c>
      <c r="O75" s="91" t="str">
        <f t="shared" si="55"/>
        <v>22,5</v>
      </c>
      <c r="P75" s="67" t="str">
        <f t="shared" si="56"/>
        <v>1+0,2521178667968i</v>
      </c>
      <c r="Q75" s="67">
        <f t="shared" si="57"/>
        <v>1.0312921112653626</v>
      </c>
      <c r="R75" s="67">
        <f t="shared" si="58"/>
        <v>0.24697095408496902</v>
      </c>
      <c r="S75" s="67" t="str">
        <f t="shared" si="59"/>
        <v>1+0,00700327407768889i</v>
      </c>
      <c r="T75" s="67">
        <f t="shared" si="60"/>
        <v>1.0000245226232241</v>
      </c>
      <c r="U75" s="67">
        <f t="shared" si="61"/>
        <v>7.0031595872198519E-3</v>
      </c>
      <c r="V75" t="str">
        <f t="shared" si="62"/>
        <v>1-0,00145901543285185i</v>
      </c>
      <c r="W75" s="67">
        <f t="shared" si="63"/>
        <v>1.0000010643624502</v>
      </c>
      <c r="X75" s="67">
        <f t="shared" si="64"/>
        <v>-1.4590143975717941E-3</v>
      </c>
      <c r="Y75" t="str">
        <f t="shared" si="65"/>
        <v>0,999999911655407+0,0040463361337758i</v>
      </c>
      <c r="Z75" s="67">
        <f t="shared" si="66"/>
        <v>1.0000080980406756</v>
      </c>
      <c r="AA75" s="67">
        <f t="shared" si="67"/>
        <v>4.04631440812605E-3</v>
      </c>
      <c r="AB75" s="92" t="str">
        <f t="shared" si="68"/>
        <v>21,1636322574623-5,30202804904632i</v>
      </c>
      <c r="AC75" s="37">
        <f t="shared" si="69"/>
        <v>26.776168353274915</v>
      </c>
      <c r="AD75" s="60">
        <f t="shared" si="70"/>
        <v>-14.064573949181959</v>
      </c>
      <c r="AE75" t="str">
        <f t="shared" si="71"/>
        <v>34,4450883806789</v>
      </c>
      <c r="AF75" t="str">
        <f t="shared" si="72"/>
        <v>1+0,1260589333984i</v>
      </c>
      <c r="AG75">
        <f t="shared" si="73"/>
        <v>1.0079141107701302</v>
      </c>
      <c r="AH75">
        <f t="shared" si="74"/>
        <v>0.12539750041432279</v>
      </c>
      <c r="AI75" t="str">
        <f t="shared" si="50"/>
        <v>1+0,00700327407768889i</v>
      </c>
      <c r="AJ75">
        <f t="shared" si="75"/>
        <v>1.0000245226232241</v>
      </c>
      <c r="AK75">
        <f t="shared" si="76"/>
        <v>7.0031595872198519E-3</v>
      </c>
      <c r="AL75" t="str">
        <f t="shared" si="77"/>
        <v>1-0,000476512444977728i</v>
      </c>
      <c r="AM75">
        <f t="shared" si="78"/>
        <v>1.0000001135320487</v>
      </c>
      <c r="AN75">
        <f t="shared" si="79"/>
        <v>-4.765124089114415E-4</v>
      </c>
      <c r="AO75" s="58" t="str">
        <f t="shared" si="80"/>
        <v>33,9342982506641-4,05290656182355i</v>
      </c>
      <c r="AP75">
        <f t="shared" si="81"/>
        <v>30.674289545618919</v>
      </c>
      <c r="AQ75" s="60">
        <f t="shared" si="82"/>
        <v>-6.8107981975426526</v>
      </c>
      <c r="AR75" t="str">
        <f t="shared" si="83"/>
        <v>-1,36472945891784</v>
      </c>
      <c r="AS75" t="str">
        <f t="shared" si="51"/>
        <v>1+0,00524615261159675i</v>
      </c>
      <c r="AT75">
        <f t="shared" si="84"/>
        <v>1.0000137609639299</v>
      </c>
      <c r="AU75">
        <f t="shared" si="85"/>
        <v>5.2461044839824415E-3</v>
      </c>
      <c r="AV75" t="str">
        <f t="shared" si="52"/>
        <v>1+0,00524615261159675i</v>
      </c>
      <c r="AW75">
        <f t="shared" si="86"/>
        <v>1.0000137609639299</v>
      </c>
      <c r="AX75">
        <f t="shared" si="87"/>
        <v>5.2461044839824415E-3</v>
      </c>
      <c r="AY75" t="str">
        <f t="shared" si="53"/>
        <v>1-2,85923820951037i</v>
      </c>
      <c r="AZ75">
        <f t="shared" si="88"/>
        <v>3.0290663807061184</v>
      </c>
      <c r="BA75">
        <f t="shared" si="89"/>
        <v>-1.2343500268473593</v>
      </c>
      <c r="BB75" s="58" t="str">
        <f t="shared" si="90"/>
        <v>-1,34422152121179+3,90913860582637i</v>
      </c>
      <c r="BC75">
        <f t="shared" si="91"/>
        <v>12.326987616729788</v>
      </c>
      <c r="BD75" s="60">
        <f t="shared" si="92"/>
        <v>108.97637337396961</v>
      </c>
      <c r="BE75" s="58" t="str">
        <f t="shared" si="93"/>
        <v>-7,72224741179165+89,8586721067548i</v>
      </c>
      <c r="BF75" s="37">
        <f t="shared" si="94"/>
        <v>39.1031559700047</v>
      </c>
      <c r="BG75" s="60">
        <f t="shared" si="95"/>
        <v>94.91179942478766</v>
      </c>
      <c r="BH75" s="58" t="str">
        <f t="shared" si="96"/>
        <v>-29,7718405091308+138,101879577161i</v>
      </c>
      <c r="BI75" s="37">
        <f t="shared" si="97"/>
        <v>43.0012771623487</v>
      </c>
      <c r="BJ75" s="60">
        <f t="shared" si="98"/>
        <v>102.16557517642696</v>
      </c>
      <c r="BK75">
        <f t="shared" si="99"/>
        <v>39.1031559700047</v>
      </c>
      <c r="BL75" s="60">
        <f t="shared" si="100"/>
        <v>94.91179942478766</v>
      </c>
      <c r="BN75">
        <f t="shared" si="101"/>
        <v>0</v>
      </c>
      <c r="BO75">
        <f t="shared" si="102"/>
        <v>0</v>
      </c>
    </row>
    <row r="76" spans="1:67" x14ac:dyDescent="0.25">
      <c r="M76" s="66">
        <v>58</v>
      </c>
      <c r="N76" s="36">
        <f t="shared" si="54"/>
        <v>38.018939632056139</v>
      </c>
      <c r="O76" s="91" t="str">
        <f t="shared" si="55"/>
        <v>22,5</v>
      </c>
      <c r="P76" s="67" t="str">
        <f t="shared" si="56"/>
        <v>1+0,257990446321938i</v>
      </c>
      <c r="Q76" s="67">
        <f t="shared" si="57"/>
        <v>1.0327434678531706</v>
      </c>
      <c r="R76" s="67">
        <f t="shared" si="58"/>
        <v>0.25248482957300383</v>
      </c>
      <c r="S76" s="67" t="str">
        <f t="shared" si="59"/>
        <v>1+0,0071664012867205i</v>
      </c>
      <c r="T76" s="67">
        <f t="shared" si="60"/>
        <v>1.0000256783240131</v>
      </c>
      <c r="U76" s="67">
        <f t="shared" si="61"/>
        <v>7.1662786081427921E-3</v>
      </c>
      <c r="V76" t="str">
        <f t="shared" si="62"/>
        <v>1-0,00149300026806677i</v>
      </c>
      <c r="W76" s="67">
        <f t="shared" si="63"/>
        <v>1.0000011145242791</v>
      </c>
      <c r="X76" s="67">
        <f t="shared" si="64"/>
        <v>-1.4929991587442704E-3</v>
      </c>
      <c r="Y76" t="str">
        <f t="shared" si="65"/>
        <v>0,999999907491855+0,00414058741010517i</v>
      </c>
      <c r="Z76" s="67">
        <f t="shared" si="66"/>
        <v>1.0000084796879569</v>
      </c>
      <c r="AA76" s="67">
        <f t="shared" si="67"/>
        <v>4.140564130662704E-3</v>
      </c>
      <c r="AB76" s="92" t="str">
        <f t="shared" si="68"/>
        <v>21,1045815288961-5,41029369536387i</v>
      </c>
      <c r="AC76" s="37">
        <f t="shared" si="69"/>
        <v>26.763960291239243</v>
      </c>
      <c r="AD76" s="60">
        <f t="shared" si="70"/>
        <v>-14.378497006654404</v>
      </c>
      <c r="AE76" t="str">
        <f t="shared" si="71"/>
        <v>34,4450883806789</v>
      </c>
      <c r="AF76" t="str">
        <f t="shared" si="72"/>
        <v>1+0,128995223160969i</v>
      </c>
      <c r="AG76">
        <f t="shared" si="73"/>
        <v>1.0082855585588579</v>
      </c>
      <c r="AH76">
        <f t="shared" si="74"/>
        <v>0.12828679911917765</v>
      </c>
      <c r="AI76" t="str">
        <f t="shared" si="50"/>
        <v>1+0,0071664012867205i</v>
      </c>
      <c r="AJ76">
        <f t="shared" si="75"/>
        <v>1.0000256783240131</v>
      </c>
      <c r="AK76">
        <f t="shared" si="76"/>
        <v>7.1662786081427921E-3</v>
      </c>
      <c r="AL76" t="str">
        <f t="shared" si="77"/>
        <v>1-0,000487611845680278i</v>
      </c>
      <c r="AM76">
        <f t="shared" si="78"/>
        <v>1.0000001188826491</v>
      </c>
      <c r="AN76">
        <f t="shared" si="79"/>
        <v>-4.8761180703455598E-4</v>
      </c>
      <c r="AO76" s="58" t="str">
        <f t="shared" si="80"/>
        <v>33,9106194630015-4,14425643258401i</v>
      </c>
      <c r="AP76">
        <f t="shared" si="81"/>
        <v>30.671099198562054</v>
      </c>
      <c r="AQ76" s="60">
        <f t="shared" si="82"/>
        <v>-6.967632736293857</v>
      </c>
      <c r="AR76" t="str">
        <f t="shared" si="83"/>
        <v>-1,36472945891784</v>
      </c>
      <c r="AS76" t="str">
        <f t="shared" si="51"/>
        <v>1+0,00536835120388233i</v>
      </c>
      <c r="AT76">
        <f t="shared" si="84"/>
        <v>1.0000144094935073</v>
      </c>
      <c r="AU76">
        <f t="shared" si="85"/>
        <v>5.3682996342546158E-3</v>
      </c>
      <c r="AV76" t="str">
        <f t="shared" si="52"/>
        <v>1+0,00536835120388233i</v>
      </c>
      <c r="AW76">
        <f t="shared" si="86"/>
        <v>1.0000144094935073</v>
      </c>
      <c r="AX76">
        <f t="shared" si="87"/>
        <v>5.3682996342546158E-3</v>
      </c>
      <c r="AY76" t="str">
        <f t="shared" si="53"/>
        <v>1-2,79415400191258i</v>
      </c>
      <c r="AZ76">
        <f t="shared" si="88"/>
        <v>2.9677089793987697</v>
      </c>
      <c r="BA76">
        <f t="shared" si="89"/>
        <v>-1.2271098476646776</v>
      </c>
      <c r="BB76" s="58" t="str">
        <f t="shared" si="90"/>
        <v>-1,34421977770265+3,82048052302518i</v>
      </c>
      <c r="BC76">
        <f t="shared" si="91"/>
        <v>12.149232382321786</v>
      </c>
      <c r="BD76" s="60">
        <f t="shared" si="92"/>
        <v>109.38420381766822</v>
      </c>
      <c r="BE76" s="58" t="str">
        <f t="shared" si="93"/>
        <v>-7,69927420429658+87,9022664662326i</v>
      </c>
      <c r="BF76" s="37">
        <f t="shared" si="94"/>
        <v>38.913192673561035</v>
      </c>
      <c r="BG76" s="60">
        <f t="shared" si="95"/>
        <v>95.005706811013823</v>
      </c>
      <c r="BH76" s="58" t="str">
        <f t="shared" si="96"/>
        <v>-29,750274373206+135,125652642667i</v>
      </c>
      <c r="BI76" s="37">
        <f t="shared" si="97"/>
        <v>42.82033158088386</v>
      </c>
      <c r="BJ76" s="60">
        <f t="shared" si="98"/>
        <v>102.41657108137433</v>
      </c>
      <c r="BK76">
        <f t="shared" si="99"/>
        <v>38.913192673561035</v>
      </c>
      <c r="BL76" s="60">
        <f t="shared" si="100"/>
        <v>95.005706811013823</v>
      </c>
      <c r="BN76">
        <f t="shared" si="101"/>
        <v>0</v>
      </c>
      <c r="BO76">
        <f t="shared" si="102"/>
        <v>0</v>
      </c>
    </row>
    <row r="77" spans="1:67" x14ac:dyDescent="0.25">
      <c r="A77" t="str">
        <f>"Crossover Frequency = "&amp;B77</f>
        <v>Crossover Frequency = 4,5 kHz</v>
      </c>
      <c r="B77" t="str">
        <f>ROUND(D77,1)&amp;" kHz"</f>
        <v>4,5 kHz</v>
      </c>
      <c r="D77">
        <f>BO12</f>
        <v>4.4668359215096345</v>
      </c>
      <c r="M77" s="66">
        <v>59</v>
      </c>
      <c r="N77" s="36">
        <f t="shared" si="54"/>
        <v>38.904514499428053</v>
      </c>
      <c r="O77" s="91" t="str">
        <f t="shared" si="55"/>
        <v>22,5</v>
      </c>
      <c r="P77" s="67" t="str">
        <f t="shared" si="56"/>
        <v>1+0,263999815796623i</v>
      </c>
      <c r="Q77" s="67">
        <f t="shared" si="57"/>
        <v>1.0342610418751403</v>
      </c>
      <c r="R77" s="67">
        <f t="shared" si="58"/>
        <v>0.25811094418154068</v>
      </c>
      <c r="S77" s="67" t="str">
        <f t="shared" si="59"/>
        <v>1+0,00733332821657287i</v>
      </c>
      <c r="T77" s="67">
        <f t="shared" si="60"/>
        <v>1.0000268884898706</v>
      </c>
      <c r="U77" s="67">
        <f t="shared" si="61"/>
        <v>7.3331967642994086E-3</v>
      </c>
      <c r="V77" t="str">
        <f t="shared" si="62"/>
        <v>1-0,00152777671178601i</v>
      </c>
      <c r="W77" s="67">
        <f t="shared" si="63"/>
        <v>1.0000011670501596</v>
      </c>
      <c r="X77" s="67">
        <f t="shared" si="64"/>
        <v>-1.5277755231256109E-3</v>
      </c>
      <c r="Y77" t="str">
        <f t="shared" si="65"/>
        <v>0,99999990313208+0,00423703408068654i</v>
      </c>
      <c r="Z77" s="67">
        <f t="shared" si="66"/>
        <v>1.000008879321564</v>
      </c>
      <c r="AA77" s="67">
        <f t="shared" si="67"/>
        <v>4.2370091363264865E-3</v>
      </c>
      <c r="AB77" s="92" t="str">
        <f t="shared" si="68"/>
        <v>21,0431023113828-5,520085199394i</v>
      </c>
      <c r="AC77" s="37">
        <f t="shared" si="69"/>
        <v>26.751213598661813</v>
      </c>
      <c r="AD77" s="60">
        <f t="shared" si="70"/>
        <v>-14.698804353594129</v>
      </c>
      <c r="AE77" t="str">
        <f t="shared" si="71"/>
        <v>34,4450883806789</v>
      </c>
      <c r="AF77" t="str">
        <f t="shared" si="72"/>
        <v>1+0,131999907898312i</v>
      </c>
      <c r="AG77">
        <f t="shared" si="73"/>
        <v>1.0086743655338739</v>
      </c>
      <c r="AH77">
        <f t="shared" si="74"/>
        <v>0.13124116998542501</v>
      </c>
      <c r="AI77" t="str">
        <f t="shared" si="50"/>
        <v>1+0,00733332821657287i</v>
      </c>
      <c r="AJ77">
        <f t="shared" si="75"/>
        <v>1.0000268884898706</v>
      </c>
      <c r="AK77">
        <f t="shared" si="76"/>
        <v>7.3331967642994086E-3</v>
      </c>
      <c r="AL77" t="str">
        <f t="shared" si="77"/>
        <v>1-0,000498969784637713i</v>
      </c>
      <c r="AM77">
        <f t="shared" si="78"/>
        <v>1.0000001244854153</v>
      </c>
      <c r="AN77">
        <f t="shared" si="79"/>
        <v>-4.9896974322807613E-4</v>
      </c>
      <c r="AO77" s="58" t="str">
        <f t="shared" si="80"/>
        <v>33,8858620907846-4,23752059482522i</v>
      </c>
      <c r="AP77">
        <f t="shared" si="81"/>
        <v>30.667761020966196</v>
      </c>
      <c r="AQ77" s="60">
        <f t="shared" si="82"/>
        <v>-7.1279927739822071</v>
      </c>
      <c r="AR77" t="str">
        <f t="shared" si="83"/>
        <v>-1,36472945891784</v>
      </c>
      <c r="AS77" t="str">
        <f t="shared" si="51"/>
        <v>1+0,00549339616703474i</v>
      </c>
      <c r="AT77">
        <f t="shared" si="84"/>
        <v>1.0000150885868913</v>
      </c>
      <c r="AU77">
        <f t="shared" si="85"/>
        <v>5.4933409092281105E-3</v>
      </c>
      <c r="AV77" t="str">
        <f t="shared" si="52"/>
        <v>1+0,00549339616703474i</v>
      </c>
      <c r="AW77">
        <f t="shared" si="86"/>
        <v>1.0000150885868913</v>
      </c>
      <c r="AX77">
        <f t="shared" si="87"/>
        <v>5.4933409092281105E-3</v>
      </c>
      <c r="AY77" t="str">
        <f t="shared" si="53"/>
        <v>1-2,73055129175161i</v>
      </c>
      <c r="AZ77">
        <f t="shared" si="88"/>
        <v>2.9079048053343124</v>
      </c>
      <c r="BA77">
        <f t="shared" si="89"/>
        <v>-1.2197396682938171</v>
      </c>
      <c r="BB77" s="58" t="str">
        <f t="shared" si="90"/>
        <v>-1,3442179520293+3,73384810868492i</v>
      </c>
      <c r="BC77">
        <f t="shared" si="91"/>
        <v>11.972403971624574</v>
      </c>
      <c r="BD77" s="60">
        <f t="shared" si="92"/>
        <v>109.79931965255196</v>
      </c>
      <c r="BE77" s="58" t="str">
        <f t="shared" si="93"/>
        <v>-7,67535621181311+85,9919453879766i</v>
      </c>
      <c r="BF77" s="37">
        <f t="shared" si="94"/>
        <v>38.723617570286386</v>
      </c>
      <c r="BG77" s="60">
        <f t="shared" si="95"/>
        <v>95.100515298957831</v>
      </c>
      <c r="BH77" s="58" t="str">
        <f t="shared" si="96"/>
        <v>-29,7277258839202+132,220813334492i</v>
      </c>
      <c r="BI77" s="37">
        <f t="shared" si="97"/>
        <v>42.640164992590769</v>
      </c>
      <c r="BJ77" s="60">
        <f t="shared" si="98"/>
        <v>102.67132687856974</v>
      </c>
      <c r="BK77">
        <f t="shared" si="99"/>
        <v>38.723617570286386</v>
      </c>
      <c r="BL77" s="60">
        <f t="shared" si="100"/>
        <v>95.100515298957831</v>
      </c>
      <c r="BN77">
        <f t="shared" si="101"/>
        <v>0</v>
      </c>
      <c r="BO77">
        <f t="shared" si="102"/>
        <v>0</v>
      </c>
    </row>
    <row r="78" spans="1:67" x14ac:dyDescent="0.25">
      <c r="A78" t="str">
        <f>"Phase Margin = "&amp;B78</f>
        <v>Phase Margin = 62°</v>
      </c>
      <c r="B78" t="str">
        <f>ROUND(D78,0)&amp;"°"</f>
        <v>62°</v>
      </c>
      <c r="D78" s="36">
        <f>BO14</f>
        <v>62.463354423063926</v>
      </c>
      <c r="M78" s="66">
        <v>60</v>
      </c>
      <c r="N78" s="36">
        <f t="shared" si="54"/>
        <v>39.810717055349755</v>
      </c>
      <c r="O78" s="91" t="str">
        <f t="shared" si="55"/>
        <v>22,5</v>
      </c>
      <c r="P78" s="67" t="str">
        <f t="shared" si="56"/>
        <v>1+0,270149161468094i</v>
      </c>
      <c r="Q78" s="67">
        <f t="shared" si="57"/>
        <v>1.0358477539879662</v>
      </c>
      <c r="R78" s="67">
        <f t="shared" si="58"/>
        <v>0.26385085568348754</v>
      </c>
      <c r="S78" s="67" t="str">
        <f t="shared" si="59"/>
        <v>1+0,00750414337411372i</v>
      </c>
      <c r="T78" s="67">
        <f t="shared" si="60"/>
        <v>1.0000281556875183</v>
      </c>
      <c r="U78" s="67">
        <f t="shared" si="61"/>
        <v>7.5040025206791717E-3</v>
      </c>
      <c r="V78" t="str">
        <f t="shared" si="62"/>
        <v>1-0,00156336320294036i</v>
      </c>
      <c r="W78" s="67">
        <f t="shared" si="63"/>
        <v>1.0000012220515055</v>
      </c>
      <c r="X78" s="67">
        <f t="shared" si="64"/>
        <v>-1.5633619292678791E-3</v>
      </c>
      <c r="Y78" t="str">
        <f t="shared" si="65"/>
        <v>0,999999898566836+0,00433572728282125i</v>
      </c>
      <c r="Z78" s="67">
        <f t="shared" si="66"/>
        <v>1.0000092977891522</v>
      </c>
      <c r="AA78" s="67">
        <f t="shared" si="67"/>
        <v>4.3357005544713157E-3</v>
      </c>
      <c r="AB78" s="92" t="str">
        <f t="shared" si="68"/>
        <v>20,9791109425935-5,63137736905501i</v>
      </c>
      <c r="AC78" s="37">
        <f t="shared" si="69"/>
        <v>26.737906197207678</v>
      </c>
      <c r="AD78" s="60">
        <f t="shared" si="70"/>
        <v>-15.025584161090947</v>
      </c>
      <c r="AE78" t="str">
        <f t="shared" si="71"/>
        <v>34,4450883806789</v>
      </c>
      <c r="AF78" t="str">
        <f t="shared" si="72"/>
        <v>1+0,135074580734047i</v>
      </c>
      <c r="AG78">
        <f t="shared" si="73"/>
        <v>1.0090813358498305</v>
      </c>
      <c r="AH78">
        <f t="shared" si="74"/>
        <v>0.13426197305684506</v>
      </c>
      <c r="AI78" t="str">
        <f t="shared" si="50"/>
        <v>1+0,00750414337411372i</v>
      </c>
      <c r="AJ78">
        <f t="shared" si="75"/>
        <v>1.0000281556875183</v>
      </c>
      <c r="AK78">
        <f t="shared" si="76"/>
        <v>7.5040025206791717E-3</v>
      </c>
      <c r="AL78" t="str">
        <f t="shared" si="77"/>
        <v>1-0,000510592283979607i</v>
      </c>
      <c r="AM78">
        <f t="shared" si="78"/>
        <v>1.0000001303522317</v>
      </c>
      <c r="AN78">
        <f t="shared" si="79"/>
        <v>-5.1059223960838189E-4</v>
      </c>
      <c r="AO78" s="58" t="str">
        <f t="shared" si="80"/>
        <v>33,8599788118195-4,33272895627577i</v>
      </c>
      <c r="AP78">
        <f t="shared" si="81"/>
        <v>30.664268285214821</v>
      </c>
      <c r="AQ78" s="60">
        <f t="shared" si="82"/>
        <v>-7.2919515117476399</v>
      </c>
      <c r="AR78" t="str">
        <f t="shared" si="83"/>
        <v>-1,36472945891784</v>
      </c>
      <c r="AS78" t="str">
        <f t="shared" si="51"/>
        <v>1+0,00562135380154859i</v>
      </c>
      <c r="AT78">
        <f t="shared" si="84"/>
        <v>1.0000157996844661</v>
      </c>
      <c r="AU78">
        <f t="shared" si="85"/>
        <v>5.6212945917925453E-3</v>
      </c>
      <c r="AV78" t="str">
        <f t="shared" si="52"/>
        <v>1+0,00562135380154859i</v>
      </c>
      <c r="AW78">
        <f t="shared" si="86"/>
        <v>1.0000157996844661</v>
      </c>
      <c r="AX78">
        <f t="shared" si="87"/>
        <v>5.6212945917925453E-3</v>
      </c>
      <c r="AY78" t="str">
        <f t="shared" si="53"/>
        <v>1-2,66839635602865i</v>
      </c>
      <c r="AZ78">
        <f t="shared" si="88"/>
        <v>2.8496208717769771</v>
      </c>
      <c r="BA78">
        <f t="shared" si="89"/>
        <v>-1.2122387846959599</v>
      </c>
      <c r="BB78" s="58" t="str">
        <f t="shared" si="90"/>
        <v>-1,34421604031993+3,64919542908968i</v>
      </c>
      <c r="BC78">
        <f t="shared" si="91"/>
        <v>11.796535754145154</v>
      </c>
      <c r="BD78" s="60">
        <f t="shared" si="92"/>
        <v>110.22175741934389</v>
      </c>
      <c r="BE78" s="58" t="str">
        <f t="shared" si="93"/>
        <v>-7,65046088605094+84,1266635466559i</v>
      </c>
      <c r="BF78" s="37">
        <f t="shared" si="94"/>
        <v>38.534441951352832</v>
      </c>
      <c r="BG78" s="60">
        <f t="shared" si="95"/>
        <v>95.196173258252941</v>
      </c>
      <c r="BH78" s="58" t="str">
        <f t="shared" si="96"/>
        <v>-29,7041519410147+129,38580367055i</v>
      </c>
      <c r="BI78" s="37">
        <f t="shared" si="97"/>
        <v>42.460804039359992</v>
      </c>
      <c r="BJ78" s="60">
        <f t="shared" si="98"/>
        <v>102.92980590759622</v>
      </c>
      <c r="BK78">
        <f t="shared" si="99"/>
        <v>38.534441951352832</v>
      </c>
      <c r="BL78" s="60">
        <f t="shared" si="100"/>
        <v>95.196173258252941</v>
      </c>
      <c r="BN78">
        <f t="shared" si="101"/>
        <v>0</v>
      </c>
      <c r="BO78">
        <f t="shared" si="102"/>
        <v>0</v>
      </c>
    </row>
    <row r="79" spans="1:67" x14ac:dyDescent="0.25">
      <c r="M79" s="66">
        <v>61</v>
      </c>
      <c r="N79" s="36">
        <f t="shared" si="54"/>
        <v>40.738027780411279</v>
      </c>
      <c r="O79" s="91" t="str">
        <f t="shared" si="55"/>
        <v>22,5</v>
      </c>
      <c r="P79" s="67" t="str">
        <f t="shared" si="56"/>
        <v>1+0,276441743800822i</v>
      </c>
      <c r="Q79" s="67">
        <f t="shared" si="57"/>
        <v>1.037506644660958</v>
      </c>
      <c r="R79" s="67">
        <f t="shared" si="58"/>
        <v>0.26970609395234019</v>
      </c>
      <c r="S79" s="67" t="str">
        <f t="shared" si="59"/>
        <v>1+0,00767893732780063i</v>
      </c>
      <c r="T79" s="67">
        <f t="shared" si="60"/>
        <v>1.0000294826046301</v>
      </c>
      <c r="U79" s="67">
        <f t="shared" si="61"/>
        <v>7.6787864008666194E-3</v>
      </c>
      <c r="V79" t="str">
        <f t="shared" si="62"/>
        <v>1-0,00159977860995846i</v>
      </c>
      <c r="W79" s="67">
        <f t="shared" si="63"/>
        <v>1.0000012796449818</v>
      </c>
      <c r="X79" s="67">
        <f t="shared" si="64"/>
        <v>-1.5997772451939027E-3</v>
      </c>
      <c r="Y79" t="str">
        <f t="shared" si="65"/>
        <v>0,999999893786438+0,00443671934495147i</v>
      </c>
      <c r="Z79" s="67">
        <f t="shared" si="66"/>
        <v>1.000009735978322</v>
      </c>
      <c r="AA79" s="67">
        <f t="shared" si="67"/>
        <v>4.4366907050235778E-3</v>
      </c>
      <c r="AB79" s="92" t="str">
        <f t="shared" si="68"/>
        <v>20,9125223291427-5,74414121445377i</v>
      </c>
      <c r="AC79" s="37">
        <f t="shared" si="69"/>
        <v>26.7240152545094</v>
      </c>
      <c r="AD79" s="60">
        <f t="shared" si="70"/>
        <v>-15.358922976589243</v>
      </c>
      <c r="AE79" t="str">
        <f t="shared" si="71"/>
        <v>34,4450883806789</v>
      </c>
      <c r="AF79" t="str">
        <f t="shared" si="72"/>
        <v>1+0,138220871900411i</v>
      </c>
      <c r="AG79">
        <f t="shared" si="73"/>
        <v>1.0095073102404508</v>
      </c>
      <c r="AH79">
        <f t="shared" si="74"/>
        <v>0.13735058936189673</v>
      </c>
      <c r="AI79" t="str">
        <f t="shared" si="50"/>
        <v>1+0,00767893732780063i</v>
      </c>
      <c r="AJ79">
        <f t="shared" si="75"/>
        <v>1.0000294826046301</v>
      </c>
      <c r="AK79">
        <f t="shared" si="76"/>
        <v>7.6787864008666194E-3</v>
      </c>
      <c r="AL79" t="str">
        <f t="shared" si="77"/>
        <v>1-0,000522485506108958i</v>
      </c>
      <c r="AM79">
        <f t="shared" si="78"/>
        <v>1.0000001364955429</v>
      </c>
      <c r="AN79">
        <f t="shared" si="79"/>
        <v>-5.2248545856433402E-4</v>
      </c>
      <c r="AO79" s="58" t="str">
        <f t="shared" si="80"/>
        <v>33,8329203986276-4,42991114094527i</v>
      </c>
      <c r="AP79">
        <f t="shared" si="81"/>
        <v>30.660613969106471</v>
      </c>
      <c r="AQ79" s="60">
        <f t="shared" si="82"/>
        <v>-7.4595832431517346</v>
      </c>
      <c r="AR79" t="str">
        <f t="shared" si="83"/>
        <v>-1,36472945891784</v>
      </c>
      <c r="AS79" t="str">
        <f t="shared" si="51"/>
        <v>1+0,00575229195225545i</v>
      </c>
      <c r="AT79">
        <f t="shared" si="84"/>
        <v>1.0000165442944953</v>
      </c>
      <c r="AU79">
        <f t="shared" si="85"/>
        <v>5.7522285079154795E-3</v>
      </c>
      <c r="AV79" t="str">
        <f t="shared" si="52"/>
        <v>1+0,00575229195225545i</v>
      </c>
      <c r="AW79">
        <f t="shared" si="86"/>
        <v>1.0000165442944953</v>
      </c>
      <c r="AX79">
        <f t="shared" si="87"/>
        <v>5.7522285079154795E-3</v>
      </c>
      <c r="AY79" t="str">
        <f t="shared" si="53"/>
        <v>1-2,60765623937404i</v>
      </c>
      <c r="AZ79">
        <f t="shared" si="88"/>
        <v>2.7928249251871051</v>
      </c>
      <c r="BA79">
        <f t="shared" si="89"/>
        <v>-1.2046065969855964</v>
      </c>
      <c r="BB79" s="58" t="str">
        <f t="shared" si="90"/>
        <v>-1,34421403852031+3,56647760020055i</v>
      </c>
      <c r="BC79">
        <f t="shared" si="91"/>
        <v>11.621661860682504</v>
      </c>
      <c r="BD79" s="60">
        <f t="shared" si="92"/>
        <v>110.65154760281051</v>
      </c>
      <c r="BE79" s="58" t="str">
        <f t="shared" si="93"/>
        <v>-7,62455512196491+82,3053977102931i</v>
      </c>
      <c r="BF79" s="37">
        <f t="shared" si="94"/>
        <v>38.345677115191897</v>
      </c>
      <c r="BG79" s="60">
        <f t="shared" si="95"/>
        <v>95.292624626221269</v>
      </c>
      <c r="BH79" s="58" t="str">
        <f t="shared" si="96"/>
        <v>-29,6795077089152+126,61910149613i</v>
      </c>
      <c r="BI79" s="37">
        <f t="shared" si="97"/>
        <v>42.282275829788986</v>
      </c>
      <c r="BJ79" s="60">
        <f t="shared" si="98"/>
        <v>103.19196435965875</v>
      </c>
      <c r="BK79">
        <f t="shared" si="99"/>
        <v>38.345677115191897</v>
      </c>
      <c r="BL79" s="60">
        <f t="shared" si="100"/>
        <v>95.292624626221269</v>
      </c>
      <c r="BN79">
        <f t="shared" si="101"/>
        <v>0</v>
      </c>
      <c r="BO79">
        <f t="shared" si="102"/>
        <v>0</v>
      </c>
    </row>
    <row r="80" spans="1:67" x14ac:dyDescent="0.25">
      <c r="M80" s="66">
        <v>62</v>
      </c>
      <c r="N80" s="36">
        <f t="shared" si="54"/>
        <v>41.686938347033561</v>
      </c>
      <c r="O80" s="91" t="str">
        <f t="shared" si="55"/>
        <v>22,5</v>
      </c>
      <c r="P80" s="67" t="str">
        <f t="shared" si="56"/>
        <v>1+0,282880899205254i</v>
      </c>
      <c r="Q80" s="67">
        <f t="shared" si="57"/>
        <v>1.0392408783026066</v>
      </c>
      <c r="R80" s="67">
        <f t="shared" si="58"/>
        <v>0.27567815694656722</v>
      </c>
      <c r="S80" s="67" t="str">
        <f t="shared" si="59"/>
        <v>1+0,0078578027557015i</v>
      </c>
      <c r="T80" s="67">
        <f t="shared" si="60"/>
        <v>1.000030872055532</v>
      </c>
      <c r="U80" s="67">
        <f t="shared" si="61"/>
        <v>7.8576410348476667E-3</v>
      </c>
      <c r="V80" t="str">
        <f t="shared" si="62"/>
        <v>1-0,00163704224077114i</v>
      </c>
      <c r="W80" s="67">
        <f t="shared" si="63"/>
        <v>1.0000013399527512</v>
      </c>
      <c r="X80" s="67">
        <f t="shared" si="64"/>
        <v>-1.6370407783996754E-3</v>
      </c>
      <c r="Y80" t="str">
        <f t="shared" si="65"/>
        <v>0,999999888780747+0,0045400638144053i</v>
      </c>
      <c r="Z80" s="67">
        <f t="shared" si="66"/>
        <v>1.0000101948185054</v>
      </c>
      <c r="AA80" s="67">
        <f t="shared" si="67"/>
        <v>4.5400331261865601E-3</v>
      </c>
      <c r="AB80" s="92" t="str">
        <f t="shared" si="68"/>
        <v>20,8432500621396-5,85834374478284i</v>
      </c>
      <c r="AC80" s="37">
        <f t="shared" si="69"/>
        <v>26.709517171907944</v>
      </c>
      <c r="AD80" s="60">
        <f t="shared" si="70"/>
        <v>-15.698905493230983</v>
      </c>
      <c r="AE80" t="str">
        <f t="shared" si="71"/>
        <v>34,4450883806789</v>
      </c>
      <c r="AF80" t="str">
        <f t="shared" si="72"/>
        <v>1+0,141440449602627i</v>
      </c>
      <c r="AG80">
        <f t="shared" si="73"/>
        <v>1.0099531676190701</v>
      </c>
      <c r="AH80">
        <f t="shared" si="74"/>
        <v>0.14050842068956959</v>
      </c>
      <c r="AI80" t="str">
        <f t="shared" si="50"/>
        <v>1+0,0078578027557015i</v>
      </c>
      <c r="AJ80">
        <f t="shared" si="75"/>
        <v>1.000030872055532</v>
      </c>
      <c r="AK80">
        <f t="shared" si="76"/>
        <v>7.8576410348476667E-3</v>
      </c>
      <c r="AL80" t="str">
        <f t="shared" si="77"/>
        <v>1-0,00053465575696956i</v>
      </c>
      <c r="AM80">
        <f t="shared" si="78"/>
        <v>1.0000001429283789</v>
      </c>
      <c r="AN80">
        <f t="shared" si="79"/>
        <v>-5.3465570602457798E-4</v>
      </c>
      <c r="AO80" s="58" t="str">
        <f t="shared" si="80"/>
        <v>33,8046356580417-4,52909642053039i</v>
      </c>
      <c r="AP80">
        <f t="shared" si="81"/>
        <v>30.656790744050365</v>
      </c>
      <c r="AQ80" s="60">
        <f t="shared" si="82"/>
        <v>-7.6309633387832099</v>
      </c>
      <c r="AR80" t="str">
        <f t="shared" si="83"/>
        <v>-1,36472945891784</v>
      </c>
      <c r="AS80" t="str">
        <f t="shared" si="51"/>
        <v>1+0,00588628004429599i</v>
      </c>
      <c r="AT80">
        <f t="shared" si="84"/>
        <v>1.0000173239963195</v>
      </c>
      <c r="AU80">
        <f t="shared" si="85"/>
        <v>5.886212062524509E-3</v>
      </c>
      <c r="AV80" t="str">
        <f t="shared" si="52"/>
        <v>1+0,00588628004429599i</v>
      </c>
      <c r="AW80">
        <f t="shared" si="86"/>
        <v>1.0000173239963195</v>
      </c>
      <c r="AX80">
        <f t="shared" si="87"/>
        <v>5.886212062524509E-3</v>
      </c>
      <c r="AY80" t="str">
        <f t="shared" si="53"/>
        <v>1-2,54829873657397i</v>
      </c>
      <c r="AZ80">
        <f t="shared" si="88"/>
        <v>2.7374854247693254</v>
      </c>
      <c r="BA80">
        <f t="shared" si="89"/>
        <v>-1.1968426160997021</v>
      </c>
      <c r="BB80" s="58" t="str">
        <f t="shared" si="90"/>
        <v>-1,34421194238516+3,48565076385738i</v>
      </c>
      <c r="BC80">
        <f t="shared" si="91"/>
        <v>11.447817163458136</v>
      </c>
      <c r="BD80" s="60">
        <f t="shared" si="92"/>
        <v>111.08871424758914</v>
      </c>
      <c r="BE80" s="58" t="str">
        <f t="shared" si="93"/>
        <v>-7,59760530270686+80,5271461247018i</v>
      </c>
      <c r="BF80" s="37">
        <f t="shared" si="94"/>
        <v>38.15733433536608</v>
      </c>
      <c r="BG80" s="60">
        <f t="shared" si="95"/>
        <v>95.389808754358157</v>
      </c>
      <c r="BH80" s="58" t="str">
        <f t="shared" si="96"/>
        <v>-29,6537465617134+123,919219600064i</v>
      </c>
      <c r="BI80" s="37">
        <f t="shared" si="97"/>
        <v>42.10460790750848</v>
      </c>
      <c r="BJ80" s="60">
        <f t="shared" si="98"/>
        <v>103.45775090880596</v>
      </c>
      <c r="BK80">
        <f t="shared" si="99"/>
        <v>38.15733433536608</v>
      </c>
      <c r="BL80" s="60">
        <f t="shared" si="100"/>
        <v>95.389808754358157</v>
      </c>
      <c r="BN80">
        <f t="shared" si="101"/>
        <v>0</v>
      </c>
      <c r="BO80">
        <f t="shared" si="102"/>
        <v>0</v>
      </c>
    </row>
    <row r="81" spans="2:67" x14ac:dyDescent="0.25">
      <c r="M81" s="66">
        <v>63</v>
      </c>
      <c r="N81" s="36">
        <f t="shared" si="54"/>
        <v>42.657951880159267</v>
      </c>
      <c r="O81" s="91" t="str">
        <f t="shared" si="55"/>
        <v>22,5</v>
      </c>
      <c r="P81" s="67" t="str">
        <f t="shared" si="56"/>
        <v>1+0,289470041806814i</v>
      </c>
      <c r="Q81" s="67">
        <f t="shared" si="57"/>
        <v>1.0410537474615029</v>
      </c>
      <c r="R81" s="67">
        <f t="shared" si="58"/>
        <v>0.2817685064835263</v>
      </c>
      <c r="S81" s="67" t="str">
        <f t="shared" si="59"/>
        <v>1+0,00804083449463374i</v>
      </c>
      <c r="T81" s="67">
        <f t="shared" si="60"/>
        <v>1.000032326987168</v>
      </c>
      <c r="U81" s="67">
        <f t="shared" si="61"/>
        <v>8.0406612079193373E-3</v>
      </c>
      <c r="V81" t="str">
        <f t="shared" si="62"/>
        <v>1-0,00167517385304869i</v>
      </c>
      <c r="W81" s="67">
        <f t="shared" si="63"/>
        <v>1.0000014031027347</v>
      </c>
      <c r="X81" s="67">
        <f t="shared" si="64"/>
        <v>-1.6751722860895528E-3</v>
      </c>
      <c r="Y81" t="str">
        <f t="shared" si="65"/>
        <v>0,999999883539145+0,00464581548578838i</v>
      </c>
      <c r="Z81" s="67">
        <f t="shared" si="66"/>
        <v>1.000010675282935</v>
      </c>
      <c r="AA81" s="67">
        <f t="shared" si="67"/>
        <v>4.6457826027885155E-3</v>
      </c>
      <c r="AB81" s="92" t="str">
        <f t="shared" si="68"/>
        <v>20,7712065485871-5,97394776283049i</v>
      </c>
      <c r="AC81" s="37">
        <f t="shared" si="69"/>
        <v>26.694387573298943</v>
      </c>
      <c r="AD81" s="60">
        <f t="shared" si="70"/>
        <v>-16.045614307127636</v>
      </c>
      <c r="AE81" t="str">
        <f t="shared" si="71"/>
        <v>34,4450883806789</v>
      </c>
      <c r="AF81" t="str">
        <f t="shared" si="72"/>
        <v>1+0,144735020903407i</v>
      </c>
      <c r="AG81">
        <f t="shared" si="73"/>
        <v>1.0104198267432749</v>
      </c>
      <c r="AH81">
        <f t="shared" si="74"/>
        <v>0.14373688931508269</v>
      </c>
      <c r="AI81" t="str">
        <f t="shared" si="50"/>
        <v>1+0,00804083449463374i</v>
      </c>
      <c r="AJ81">
        <f t="shared" si="75"/>
        <v>1.000032326987168</v>
      </c>
      <c r="AK81">
        <f t="shared" si="76"/>
        <v>8.0406612079193373E-3</v>
      </c>
      <c r="AL81" t="str">
        <f t="shared" si="77"/>
        <v>1-0,000547109489389513i</v>
      </c>
      <c r="AM81">
        <f t="shared" si="78"/>
        <v>1.0000001496643856</v>
      </c>
      <c r="AN81">
        <f t="shared" si="79"/>
        <v>-5.4710943480098173E-4</v>
      </c>
      <c r="AO81" s="58" t="str">
        <f t="shared" si="80"/>
        <v>33,7750713705135-4,63031364071919i</v>
      </c>
      <c r="AP81">
        <f t="shared" si="81"/>
        <v>30.652790962893373</v>
      </c>
      <c r="AQ81" s="60">
        <f t="shared" si="82"/>
        <v>-7.8061682279308329</v>
      </c>
      <c r="AR81" t="str">
        <f t="shared" si="83"/>
        <v>-1,36472945891784</v>
      </c>
      <c r="AS81" t="str">
        <f t="shared" si="51"/>
        <v>1+0,00602338911993013i</v>
      </c>
      <c r="AT81">
        <f t="shared" si="84"/>
        <v>1.0000181404437072</v>
      </c>
      <c r="AU81">
        <f t="shared" si="85"/>
        <v>6.0233162762209497E-3</v>
      </c>
      <c r="AV81" t="str">
        <f t="shared" si="52"/>
        <v>1+0,00602338911993013i</v>
      </c>
      <c r="AW81">
        <f t="shared" si="86"/>
        <v>1.0000181404437072</v>
      </c>
      <c r="AX81">
        <f t="shared" si="87"/>
        <v>6.0233162762209497E-3</v>
      </c>
      <c r="AY81" t="str">
        <f t="shared" si="53"/>
        <v>1-2,49029237549475i</v>
      </c>
      <c r="AZ81">
        <f t="shared" si="88"/>
        <v>2.6835715223275276</v>
      </c>
      <c r="BA81">
        <f t="shared" si="89"/>
        <v>-1.1889464705595187</v>
      </c>
      <c r="BB81" s="58" t="str">
        <f t="shared" si="90"/>
        <v>-1,34420974746922+3,40667206452398i</v>
      </c>
      <c r="BC81">
        <f t="shared" si="91"/>
        <v>11.275037252487428</v>
      </c>
      <c r="BD81" s="60">
        <f t="shared" si="92"/>
        <v>111.53327456866454</v>
      </c>
      <c r="BE81" s="58" t="str">
        <f t="shared" si="93"/>
        <v>-7,56957735074712+78,7909279091979i</v>
      </c>
      <c r="BF81" s="37">
        <f t="shared" si="94"/>
        <v>37.969424825786369</v>
      </c>
      <c r="BG81" s="60">
        <f t="shared" si="95"/>
        <v>95.487660261536902</v>
      </c>
      <c r="BH81" s="58" t="str">
        <f t="shared" si="96"/>
        <v>-29,6268200278904+121,284704844926i</v>
      </c>
      <c r="BI81" s="37">
        <f t="shared" si="97"/>
        <v>41.927828215380771</v>
      </c>
      <c r="BJ81" s="60">
        <f t="shared" si="98"/>
        <v>103.72710634073373</v>
      </c>
      <c r="BK81">
        <f t="shared" si="99"/>
        <v>37.969424825786369</v>
      </c>
      <c r="BL81" s="60">
        <f t="shared" si="100"/>
        <v>95.487660261536902</v>
      </c>
      <c r="BN81">
        <f t="shared" si="101"/>
        <v>0</v>
      </c>
      <c r="BO81">
        <f t="shared" si="102"/>
        <v>0</v>
      </c>
    </row>
    <row r="82" spans="2:67" x14ac:dyDescent="0.25">
      <c r="M82" s="66">
        <v>64</v>
      </c>
      <c r="N82" s="36">
        <f t="shared" si="54"/>
        <v>43.651583224016633</v>
      </c>
      <c r="O82" s="91" t="str">
        <f t="shared" si="55"/>
        <v>22,5</v>
      </c>
      <c r="P82" s="67" t="str">
        <f t="shared" si="56"/>
        <v>1+0,296212665256129i</v>
      </c>
      <c r="Q82" s="67">
        <f t="shared" si="57"/>
        <v>1.0429486770968834</v>
      </c>
      <c r="R82" s="67">
        <f t="shared" si="58"/>
        <v>0.28797856380093573</v>
      </c>
      <c r="S82" s="67" t="str">
        <f t="shared" si="59"/>
        <v>1+0,00822812959044805i</v>
      </c>
      <c r="T82" s="67">
        <f t="shared" si="60"/>
        <v>1.000033850485351</v>
      </c>
      <c r="U82" s="67">
        <f t="shared" si="61"/>
        <v>8.2279439107276788E-3</v>
      </c>
      <c r="V82" t="str">
        <f t="shared" si="62"/>
        <v>1-0,00171419366467668i</v>
      </c>
      <c r="W82" s="67">
        <f t="shared" si="63"/>
        <v>1.0000014692288808</v>
      </c>
      <c r="X82" s="67">
        <f t="shared" si="64"/>
        <v>-1.7141919856498472E-3</v>
      </c>
      <c r="Y82" t="str">
        <f t="shared" si="65"/>
        <v>0,999999878050514+0,00475403043003664i</v>
      </c>
      <c r="Z82" s="67">
        <f t="shared" si="66"/>
        <v>1.000011178390708</v>
      </c>
      <c r="AA82" s="67">
        <f t="shared" si="67"/>
        <v>4.7539951952887431E-3</v>
      </c>
      <c r="AB82" s="92" t="str">
        <f t="shared" si="68"/>
        <v>20,6963031595699-6,0909116580054i</v>
      </c>
      <c r="AC82" s="37">
        <f t="shared" si="69"/>
        <v>26.678601295230603</v>
      </c>
      <c r="AD82" s="60">
        <f t="shared" si="70"/>
        <v>-16.399129662445848</v>
      </c>
      <c r="AE82" t="str">
        <f t="shared" si="71"/>
        <v>34,4450883806789</v>
      </c>
      <c r="AF82" t="str">
        <f t="shared" si="72"/>
        <v>1+0,148106332628065i</v>
      </c>
      <c r="AG82">
        <f t="shared" si="73"/>
        <v>1.0109082479456457</v>
      </c>
      <c r="AH82">
        <f t="shared" si="74"/>
        <v>0.14703743767174327</v>
      </c>
      <c r="AI82" t="str">
        <f t="shared" si="50"/>
        <v>1+0,00822812959044805i</v>
      </c>
      <c r="AJ82">
        <f t="shared" si="75"/>
        <v>1.000033850485351</v>
      </c>
      <c r="AK82">
        <f t="shared" si="76"/>
        <v>8.2279439107276788E-3</v>
      </c>
      <c r="AL82" t="str">
        <f t="shared" si="77"/>
        <v>1-0,000559853306502589i</v>
      </c>
      <c r="AM82">
        <f t="shared" si="78"/>
        <v>1.00000015671785</v>
      </c>
      <c r="AN82">
        <f t="shared" si="79"/>
        <v>-5.5985324800992436E-4</v>
      </c>
      <c r="AO82" s="58" t="str">
        <f t="shared" si="80"/>
        <v>33,7441722293266-4,7335911421274i</v>
      </c>
      <c r="AP82">
        <f t="shared" si="81"/>
        <v>30.648606647377086</v>
      </c>
      <c r="AQ82" s="60">
        <f t="shared" si="82"/>
        <v>-7.985275377111396</v>
      </c>
      <c r="AR82" t="str">
        <f t="shared" si="83"/>
        <v>-1,36472945891784</v>
      </c>
      <c r="AS82" t="str">
        <f t="shared" si="51"/>
        <v>1+0,00616369187620463i</v>
      </c>
      <c r="AT82">
        <f t="shared" si="84"/>
        <v>1.0000189953683605</v>
      </c>
      <c r="AU82">
        <f t="shared" si="85"/>
        <v>6.1636138228440543E-3</v>
      </c>
      <c r="AV82" t="str">
        <f t="shared" si="52"/>
        <v>1+0,00616369187620463i</v>
      </c>
      <c r="AW82">
        <f t="shared" si="86"/>
        <v>1.0000189953683605</v>
      </c>
      <c r="AX82">
        <f t="shared" si="87"/>
        <v>6.1636138228440543E-3</v>
      </c>
      <c r="AY82" t="str">
        <f t="shared" si="53"/>
        <v>1-2,43360640039593i</v>
      </c>
      <c r="AZ82">
        <f t="shared" si="88"/>
        <v>2.6310530424238951</v>
      </c>
      <c r="BA82">
        <f t="shared" si="89"/>
        <v>-1.1809179132997778</v>
      </c>
      <c r="BB82" s="58" t="str">
        <f t="shared" si="90"/>
        <v>-1,34420744911775+3,32949962656539i</v>
      </c>
      <c r="BC82">
        <f t="shared" si="91"/>
        <v>11.103358407998591</v>
      </c>
      <c r="BD82" s="60">
        <f t="shared" si="92"/>
        <v>111.98523855792916</v>
      </c>
      <c r="BE82" s="58" t="str">
        <f t="shared" si="93"/>
        <v>-7,54043678552133+77,0957824636811i</v>
      </c>
      <c r="BF82" s="37">
        <f t="shared" si="94"/>
        <v>37.781959703229198</v>
      </c>
      <c r="BG82" s="60">
        <f t="shared" si="95"/>
        <v>95.586108895483306</v>
      </c>
      <c r="BH82" s="58" t="str">
        <f t="shared" si="96"/>
        <v>-29,5986777349467+118,714137310627i</v>
      </c>
      <c r="BI82" s="37">
        <f t="shared" si="97"/>
        <v>41.751965055375706</v>
      </c>
      <c r="BJ82" s="60">
        <f t="shared" si="98"/>
        <v>103.99996318081772</v>
      </c>
      <c r="BK82">
        <f t="shared" si="99"/>
        <v>37.781959703229198</v>
      </c>
      <c r="BL82" s="60">
        <f t="shared" si="100"/>
        <v>95.586108895483306</v>
      </c>
      <c r="BN82">
        <f t="shared" si="101"/>
        <v>0</v>
      </c>
      <c r="BO82">
        <f t="shared" si="102"/>
        <v>0</v>
      </c>
    </row>
    <row r="83" spans="2:67" x14ac:dyDescent="0.25">
      <c r="M83" s="66">
        <v>65</v>
      </c>
      <c r="N83" s="36">
        <f t="shared" si="54"/>
        <v>44.668359215096324</v>
      </c>
      <c r="O83" s="91" t="str">
        <f t="shared" ref="O83:O146" si="103">COMPLEX(adc,0)</f>
        <v>22,5</v>
      </c>
      <c r="P83" s="67" t="str">
        <f t="shared" ref="P83:P146" si="104">IMSUM(COMPLEX(1,0),IMDIV(COMPLEX(0,2*PI()*N83),COMPLEX(wp_lf,0)))</f>
        <v>1+0,303112344581402i</v>
      </c>
      <c r="Q83" s="67">
        <f t="shared" si="57"/>
        <v>1.0449292289134391</v>
      </c>
      <c r="R83" s="67">
        <f t="shared" si="58"/>
        <v>0.29430970490485098</v>
      </c>
      <c r="S83" s="67" t="str">
        <f t="shared" ref="S83:S146" si="105">IMSUM(COMPLEX(1,0),IMDIV(COMPLEX(0,2*PI()*N83),COMPLEX(wz_esr,0)))</f>
        <v>1+0,0084197873494834i</v>
      </c>
      <c r="T83" s="67">
        <f t="shared" si="60"/>
        <v>1.0000354457813037</v>
      </c>
      <c r="U83" s="67">
        <f t="shared" si="61"/>
        <v>8.4195883904593007E-3</v>
      </c>
      <c r="V83" t="str">
        <f t="shared" ref="V83:V146" si="106">IMSUB(COMPLEX(1,0),IMDIV(COMPLEX(0,2*PI()*N83),COMPLEX(wz_rhp,0)))</f>
        <v>1-0,00175412236447571i</v>
      </c>
      <c r="W83" s="67">
        <f t="shared" si="63"/>
        <v>1.0000015384714513</v>
      </c>
      <c r="X83" s="67">
        <f t="shared" si="64"/>
        <v>-1.7541205653661943E-3</v>
      </c>
      <c r="Y83" t="str">
        <f t="shared" ref="Y83:Y146" si="107">IMSUM(COMPLEX(1,0),IMDIV(COMPLEX(0,2*PI()*N83),COMPLEX(Q*(wsl/2),0)),IMDIV(IMPOWER(COMPLEX(0,2*PI()*N83),2),IMPOWER(COMPLEX(wsl/2,0),2)))</f>
        <v>0,999999872303212+0,00486476602414596i</v>
      </c>
      <c r="Z83" s="67">
        <f t="shared" si="66"/>
        <v>1.000011705208949</v>
      </c>
      <c r="AA83" s="67">
        <f t="shared" si="67"/>
        <v>4.8647282694572382E-3</v>
      </c>
      <c r="AB83" s="92" t="str">
        <f t="shared" si="68"/>
        <v>20,618450396157-6,20918919889806i</v>
      </c>
      <c r="AC83" s="37">
        <f t="shared" si="69"/>
        <v>26.662132378406994</v>
      </c>
      <c r="AD83" s="60">
        <f t="shared" si="70"/>
        <v>-16.759529184248468</v>
      </c>
      <c r="AE83" t="str">
        <f t="shared" si="71"/>
        <v>34,4450883806789</v>
      </c>
      <c r="AF83" t="str">
        <f t="shared" ref="AF83:AF146" si="108">IMSUM(COMPLEX(1,0),IMDIV(COMPLEX(0,2*PI()*N83),COMPLEX(wp_lf_DCM,0)))</f>
        <v>1+0,151556172290701i</v>
      </c>
      <c r="AG83">
        <f t="shared" si="73"/>
        <v>1.0114194349326142</v>
      </c>
      <c r="AH83">
        <f t="shared" si="74"/>
        <v>0.15041152796506613</v>
      </c>
      <c r="AI83" t="str">
        <f t="shared" ref="AI83:AI146" si="109">IMSUM(COMPLEX(1,0),IMDIV(COMPLEX(0,2*PI()*N83),COMPLEX(wz1_dcm,0)))</f>
        <v>1+0,0084197873494834i</v>
      </c>
      <c r="AJ83">
        <f t="shared" si="75"/>
        <v>1.0000354457813037</v>
      </c>
      <c r="AK83">
        <f t="shared" si="76"/>
        <v>8.4195883904593007E-3</v>
      </c>
      <c r="AL83" t="str">
        <f t="shared" ref="AL83:AL146" si="110">IMSUB(COMPLEX(1,0),IMDIV(COMPLEX(0,2*PI()*N83),COMPLEX(wz2_dcm,0)))</f>
        <v>1-0,000572893965249309i</v>
      </c>
      <c r="AM83">
        <f t="shared" si="78"/>
        <v>1.0000001641037342</v>
      </c>
      <c r="AN83">
        <f t="shared" si="79"/>
        <v>-5.7289390257329019E-4</v>
      </c>
      <c r="AO83" s="58" t="str">
        <f t="shared" si="80"/>
        <v>33,7118807799362-4,83895667559387i</v>
      </c>
      <c r="AP83">
        <f t="shared" si="81"/>
        <v>30.644229475225938</v>
      </c>
      <c r="AQ83" s="60">
        <f t="shared" si="82"/>
        <v>-8.1683632652278</v>
      </c>
      <c r="AR83" t="str">
        <f t="shared" ref="AR83:AR146" si="111">COMPLEX(adc_ea,0)</f>
        <v>-1,36472945891784</v>
      </c>
      <c r="AS83" t="str">
        <f t="shared" ref="AS83:AS146" si="112">IMSUM(COMPLEX(1,0), IMDIV(COMPLEX(0,2*PI()*N83), COMPLEX(wp0_ea,0)))</f>
        <v>1+0,00630726270349802i</v>
      </c>
      <c r="AT83">
        <f t="shared" si="84"/>
        <v>1.0000198905835878</v>
      </c>
      <c r="AU83">
        <f t="shared" si="85"/>
        <v>6.3071790679051689E-3</v>
      </c>
      <c r="AV83" t="str">
        <f t="shared" ref="AV83:AV146" si="113">IMSUM(COMPLEX(1,0),IMDIV(COMPLEX(0,2*PI()*N83),COMPLEX(wp1_ea,0)))</f>
        <v>1+0,00630726270349802i</v>
      </c>
      <c r="AW83">
        <f t="shared" si="86"/>
        <v>1.0000198905835878</v>
      </c>
      <c r="AX83">
        <f t="shared" si="87"/>
        <v>6.3071790679051689E-3</v>
      </c>
      <c r="AY83" t="str">
        <f t="shared" ref="AY83:AY146" si="114">IMSUM(COMPLEX(1,0),IMDIV(COMPLEX(wz_ea,0),COMPLEX(0,2*PI()*N83)))</f>
        <v>1-2,3782107556232i</v>
      </c>
      <c r="AZ83">
        <f t="shared" si="88"/>
        <v>2.5799004628399662</v>
      </c>
      <c r="BA83">
        <f t="shared" si="89"/>
        <v>-1.1727568285372774</v>
      </c>
      <c r="BB83" s="58" t="str">
        <f t="shared" si="90"/>
        <v>-1,34420504245675+3,25409253204438i</v>
      </c>
      <c r="BC83">
        <f t="shared" si="91"/>
        <v>10.932817568711503</v>
      </c>
      <c r="BD83" s="60">
        <f t="shared" si="92"/>
        <v>112.44460858844232</v>
      </c>
      <c r="BE83" s="58" t="str">
        <f t="shared" si="93"/>
        <v>-7,51014878797381+75,4407688871888i</v>
      </c>
      <c r="BF83" s="37">
        <f t="shared" si="94"/>
        <v>37.594949947118501</v>
      </c>
      <c r="BG83" s="60">
        <f t="shared" si="95"/>
        <v>95.685079404193829</v>
      </c>
      <c r="BH83" s="58" t="str">
        <f t="shared" si="96"/>
        <v>-29,5692673541547+116,206129450724i</v>
      </c>
      <c r="BI83" s="37">
        <f t="shared" si="97"/>
        <v>41.577047043937448</v>
      </c>
      <c r="BJ83" s="60">
        <f t="shared" si="98"/>
        <v>104.27624532321448</v>
      </c>
      <c r="BK83">
        <f t="shared" si="99"/>
        <v>37.594949947118501</v>
      </c>
      <c r="BL83" s="60">
        <f t="shared" si="100"/>
        <v>95.685079404193829</v>
      </c>
      <c r="BN83">
        <f t="shared" si="101"/>
        <v>0</v>
      </c>
      <c r="BO83">
        <f t="shared" si="102"/>
        <v>0</v>
      </c>
    </row>
    <row r="84" spans="2:67" x14ac:dyDescent="0.25">
      <c r="M84" s="66">
        <v>66</v>
      </c>
      <c r="N84" s="36">
        <f t="shared" ref="N84:N118" si="115">10^(1+(M84/100))</f>
        <v>45.70881896148753</v>
      </c>
      <c r="O84" s="91" t="str">
        <f t="shared" si="103"/>
        <v>22,5</v>
      </c>
      <c r="P84" s="67" t="str">
        <f t="shared" si="104"/>
        <v>1+0,310172738083938i</v>
      </c>
      <c r="Q84" s="67">
        <f t="shared" ref="Q84:Q147" si="116">IMABS(P84)</f>
        <v>1.0469991057543875</v>
      </c>
      <c r="R84" s="67">
        <f t="shared" ref="R84:R147" si="117">IMARGUMENT(P84)</f>
        <v>0.30076325570427309</v>
      </c>
      <c r="S84" s="67" t="str">
        <f t="shared" si="105"/>
        <v>1+0,00861590939122051i</v>
      </c>
      <c r="T84" s="67">
        <f t="shared" ref="T84:T147" si="118">IMABS(S84)</f>
        <v>1.0000371162585107</v>
      </c>
      <c r="U84" s="67">
        <f t="shared" ref="U84:U147" si="119">IMARGUMENT(S84)</f>
        <v>8.6156962032125778E-3</v>
      </c>
      <c r="V84" t="str">
        <f t="shared" si="106"/>
        <v>1-0,00179498112317094i</v>
      </c>
      <c r="W84" s="67">
        <f t="shared" ref="W84:W147" si="120">IMABS(V84)</f>
        <v>1.0000016109773187</v>
      </c>
      <c r="X84" s="67">
        <f t="shared" ref="X84:X147" si="121">IMARGUMENT(V84)</f>
        <v>-1.7949791953905294E-3</v>
      </c>
      <c r="Y84" t="str">
        <f t="shared" si="107"/>
        <v>0,999999866285048+0,00497808098159407i</v>
      </c>
      <c r="Z84" s="67">
        <f t="shared" ref="Z84:Z147" si="122">IMABS(Y84)</f>
        <v>1.0000122568550713</v>
      </c>
      <c r="AA84" s="67">
        <f t="shared" ref="AA84:AA147" si="123">IMARGUMENT(Y84)</f>
        <v>4.9780405267430203E-3</v>
      </c>
      <c r="AB84" s="92" t="str">
        <f t="shared" ref="AB84:AB147" si="124">(IMDIV(IMPRODUCT(O84,S84,V84),IMPRODUCT(P84,Y84)))</f>
        <v>20,5375580739236-6,32872932652899i</v>
      </c>
      <c r="AC84" s="37">
        <f t="shared" ref="AC84:AC147" si="125">20*LOG(IMABS(AB84))</f>
        <v>26.644954060760391</v>
      </c>
      <c r="AD84" s="60">
        <f t="shared" ref="AD84:AD147" si="126">(180/PI())*IMARGUMENT(AB84)</f>
        <v>-17.126887599095003</v>
      </c>
      <c r="AE84" t="str">
        <f t="shared" ref="AE84:AE147" si="127">COMPLEX($B$67,0)</f>
        <v>34,4450883806789</v>
      </c>
      <c r="AF84" t="str">
        <f t="shared" si="108"/>
        <v>1+0,155086369041969i</v>
      </c>
      <c r="AG84">
        <f t="shared" ref="AG84:AG147" si="128">IMABS(AF84)</f>
        <v>1.0119544366534601</v>
      </c>
      <c r="AH84">
        <f t="shared" ref="AH84:AH147" si="129">IMARGUMENT(AF84)</f>
        <v>0.15386064172509986</v>
      </c>
      <c r="AI84" t="str">
        <f t="shared" si="109"/>
        <v>1+0,00861590939122051i</v>
      </c>
      <c r="AJ84">
        <f t="shared" ref="AJ84:AJ147" si="130">IMABS(AI84)</f>
        <v>1.0000371162585107</v>
      </c>
      <c r="AK84">
        <f t="shared" ref="AK84:AK147" si="131">IMARGUMENT(AI84)</f>
        <v>8.6156962032125778E-3</v>
      </c>
      <c r="AL84" t="str">
        <f t="shared" si="110"/>
        <v>1-0,000586238379959552i</v>
      </c>
      <c r="AM84">
        <f t="shared" ref="AM84:AM147" si="132">IMABS(AL84)</f>
        <v>1.0000001718377043</v>
      </c>
      <c r="AN84">
        <f t="shared" ref="AN84:AN147" si="133">IMARGUMENT(AL84)</f>
        <v>-5.8623831280098845E-4</v>
      </c>
      <c r="AO84" s="58" t="str">
        <f t="shared" ref="AO84:AO147" si="134">(IMDIV(IMPRODUCT(AE84,AI84,AL84),IMPRODUCT(AF84)))</f>
        <v>33,6781373596766-4,94643731155827i</v>
      </c>
      <c r="AP84">
        <f t="shared" ref="AP84:AP147" si="135">20*LOG(IMABS(AO84))</f>
        <v>30.639650766866914</v>
      </c>
      <c r="AQ84" s="60">
        <f t="shared" ref="AQ84:AQ147" si="136">(180/PI())*IMARGUMENT(AO84)</f>
        <v>-8.3555113551240758</v>
      </c>
      <c r="AR84" t="str">
        <f t="shared" si="111"/>
        <v>-1,36472945891784</v>
      </c>
      <c r="AS84" t="str">
        <f t="shared" si="112"/>
        <v>1+0,00645417772496328i</v>
      </c>
      <c r="AT84">
        <f t="shared" ref="AT84:AT147" si="137">IMABS(AS84)</f>
        <v>1.0000208279881502</v>
      </c>
      <c r="AU84">
        <f t="shared" ref="AU84:AU147" si="138">IMARGUMENT(AS84)</f>
        <v>6.4540881079117422E-3</v>
      </c>
      <c r="AV84" t="str">
        <f t="shared" si="113"/>
        <v>1+0,00645417772496328i</v>
      </c>
      <c r="AW84">
        <f t="shared" ref="AW84:AW147" si="139">IMABS(AV84)</f>
        <v>1.0000208279881502</v>
      </c>
      <c r="AX84">
        <f t="shared" ref="AX84:AX147" si="140">IMARGUMENT(AV84)</f>
        <v>6.4540881079117422E-3</v>
      </c>
      <c r="AY84" t="str">
        <f t="shared" si="114"/>
        <v>1-2,32407606967243i</v>
      </c>
      <c r="AZ84">
        <f t="shared" ref="AZ84:AZ147" si="141">IMABS(AY84)</f>
        <v>2.5300848953392943</v>
      </c>
      <c r="BA84">
        <f t="shared" ref="BA84:BA147" si="142">IMARGUMENT(AY84)</f>
        <v>-1.1644632386478349</v>
      </c>
      <c r="BB84" s="58" t="str">
        <f t="shared" ref="BB84:BB147" si="143">IMDIV(IMPRODUCT(AR84,AY84), AS84)</f>
        <v>-1,34420252238254+3,18041079902576i</v>
      </c>
      <c r="BC84">
        <f t="shared" ref="BC84:BC147" si="144">20*LOG(IMABS(BB84))</f>
        <v>10.763452295801741</v>
      </c>
      <c r="BD84" s="60">
        <f t="shared" ref="BD84:BD147" si="145">(180/PI())*IMARGUMENT(BB84)</f>
        <v>112.91137901815502</v>
      </c>
      <c r="BE84" s="58" t="str">
        <f t="shared" ref="BE84:BE147" si="146">IMPRODUCT(AB84,BB84)</f>
        <v>-7,47867827234218+73,8249654081219i</v>
      </c>
      <c r="BF84" s="37">
        <f t="shared" ref="BF84:BF147" si="147">20*LOG(IMABS(BE84))</f>
        <v>37.408406356562132</v>
      </c>
      <c r="BG84" s="60">
        <f t="shared" ref="BG84:BG147" si="148">(180/PI())*IMARGUMENT(BE84)</f>
        <v>95.784491419060018</v>
      </c>
      <c r="BH84" s="58" t="str">
        <f t="shared" ref="BH84:BH147" si="149">IMPRODUCT(AO84,BB84)</f>
        <v>-29,5385345456391+113,759325260792i</v>
      </c>
      <c r="BI84" s="37">
        <f t="shared" ref="BI84:BI147" si="150">20*LOG(IMABS(BH84))</f>
        <v>41.403103062668649</v>
      </c>
      <c r="BJ84" s="60">
        <f t="shared" ref="BJ84:BJ147" si="151">(180/PI())*IMARGUMENT(BH84)</f>
        <v>104.55586766303097</v>
      </c>
      <c r="BK84">
        <f t="shared" ref="BK84:BK147" si="152">IF($B$19=0,BF84,BI84)</f>
        <v>37.408406356562132</v>
      </c>
      <c r="BL84" s="60">
        <f t="shared" ref="BL84:BL147" si="153">IF($B$19=0,BG84,BJ84)</f>
        <v>95.784491419060018</v>
      </c>
      <c r="BN84">
        <f t="shared" si="101"/>
        <v>0</v>
      </c>
      <c r="BO84">
        <f t="shared" si="102"/>
        <v>0</v>
      </c>
    </row>
    <row r="85" spans="2:67" x14ac:dyDescent="0.25">
      <c r="M85" s="66">
        <v>67</v>
      </c>
      <c r="N85" s="36">
        <f t="shared" si="115"/>
        <v>46.773514128719818</v>
      </c>
      <c r="O85" s="91" t="str">
        <f t="shared" si="103"/>
        <v>22,5</v>
      </c>
      <c r="P85" s="67" t="str">
        <f t="shared" si="104"/>
        <v>1+0,317397589277827i</v>
      </c>
      <c r="Q85" s="67">
        <f t="shared" si="116"/>
        <v>1.0491621560461357</v>
      </c>
      <c r="R85" s="67">
        <f t="shared" si="117"/>
        <v>0.30734048693374355</v>
      </c>
      <c r="S85" s="67" t="str">
        <f t="shared" si="105"/>
        <v>1+0,00881659970216188i</v>
      </c>
      <c r="T85" s="67">
        <f t="shared" si="118"/>
        <v>1.000038865459892</v>
      </c>
      <c r="U85" s="67">
        <f t="shared" si="119"/>
        <v>8.8163712675752171E-3</v>
      </c>
      <c r="V85" t="str">
        <f t="shared" si="106"/>
        <v>1-0,00183679160461706i</v>
      </c>
      <c r="W85" s="67">
        <f t="shared" si="120"/>
        <v>1.0000016869002766</v>
      </c>
      <c r="X85" s="67">
        <f t="shared" si="121"/>
        <v>-1.8367895389633218E-3</v>
      </c>
      <c r="Y85" t="str">
        <f t="shared" si="107"/>
        <v>0,999999859983256+0,0050940353834713i</v>
      </c>
      <c r="Z85" s="67">
        <f t="shared" si="122"/>
        <v>1.0000128344991477</v>
      </c>
      <c r="AA85" s="67">
        <f t="shared" si="123"/>
        <v>5.0939920353474579E-3</v>
      </c>
      <c r="AB85" s="92" t="str">
        <f t="shared" si="124"/>
        <v>20,4535355269538-6,44947594956696i</v>
      </c>
      <c r="AC85" s="37">
        <f t="shared" si="125"/>
        <v>26.627038772262061</v>
      </c>
      <c r="AD85" s="60">
        <f t="shared" si="126"/>
        <v>-17.501276443481672</v>
      </c>
      <c r="AE85" t="str">
        <f t="shared" si="127"/>
        <v>34,4450883806789</v>
      </c>
      <c r="AF85" t="str">
        <f t="shared" si="108"/>
        <v>1+0,158698794638914i</v>
      </c>
      <c r="AG85">
        <f t="shared" si="128"/>
        <v>1.0125143492414537</v>
      </c>
      <c r="AH85">
        <f t="shared" si="129"/>
        <v>0.15738627929267116</v>
      </c>
      <c r="AI85" t="str">
        <f t="shared" si="109"/>
        <v>1+0,00881659970216188i</v>
      </c>
      <c r="AJ85">
        <f t="shared" si="130"/>
        <v>1.000038865459892</v>
      </c>
      <c r="AK85">
        <f t="shared" si="131"/>
        <v>8.8163712675752171E-3</v>
      </c>
      <c r="AL85" t="str">
        <f t="shared" si="110"/>
        <v>1-0,000599893626018631i</v>
      </c>
      <c r="AM85">
        <f t="shared" si="132"/>
        <v>1.0000001799361651</v>
      </c>
      <c r="AN85">
        <f t="shared" si="133"/>
        <v>-5.9989355405693444E-4</v>
      </c>
      <c r="AO85" s="58" t="str">
        <f t="shared" si="134"/>
        <v>33,642880038113-5,0560593432393i</v>
      </c>
      <c r="AP85">
        <f t="shared" si="135"/>
        <v>30.634861471785101</v>
      </c>
      <c r="AQ85" s="60">
        <f t="shared" si="136"/>
        <v>-8.5468000612893853</v>
      </c>
      <c r="AR85" t="str">
        <f t="shared" si="111"/>
        <v>-1,36472945891784</v>
      </c>
      <c r="AS85" t="str">
        <f t="shared" si="112"/>
        <v>1+0,00660451483688946i</v>
      </c>
      <c r="AT85">
        <f t="shared" si="137"/>
        <v>1.0000218095702866</v>
      </c>
      <c r="AU85">
        <f t="shared" si="138"/>
        <v>6.6044188106017671E-3</v>
      </c>
      <c r="AV85" t="str">
        <f t="shared" si="113"/>
        <v>1+0,00660451483688946i</v>
      </c>
      <c r="AW85">
        <f t="shared" si="139"/>
        <v>1.0000218095702866</v>
      </c>
      <c r="AX85">
        <f t="shared" si="140"/>
        <v>6.6044188106017671E-3</v>
      </c>
      <c r="AY85" t="str">
        <f t="shared" si="114"/>
        <v>1-2,27117363961659i</v>
      </c>
      <c r="AZ85">
        <f t="shared" si="141"/>
        <v>2.4815780667327934</v>
      </c>
      <c r="BA85">
        <f t="shared" si="142"/>
        <v>-1.1560373110177411</v>
      </c>
      <c r="BB85" s="58" t="str">
        <f t="shared" si="143"/>
        <v>-1,34419988355101+3,10841536037707i</v>
      </c>
      <c r="BC85">
        <f t="shared" si="144"/>
        <v>10.595300732389282</v>
      </c>
      <c r="BD85" s="60">
        <f t="shared" si="145"/>
        <v>113.38553579504656</v>
      </c>
      <c r="BE85" s="58" t="str">
        <f t="shared" si="146"/>
        <v>-7,44598996552132+72,2474688263742i</v>
      </c>
      <c r="BF85" s="37">
        <f t="shared" si="147"/>
        <v>37.22233950465133</v>
      </c>
      <c r="BG85" s="60">
        <f t="shared" si="148"/>
        <v>95.884259351564893</v>
      </c>
      <c r="BH85" s="58" t="str">
        <f t="shared" si="149"/>
        <v>-29,5064229040491+111,372399458203i</v>
      </c>
      <c r="BI85" s="37">
        <f t="shared" si="150"/>
        <v>41.230162204174398</v>
      </c>
      <c r="BJ85" s="60">
        <f t="shared" si="151"/>
        <v>104.83873573375716</v>
      </c>
      <c r="BK85">
        <f t="shared" si="152"/>
        <v>37.22233950465133</v>
      </c>
      <c r="BL85" s="60">
        <f t="shared" si="153"/>
        <v>95.884259351564893</v>
      </c>
      <c r="BN85">
        <f t="shared" ref="BN85:BN148" si="154">SUM((BK86&lt;0)*(BK85&gt;0))*N85</f>
        <v>0</v>
      </c>
      <c r="BO85">
        <f t="shared" ref="BO85:BO148" si="155">IF(BN85&gt;0,BL85,0)</f>
        <v>0</v>
      </c>
    </row>
    <row r="86" spans="2:67" x14ac:dyDescent="0.25">
      <c r="M86" s="66">
        <v>68</v>
      </c>
      <c r="N86" s="36">
        <f t="shared" si="115"/>
        <v>47.863009232263877</v>
      </c>
      <c r="O86" s="91" t="str">
        <f t="shared" si="103"/>
        <v>22,5</v>
      </c>
      <c r="P86" s="67" t="str">
        <f t="shared" si="104"/>
        <v>1+0,324790728874806i</v>
      </c>
      <c r="Q86" s="67">
        <f t="shared" si="116"/>
        <v>1.0514223782871599</v>
      </c>
      <c r="R86" s="67">
        <f t="shared" si="117"/>
        <v>0.31404260886666774</v>
      </c>
      <c r="S86" s="67" t="str">
        <f t="shared" si="105"/>
        <v>1+0,00902196469096684i</v>
      </c>
      <c r="T86" s="67">
        <f t="shared" si="118"/>
        <v>1.0000406970953157</v>
      </c>
      <c r="U86" s="67">
        <f t="shared" si="119"/>
        <v>9.0217199194352303E-3</v>
      </c>
      <c r="V86" t="str">
        <f t="shared" si="106"/>
        <v>1-0,00187957597728476i</v>
      </c>
      <c r="W86" s="67">
        <f t="shared" si="120"/>
        <v>1.000001766401367</v>
      </c>
      <c r="X86" s="67">
        <f t="shared" si="121"/>
        <v>-1.8795737638971129E-3</v>
      </c>
      <c r="Y86" t="str">
        <f t="shared" si="107"/>
        <v>0,99999985338447+0,00521269071033639i</v>
      </c>
      <c r="Z86" s="67">
        <f t="shared" si="122"/>
        <v>1.0000134393663933</v>
      </c>
      <c r="AA86" s="67">
        <f t="shared" si="123"/>
        <v>5.212644262018562E-3</v>
      </c>
      <c r="AB86" s="92" t="str">
        <f t="shared" si="124"/>
        <v>20,3662918321391-6,57136774293839i</v>
      </c>
      <c r="AC86" s="37">
        <f t="shared" si="125"/>
        <v>26.608358131649908</v>
      </c>
      <c r="AD86" s="60">
        <f t="shared" si="126"/>
        <v>-17.882763760276575</v>
      </c>
      <c r="AE86" t="str">
        <f t="shared" si="127"/>
        <v>34,4450883806789</v>
      </c>
      <c r="AF86" t="str">
        <f t="shared" si="108"/>
        <v>1+0,162395364437403i</v>
      </c>
      <c r="AG86">
        <f t="shared" si="128"/>
        <v>1.013100318029146</v>
      </c>
      <c r="AH86">
        <f t="shared" si="129"/>
        <v>0.16098995923508558</v>
      </c>
      <c r="AI86" t="str">
        <f t="shared" si="109"/>
        <v>1+0,00902196469096684i</v>
      </c>
      <c r="AJ86">
        <f t="shared" si="130"/>
        <v>1.0000406970953157</v>
      </c>
      <c r="AK86">
        <f t="shared" si="131"/>
        <v>9.0217199194352303E-3</v>
      </c>
      <c r="AL86" t="str">
        <f t="shared" si="110"/>
        <v>1-0,000613866943618757i</v>
      </c>
      <c r="AM86">
        <f t="shared" si="132"/>
        <v>1.0000001884162946</v>
      </c>
      <c r="AN86">
        <f t="shared" si="133"/>
        <v>-6.1386686651041065E-4</v>
      </c>
      <c r="AO86" s="58" t="str">
        <f t="shared" si="134"/>
        <v>33,6060445583369-5,16784818332993i</v>
      </c>
      <c r="AP86">
        <f t="shared" si="135"/>
        <v>30.62985215451917</v>
      </c>
      <c r="AQ86" s="60">
        <f t="shared" si="136"/>
        <v>-8.7423107134547937</v>
      </c>
      <c r="AR86" t="str">
        <f t="shared" si="111"/>
        <v>-1,36472945891784</v>
      </c>
      <c r="AS86" t="str">
        <f t="shared" si="112"/>
        <v>1+0,00675835375000326i</v>
      </c>
      <c r="AT86">
        <f t="shared" si="137"/>
        <v>1.0000228374119313</v>
      </c>
      <c r="AU86">
        <f t="shared" si="138"/>
        <v>6.7582508561090954E-3</v>
      </c>
      <c r="AV86" t="str">
        <f t="shared" si="113"/>
        <v>1+0,00675835375000326i</v>
      </c>
      <c r="AW86">
        <f t="shared" si="139"/>
        <v>1.0000228374119313</v>
      </c>
      <c r="AX86">
        <f t="shared" si="140"/>
        <v>6.7582508561090954E-3</v>
      </c>
      <c r="AY86" t="str">
        <f t="shared" si="114"/>
        <v>1-2,21947541588701i</v>
      </c>
      <c r="AZ86">
        <f t="shared" si="141"/>
        <v>2.4343523002488392</v>
      </c>
      <c r="BA86">
        <f t="shared" si="142"/>
        <v>-1.1474793648328372</v>
      </c>
      <c r="BB86" s="58" t="str">
        <f t="shared" si="143"/>
        <v>-1,3441971203663+3,0380680430541i</v>
      </c>
      <c r="BC86">
        <f t="shared" si="144"/>
        <v>10.428401558407094</v>
      </c>
      <c r="BD86" s="60">
        <f t="shared" si="145"/>
        <v>113.86705606578026</v>
      </c>
      <c r="BE86" s="58" t="str">
        <f t="shared" si="146"/>
        <v>-7,4120484943234+70,7073939676613i</v>
      </c>
      <c r="BF86" s="37">
        <f t="shared" si="147"/>
        <v>37.036759690057004</v>
      </c>
      <c r="BG86" s="60">
        <f t="shared" si="148"/>
        <v>95.984292305503686</v>
      </c>
      <c r="BH86" s="58" t="str">
        <f t="shared" si="149"/>
        <v>-29,4728739050882+109,044056672658i</v>
      </c>
      <c r="BI86" s="37">
        <f t="shared" si="150"/>
        <v>41.05825371292628</v>
      </c>
      <c r="BJ86" s="60">
        <f t="shared" si="151"/>
        <v>105.12474535232546</v>
      </c>
      <c r="BK86">
        <f t="shared" si="152"/>
        <v>37.036759690057004</v>
      </c>
      <c r="BL86" s="60">
        <f t="shared" si="153"/>
        <v>95.984292305503686</v>
      </c>
      <c r="BN86">
        <f t="shared" si="154"/>
        <v>0</v>
      </c>
      <c r="BO86">
        <f t="shared" si="155"/>
        <v>0</v>
      </c>
    </row>
    <row r="87" spans="2:67" x14ac:dyDescent="0.25">
      <c r="M87" s="66">
        <v>69</v>
      </c>
      <c r="N87" s="36">
        <f t="shared" si="115"/>
        <v>48.977881936844632</v>
      </c>
      <c r="O87" s="91" t="str">
        <f t="shared" si="103"/>
        <v>22,5</v>
      </c>
      <c r="P87" s="67" t="str">
        <f t="shared" si="104"/>
        <v>1+0,332356076815348i</v>
      </c>
      <c r="Q87" s="67">
        <f t="shared" si="116"/>
        <v>1.0537839255730226</v>
      </c>
      <c r="R87" s="67">
        <f t="shared" si="117"/>
        <v>0.32087076582364732</v>
      </c>
      <c r="S87" s="67" t="str">
        <f t="shared" si="105"/>
        <v>1+0,00923211324487078i</v>
      </c>
      <c r="T87" s="67">
        <f t="shared" si="118"/>
        <v>1.0000426150494617</v>
      </c>
      <c r="U87" s="67">
        <f t="shared" si="119"/>
        <v>9.2318509680529137E-3</v>
      </c>
      <c r="V87" t="str">
        <f t="shared" si="106"/>
        <v>1-0,00192335692601474i</v>
      </c>
      <c r="W87" s="67">
        <f t="shared" si="120"/>
        <v>1.0000018496492218</v>
      </c>
      <c r="X87" s="67">
        <f t="shared" si="121"/>
        <v>-1.923354554327383E-3</v>
      </c>
      <c r="Y87" t="str">
        <f t="shared" si="107"/>
        <v>0,999999846474693+0,00533410987481422i</v>
      </c>
      <c r="Z87" s="67">
        <f t="shared" si="122"/>
        <v>1.000014072739762</v>
      </c>
      <c r="AA87" s="67">
        <f t="shared" si="123"/>
        <v>5.3340601045827971E-3</v>
      </c>
      <c r="AB87" s="92" t="str">
        <f t="shared" si="124"/>
        <v>20,275736054521-6,69433795139182i</v>
      </c>
      <c r="AC87" s="37">
        <f t="shared" si="125"/>
        <v>26.588882945258916</v>
      </c>
      <c r="AD87" s="60">
        <f t="shared" si="126"/>
        <v>-18.271413783394291</v>
      </c>
      <c r="AE87" t="str">
        <f t="shared" si="127"/>
        <v>34,4450883806789</v>
      </c>
      <c r="AF87" t="str">
        <f t="shared" si="108"/>
        <v>1+0,166178038407674i</v>
      </c>
      <c r="AG87">
        <f t="shared" si="128"/>
        <v>1.0137135396397852</v>
      </c>
      <c r="AH87">
        <f t="shared" si="129"/>
        <v>0.1646732176866115</v>
      </c>
      <c r="AI87" t="str">
        <f t="shared" si="109"/>
        <v>1+0,00923211324487078i</v>
      </c>
      <c r="AJ87">
        <f t="shared" si="130"/>
        <v>1.0000426150494617</v>
      </c>
      <c r="AK87">
        <f t="shared" si="131"/>
        <v>9.2318509680529137E-3</v>
      </c>
      <c r="AL87" t="str">
        <f t="shared" si="110"/>
        <v>1-0,000628165741597879i</v>
      </c>
      <c r="AM87">
        <f t="shared" si="132"/>
        <v>1.0000001972960799</v>
      </c>
      <c r="AN87">
        <f t="shared" si="133"/>
        <v>-6.281656589747981E-4</v>
      </c>
      <c r="AO87" s="58" t="str">
        <f t="shared" si="134"/>
        <v>33,5675642795422-5,28182825392488i</v>
      </c>
      <c r="AP87">
        <f t="shared" si="135"/>
        <v>30.624612980304367</v>
      </c>
      <c r="AQ87" s="60">
        <f t="shared" si="136"/>
        <v>-8.9421255158130286</v>
      </c>
      <c r="AR87" t="str">
        <f t="shared" si="111"/>
        <v>-1,36472945891784</v>
      </c>
      <c r="AS87" t="str">
        <f t="shared" si="112"/>
        <v>1+0,0069157760317327i</v>
      </c>
      <c r="AT87">
        <f t="shared" si="137"/>
        <v>1.0000239136931282</v>
      </c>
      <c r="AU87">
        <f t="shared" si="138"/>
        <v>6.9156657790811048E-3</v>
      </c>
      <c r="AV87" t="str">
        <f t="shared" si="113"/>
        <v>1+0,0069157760317327i</v>
      </c>
      <c r="AW87">
        <f t="shared" si="139"/>
        <v>1.0000239136931282</v>
      </c>
      <c r="AX87">
        <f t="shared" si="140"/>
        <v>6.9156657790811048E-3</v>
      </c>
      <c r="AY87" t="str">
        <f t="shared" si="114"/>
        <v>1-2,16895398740116i</v>
      </c>
      <c r="AZ87">
        <f t="shared" si="141"/>
        <v>2.3883804972121574</v>
      </c>
      <c r="BA87">
        <f t="shared" si="142"/>
        <v>-1.1387898777655512</v>
      </c>
      <c r="BB87" s="58" t="str">
        <f t="shared" si="143"/>
        <v>-1,34419422696888+2,96933154786054i</v>
      </c>
      <c r="BC87">
        <f t="shared" si="144"/>
        <v>10.262793940726741</v>
      </c>
      <c r="BD87" s="60">
        <f t="shared" si="145"/>
        <v>114.35590779015064</v>
      </c>
      <c r="BE87" s="58" t="str">
        <f t="shared" si="146"/>
        <v>-7,37681848092408+69,2038731504222i</v>
      </c>
      <c r="BF87" s="37">
        <f t="shared" si="147"/>
        <v>36.851676885985668</v>
      </c>
      <c r="BG87" s="60">
        <f t="shared" si="148"/>
        <v>96.084494006756344</v>
      </c>
      <c r="BH87" s="58" t="str">
        <f t="shared" si="149"/>
        <v>-29,4378268532071+106,773030646848i</v>
      </c>
      <c r="BI87" s="37">
        <f t="shared" si="150"/>
        <v>40.887406921031094</v>
      </c>
      <c r="BJ87" s="60">
        <f t="shared" si="151"/>
        <v>105.41378227433762</v>
      </c>
      <c r="BK87">
        <f t="shared" si="152"/>
        <v>36.851676885985668</v>
      </c>
      <c r="BL87" s="60">
        <f t="shared" si="153"/>
        <v>96.084494006756344</v>
      </c>
      <c r="BN87">
        <f t="shared" si="154"/>
        <v>0</v>
      </c>
      <c r="BO87">
        <f t="shared" si="155"/>
        <v>0</v>
      </c>
    </row>
    <row r="88" spans="2:67" x14ac:dyDescent="0.25">
      <c r="B88" t="s">
        <v>696</v>
      </c>
      <c r="M88" s="66">
        <v>70</v>
      </c>
      <c r="N88" s="36">
        <f t="shared" si="115"/>
        <v>50.118723362727238</v>
      </c>
      <c r="O88" s="91" t="str">
        <f t="shared" si="103"/>
        <v>22,5</v>
      </c>
      <c r="P88" s="67" t="str">
        <f t="shared" si="104"/>
        <v>1+0,340097644347069i</v>
      </c>
      <c r="Q88" s="67">
        <f t="shared" si="116"/>
        <v>1.0562511101487304</v>
      </c>
      <c r="R88" s="67">
        <f t="shared" si="117"/>
        <v>0.32782603048180453</v>
      </c>
      <c r="S88" s="67" t="str">
        <f t="shared" si="105"/>
        <v>1+0,00944715678741859i</v>
      </c>
      <c r="T88" s="67">
        <f t="shared" si="118"/>
        <v>1.0000446233900597</v>
      </c>
      <c r="U88" s="67">
        <f t="shared" si="119"/>
        <v>9.446875753422207E-3</v>
      </c>
      <c r="V88" t="str">
        <f t="shared" si="106"/>
        <v>1-0,00196815766404554i</v>
      </c>
      <c r="W88" s="67">
        <f t="shared" si="120"/>
        <v>1.0000019368204196</v>
      </c>
      <c r="X88" s="67">
        <f t="shared" si="121"/>
        <v>-1.9681551227370168E-3</v>
      </c>
      <c r="Y88" t="str">
        <f t="shared" si="107"/>
        <v>0,999999839239268+0,00545835725495296i</v>
      </c>
      <c r="Z88" s="67">
        <f t="shared" si="122"/>
        <v>1.0000147359626681</v>
      </c>
      <c r="AA88" s="67">
        <f t="shared" si="123"/>
        <v>5.458303925231606E-3</v>
      </c>
      <c r="AB88" s="92" t="str">
        <f t="shared" si="124"/>
        <v>20,1817775143369-6,81831419972599i</v>
      </c>
      <c r="AC88" s="37">
        <f t="shared" si="125"/>
        <v>26.568583208143998</v>
      </c>
      <c r="AD88" s="60">
        <f t="shared" si="126"/>
        <v>-18.667286611054216</v>
      </c>
      <c r="AE88" t="str">
        <f t="shared" si="127"/>
        <v>34,4450883806789</v>
      </c>
      <c r="AF88" t="str">
        <f t="shared" si="108"/>
        <v>1+0,170048822173535i</v>
      </c>
      <c r="AG88">
        <f t="shared" si="128"/>
        <v>1.0143552641567977</v>
      </c>
      <c r="AH88">
        <f t="shared" si="129"/>
        <v>0.1684376076088677</v>
      </c>
      <c r="AI88" t="str">
        <f t="shared" si="109"/>
        <v>1+0,00944715678741859i</v>
      </c>
      <c r="AJ88">
        <f t="shared" si="130"/>
        <v>1.0000446233900597</v>
      </c>
      <c r="AK88">
        <f t="shared" si="131"/>
        <v>9.446875753422207E-3</v>
      </c>
      <c r="AL88" t="str">
        <f t="shared" si="110"/>
        <v>1-0,000642797601367952i</v>
      </c>
      <c r="AM88">
        <f t="shared" si="132"/>
        <v>1.0000002065943567</v>
      </c>
      <c r="AN88">
        <f t="shared" si="133"/>
        <v>-6.4279751283572687E-4</v>
      </c>
      <c r="AO88" s="58" t="str">
        <f t="shared" si="134"/>
        <v>33,5273701212509-5,39802286939613i</v>
      </c>
      <c r="AP88">
        <f t="shared" si="135"/>
        <v>30.619133700371979</v>
      </c>
      <c r="AQ88" s="60">
        <f t="shared" si="136"/>
        <v>-9.1463275015801973</v>
      </c>
      <c r="AR88" t="str">
        <f t="shared" si="111"/>
        <v>-1,36472945891784</v>
      </c>
      <c r="AS88" t="str">
        <f t="shared" si="112"/>
        <v>1+0,00707686514945527i</v>
      </c>
      <c r="AT88">
        <f t="shared" si="137"/>
        <v>1.0000250406966535</v>
      </c>
      <c r="AU88">
        <f t="shared" si="138"/>
        <v>7.0767470117703993E-3</v>
      </c>
      <c r="AV88" t="str">
        <f t="shared" si="113"/>
        <v>1+0,00707686514945527i</v>
      </c>
      <c r="AW88">
        <f t="shared" si="139"/>
        <v>1.0000250406966535</v>
      </c>
      <c r="AX88">
        <f t="shared" si="140"/>
        <v>7.0767470117703993E-3</v>
      </c>
      <c r="AY88" t="str">
        <f t="shared" si="114"/>
        <v>1-2,11958256702894i</v>
      </c>
      <c r="AZ88">
        <f t="shared" si="141"/>
        <v>2.3436361190366117</v>
      </c>
      <c r="BA88">
        <f t="shared" si="142"/>
        <v>-1.129969492517384</v>
      </c>
      <c r="BB88" s="58" t="str">
        <f t="shared" si="143"/>
        <v>-1,34419119722319+2,90216942967092i</v>
      </c>
      <c r="BC88">
        <f t="shared" si="144"/>
        <v>10.098517478440968</v>
      </c>
      <c r="BD88" s="60">
        <f t="shared" si="145"/>
        <v>114.85204936375827</v>
      </c>
      <c r="BE88" s="58" t="str">
        <f t="shared" si="146"/>
        <v>-7,34026464675266+67,7360556657021i</v>
      </c>
      <c r="BF88" s="37">
        <f t="shared" si="147"/>
        <v>36.667100686584966</v>
      </c>
      <c r="BG88" s="60">
        <f t="shared" si="148"/>
        <v>96.184762752704032</v>
      </c>
      <c r="BH88" s="58" t="str">
        <f t="shared" si="149"/>
        <v>-29,4012188308033+104,558083446608i</v>
      </c>
      <c r="BI88" s="37">
        <f t="shared" si="150"/>
        <v>40.717651178812922</v>
      </c>
      <c r="BJ88" s="60">
        <f t="shared" si="151"/>
        <v>105.70572186217809</v>
      </c>
      <c r="BK88">
        <f t="shared" si="152"/>
        <v>36.667100686584966</v>
      </c>
      <c r="BL88" s="60">
        <f t="shared" si="153"/>
        <v>96.184762752704032</v>
      </c>
      <c r="BN88">
        <f t="shared" si="154"/>
        <v>0</v>
      </c>
      <c r="BO88">
        <f t="shared" si="155"/>
        <v>0</v>
      </c>
    </row>
    <row r="89" spans="2:67" x14ac:dyDescent="0.25">
      <c r="M89" s="66">
        <v>71</v>
      </c>
      <c r="N89" s="36">
        <f t="shared" si="115"/>
        <v>51.28613839913649</v>
      </c>
      <c r="O89" s="91" t="str">
        <f t="shared" si="103"/>
        <v>22,5</v>
      </c>
      <c r="P89" s="67" t="str">
        <f t="shared" si="104"/>
        <v>1+0,348019536151548i</v>
      </c>
      <c r="Q89" s="67">
        <f t="shared" si="116"/>
        <v>1.0588284079789032</v>
      </c>
      <c r="R89" s="67">
        <f t="shared" si="117"/>
        <v>0.33490939799289554</v>
      </c>
      <c r="S89" s="67" t="str">
        <f t="shared" si="105"/>
        <v>1+0,009667209337543i</v>
      </c>
      <c r="T89" s="67">
        <f t="shared" si="118"/>
        <v>1.0000467263765107</v>
      </c>
      <c r="U89" s="67">
        <f t="shared" si="119"/>
        <v>9.6669082049503589E-3</v>
      </c>
      <c r="V89" t="str">
        <f t="shared" si="106"/>
        <v>1-0,00201400194532146i</v>
      </c>
      <c r="W89" s="67">
        <f t="shared" si="120"/>
        <v>1.0000020280998612</v>
      </c>
      <c r="X89" s="67">
        <f t="shared" si="121"/>
        <v>-2.0139992222606151E-3</v>
      </c>
      <c r="Y89" t="str">
        <f t="shared" si="107"/>
        <v>0,999999831662849+0,00558549872835817i</v>
      </c>
      <c r="Z89" s="67">
        <f t="shared" si="122"/>
        <v>1.0000154304418363</v>
      </c>
      <c r="AA89" s="67">
        <f t="shared" si="123"/>
        <v>5.5854415845798125E-3</v>
      </c>
      <c r="AB89" s="92" t="str">
        <f t="shared" si="124"/>
        <v>20,0843260763334-6,94321831153673i</v>
      </c>
      <c r="AC89" s="37">
        <f t="shared" si="125"/>
        <v>26.547428107693388</v>
      </c>
      <c r="AD89" s="60">
        <f t="shared" si="126"/>
        <v>-19.070437868067462</v>
      </c>
      <c r="AE89" t="str">
        <f t="shared" si="127"/>
        <v>34,4450883806789</v>
      </c>
      <c r="AF89" t="str">
        <f t="shared" si="108"/>
        <v>1+0,174009768075774i</v>
      </c>
      <c r="AG89">
        <f t="shared" si="128"/>
        <v>1.0150267973732441</v>
      </c>
      <c r="AH89">
        <f t="shared" si="129"/>
        <v>0.17228469796605278</v>
      </c>
      <c r="AI89" t="str">
        <f t="shared" si="109"/>
        <v>1+0,009667209337543i</v>
      </c>
      <c r="AJ89">
        <f t="shared" si="130"/>
        <v>1.0000467263765107</v>
      </c>
      <c r="AK89">
        <f t="shared" si="131"/>
        <v>9.6669082049503589E-3</v>
      </c>
      <c r="AL89" t="str">
        <f t="shared" si="110"/>
        <v>1-0,000657770280934703i</v>
      </c>
      <c r="AM89">
        <f t="shared" si="132"/>
        <v>1.0000002163308479</v>
      </c>
      <c r="AN89">
        <f t="shared" si="133"/>
        <v>-6.5777018607071571E-4</v>
      </c>
      <c r="AO89" s="58" t="str">
        <f t="shared" si="134"/>
        <v>33,4853905095917-5,51645411193557i</v>
      </c>
      <c r="AP89">
        <f t="shared" si="135"/>
        <v>30.613403636916317</v>
      </c>
      <c r="AQ89" s="60">
        <f t="shared" si="136"/>
        <v>-9.3550004826082986</v>
      </c>
      <c r="AR89" t="str">
        <f t="shared" si="111"/>
        <v>-1,36472945891784</v>
      </c>
      <c r="AS89" t="str">
        <f t="shared" si="112"/>
        <v>1+0,00724170651475346i</v>
      </c>
      <c r="AT89">
        <f t="shared" si="137"/>
        <v>1.0000262208128574</v>
      </c>
      <c r="AU89">
        <f t="shared" si="138"/>
        <v>7.2415799281227069E-3</v>
      </c>
      <c r="AV89" t="str">
        <f t="shared" si="113"/>
        <v>1+0,00724170651475346i</v>
      </c>
      <c r="AW89">
        <f t="shared" si="139"/>
        <v>1.0000262208128574</v>
      </c>
      <c r="AX89">
        <f t="shared" si="140"/>
        <v>7.2415799281227069E-3</v>
      </c>
      <c r="AY89" t="str">
        <f t="shared" si="114"/>
        <v>1-2,07133497738974i</v>
      </c>
      <c r="AZ89">
        <f t="shared" si="141"/>
        <v>2.3000931695386071</v>
      </c>
      <c r="BA89">
        <f t="shared" si="142"/>
        <v>-1.1210190231716963</v>
      </c>
      <c r="BB89" s="58" t="str">
        <f t="shared" si="143"/>
        <v>-1,34418802470462+2,83654607810626i</v>
      </c>
      <c r="BC89">
        <f t="shared" si="144"/>
        <v>9.9356121432300313</v>
      </c>
      <c r="BD89" s="60">
        <f t="shared" si="145"/>
        <v>115.35542925149544</v>
      </c>
      <c r="BE89" s="58" t="str">
        <f t="shared" si="146"/>
        <v>-7,30235192504501+66,3031072705083i</v>
      </c>
      <c r="BF89" s="37">
        <f t="shared" si="147"/>
        <v>36.483040250923423</v>
      </c>
      <c r="BG89" s="60">
        <f t="shared" si="148"/>
        <v>96.284991383427965</v>
      </c>
      <c r="BH89" s="58" t="str">
        <f t="shared" si="149"/>
        <v>-29,3629846492869+102,398004679935i</v>
      </c>
      <c r="BI89" s="37">
        <f t="shared" si="150"/>
        <v>40.549015780146327</v>
      </c>
      <c r="BJ89" s="60">
        <f t="shared" si="151"/>
        <v>106.00042876888718</v>
      </c>
      <c r="BK89">
        <f t="shared" si="152"/>
        <v>36.483040250923423</v>
      </c>
      <c r="BL89" s="60">
        <f t="shared" si="153"/>
        <v>96.284991383427965</v>
      </c>
      <c r="BN89">
        <f t="shared" si="154"/>
        <v>0</v>
      </c>
      <c r="BO89">
        <f t="shared" si="155"/>
        <v>0</v>
      </c>
    </row>
    <row r="90" spans="2:67" x14ac:dyDescent="0.25">
      <c r="M90" s="66">
        <v>72</v>
      </c>
      <c r="N90" s="36">
        <f t="shared" si="115"/>
        <v>52.480746024977286</v>
      </c>
      <c r="O90" s="91" t="str">
        <f t="shared" si="103"/>
        <v>22,5</v>
      </c>
      <c r="P90" s="67" t="str">
        <f t="shared" si="104"/>
        <v>1+0,356125952520678i</v>
      </c>
      <c r="Q90" s="67">
        <f t="shared" si="116"/>
        <v>1.0615204633254887</v>
      </c>
      <c r="R90" s="67">
        <f t="shared" si="117"/>
        <v>0.3421217799199946</v>
      </c>
      <c r="S90" s="67" t="str">
        <f t="shared" si="105"/>
        <v>1+0,00989238757001884i</v>
      </c>
      <c r="T90" s="67">
        <f t="shared" si="118"/>
        <v>1.0000489284689202</v>
      </c>
      <c r="U90" s="67">
        <f t="shared" si="119"/>
        <v>9.8920649014850176E-3</v>
      </c>
      <c r="V90" t="str">
        <f t="shared" si="106"/>
        <v>1-0,00206091407708726i</v>
      </c>
      <c r="W90" s="67">
        <f t="shared" si="120"/>
        <v>1.0000021236811616</v>
      </c>
      <c r="X90" s="67">
        <f t="shared" si="121"/>
        <v>-2.0609111592753298E-3</v>
      </c>
      <c r="Y90" t="str">
        <f t="shared" si="107"/>
        <v>0,999999823729363+0,00571560170712199i</v>
      </c>
      <c r="Z90" s="67">
        <f t="shared" si="122"/>
        <v>1.0000161576502808</v>
      </c>
      <c r="AA90" s="67">
        <f t="shared" si="123"/>
        <v>5.7155404765137389E-3</v>
      </c>
      <c r="AB90" s="92" t="str">
        <f t="shared" si="124"/>
        <v>19,9832924617865-7,0689661384836i</v>
      </c>
      <c r="AC90" s="37">
        <f t="shared" si="125"/>
        <v>26.525386029933923</v>
      </c>
      <c r="AD90" s="60">
        <f t="shared" si="126"/>
        <v>-19.480918357713009</v>
      </c>
      <c r="AE90" t="str">
        <f t="shared" si="127"/>
        <v>34,4450883806789</v>
      </c>
      <c r="AF90" t="str">
        <f t="shared" si="108"/>
        <v>1+0,178062976260339i</v>
      </c>
      <c r="AG90">
        <f t="shared" si="128"/>
        <v>1.0157295031230953</v>
      </c>
      <c r="AH90">
        <f t="shared" si="129"/>
        <v>0.17621607280974291</v>
      </c>
      <c r="AI90" t="str">
        <f t="shared" si="109"/>
        <v>1+0,00989238757001884i</v>
      </c>
      <c r="AJ90">
        <f t="shared" si="130"/>
        <v>1.0000489284689202</v>
      </c>
      <c r="AK90">
        <f t="shared" si="131"/>
        <v>9.8920649014850176E-3</v>
      </c>
      <c r="AL90" t="str">
        <f t="shared" si="110"/>
        <v>1-0,000673091719011025i</v>
      </c>
      <c r="AM90">
        <f t="shared" si="132"/>
        <v>1.0000002265262053</v>
      </c>
      <c r="AN90">
        <f t="shared" si="133"/>
        <v>-6.7309161736243245E-4</v>
      </c>
      <c r="AO90" s="58" t="str">
        <f t="shared" si="134"/>
        <v>33,4415513260789-5,6371426994889i</v>
      </c>
      <c r="AP90">
        <f t="shared" si="135"/>
        <v>30.607411667743971</v>
      </c>
      <c r="AQ90" s="60">
        <f t="shared" si="136"/>
        <v>-9.5682289937441976</v>
      </c>
      <c r="AR90" t="str">
        <f t="shared" si="111"/>
        <v>-1,36472945891784</v>
      </c>
      <c r="AS90" t="str">
        <f t="shared" si="112"/>
        <v>1+0,00741038752870111i</v>
      </c>
      <c r="AT90">
        <f t="shared" si="137"/>
        <v>1.0000274565447318</v>
      </c>
      <c r="AU90">
        <f t="shared" si="138"/>
        <v>7.4102518888836061E-3</v>
      </c>
      <c r="AV90" t="str">
        <f t="shared" si="113"/>
        <v>1+0,00741038752870111i</v>
      </c>
      <c r="AW90">
        <f t="shared" si="139"/>
        <v>1.0000274565447318</v>
      </c>
      <c r="AX90">
        <f t="shared" si="140"/>
        <v>7.4102518888836061E-3</v>
      </c>
      <c r="AY90" t="str">
        <f t="shared" si="114"/>
        <v>1-2,02418563697292i</v>
      </c>
      <c r="AZ90">
        <f t="shared" si="141"/>
        <v>2.2577261775794391</v>
      </c>
      <c r="BA90">
        <f t="shared" si="142"/>
        <v>-1.1119394613092257</v>
      </c>
      <c r="BB90" s="58" t="str">
        <f t="shared" si="143"/>
        <v>-1,34418470268591+2,77242669865237i</v>
      </c>
      <c r="BC90">
        <f t="shared" si="144"/>
        <v>9.77411821476983</v>
      </c>
      <c r="BD90" s="60">
        <f t="shared" si="145"/>
        <v>115.86598563456923</v>
      </c>
      <c r="BE90" s="58" t="str">
        <f t="shared" si="146"/>
        <v>-7,2630455822306+64,9042096951899i</v>
      </c>
      <c r="BF90" s="37">
        <f t="shared" si="147"/>
        <v>36.299504244703755</v>
      </c>
      <c r="BG90" s="60">
        <f t="shared" si="148"/>
        <v>96.385067276856205</v>
      </c>
      <c r="BH90" s="58" t="str">
        <f t="shared" si="149"/>
        <v>-29,3230568024247+100,291610724285i</v>
      </c>
      <c r="BI90" s="37">
        <f t="shared" si="150"/>
        <v>40.381529882513789</v>
      </c>
      <c r="BJ90" s="60">
        <f t="shared" si="151"/>
        <v>106.29775664082509</v>
      </c>
      <c r="BK90">
        <f t="shared" si="152"/>
        <v>36.299504244703755</v>
      </c>
      <c r="BL90" s="60">
        <f t="shared" si="153"/>
        <v>96.385067276856205</v>
      </c>
      <c r="BN90">
        <f t="shared" si="154"/>
        <v>0</v>
      </c>
      <c r="BO90">
        <f t="shared" si="155"/>
        <v>0</v>
      </c>
    </row>
    <row r="91" spans="2:67" x14ac:dyDescent="0.25">
      <c r="M91" s="66">
        <v>73</v>
      </c>
      <c r="N91" s="36">
        <f t="shared" si="115"/>
        <v>53.703179637025293</v>
      </c>
      <c r="O91" s="91" t="str">
        <f t="shared" si="103"/>
        <v>22,5</v>
      </c>
      <c r="P91" s="67" t="str">
        <f t="shared" si="104"/>
        <v>1+0,364421191583718i</v>
      </c>
      <c r="Q91" s="67">
        <f t="shared" si="116"/>
        <v>1.0643320933220499</v>
      </c>
      <c r="R91" s="67">
        <f t="shared" si="117"/>
        <v>0.34946399800468703</v>
      </c>
      <c r="S91" s="67" t="str">
        <f t="shared" si="105"/>
        <v>1+0,0101228108773255i</v>
      </c>
      <c r="T91" s="67">
        <f t="shared" si="118"/>
        <v>1.0000512343375505</v>
      </c>
      <c r="U91" s="67">
        <f t="shared" si="119"/>
        <v>1.0122465132718977E-2</v>
      </c>
      <c r="V91" t="str">
        <f t="shared" si="106"/>
        <v>1-0,00210891893277614i</v>
      </c>
      <c r="W91" s="67">
        <f t="shared" si="120"/>
        <v>1.0000022237670601</v>
      </c>
      <c r="X91" s="67">
        <f t="shared" si="121"/>
        <v>-2.1089158062847038E-3</v>
      </c>
      <c r="Y91" t="str">
        <f t="shared" si="107"/>
        <v>0,999999815421984+0,00584873517356584i</v>
      </c>
      <c r="Z91" s="67">
        <f t="shared" si="122"/>
        <v>1.0000169191304378</v>
      </c>
      <c r="AA91" s="67">
        <f t="shared" si="123"/>
        <v>5.8486695638469768E-3</v>
      </c>
      <c r="AB91" s="92" t="str">
        <f t="shared" si="124"/>
        <v>19,8785885835238-7,19546740222008i</v>
      </c>
      <c r="AC91" s="37">
        <f t="shared" si="125"/>
        <v>26.502424568731854</v>
      </c>
      <c r="AD91" s="60">
        <f t="shared" si="126"/>
        <v>-19.898773703887191</v>
      </c>
      <c r="AE91" t="str">
        <f t="shared" si="127"/>
        <v>34,4450883806789</v>
      </c>
      <c r="AF91" t="str">
        <f t="shared" si="108"/>
        <v>1+0,182210595791859i</v>
      </c>
      <c r="AG91">
        <f t="shared" si="128"/>
        <v>1.0164648056961068</v>
      </c>
      <c r="AH91">
        <f t="shared" si="129"/>
        <v>0.18023333026779195</v>
      </c>
      <c r="AI91" t="str">
        <f t="shared" si="109"/>
        <v>1+0,0101228108773255i</v>
      </c>
      <c r="AJ91">
        <f t="shared" si="130"/>
        <v>1.0000512343375505</v>
      </c>
      <c r="AK91">
        <f t="shared" si="131"/>
        <v>1.0122465132718977E-2</v>
      </c>
      <c r="AL91" t="str">
        <f t="shared" si="110"/>
        <v>1-0,000688770039226188i</v>
      </c>
      <c r="AM91">
        <f t="shared" si="132"/>
        <v>1.0000002372020553</v>
      </c>
      <c r="AN91">
        <f t="shared" si="133"/>
        <v>-6.8876993030776007E-4</v>
      </c>
      <c r="AO91" s="58" t="str">
        <f t="shared" si="134"/>
        <v>33,3957758593735-5,76010784581257i</v>
      </c>
      <c r="AP91">
        <f t="shared" si="135"/>
        <v>30.601146210621607</v>
      </c>
      <c r="AQ91" s="60">
        <f t="shared" si="136"/>
        <v>-9.7860982316209899</v>
      </c>
      <c r="AR91" t="str">
        <f t="shared" si="111"/>
        <v>-1,36472945891784</v>
      </c>
      <c r="AS91" t="str">
        <f t="shared" si="112"/>
        <v>1+0,00758299762820453i</v>
      </c>
      <c r="AT91">
        <f t="shared" si="137"/>
        <v>1.0000287505132186</v>
      </c>
      <c r="AU91">
        <f t="shared" si="138"/>
        <v>7.5828522877471917E-3</v>
      </c>
      <c r="AV91" t="str">
        <f t="shared" si="113"/>
        <v>1+0,00758299762820453i</v>
      </c>
      <c r="AW91">
        <f t="shared" si="139"/>
        <v>1.0000287505132186</v>
      </c>
      <c r="AX91">
        <f t="shared" si="140"/>
        <v>7.5828522877471917E-3</v>
      </c>
      <c r="AY91" t="str">
        <f t="shared" si="114"/>
        <v>1-1,97810954657408i</v>
      </c>
      <c r="AZ91">
        <f t="shared" si="141"/>
        <v>2.2165101800459914</v>
      </c>
      <c r="BA91">
        <f t="shared" si="142"/>
        <v>-1.1027319818364505</v>
      </c>
      <c r="BB91" s="58" t="str">
        <f t="shared" si="143"/>
        <v>-1,34418122412288+2,70977729421066i</v>
      </c>
      <c r="BC91">
        <f t="shared" si="144"/>
        <v>9.6140762111728915</v>
      </c>
      <c r="BD91" s="60">
        <f t="shared" si="145"/>
        <v>116.38364607391543</v>
      </c>
      <c r="BE91" s="58" t="str">
        <f t="shared" si="146"/>
        <v>-7,22231134826719+63,5385601654405i</v>
      </c>
      <c r="BF91" s="37">
        <f t="shared" si="147"/>
        <v>36.116500779904747</v>
      </c>
      <c r="BG91" s="60">
        <f t="shared" si="148"/>
        <v>96.484872370028214</v>
      </c>
      <c r="BH91" s="58" t="str">
        <f t="shared" si="149"/>
        <v>-29,2813654223984+98,2377439615429i</v>
      </c>
      <c r="BI91" s="37">
        <f t="shared" si="150"/>
        <v>40.2152224217945</v>
      </c>
      <c r="BJ91" s="60">
        <f t="shared" si="151"/>
        <v>106.59754784229442</v>
      </c>
      <c r="BK91">
        <f t="shared" si="152"/>
        <v>36.116500779904747</v>
      </c>
      <c r="BL91" s="60">
        <f t="shared" si="153"/>
        <v>96.484872370028214</v>
      </c>
      <c r="BN91">
        <f t="shared" si="154"/>
        <v>0</v>
      </c>
      <c r="BO91">
        <f t="shared" si="155"/>
        <v>0</v>
      </c>
    </row>
    <row r="92" spans="2:67" x14ac:dyDescent="0.25">
      <c r="M92" s="66">
        <v>74</v>
      </c>
      <c r="N92" s="36">
        <f t="shared" si="115"/>
        <v>54.95408738576247</v>
      </c>
      <c r="O92" s="91" t="str">
        <f t="shared" si="103"/>
        <v>22,5</v>
      </c>
      <c r="P92" s="67" t="str">
        <f t="shared" si="104"/>
        <v>1+0,372909651586221i</v>
      </c>
      <c r="Q92" s="67">
        <f t="shared" si="116"/>
        <v>1.0672682925329304</v>
      </c>
      <c r="R92" s="67">
        <f t="shared" si="117"/>
        <v>0.35693677777897065</v>
      </c>
      <c r="S92" s="67" t="str">
        <f t="shared" si="105"/>
        <v>1+0,0103586014329506i</v>
      </c>
      <c r="T92" s="67">
        <f t="shared" si="118"/>
        <v>1.0000536488727225</v>
      </c>
      <c r="U92" s="67">
        <f t="shared" si="119"/>
        <v>1.035823096200341E-2</v>
      </c>
      <c r="V92" t="str">
        <f t="shared" si="106"/>
        <v>1-0,00215804196519804i</v>
      </c>
      <c r="W92" s="67">
        <f t="shared" si="120"/>
        <v>1.0000023285698507</v>
      </c>
      <c r="X92" s="67">
        <f t="shared" si="121"/>
        <v>-2.1580386151025294E-3</v>
      </c>
      <c r="Y92" t="str">
        <f t="shared" si="107"/>
        <v>0,99999980672309+0,00598496971681589i</v>
      </c>
      <c r="Z92" s="67">
        <f t="shared" si="122"/>
        <v>1.0000177164974271</v>
      </c>
      <c r="AA92" s="67">
        <f t="shared" si="123"/>
        <v>5.9848994148027834E-3</v>
      </c>
      <c r="AB92" s="92" t="str">
        <f t="shared" si="124"/>
        <v>19,7701279040836-7,32262555127023i</v>
      </c>
      <c r="AC92" s="37">
        <f t="shared" si="125"/>
        <v>26.47851053809697</v>
      </c>
      <c r="AD92" s="60">
        <f t="shared" si="126"/>
        <v>-20.324043984339617</v>
      </c>
      <c r="AE92" t="str">
        <f t="shared" si="127"/>
        <v>34,4450883806789</v>
      </c>
      <c r="AF92" t="str">
        <f t="shared" si="108"/>
        <v>1+0,186454825793111i</v>
      </c>
      <c r="AG92">
        <f t="shared" si="128"/>
        <v>1.0172341923379982</v>
      </c>
      <c r="AH92">
        <f t="shared" si="129"/>
        <v>0.18433808143170236</v>
      </c>
      <c r="AI92" t="str">
        <f t="shared" si="109"/>
        <v>1+0,0103586014329506i</v>
      </c>
      <c r="AJ92">
        <f t="shared" si="130"/>
        <v>1.0000536488727225</v>
      </c>
      <c r="AK92">
        <f t="shared" si="131"/>
        <v>1.035823096200341E-2</v>
      </c>
      <c r="AL92" t="str">
        <f t="shared" si="110"/>
        <v>1-0,000704813554433099i</v>
      </c>
      <c r="AM92">
        <f t="shared" si="132"/>
        <v>1.0000002483810424</v>
      </c>
      <c r="AN92">
        <f t="shared" si="133"/>
        <v>-7.0481343772490243E-4</v>
      </c>
      <c r="AO92" s="58" t="str">
        <f t="shared" si="134"/>
        <v>33,3479847605581-5,88536711239731i</v>
      </c>
      <c r="AP92">
        <f t="shared" si="135"/>
        <v>30.594595207343069</v>
      </c>
      <c r="AQ92" s="60">
        <f t="shared" si="136"/>
        <v>-10.008693987556631</v>
      </c>
      <c r="AR92" t="str">
        <f t="shared" si="111"/>
        <v>-1,36472945891784</v>
      </c>
      <c r="AS92" t="str">
        <f t="shared" si="112"/>
        <v>1+0,00775962833342329i</v>
      </c>
      <c r="AT92">
        <f t="shared" si="137"/>
        <v>1.0000301054627669</v>
      </c>
      <c r="AU92">
        <f t="shared" si="138"/>
        <v>7.7594725985706305E-3</v>
      </c>
      <c r="AV92" t="str">
        <f t="shared" si="113"/>
        <v>1+0,00775962833342329i</v>
      </c>
      <c r="AW92">
        <f t="shared" si="139"/>
        <v>1.0000301054627669</v>
      </c>
      <c r="AX92">
        <f t="shared" si="140"/>
        <v>7.7594725985706305E-3</v>
      </c>
      <c r="AY92" t="str">
        <f t="shared" si="114"/>
        <v>1-1,93308227604021i</v>
      </c>
      <c r="AZ92">
        <f t="shared" si="141"/>
        <v>2.1764207051810547</v>
      </c>
      <c r="BA92">
        <f t="shared" si="142"/>
        <v>-1.0933979484750869</v>
      </c>
      <c r="BB92" s="58" t="str">
        <f t="shared" si="143"/>
        <v>-1,34417758163952+2,64856464707166i</v>
      </c>
      <c r="BC92">
        <f t="shared" si="144"/>
        <v>9.455526814490895</v>
      </c>
      <c r="BD92" s="60">
        <f t="shared" si="145"/>
        <v>116.90832719296942</v>
      </c>
      <c r="BE92" s="58" t="str">
        <f t="shared" si="146"/>
        <v>-7,18011555597713+62,2053709395989i</v>
      </c>
      <c r="BF92" s="37">
        <f t="shared" si="147"/>
        <v>35.934037352587858</v>
      </c>
      <c r="BG92" s="60">
        <f t="shared" si="148"/>
        <v>96.584283208629813</v>
      </c>
      <c r="BH92" s="58" t="str">
        <f t="shared" si="149"/>
        <v>-29,2378382390648+96,2352720201016i</v>
      </c>
      <c r="BI92" s="37">
        <f t="shared" si="150"/>
        <v>40.050122021833957</v>
      </c>
      <c r="BJ92" s="60">
        <f t="shared" si="151"/>
        <v>106.8996332054128</v>
      </c>
      <c r="BK92">
        <f t="shared" si="152"/>
        <v>35.934037352587858</v>
      </c>
      <c r="BL92" s="60">
        <f t="shared" si="153"/>
        <v>96.584283208629813</v>
      </c>
      <c r="BN92">
        <f t="shared" si="154"/>
        <v>0</v>
      </c>
      <c r="BO92">
        <f t="shared" si="155"/>
        <v>0</v>
      </c>
    </row>
    <row r="93" spans="2:67" x14ac:dyDescent="0.25">
      <c r="M93" s="66">
        <v>75</v>
      </c>
      <c r="N93" s="36">
        <f t="shared" si="115"/>
        <v>56.234132519034915</v>
      </c>
      <c r="O93" s="91" t="str">
        <f t="shared" si="103"/>
        <v>22,5</v>
      </c>
      <c r="P93" s="67" t="str">
        <f t="shared" si="104"/>
        <v>1+0,381595833222037i</v>
      </c>
      <c r="Q93" s="67">
        <f t="shared" si="116"/>
        <v>1.0703342374849178</v>
      </c>
      <c r="R93" s="67">
        <f t="shared" si="117"/>
        <v>0.36454074203847786</v>
      </c>
      <c r="S93" s="67" t="str">
        <f t="shared" si="105"/>
        <v>1+0,0105998842561677i</v>
      </c>
      <c r="T93" s="67">
        <f t="shared" si="118"/>
        <v>1.0000561771951835</v>
      </c>
      <c r="U93" s="67">
        <f t="shared" si="119"/>
        <v>1.0599487290600104E-2</v>
      </c>
      <c r="V93" t="str">
        <f t="shared" si="106"/>
        <v>1-0,00220830922003494i</v>
      </c>
      <c r="W93" s="67">
        <f t="shared" si="120"/>
        <v>1.0000024383118329</v>
      </c>
      <c r="X93" s="67">
        <f t="shared" si="121"/>
        <v>-2.2083056303433988E-3</v>
      </c>
      <c r="Y93" t="str">
        <f t="shared" si="107"/>
        <v>0,99999979761423+0,00612437757023023i</v>
      </c>
      <c r="Z93" s="67">
        <f t="shared" si="122"/>
        <v>1.0000185514424837</v>
      </c>
      <c r="AA93" s="67">
        <f t="shared" si="123"/>
        <v>6.1243022403414593E-3</v>
      </c>
      <c r="AB93" s="92" t="str">
        <f t="shared" si="124"/>
        <v>19,657825816955-7,45033763526352i</v>
      </c>
      <c r="AC93" s="37">
        <f t="shared" si="125"/>
        <v>26.453609987796195</v>
      </c>
      <c r="AD93" s="60">
        <f t="shared" si="126"/>
        <v>-20.756763355945854</v>
      </c>
      <c r="AE93" t="str">
        <f t="shared" si="127"/>
        <v>34,4450883806789</v>
      </c>
      <c r="AF93" t="str">
        <f t="shared" si="108"/>
        <v>1+0,190797916611019i</v>
      </c>
      <c r="AG93">
        <f t="shared" si="128"/>
        <v>1.0180392158375362</v>
      </c>
      <c r="AH93">
        <f t="shared" si="129"/>
        <v>0.18853194913662705</v>
      </c>
      <c r="AI93" t="str">
        <f t="shared" si="109"/>
        <v>1+0,0105998842561677i</v>
      </c>
      <c r="AJ93">
        <f t="shared" si="130"/>
        <v>1.0000561771951835</v>
      </c>
      <c r="AK93">
        <f t="shared" si="131"/>
        <v>1.0599487290600104E-2</v>
      </c>
      <c r="AL93" t="str">
        <f t="shared" si="110"/>
        <v>1-0,000721230771115879i</v>
      </c>
      <c r="AM93">
        <f t="shared" si="132"/>
        <v>1.0000002600868787</v>
      </c>
      <c r="AN93">
        <f t="shared" si="133"/>
        <v>-7.2123064606079493E-4</v>
      </c>
      <c r="AO93" s="58" t="str">
        <f t="shared" si="134"/>
        <v>33,2980960024952-6,01293625201508i</v>
      </c>
      <c r="AP93">
        <f t="shared" si="135"/>
        <v>30.587746107538301</v>
      </c>
      <c r="AQ93" s="60">
        <f t="shared" si="136"/>
        <v>-10.236102574224681</v>
      </c>
      <c r="AR93" t="str">
        <f t="shared" si="111"/>
        <v>-1,36472945891784</v>
      </c>
      <c r="AS93" t="str">
        <f t="shared" si="112"/>
        <v>1+0,00794037329629523i</v>
      </c>
      <c r="AT93">
        <f t="shared" si="137"/>
        <v>1.0000315242671525</v>
      </c>
      <c r="AU93">
        <f t="shared" si="138"/>
        <v>7.9402064236782123E-3</v>
      </c>
      <c r="AV93" t="str">
        <f t="shared" si="113"/>
        <v>1+0,00794037329629523i</v>
      </c>
      <c r="AW93">
        <f t="shared" si="139"/>
        <v>1.0000315242671525</v>
      </c>
      <c r="AX93">
        <f t="shared" si="140"/>
        <v>7.9402064236782123E-3</v>
      </c>
      <c r="AY93" t="str">
        <f t="shared" si="114"/>
        <v>1-1,88907995131647i</v>
      </c>
      <c r="AZ93">
        <f t="shared" si="141"/>
        <v>2.1374337562754633</v>
      </c>
      <c r="BA93">
        <f t="shared" si="142"/>
        <v>-1.0839389188593207</v>
      </c>
      <c r="BB93" s="58" t="str">
        <f t="shared" si="143"/>
        <v>-1,34417376751237+2,58875630130181i</v>
      </c>
      <c r="BC93">
        <f t="shared" si="144"/>
        <v>9.2985107913480096</v>
      </c>
      <c r="BD93" s="60">
        <f t="shared" si="145"/>
        <v>117.43993438284807</v>
      </c>
      <c r="BE93" s="58" t="str">
        <f t="shared" si="146"/>
        <v>-7,13642528936387+60,903868861967i</v>
      </c>
      <c r="BF93" s="37">
        <f t="shared" si="147"/>
        <v>35.752120779144207</v>
      </c>
      <c r="BG93" s="60">
        <f t="shared" si="148"/>
        <v>96.68317102690223</v>
      </c>
      <c r="BH93" s="58" t="str">
        <f t="shared" si="149"/>
        <v>-29,1924005429324+94,2830870234949i</v>
      </c>
      <c r="BI93" s="37">
        <f t="shared" si="150"/>
        <v>39.886256898886309</v>
      </c>
      <c r="BJ93" s="60">
        <f t="shared" si="151"/>
        <v>107.20383180862338</v>
      </c>
      <c r="BK93">
        <f t="shared" si="152"/>
        <v>35.752120779144207</v>
      </c>
      <c r="BL93" s="60">
        <f t="shared" si="153"/>
        <v>96.68317102690223</v>
      </c>
      <c r="BN93">
        <f t="shared" si="154"/>
        <v>0</v>
      </c>
      <c r="BO93">
        <f t="shared" si="155"/>
        <v>0</v>
      </c>
    </row>
    <row r="94" spans="2:67" x14ac:dyDescent="0.25">
      <c r="M94" s="66">
        <v>76</v>
      </c>
      <c r="N94" s="36">
        <f t="shared" si="115"/>
        <v>57.543993733715695</v>
      </c>
      <c r="O94" s="91" t="str">
        <f t="shared" si="103"/>
        <v>22,5</v>
      </c>
      <c r="P94" s="67" t="str">
        <f t="shared" si="104"/>
        <v>1+0,390484342019646i</v>
      </c>
      <c r="Q94" s="67">
        <f t="shared" si="116"/>
        <v>1.0735352911583838</v>
      </c>
      <c r="R94" s="67">
        <f t="shared" si="117"/>
        <v>0.37227640419620606</v>
      </c>
      <c r="S94" s="67" t="str">
        <f t="shared" si="105"/>
        <v>1+0,0108467872783235i</v>
      </c>
      <c r="T94" s="67">
        <f t="shared" si="118"/>
        <v>1.0000588246669599</v>
      </c>
      <c r="U94" s="67">
        <f t="shared" si="119"/>
        <v>1.0846361923405596E-2</v>
      </c>
      <c r="V94" t="str">
        <f t="shared" si="106"/>
        <v>1-0,00225974734965073i</v>
      </c>
      <c r="W94" s="67">
        <f t="shared" si="120"/>
        <v>1.0000025532257826</v>
      </c>
      <c r="X94" s="67">
        <f t="shared" si="121"/>
        <v>-2.2597435032274743E-3</v>
      </c>
      <c r="Y94" t="str">
        <f t="shared" si="107"/>
        <v>0,999999788076082+0,00626703264969803i</v>
      </c>
      <c r="Z94" s="67">
        <f t="shared" si="122"/>
        <v>1.0000194257365409</v>
      </c>
      <c r="AA94" s="67">
        <f t="shared" si="123"/>
        <v>6.2669519323526358E-3</v>
      </c>
      <c r="AB94" s="92" t="str">
        <f t="shared" si="124"/>
        <v>19,541600050633-7,57849419906203i</v>
      </c>
      <c r="AC94" s="37">
        <f t="shared" si="125"/>
        <v>26.427688222482466</v>
      </c>
      <c r="AD94" s="60">
        <f t="shared" si="126"/>
        <v>-21.196959673118617</v>
      </c>
      <c r="AE94" t="str">
        <f t="shared" si="127"/>
        <v>34,4450883806789</v>
      </c>
      <c r="AF94" t="str">
        <f t="shared" si="108"/>
        <v>1+0,195242171009823i</v>
      </c>
      <c r="AG94">
        <f t="shared" si="128"/>
        <v>1.0188814972020195</v>
      </c>
      <c r="AH94">
        <f t="shared" si="129"/>
        <v>0.19281656662803529</v>
      </c>
      <c r="AI94" t="str">
        <f t="shared" si="109"/>
        <v>1+0,0108467872783235i</v>
      </c>
      <c r="AJ94">
        <f t="shared" si="130"/>
        <v>1.0000588246669599</v>
      </c>
      <c r="AK94">
        <f t="shared" si="131"/>
        <v>1.0846361923405596E-2</v>
      </c>
      <c r="AL94" t="str">
        <f t="shared" si="110"/>
        <v>1-0,000738030393900125i</v>
      </c>
      <c r="AM94">
        <f t="shared" si="132"/>
        <v>1.0000002723443939</v>
      </c>
      <c r="AN94">
        <f t="shared" si="133"/>
        <v>-7.3803025990119018E-4</v>
      </c>
      <c r="AO94" s="58" t="str">
        <f t="shared" si="134"/>
        <v>33,2460248438944-6,1428290436657i</v>
      </c>
      <c r="AP94">
        <f t="shared" si="135"/>
        <v>30.58058585225233</v>
      </c>
      <c r="AQ94" s="60">
        <f t="shared" si="136"/>
        <v>-10.468410745752207</v>
      </c>
      <c r="AR94" t="str">
        <f t="shared" si="111"/>
        <v>-1,36472945891784</v>
      </c>
      <c r="AS94" t="str">
        <f t="shared" si="112"/>
        <v>1+0,00812532835019215i</v>
      </c>
      <c r="AT94">
        <f t="shared" si="137"/>
        <v>1.0000330099355712</v>
      </c>
      <c r="AU94">
        <f t="shared" si="138"/>
        <v>8.1251495432802714E-3</v>
      </c>
      <c r="AV94" t="str">
        <f t="shared" si="113"/>
        <v>1+0,00812532835019215i</v>
      </c>
      <c r="AW94">
        <f t="shared" si="139"/>
        <v>1.0000330099355712</v>
      </c>
      <c r="AX94">
        <f t="shared" si="140"/>
        <v>8.1251495432802714E-3</v>
      </c>
      <c r="AY94" t="str">
        <f t="shared" si="114"/>
        <v>1-1,84607924178785i</v>
      </c>
      <c r="AZ94">
        <f t="shared" si="141"/>
        <v>2.0995257957357905</v>
      </c>
      <c r="BA94">
        <f t="shared" si="142"/>
        <v>-1.0743566491862706</v>
      </c>
      <c r="BB94" s="58" t="str">
        <f t="shared" si="143"/>
        <v>-1,34416977365414+2,53032054553393i</v>
      </c>
      <c r="BC94">
        <f t="shared" si="144"/>
        <v>9.1430689088169732</v>
      </c>
      <c r="BD94" s="60">
        <f t="shared" si="145"/>
        <v>117.97836153306692</v>
      </c>
      <c r="BE94" s="58" t="str">
        <f t="shared" si="146"/>
        <v>-7,09120854080273+59,633294932916i</v>
      </c>
      <c r="BF94" s="37">
        <f t="shared" si="147"/>
        <v>35.570757131299438</v>
      </c>
      <c r="BG94" s="60">
        <f t="shared" si="148"/>
        <v>96.781401859948318</v>
      </c>
      <c r="BH94" s="58" t="str">
        <f t="shared" si="149"/>
        <v>-29,1449751524276+92,3801048450577i</v>
      </c>
      <c r="BI94" s="37">
        <f t="shared" si="150"/>
        <v>39.723654761069305</v>
      </c>
      <c r="BJ94" s="60">
        <f t="shared" si="151"/>
        <v>107.50995078731472</v>
      </c>
      <c r="BK94">
        <f t="shared" si="152"/>
        <v>35.570757131299438</v>
      </c>
      <c r="BL94" s="60">
        <f t="shared" si="153"/>
        <v>96.781401859948318</v>
      </c>
      <c r="BN94">
        <f t="shared" si="154"/>
        <v>0</v>
      </c>
      <c r="BO94">
        <f t="shared" si="155"/>
        <v>0</v>
      </c>
    </row>
    <row r="95" spans="2:67" x14ac:dyDescent="0.25">
      <c r="M95" s="66">
        <v>77</v>
      </c>
      <c r="N95" s="36">
        <f t="shared" si="115"/>
        <v>58.884365535558949</v>
      </c>
      <c r="O95" s="91" t="str">
        <f t="shared" si="103"/>
        <v>22,5</v>
      </c>
      <c r="P95" s="67" t="str">
        <f t="shared" si="104"/>
        <v>1+0,399579890784065i</v>
      </c>
      <c r="Q95" s="67">
        <f t="shared" si="116"/>
        <v>1.0768770074242486</v>
      </c>
      <c r="R95" s="67">
        <f t="shared" si="117"/>
        <v>0.38014416153856961</v>
      </c>
      <c r="S95" s="67" t="str">
        <f t="shared" si="105"/>
        <v>1+0,0110994414106685i</v>
      </c>
      <c r="T95" s="67">
        <f t="shared" si="118"/>
        <v>1.0000615969027251</v>
      </c>
      <c r="U95" s="67">
        <f t="shared" si="119"/>
        <v>1.1098985636178548E-2</v>
      </c>
      <c r="V95" t="str">
        <f t="shared" si="106"/>
        <v>1-0,0023123836272226i</v>
      </c>
      <c r="W95" s="67">
        <f t="shared" si="120"/>
        <v>1.0000026735554457</v>
      </c>
      <c r="X95" s="67">
        <f t="shared" si="121"/>
        <v>-2.3123795057064206E-3</v>
      </c>
      <c r="Y95" t="str">
        <f t="shared" si="107"/>
        <v>0,999999778088416+0,00641301059283068i</v>
      </c>
      <c r="Z95" s="67">
        <f t="shared" si="122"/>
        <v>1.0000203412339896</v>
      </c>
      <c r="AA95" s="67">
        <f t="shared" si="123"/>
        <v>6.4129241027318321E-3</v>
      </c>
      <c r="AB95" s="92" t="str">
        <f t="shared" si="124"/>
        <v>19,4213710949896-7,70697919941771i</v>
      </c>
      <c r="AC95" s="37">
        <f t="shared" si="125"/>
        <v>26.400709824541273</v>
      </c>
      <c r="AD95" s="60">
        <f t="shared" si="126"/>
        <v>-21.644654100603873</v>
      </c>
      <c r="AE95" t="str">
        <f t="shared" si="127"/>
        <v>34,4450883806789</v>
      </c>
      <c r="AF95" t="str">
        <f t="shared" si="108"/>
        <v>1+0,199789945392033i</v>
      </c>
      <c r="AG95">
        <f t="shared" si="128"/>
        <v>1.0197627284225246</v>
      </c>
      <c r="AH95">
        <f t="shared" si="129"/>
        <v>0.19719357610888699</v>
      </c>
      <c r="AI95" t="str">
        <f t="shared" si="109"/>
        <v>1+0,0110994414106685i</v>
      </c>
      <c r="AJ95">
        <f t="shared" si="130"/>
        <v>1.0000615969027251</v>
      </c>
      <c r="AK95">
        <f t="shared" si="131"/>
        <v>1.1098985636178548E-2</v>
      </c>
      <c r="AL95" t="str">
        <f t="shared" si="110"/>
        <v>1-0,000755221330168202i</v>
      </c>
      <c r="AM95">
        <f t="shared" si="132"/>
        <v>1.0000002851795882</v>
      </c>
      <c r="AN95">
        <f t="shared" si="133"/>
        <v>-7.5522118658575871E-4</v>
      </c>
      <c r="AO95" s="58" t="str">
        <f t="shared" si="134"/>
        <v>33,1916837987535-6,27505711872057i</v>
      </c>
      <c r="AP95">
        <f t="shared" si="135"/>
        <v>30.573100857324</v>
      </c>
      <c r="AQ95" s="60">
        <f t="shared" si="136"/>
        <v>-10.70570561089189</v>
      </c>
      <c r="AR95" t="str">
        <f t="shared" si="111"/>
        <v>-1,36472945891784</v>
      </c>
      <c r="AS95" t="str">
        <f t="shared" si="112"/>
        <v>1+0,00831459156073177i</v>
      </c>
      <c r="AT95">
        <f t="shared" si="137"/>
        <v>1.0000345656190199</v>
      </c>
      <c r="AU95">
        <f t="shared" si="138"/>
        <v>8.3143999660314476E-3</v>
      </c>
      <c r="AV95" t="str">
        <f t="shared" si="113"/>
        <v>1+0,00831459156073177i</v>
      </c>
      <c r="AW95">
        <f t="shared" si="139"/>
        <v>1.0000345656190199</v>
      </c>
      <c r="AX95">
        <f t="shared" si="140"/>
        <v>8.3143999660314476E-3</v>
      </c>
      <c r="AY95" t="str">
        <f t="shared" si="114"/>
        <v>1-1,80405734790897i</v>
      </c>
      <c r="AZ95">
        <f t="shared" si="141"/>
        <v>2.0626737295423982</v>
      </c>
      <c r="BA95">
        <f t="shared" si="142"/>
        <v>-1.064653098364428</v>
      </c>
      <c r="BB95" s="58" t="str">
        <f t="shared" si="143"/>
        <v>-1,34416559159661+2,47322639615268i</v>
      </c>
      <c r="BC95">
        <f t="shared" si="144"/>
        <v>8.9892418456977925</v>
      </c>
      <c r="BD95" s="60">
        <f t="shared" si="145"/>
        <v>118.52349079095445</v>
      </c>
      <c r="BE95" s="58" t="str">
        <f t="shared" si="146"/>
        <v>-7,04443437691446+58,392903896613i</v>
      </c>
      <c r="BF95" s="37">
        <f t="shared" si="147"/>
        <v>35.389951670239064</v>
      </c>
      <c r="BG95" s="60">
        <f t="shared" si="148"/>
        <v>96.878836690350568</v>
      </c>
      <c r="BH95" s="58" t="str">
        <f t="shared" si="149"/>
        <v>-29,0954823860536+90,525264368118i</v>
      </c>
      <c r="BI95" s="37">
        <f t="shared" si="150"/>
        <v>39.562342703021791</v>
      </c>
      <c r="BJ95" s="60">
        <f t="shared" si="151"/>
        <v>107.81778518006253</v>
      </c>
      <c r="BK95">
        <f t="shared" si="152"/>
        <v>35.389951670239064</v>
      </c>
      <c r="BL95" s="60">
        <f t="shared" si="153"/>
        <v>96.878836690350568</v>
      </c>
      <c r="BN95">
        <f t="shared" si="154"/>
        <v>0</v>
      </c>
      <c r="BO95">
        <f t="shared" si="155"/>
        <v>0</v>
      </c>
    </row>
    <row r="96" spans="2:67" x14ac:dyDescent="0.25">
      <c r="M96" s="66">
        <v>78</v>
      </c>
      <c r="N96" s="36">
        <f t="shared" si="115"/>
        <v>60.255958607435822</v>
      </c>
      <c r="O96" s="91" t="str">
        <f t="shared" si="103"/>
        <v>22,5</v>
      </c>
      <c r="P96" s="67" t="str">
        <f t="shared" si="104"/>
        <v>1+0,408887302095643i</v>
      </c>
      <c r="Q96" s="67">
        <f t="shared" si="116"/>
        <v>1.0803651354125852</v>
      </c>
      <c r="R96" s="67">
        <f t="shared" si="117"/>
        <v>0.38814428840838966</v>
      </c>
      <c r="S96" s="67" t="str">
        <f t="shared" si="105"/>
        <v>1+0,0113579806137679i</v>
      </c>
      <c r="T96" s="67">
        <f t="shared" si="118"/>
        <v>1.0000644997817005</v>
      </c>
      <c r="U96" s="67">
        <f t="shared" si="119"/>
        <v>1.1357492244304226E-2</v>
      </c>
      <c r="V96" t="str">
        <f t="shared" si="106"/>
        <v>1-0,00236624596120164i</v>
      </c>
      <c r="W96" s="67">
        <f t="shared" si="120"/>
        <v>1.0000027995560556</v>
      </c>
      <c r="X96" s="67">
        <f t="shared" si="121"/>
        <v>-2.3662415449181543E-3</v>
      </c>
      <c r="Y96" t="str">
        <f t="shared" si="107"/>
        <v>0,999999767630045+0,00656238879906587i</v>
      </c>
      <c r="Z96" s="67">
        <f t="shared" si="122"/>
        <v>1.0000212998766045</v>
      </c>
      <c r="AA96" s="67">
        <f t="shared" si="123"/>
        <v>6.5622961233618516E-3</v>
      </c>
      <c r="AB96" s="92" t="str">
        <f t="shared" si="124"/>
        <v>19,2970626491999-7,835669946888i</v>
      </c>
      <c r="AC96" s="37">
        <f t="shared" si="125"/>
        <v>26.372638680851111</v>
      </c>
      <c r="AD96" s="60">
        <f t="shared" si="126"/>
        <v>-22.099860722074194</v>
      </c>
      <c r="AE96" t="str">
        <f t="shared" si="127"/>
        <v>34,4450883806789</v>
      </c>
      <c r="AF96" t="str">
        <f t="shared" si="108"/>
        <v>1+0,204443651047822i</v>
      </c>
      <c r="AG96">
        <f t="shared" si="128"/>
        <v>1.0206846753301253</v>
      </c>
      <c r="AH96">
        <f t="shared" si="129"/>
        <v>0.20166462716105213</v>
      </c>
      <c r="AI96" t="str">
        <f t="shared" si="109"/>
        <v>1+0,0113579806137679i</v>
      </c>
      <c r="AJ96">
        <f t="shared" si="130"/>
        <v>1.0000644997817005</v>
      </c>
      <c r="AK96">
        <f t="shared" si="131"/>
        <v>1.1357492244304226E-2</v>
      </c>
      <c r="AL96" t="str">
        <f t="shared" si="110"/>
        <v>1-0,00077281269478207i</v>
      </c>
      <c r="AM96">
        <f t="shared" si="132"/>
        <v>1.0000002986196861</v>
      </c>
      <c r="AN96">
        <f t="shared" si="133"/>
        <v>-7.7281254093071266E-4</v>
      </c>
      <c r="AO96" s="58" t="str">
        <f t="shared" si="134"/>
        <v>33,1349826119001-6,40962977808916i</v>
      </c>
      <c r="AP96">
        <f t="shared" si="135"/>
        <v>30.565276996601142</v>
      </c>
      <c r="AQ96" s="60">
        <f t="shared" si="136"/>
        <v>-10.948074538906509</v>
      </c>
      <c r="AR96" t="str">
        <f t="shared" si="111"/>
        <v>-1,36472945891784</v>
      </c>
      <c r="AS96" t="str">
        <f t="shared" si="112"/>
        <v>1+0,00850826327777351i</v>
      </c>
      <c r="AT96">
        <f t="shared" si="137"/>
        <v>1.0000361946169767</v>
      </c>
      <c r="AU96">
        <f t="shared" si="138"/>
        <v>8.5080579807546384E-3</v>
      </c>
      <c r="AV96" t="str">
        <f t="shared" si="113"/>
        <v>1+0,00850826327777351i</v>
      </c>
      <c r="AW96">
        <f t="shared" si="139"/>
        <v>1.0000361946169767</v>
      </c>
      <c r="AX96">
        <f t="shared" si="140"/>
        <v>8.5080579807546384E-3</v>
      </c>
      <c r="AY96" t="str">
        <f t="shared" si="114"/>
        <v>1-1,76299198911547i</v>
      </c>
      <c r="AZ96">
        <f t="shared" si="141"/>
        <v>2.0268548921137204</v>
      </c>
      <c r="BA96">
        <f t="shared" si="142"/>
        <v>-1.0548304316046502</v>
      </c>
      <c r="BB96" s="58" t="str">
        <f t="shared" si="143"/>
        <v>-1,34416121247267+2,41744358086553i</v>
      </c>
      <c r="BC96">
        <f t="shared" si="144"/>
        <v>8.8370700994048619</v>
      </c>
      <c r="BD96" s="60">
        <f t="shared" si="145"/>
        <v>119.07519235294062</v>
      </c>
      <c r="BE96" s="58" t="str">
        <f t="shared" si="146"/>
        <v>-6,99607311282427+57,1819638472129i</v>
      </c>
      <c r="BF96" s="37">
        <f t="shared" si="147"/>
        <v>35.209708780255973</v>
      </c>
      <c r="BG96" s="60">
        <f t="shared" si="148"/>
        <v>96.975331630866435</v>
      </c>
      <c r="BH96" s="58" t="str">
        <f t="shared" si="149"/>
        <v>-29,0438400401063+88,7175267512461i</v>
      </c>
      <c r="BI96" s="37">
        <f t="shared" si="150"/>
        <v>39.402347096006004</v>
      </c>
      <c r="BJ96" s="60">
        <f t="shared" si="151"/>
        <v>108.12711781403414</v>
      </c>
      <c r="BK96">
        <f t="shared" si="152"/>
        <v>35.209708780255973</v>
      </c>
      <c r="BL96" s="60">
        <f t="shared" si="153"/>
        <v>96.975331630866435</v>
      </c>
      <c r="BN96">
        <f t="shared" si="154"/>
        <v>0</v>
      </c>
      <c r="BO96">
        <f t="shared" si="155"/>
        <v>0</v>
      </c>
    </row>
    <row r="97" spans="13:67" x14ac:dyDescent="0.25">
      <c r="M97" s="66">
        <v>79</v>
      </c>
      <c r="N97" s="36">
        <f t="shared" si="115"/>
        <v>61.659500186148257</v>
      </c>
      <c r="O97" s="91" t="str">
        <f t="shared" si="103"/>
        <v>22,5</v>
      </c>
      <c r="P97" s="67" t="str">
        <f t="shared" si="104"/>
        <v>1+0,418411510867056i</v>
      </c>
      <c r="Q97" s="67">
        <f t="shared" si="116"/>
        <v>1.0840056237981666</v>
      </c>
      <c r="R97" s="67">
        <f t="shared" si="117"/>
        <v>0.39627692934225373</v>
      </c>
      <c r="S97" s="67" t="str">
        <f t="shared" si="105"/>
        <v>1+0,0116225419685293i</v>
      </c>
      <c r="T97" s="67">
        <f t="shared" si="118"/>
        <v>1.0000675394601157</v>
      </c>
      <c r="U97" s="67">
        <f t="shared" si="119"/>
        <v>1.1622018673129586E-2</v>
      </c>
      <c r="V97" t="str">
        <f t="shared" si="106"/>
        <v>1-0,00242136291011028i</v>
      </c>
      <c r="W97" s="67">
        <f t="shared" si="120"/>
        <v>1.0000029314948744</v>
      </c>
      <c r="X97" s="67">
        <f t="shared" si="121"/>
        <v>-2.4213581779780171E-3</v>
      </c>
      <c r="Y97" t="str">
        <f t="shared" si="107"/>
        <v>0,999999756678786+0,00671524647070583i</v>
      </c>
      <c r="Z97" s="67">
        <f t="shared" si="122"/>
        <v>1.0000223036976694</v>
      </c>
      <c r="AA97" s="67">
        <f t="shared" si="123"/>
        <v>6.7151471670194637E-3</v>
      </c>
      <c r="AB97" s="92" t="str">
        <f t="shared" si="124"/>
        <v>19,1686020901827-7,96443707580447i</v>
      </c>
      <c r="AC97" s="37">
        <f t="shared" si="125"/>
        <v>26.343438013646477</v>
      </c>
      <c r="AD97" s="60">
        <f t="shared" si="126"/>
        <v>-22.562586146089544</v>
      </c>
      <c r="AE97" t="str">
        <f t="shared" si="127"/>
        <v>34,4450883806789</v>
      </c>
      <c r="AF97" t="str">
        <f t="shared" si="108"/>
        <v>1+0,209205755433528i</v>
      </c>
      <c r="AG97">
        <f t="shared" si="128"/>
        <v>1.0216491805441401</v>
      </c>
      <c r="AH97">
        <f t="shared" si="129"/>
        <v>0.20623137503459985</v>
      </c>
      <c r="AI97" t="str">
        <f t="shared" si="109"/>
        <v>1+0,0116225419685293i</v>
      </c>
      <c r="AJ97">
        <f t="shared" si="130"/>
        <v>1.0000675394601157</v>
      </c>
      <c r="AK97">
        <f t="shared" si="131"/>
        <v>1.1622018673129586E-2</v>
      </c>
      <c r="AL97" t="str">
        <f t="shared" si="110"/>
        <v>1-0,000790813814916099i</v>
      </c>
      <c r="AM97">
        <f t="shared" si="132"/>
        <v>1.000000312693196</v>
      </c>
      <c r="AN97">
        <f t="shared" si="133"/>
        <v>-7.908136500614023E-4</v>
      </c>
      <c r="AO97" s="58" t="str">
        <f t="shared" si="134"/>
        <v>33,0758282414037-6,54655380026578i</v>
      </c>
      <c r="AP97">
        <f t="shared" si="135"/>
        <v>30.557099585031089</v>
      </c>
      <c r="AQ97" s="60">
        <f t="shared" si="136"/>
        <v>-11.19560505779951</v>
      </c>
      <c r="AR97" t="str">
        <f t="shared" si="111"/>
        <v>-1,36472945891784</v>
      </c>
      <c r="AS97" t="str">
        <f t="shared" si="112"/>
        <v>1+0,00870644618862532i</v>
      </c>
      <c r="AT97">
        <f t="shared" si="137"/>
        <v>1.0000379003843982</v>
      </c>
      <c r="AU97">
        <f t="shared" si="138"/>
        <v>8.7062262093565608E-3</v>
      </c>
      <c r="AV97" t="str">
        <f t="shared" si="113"/>
        <v>1+0,00870644618862532i</v>
      </c>
      <c r="AW97">
        <f t="shared" si="139"/>
        <v>1.0000379003843982</v>
      </c>
      <c r="AX97">
        <f t="shared" si="140"/>
        <v>8.7062262093565608E-3</v>
      </c>
      <c r="AY97" t="str">
        <f t="shared" si="114"/>
        <v>1-1,72286139201056i</v>
      </c>
      <c r="AZ97">
        <f t="shared" si="141"/>
        <v>1.9920470315935226</v>
      </c>
      <c r="BA97">
        <f t="shared" si="142"/>
        <v>-1.0448910233986501</v>
      </c>
      <c r="BB97" s="58" t="str">
        <f t="shared" si="143"/>
        <v>-1,34415662699756+2,36294252265105i</v>
      </c>
      <c r="BC97">
        <f t="shared" si="144"/>
        <v>8.6865938887218181</v>
      </c>
      <c r="BD97" s="60">
        <f t="shared" si="145"/>
        <v>119.63332429086957</v>
      </c>
      <c r="BE97" s="58" t="str">
        <f t="shared" si="146"/>
        <v>-6,94609649440139+55,9997558544181i</v>
      </c>
      <c r="BF97" s="37">
        <f t="shared" si="147"/>
        <v>35.030031902368293</v>
      </c>
      <c r="BG97" s="60">
        <f t="shared" si="148"/>
        <v>97.070738144780023</v>
      </c>
      <c r="BH97" s="58" t="str">
        <f t="shared" si="149"/>
        <v>-28,989963372645+86,9558746981386i</v>
      </c>
      <c r="BI97" s="37">
        <f t="shared" si="150"/>
        <v>39.243693473752906</v>
      </c>
      <c r="BJ97" s="60">
        <f t="shared" si="151"/>
        <v>108.43771923307007</v>
      </c>
      <c r="BK97">
        <f t="shared" si="152"/>
        <v>35.030031902368293</v>
      </c>
      <c r="BL97" s="60">
        <f t="shared" si="153"/>
        <v>97.070738144780023</v>
      </c>
      <c r="BN97">
        <f t="shared" si="154"/>
        <v>0</v>
      </c>
      <c r="BO97">
        <f t="shared" si="155"/>
        <v>0</v>
      </c>
    </row>
    <row r="98" spans="13:67" x14ac:dyDescent="0.25">
      <c r="M98" s="66">
        <v>80</v>
      </c>
      <c r="N98" s="36">
        <f t="shared" si="115"/>
        <v>63.095734448019364</v>
      </c>
      <c r="O98" s="91" t="str">
        <f t="shared" si="103"/>
        <v>22,5</v>
      </c>
      <c r="P98" s="67" t="str">
        <f t="shared" si="104"/>
        <v>1+0,42815756695986i</v>
      </c>
      <c r="Q98" s="67">
        <f t="shared" si="116"/>
        <v>1.0878046249878639</v>
      </c>
      <c r="R98" s="67">
        <f t="shared" si="117"/>
        <v>0.40454209219259357</v>
      </c>
      <c r="S98" s="67" t="str">
        <f t="shared" si="105"/>
        <v>1+0,011893265748885i</v>
      </c>
      <c r="T98" s="67">
        <f t="shared" si="118"/>
        <v>1.0000707223842589</v>
      </c>
      <c r="U98" s="67">
        <f t="shared" si="119"/>
        <v>1.1892705029903441E-2</v>
      </c>
      <c r="V98" t="str">
        <f t="shared" si="106"/>
        <v>1-0,00247776369768437i</v>
      </c>
      <c r="W98" s="67">
        <f t="shared" si="120"/>
        <v>1.0000030696517594</v>
      </c>
      <c r="X98" s="67">
        <f t="shared" si="121"/>
        <v>-2.4777586271141358E-3</v>
      </c>
      <c r="Y98" t="str">
        <f t="shared" si="107"/>
        <v>0,999999745211411+0,00687166465491133i</v>
      </c>
      <c r="Z98" s="67">
        <f t="shared" si="122"/>
        <v>1.0000233548262842</v>
      </c>
      <c r="AA98" s="67">
        <f t="shared" si="123"/>
        <v>6.8715582492285144E-3</v>
      </c>
      <c r="AB98" s="92" t="str">
        <f t="shared" si="124"/>
        <v>19,0359209602086-8,09314454513225i</v>
      </c>
      <c r="AC98" s="37">
        <f t="shared" si="125"/>
        <v>26.313070415661155</v>
      </c>
      <c r="AD98" s="60">
        <f t="shared" si="126"/>
        <v>-23.032829111165206</v>
      </c>
      <c r="AE98" t="str">
        <f t="shared" si="127"/>
        <v>34,4450883806789</v>
      </c>
      <c r="AF98" t="str">
        <f t="shared" si="108"/>
        <v>1+0,21407878347993i</v>
      </c>
      <c r="AG98">
        <f t="shared" si="128"/>
        <v>1.0226581665132521</v>
      </c>
      <c r="AH98">
        <f t="shared" si="129"/>
        <v>0.21089547879847412</v>
      </c>
      <c r="AI98" t="str">
        <f t="shared" si="109"/>
        <v>1+0,011893265748885i</v>
      </c>
      <c r="AJ98">
        <f t="shared" si="130"/>
        <v>1.0000707223842589</v>
      </c>
      <c r="AK98">
        <f t="shared" si="131"/>
        <v>1.1892705029903441E-2</v>
      </c>
      <c r="AL98" t="str">
        <f t="shared" si="110"/>
        <v>1-0,000809234235002452i</v>
      </c>
      <c r="AM98">
        <f t="shared" si="132"/>
        <v>1.00000032742997</v>
      </c>
      <c r="AN98">
        <f t="shared" si="133"/>
        <v>-8.0923405835746495E-4</v>
      </c>
      <c r="AO98" s="58" t="str">
        <f t="shared" si="134"/>
        <v>33,0141248486885-6,68583324015185i</v>
      </c>
      <c r="AP98">
        <f t="shared" si="135"/>
        <v>30.548553361671821</v>
      </c>
      <c r="AQ98" s="60">
        <f t="shared" si="136"/>
        <v>-11.448384744517956</v>
      </c>
      <c r="AR98" t="str">
        <f t="shared" si="111"/>
        <v>-1,36472945891784</v>
      </c>
      <c r="AS98" t="str">
        <f t="shared" si="112"/>
        <v>1+0,00890924537248976i</v>
      </c>
      <c r="AT98">
        <f t="shared" si="137"/>
        <v>1.0000396865390428</v>
      </c>
      <c r="AU98">
        <f t="shared" si="138"/>
        <v>8.9090096609617409E-3</v>
      </c>
      <c r="AV98" t="str">
        <f t="shared" si="113"/>
        <v>1+0,00890924537248976i</v>
      </c>
      <c r="AW98">
        <f t="shared" si="139"/>
        <v>1.0000396865390428</v>
      </c>
      <c r="AX98">
        <f t="shared" si="140"/>
        <v>8.9090096609617409E-3</v>
      </c>
      <c r="AY98" t="str">
        <f t="shared" si="114"/>
        <v>1-1,68364427882046i</v>
      </c>
      <c r="AZ98">
        <f t="shared" si="141"/>
        <v>1.9582282955786507</v>
      </c>
      <c r="BA98">
        <f t="shared" si="142"/>
        <v>-1.0348374598309547</v>
      </c>
      <c r="BB98" s="58" t="str">
        <f t="shared" si="143"/>
        <v>-1,3441518254492+2,30969432407557i</v>
      </c>
      <c r="BC98">
        <f t="shared" si="144"/>
        <v>8.5378530527328174</v>
      </c>
      <c r="BD98" s="60">
        <f t="shared" si="145"/>
        <v>120.19773241643297</v>
      </c>
      <c r="BE98" s="58" t="str">
        <f t="shared" si="146"/>
        <v>-6,89447788795596+54,8455736093087i</v>
      </c>
      <c r="BF98" s="37">
        <f t="shared" si="147"/>
        <v>34.850923468393965</v>
      </c>
      <c r="BG98" s="60">
        <f t="shared" si="148"/>
        <v>97.164903305267785</v>
      </c>
      <c r="BH98" s="58" t="str">
        <f t="shared" si="149"/>
        <v>-28,9337650944779+85,2393117317371i</v>
      </c>
      <c r="BI98" s="37">
        <f t="shared" si="150"/>
        <v>39.086406414404635</v>
      </c>
      <c r="BJ98" s="60">
        <f t="shared" si="151"/>
        <v>108.749347671915</v>
      </c>
      <c r="BK98">
        <f t="shared" si="152"/>
        <v>34.850923468393965</v>
      </c>
      <c r="BL98" s="60">
        <f t="shared" si="153"/>
        <v>97.164903305267785</v>
      </c>
      <c r="BN98">
        <f t="shared" si="154"/>
        <v>0</v>
      </c>
      <c r="BO98">
        <f t="shared" si="155"/>
        <v>0</v>
      </c>
    </row>
    <row r="99" spans="13:67" x14ac:dyDescent="0.25">
      <c r="M99" s="66">
        <v>81</v>
      </c>
      <c r="N99" s="36">
        <f t="shared" si="115"/>
        <v>64.565422903465588</v>
      </c>
      <c r="O99" s="91" t="str">
        <f t="shared" si="103"/>
        <v>22,5</v>
      </c>
      <c r="P99" s="67" t="str">
        <f t="shared" si="104"/>
        <v>1+0,438130637862002i</v>
      </c>
      <c r="Q99" s="67">
        <f t="shared" si="116"/>
        <v>1.0917684991944787</v>
      </c>
      <c r="R99" s="67">
        <f t="shared" si="117"/>
        <v>0.41293964126776961</v>
      </c>
      <c r="S99" s="67" t="str">
        <f t="shared" si="105"/>
        <v>1+0,0121702954961667i</v>
      </c>
      <c r="T99" s="67">
        <f t="shared" si="118"/>
        <v>1.0000740553041381</v>
      </c>
      <c r="U99" s="67">
        <f t="shared" si="119"/>
        <v>1.2169694677356017E-2</v>
      </c>
      <c r="V99" t="str">
        <f t="shared" si="106"/>
        <v>1-0,00253547822836807i</v>
      </c>
      <c r="W99" s="67">
        <f t="shared" si="120"/>
        <v>1.0000032143197572</v>
      </c>
      <c r="X99" s="67">
        <f t="shared" si="121"/>
        <v>-2.5354727951551188E-3</v>
      </c>
      <c r="Y99" t="str">
        <f t="shared" si="107"/>
        <v>0,999999733203595+0,00703172628667411i</v>
      </c>
      <c r="Z99" s="67">
        <f t="shared" si="122"/>
        <v>1.0000244554918805</v>
      </c>
      <c r="AA99" s="67">
        <f t="shared" si="123"/>
        <v>7.0316122710813696E-3</v>
      </c>
      <c r="AB99" s="92" t="str">
        <f t="shared" si="124"/>
        <v>18,898955472005-8,22164967307097i</v>
      </c>
      <c r="AC99" s="37">
        <f t="shared" si="125"/>
        <v>26.281497889716562</v>
      </c>
      <c r="AD99" s="60">
        <f t="shared" si="126"/>
        <v>-23.510580091852063</v>
      </c>
      <c r="AE99" t="str">
        <f t="shared" si="127"/>
        <v>34,4450883806789</v>
      </c>
      <c r="AF99" t="str">
        <f t="shared" si="108"/>
        <v>1+0,219065318931001i</v>
      </c>
      <c r="AG99">
        <f t="shared" si="128"/>
        <v>1.0237136386501555</v>
      </c>
      <c r="AH99">
        <f t="shared" si="129"/>
        <v>0.21565859934603687</v>
      </c>
      <c r="AI99" t="str">
        <f t="shared" si="109"/>
        <v>1+0,0121702954961667i</v>
      </c>
      <c r="AJ99">
        <f t="shared" si="130"/>
        <v>1.0000740553041381</v>
      </c>
      <c r="AK99">
        <f t="shared" si="131"/>
        <v>1.2169694677356017E-2</v>
      </c>
      <c r="AL99" t="str">
        <f t="shared" si="110"/>
        <v>1-0,000828083721791686i</v>
      </c>
      <c r="AM99">
        <f t="shared" si="132"/>
        <v>1.0000003428612663</v>
      </c>
      <c r="AN99">
        <f t="shared" si="133"/>
        <v>-8.2808353251317566E-4</v>
      </c>
      <c r="AO99" s="58" t="str">
        <f t="shared" si="134"/>
        <v>32,9497737972294-6,82746921859367i</v>
      </c>
      <c r="AP99">
        <f t="shared" si="135"/>
        <v>30.539622472673734</v>
      </c>
      <c r="AQ99" s="60">
        <f t="shared" si="136"/>
        <v>-11.706501106752651</v>
      </c>
      <c r="AR99" t="str">
        <f t="shared" si="111"/>
        <v>-1,36472945891784</v>
      </c>
      <c r="AS99" t="str">
        <f t="shared" si="112"/>
        <v>1+0,00911676835617851i</v>
      </c>
      <c r="AT99">
        <f t="shared" si="137"/>
        <v>1.0000415568691434</v>
      </c>
      <c r="AU99">
        <f t="shared" si="138"/>
        <v>9.1165157872926204E-3</v>
      </c>
      <c r="AV99" t="str">
        <f t="shared" si="113"/>
        <v>1+0,00911676835617851i</v>
      </c>
      <c r="AW99">
        <f t="shared" si="139"/>
        <v>1.0000415568691434</v>
      </c>
      <c r="AX99">
        <f t="shared" si="140"/>
        <v>9.1165157872926204E-3</v>
      </c>
      <c r="AY99" t="str">
        <f t="shared" si="114"/>
        <v>1-1,64531985611265i</v>
      </c>
      <c r="AZ99">
        <f t="shared" si="141"/>
        <v>1.9253772173053652</v>
      </c>
      <c r="BA99">
        <f t="shared" si="142"/>
        <v>-1.0246725401719841</v>
      </c>
      <c r="BB99" s="58" t="str">
        <f t="shared" si="143"/>
        <v>-1,34414679764761+2,25767075197025i</v>
      </c>
      <c r="BC99">
        <f t="shared" si="144"/>
        <v>8.3908869462939588</v>
      </c>
      <c r="BD99" s="60">
        <f t="shared" si="145"/>
        <v>120.76825018671975</v>
      </c>
      <c r="BE99" s="58" t="str">
        <f t="shared" si="146"/>
        <v>-6,8411924767422+53,7187230913727i</v>
      </c>
      <c r="BF99" s="37">
        <f t="shared" si="147"/>
        <v>34.672384836010522</v>
      </c>
      <c r="BG99" s="60">
        <f t="shared" si="148"/>
        <v>97.257670094867706</v>
      </c>
      <c r="BH99" s="58" t="str">
        <f t="shared" si="149"/>
        <v>-28,8751553679629+83,5668614722508i</v>
      </c>
      <c r="BI99" s="37">
        <f t="shared" si="150"/>
        <v>38.930509418967688</v>
      </c>
      <c r="BJ99" s="60">
        <f t="shared" si="151"/>
        <v>109.06174907996711</v>
      </c>
      <c r="BK99">
        <f t="shared" si="152"/>
        <v>34.672384836010522</v>
      </c>
      <c r="BL99" s="60">
        <f t="shared" si="153"/>
        <v>97.257670094867706</v>
      </c>
      <c r="BN99">
        <f t="shared" si="154"/>
        <v>0</v>
      </c>
      <c r="BO99">
        <f t="shared" si="155"/>
        <v>0</v>
      </c>
    </row>
    <row r="100" spans="13:67" x14ac:dyDescent="0.25">
      <c r="M100" s="66">
        <v>82</v>
      </c>
      <c r="N100" s="36">
        <f t="shared" si="115"/>
        <v>66.069344800759623</v>
      </c>
      <c r="O100" s="91" t="str">
        <f t="shared" si="103"/>
        <v>22,5</v>
      </c>
      <c r="P100" s="67" t="str">
        <f t="shared" si="104"/>
        <v>1+0,448336011427684i</v>
      </c>
      <c r="Q100" s="67">
        <f t="shared" si="116"/>
        <v>1.0959038183813781</v>
      </c>
      <c r="R100" s="67">
        <f t="shared" si="117"/>
        <v>0.42146929052634668</v>
      </c>
      <c r="S100" s="67" t="str">
        <f t="shared" si="105"/>
        <v>1+0,0124537780952135i</v>
      </c>
      <c r="T100" s="67">
        <f t="shared" si="118"/>
        <v>1.0000775452877866</v>
      </c>
      <c r="U100" s="67">
        <f t="shared" si="119"/>
        <v>1.2453134308954937E-2</v>
      </c>
      <c r="V100" t="str">
        <f t="shared" si="106"/>
        <v>1-0,00259453710316947i</v>
      </c>
      <c r="W100" s="67">
        <f t="shared" si="120"/>
        <v>1.0000033658057255</v>
      </c>
      <c r="X100" s="67">
        <f t="shared" si="121"/>
        <v>-2.5945312813779619E-3</v>
      </c>
      <c r="Y100" t="str">
        <f t="shared" si="107"/>
        <v>0,999999720629867+0,00719551623278999i</v>
      </c>
      <c r="Z100" s="67">
        <f t="shared" si="122"/>
        <v>1.0000256080289485</v>
      </c>
      <c r="AA100" s="67">
        <f t="shared" si="123"/>
        <v>7.1953940630502351E-3</v>
      </c>
      <c r="AB100" s="92" t="str">
        <f t="shared" si="124"/>
        <v>18,7576470293406-8,34980320822763i</v>
      </c>
      <c r="AC100" s="37">
        <f t="shared" si="125"/>
        <v>26.24868189290261</v>
      </c>
      <c r="AD100" s="60">
        <f t="shared" si="126"/>
        <v>-23.995820907904001</v>
      </c>
      <c r="AE100" t="str">
        <f t="shared" si="127"/>
        <v>34,4450883806789</v>
      </c>
      <c r="AF100" t="str">
        <f t="shared" si="108"/>
        <v>1+0,224168005713842i</v>
      </c>
      <c r="AG100">
        <f t="shared" si="128"/>
        <v>1.0248176885601268</v>
      </c>
      <c r="AH100">
        <f t="shared" si="129"/>
        <v>0.22052239724891928</v>
      </c>
      <c r="AI100" t="str">
        <f t="shared" si="109"/>
        <v>1+0,0124537780952135i</v>
      </c>
      <c r="AJ100">
        <f t="shared" si="130"/>
        <v>1.0000775452877866</v>
      </c>
      <c r="AK100">
        <f t="shared" si="131"/>
        <v>1.2453134308954937E-2</v>
      </c>
      <c r="AL100" t="str">
        <f t="shared" si="110"/>
        <v>1-0,000847372269531199i</v>
      </c>
      <c r="AM100">
        <f t="shared" si="132"/>
        <v>1.0000003590198172</v>
      </c>
      <c r="AN100">
        <f t="shared" si="133"/>
        <v>-8.4737206671562509E-4</v>
      </c>
      <c r="AO100" s="58" t="str">
        <f t="shared" si="134"/>
        <v>32,8826736607694-6,9714597026261i</v>
      </c>
      <c r="AP100">
        <f t="shared" si="135"/>
        <v>30.530290454287652</v>
      </c>
      <c r="AQ100" s="60">
        <f t="shared" si="136"/>
        <v>-11.970041455957826</v>
      </c>
      <c r="AR100" t="str">
        <f t="shared" si="111"/>
        <v>-1,36472945891784</v>
      </c>
      <c r="AS100" t="str">
        <f t="shared" si="112"/>
        <v>1+0,00932912517112441i</v>
      </c>
      <c r="AT100">
        <f t="shared" si="137"/>
        <v>1.0000435153414369</v>
      </c>
      <c r="AU100">
        <f t="shared" si="138"/>
        <v>9.3288545393232902E-3</v>
      </c>
      <c r="AV100" t="str">
        <f t="shared" si="113"/>
        <v>1+0,00932912517112441i</v>
      </c>
      <c r="AW100">
        <f t="shared" si="139"/>
        <v>1.0000435153414369</v>
      </c>
      <c r="AX100">
        <f t="shared" si="140"/>
        <v>9.3288545393232902E-3</v>
      </c>
      <c r="AY100" t="str">
        <f t="shared" si="114"/>
        <v>1-1,60786780377094i</v>
      </c>
      <c r="AZ100">
        <f t="shared" si="141"/>
        <v>1.8934727023126543</v>
      </c>
      <c r="BA100">
        <f t="shared" si="142"/>
        <v>-1.0143992777023001</v>
      </c>
      <c r="BB100" s="58" t="str">
        <f t="shared" si="143"/>
        <v>-1,34414153293334+2,20684422246017i</v>
      </c>
      <c r="BC100">
        <f t="shared" si="144"/>
        <v>8.2457343324598806</v>
      </c>
      <c r="BD100" s="60">
        <f t="shared" si="145"/>
        <v>121.34469865374447</v>
      </c>
      <c r="BE100" s="58" t="str">
        <f t="shared" si="146"/>
        <v>-6,78621746348384+52,6185222576463i</v>
      </c>
      <c r="BF100" s="37">
        <f t="shared" si="147"/>
        <v>34.494416225362492</v>
      </c>
      <c r="BG100" s="60">
        <f t="shared" si="148"/>
        <v>97.348877745840454</v>
      </c>
      <c r="BH100" s="58" t="str">
        <f t="shared" si="149"/>
        <v>-28,814041814479+81,937566918783i</v>
      </c>
      <c r="BI100" s="37">
        <f t="shared" si="150"/>
        <v>38.776024786747534</v>
      </c>
      <c r="BJ100" s="60">
        <f t="shared" si="151"/>
        <v>109.37465719778662</v>
      </c>
      <c r="BK100">
        <f t="shared" si="152"/>
        <v>34.494416225362492</v>
      </c>
      <c r="BL100" s="60">
        <f t="shared" si="153"/>
        <v>97.348877745840454</v>
      </c>
      <c r="BN100">
        <f t="shared" si="154"/>
        <v>0</v>
      </c>
      <c r="BO100">
        <f t="shared" si="155"/>
        <v>0</v>
      </c>
    </row>
    <row r="101" spans="13:67" x14ac:dyDescent="0.25">
      <c r="M101" s="66">
        <v>83</v>
      </c>
      <c r="N101" s="36">
        <f t="shared" si="115"/>
        <v>67.60829753919819</v>
      </c>
      <c r="O101" s="91" t="str">
        <f t="shared" si="103"/>
        <v>22,5</v>
      </c>
      <c r="P101" s="67" t="str">
        <f t="shared" si="104"/>
        <v>1+0,458779098681053i</v>
      </c>
      <c r="Q101" s="67">
        <f t="shared" si="116"/>
        <v>1.1002173700622071</v>
      </c>
      <c r="R101" s="67">
        <f t="shared" si="117"/>
        <v>0.4301305968646732</v>
      </c>
      <c r="S101" s="67" t="str">
        <f t="shared" si="105"/>
        <v>1+0,0127438638522515i</v>
      </c>
      <c r="T101" s="67">
        <f t="shared" si="118"/>
        <v>1.0000811997362438</v>
      </c>
      <c r="U101" s="67">
        <f t="shared" si="119"/>
        <v>1.2743174025871974E-2</v>
      </c>
      <c r="V101" t="str">
        <f t="shared" si="106"/>
        <v>1-0,00265497163588573i</v>
      </c>
      <c r="W101" s="67">
        <f t="shared" si="120"/>
        <v>1.0000035244309828</v>
      </c>
      <c r="X101" s="67">
        <f t="shared" si="121"/>
        <v>-2.6549653977249251E-3</v>
      </c>
      <c r="Y101" t="str">
        <f t="shared" si="107"/>
        <v>0,999999707463559+0,00736312133685641i</v>
      </c>
      <c r="Z101" s="67">
        <f t="shared" si="122"/>
        <v>1.0000268148819935</v>
      </c>
      <c r="AA101" s="67">
        <f t="shared" si="123"/>
        <v>7.3629904298113148E-3</v>
      </c>
      <c r="AB101" s="92" t="str">
        <f t="shared" si="124"/>
        <v>18,6119427607132-8,47744944013432i</v>
      </c>
      <c r="AC101" s="37">
        <f t="shared" si="125"/>
        <v>26.21458338547944</v>
      </c>
      <c r="AD101" s="60">
        <f t="shared" si="126"/>
        <v>-24.488524338771953</v>
      </c>
      <c r="AE101" t="str">
        <f t="shared" si="127"/>
        <v>34,4450883806789</v>
      </c>
      <c r="AF101" t="str">
        <f t="shared" si="108"/>
        <v>1+0,229389549340527i</v>
      </c>
      <c r="AG101">
        <f t="shared" si="128"/>
        <v>1.0259724973636721</v>
      </c>
      <c r="AH101">
        <f t="shared" si="129"/>
        <v>0.22548853045264447</v>
      </c>
      <c r="AI101" t="str">
        <f t="shared" si="109"/>
        <v>1+0,0127438638522515i</v>
      </c>
      <c r="AJ101">
        <f t="shared" si="130"/>
        <v>1.0000811997362438</v>
      </c>
      <c r="AK101">
        <f t="shared" si="131"/>
        <v>1.2743174025871974E-2</v>
      </c>
      <c r="AL101" t="str">
        <f t="shared" si="110"/>
        <v>1-0,000867110105264314i</v>
      </c>
      <c r="AM101">
        <f t="shared" si="132"/>
        <v>1.0000003759398968</v>
      </c>
      <c r="AN101">
        <f t="shared" si="133"/>
        <v>-8.6710988794351561E-4</v>
      </c>
      <c r="AO101" s="58" t="str">
        <f t="shared" si="134"/>
        <v>32,8127202420541-7,11779927647104i</v>
      </c>
      <c r="AP101">
        <f t="shared" si="135"/>
        <v>30.520540215960892</v>
      </c>
      <c r="AQ101" s="60">
        <f t="shared" si="136"/>
        <v>-12.239092771213686</v>
      </c>
      <c r="AR101" t="str">
        <f t="shared" si="111"/>
        <v>-1,36472945891784</v>
      </c>
      <c r="AS101" t="str">
        <f t="shared" si="112"/>
        <v>1+0,0095464284117216i</v>
      </c>
      <c r="AT101">
        <f t="shared" si="137"/>
        <v>1.0000455661095748</v>
      </c>
      <c r="AU101">
        <f t="shared" si="138"/>
        <v>9.5461384252357034E-3</v>
      </c>
      <c r="AV101" t="str">
        <f t="shared" si="113"/>
        <v>1+0,0095464284117216i</v>
      </c>
      <c r="AW101">
        <f t="shared" si="139"/>
        <v>1.0000455661095748</v>
      </c>
      <c r="AX101">
        <f t="shared" si="140"/>
        <v>9.5461384252357034E-3</v>
      </c>
      <c r="AY101" t="str">
        <f t="shared" si="114"/>
        <v>1-1,57126826422144i</v>
      </c>
      <c r="AZ101">
        <f t="shared" si="141"/>
        <v>1.8624940156009784</v>
      </c>
      <c r="BA101">
        <f t="shared" si="142"/>
        <v>-1.0040208997211633</v>
      </c>
      <c r="BB101" s="58" t="str">
        <f t="shared" si="143"/>
        <v>-1,34413602014493+2,15718778633763i</v>
      </c>
      <c r="BC101">
        <f t="shared" si="144"/>
        <v>8.1024332723342987</v>
      </c>
      <c r="BD101" s="60">
        <f t="shared" si="145"/>
        <v>121.92688646063607</v>
      </c>
      <c r="BE101" s="58" t="str">
        <f t="shared" si="146"/>
        <v>-6,72953227799775+51,5443007548676i</v>
      </c>
      <c r="BF101" s="37">
        <f t="shared" si="147"/>
        <v>34.317016657813738</v>
      </c>
      <c r="BG101" s="60">
        <f t="shared" si="148"/>
        <v>97.438362121864103</v>
      </c>
      <c r="BH101" s="58" t="str">
        <f t="shared" si="149"/>
        <v>-28,7503295314774+80,3504897343389i</v>
      </c>
      <c r="BI101" s="37">
        <f t="shared" si="150"/>
        <v>38.622973488295194</v>
      </c>
      <c r="BJ101" s="60">
        <f t="shared" si="151"/>
        <v>109.68779368942235</v>
      </c>
      <c r="BK101">
        <f t="shared" si="152"/>
        <v>34.317016657813738</v>
      </c>
      <c r="BL101" s="60">
        <f t="shared" si="153"/>
        <v>97.438362121864103</v>
      </c>
      <c r="BN101">
        <f t="shared" si="154"/>
        <v>0</v>
      </c>
      <c r="BO101">
        <f t="shared" si="155"/>
        <v>0</v>
      </c>
    </row>
    <row r="102" spans="13:67" x14ac:dyDescent="0.25">
      <c r="M102" s="66">
        <v>84</v>
      </c>
      <c r="N102" s="36">
        <f t="shared" si="115"/>
        <v>69.183097091893657</v>
      </c>
      <c r="O102" s="91" t="str">
        <f t="shared" si="103"/>
        <v>22,5</v>
      </c>
      <c r="P102" s="67" t="str">
        <f t="shared" si="104"/>
        <v>1+0,469465436685202i</v>
      </c>
      <c r="Q102" s="67">
        <f t="shared" si="116"/>
        <v>1.1047161609400069</v>
      </c>
      <c r="R102" s="67">
        <f t="shared" si="117"/>
        <v>0.4389229535396641</v>
      </c>
      <c r="S102" s="67" t="str">
        <f t="shared" si="105"/>
        <v>1+0,013040706574589i</v>
      </c>
      <c r="T102" s="67">
        <f t="shared" si="118"/>
        <v>1.000085026399238</v>
      </c>
      <c r="U102" s="67">
        <f t="shared" si="119"/>
        <v>1.3039967415700113E-2</v>
      </c>
      <c r="V102" t="str">
        <f t="shared" si="106"/>
        <v>1-0,00271681386970603i</v>
      </c>
      <c r="W102" s="67">
        <f t="shared" si="120"/>
        <v>1.0000036905319913</v>
      </c>
      <c r="X102" s="67">
        <f t="shared" si="121"/>
        <v>-2.7168071853976312E-3</v>
      </c>
      <c r="Y102" t="str">
        <f t="shared" si="107"/>
        <v>0,999999693676741+0,00753463046531806i</v>
      </c>
      <c r="Z102" s="67">
        <f t="shared" si="122"/>
        <v>1.0000280786107081</v>
      </c>
      <c r="AA102" s="67">
        <f t="shared" si="123"/>
        <v>7.5344901961047544E-3</v>
      </c>
      <c r="AB102" s="92" t="str">
        <f t="shared" si="124"/>
        <v>18,4617960633925-8,60442635178505i</v>
      </c>
      <c r="AC102" s="37">
        <f t="shared" si="125"/>
        <v>26.179162884605987</v>
      </c>
      <c r="AD102" s="60">
        <f t="shared" si="126"/>
        <v>-24.988653745825424</v>
      </c>
      <c r="AE102" t="str">
        <f t="shared" si="127"/>
        <v>34,4450883806789</v>
      </c>
      <c r="AF102" t="str">
        <f t="shared" si="108"/>
        <v>1+0,234732718342601i</v>
      </c>
      <c r="AG102">
        <f t="shared" si="128"/>
        <v>1.0271803391131018</v>
      </c>
      <c r="AH102">
        <f t="shared" si="129"/>
        <v>0.23055865180753721</v>
      </c>
      <c r="AI102" t="str">
        <f t="shared" si="109"/>
        <v>1+0,013040706574589i</v>
      </c>
      <c r="AJ102">
        <f t="shared" si="130"/>
        <v>1.000085026399238</v>
      </c>
      <c r="AK102">
        <f t="shared" si="131"/>
        <v>1.3039967415700113E-2</v>
      </c>
      <c r="AL102" t="str">
        <f t="shared" si="110"/>
        <v>1-0,000887307694252799i</v>
      </c>
      <c r="AM102">
        <f t="shared" si="132"/>
        <v>1.0000003936573947</v>
      </c>
      <c r="AN102">
        <f t="shared" si="133"/>
        <v>-8.8730746138937304E-4</v>
      </c>
      <c r="AO102" s="58" t="str">
        <f t="shared" si="134"/>
        <v>32,7398066031298-7,26647890340487i</v>
      </c>
      <c r="AP102">
        <f t="shared" si="135"/>
        <v>30.510354023588647</v>
      </c>
      <c r="AQ102" s="60">
        <f t="shared" si="136"/>
        <v>-12.513741553558516</v>
      </c>
      <c r="AR102" t="str">
        <f t="shared" si="111"/>
        <v>-1,36472945891784</v>
      </c>
      <c r="AS102" t="str">
        <f t="shared" si="112"/>
        <v>1+0,00976879329502459i</v>
      </c>
      <c r="AT102">
        <f t="shared" si="137"/>
        <v>1.0000477135229302</v>
      </c>
      <c r="AU102">
        <f t="shared" si="138"/>
        <v>9.7684825697073752E-3</v>
      </c>
      <c r="AV102" t="str">
        <f t="shared" si="113"/>
        <v>1+0,00976879329502459i</v>
      </c>
      <c r="AW102">
        <f t="shared" si="139"/>
        <v>1.0000477135229302</v>
      </c>
      <c r="AX102">
        <f t="shared" si="140"/>
        <v>9.7684825697073752E-3</v>
      </c>
      <c r="AY102" t="str">
        <f t="shared" si="114"/>
        <v>1-1,53550183190382i</v>
      </c>
      <c r="AZ102">
        <f t="shared" si="141"/>
        <v>1.8324207693049073</v>
      </c>
      <c r="BA102">
        <f t="shared" si="142"/>
        <v>-0.99354084669647247</v>
      </c>
      <c r="BB102" s="58" t="str">
        <f t="shared" si="143"/>
        <v>-1,34413024759527+2,1086751147718i</v>
      </c>
      <c r="BC102">
        <f t="shared" si="144"/>
        <v>7.9610210128634264</v>
      </c>
      <c r="BD102" s="60">
        <f t="shared" si="145"/>
        <v>122.51460988694642</v>
      </c>
      <c r="BE102" s="58" t="str">
        <f t="shared" si="146"/>
        <v>-6,67111878884531+50,4953996555079i</v>
      </c>
      <c r="BF102" s="37">
        <f t="shared" si="147"/>
        <v>34.14018389746942</v>
      </c>
      <c r="BG102" s="60">
        <f t="shared" si="148"/>
        <v>97.525956141120986</v>
      </c>
      <c r="BH102" s="58" t="str">
        <f t="shared" si="149"/>
        <v>-28,683921120062+78,8047095340407i</v>
      </c>
      <c r="BI102" s="37">
        <f t="shared" si="150"/>
        <v>38.471375036452073</v>
      </c>
      <c r="BJ102" s="60">
        <f t="shared" si="151"/>
        <v>110.0008683333879</v>
      </c>
      <c r="BK102">
        <f t="shared" si="152"/>
        <v>34.14018389746942</v>
      </c>
      <c r="BL102" s="60">
        <f t="shared" si="153"/>
        <v>97.525956141120986</v>
      </c>
      <c r="BN102">
        <f t="shared" si="154"/>
        <v>0</v>
      </c>
      <c r="BO102">
        <f t="shared" si="155"/>
        <v>0</v>
      </c>
    </row>
    <row r="103" spans="13:67" x14ac:dyDescent="0.25">
      <c r="M103" s="66">
        <v>85</v>
      </c>
      <c r="N103" s="36">
        <f t="shared" si="115"/>
        <v>70.794578438413865</v>
      </c>
      <c r="O103" s="91" t="str">
        <f t="shared" si="103"/>
        <v>22,5</v>
      </c>
      <c r="P103" s="67" t="str">
        <f t="shared" si="104"/>
        <v>1+0,480400691477992i</v>
      </c>
      <c r="Q103" s="67">
        <f t="shared" si="116"/>
        <v>1.109407420370232</v>
      </c>
      <c r="R103" s="67">
        <f t="shared" si="117"/>
        <v>0.44784558377136441</v>
      </c>
      <c r="S103" s="67" t="str">
        <f t="shared" si="105"/>
        <v>1+0,0133444636521665i</v>
      </c>
      <c r="T103" s="67">
        <f t="shared" si="118"/>
        <v>1.0000890333916097</v>
      </c>
      <c r="U103" s="67">
        <f t="shared" si="119"/>
        <v>1.3343671632955549E-2</v>
      </c>
      <c r="V103" t="str">
        <f t="shared" si="106"/>
        <v>1-0,00278009659420134i</v>
      </c>
      <c r="W103" s="67">
        <f t="shared" si="120"/>
        <v>1.0000038644610694</v>
      </c>
      <c r="X103" s="67">
        <f t="shared" si="121"/>
        <v>-2.7800894318373436E-3</v>
      </c>
      <c r="Y103" t="str">
        <f t="shared" si="107"/>
        <v>0,999999679240171+0,00771013455458506i</v>
      </c>
      <c r="Z103" s="67">
        <f t="shared" si="122"/>
        <v>1.0000294018954117</v>
      </c>
      <c r="AA103" s="67">
        <f t="shared" si="123"/>
        <v>7.7099842536537278E-3</v>
      </c>
      <c r="AB103" s="92" t="str">
        <f t="shared" si="124"/>
        <v>18,307167154686-8,73056581671957i</v>
      </c>
      <c r="AC103" s="37">
        <f t="shared" si="125"/>
        <v>26.142380522973482</v>
      </c>
      <c r="AD103" s="60">
        <f t="shared" si="126"/>
        <v>-25.496162704854839</v>
      </c>
      <c r="AE103" t="str">
        <f t="shared" si="127"/>
        <v>34,4450883806789</v>
      </c>
      <c r="AF103" t="str">
        <f t="shared" si="108"/>
        <v>1+0,240200345738996i</v>
      </c>
      <c r="AG103">
        <f t="shared" si="128"/>
        <v>1.0284435843025777</v>
      </c>
      <c r="AH103">
        <f t="shared" si="129"/>
        <v>0.2357344064285484</v>
      </c>
      <c r="AI103" t="str">
        <f t="shared" si="109"/>
        <v>1+0,0133444636521665i</v>
      </c>
      <c r="AJ103">
        <f t="shared" si="130"/>
        <v>1.0000890333916097</v>
      </c>
      <c r="AK103">
        <f t="shared" si="131"/>
        <v>1.3343671632955549E-2</v>
      </c>
      <c r="AL103" t="str">
        <f t="shared" si="110"/>
        <v>1-0,000907975745525684i</v>
      </c>
      <c r="AM103">
        <f t="shared" si="132"/>
        <v>1.0000004122098922</v>
      </c>
      <c r="AN103">
        <f t="shared" si="133"/>
        <v>-9.0797549600803325E-4</v>
      </c>
      <c r="AO103" s="58" t="str">
        <f t="shared" si="134"/>
        <v>32,6638231083129-7,41748567868468i</v>
      </c>
      <c r="AP103">
        <f t="shared" si="135"/>
        <v>30.49971348299616</v>
      </c>
      <c r="AQ103" s="60">
        <f t="shared" si="136"/>
        <v>-12.794073670423215</v>
      </c>
      <c r="AR103" t="str">
        <f t="shared" si="111"/>
        <v>-1,36472945891784</v>
      </c>
      <c r="AS103" t="str">
        <f t="shared" si="112"/>
        <v>1+0,0099963377218379i</v>
      </c>
      <c r="AT103">
        <f t="shared" si="137"/>
        <v>1.000049962135817</v>
      </c>
      <c r="AU103">
        <f t="shared" si="138"/>
        <v>9.9960047745602555E-3</v>
      </c>
      <c r="AV103" t="str">
        <f t="shared" si="113"/>
        <v>1+0,0099963377218379i</v>
      </c>
      <c r="AW103">
        <f t="shared" si="139"/>
        <v>1.000049962135817</v>
      </c>
      <c r="AX103">
        <f t="shared" si="140"/>
        <v>9.9960047745602555E-3</v>
      </c>
      <c r="AY103" t="str">
        <f t="shared" si="114"/>
        <v>1-1,50054954298224i</v>
      </c>
      <c r="AZ103">
        <f t="shared" si="141"/>
        <v>1.8032329108975937</v>
      </c>
      <c r="BA103">
        <f t="shared" si="142"/>
        <v>-0.98296277051775782</v>
      </c>
      <c r="BB103" s="58" t="str">
        <f t="shared" si="143"/>
        <v>-1,34412420304687+2,06128048534731i</v>
      </c>
      <c r="BC103">
        <f t="shared" si="144"/>
        <v>7.8215338731412611</v>
      </c>
      <c r="BD103" s="60">
        <f t="shared" si="145"/>
        <v>123.10765294527108</v>
      </c>
      <c r="BE103" s="58" t="str">
        <f t="shared" si="146"/>
        <v>-6,6109615177938+49,4711712184919i</v>
      </c>
      <c r="BF103" s="37">
        <f t="shared" si="147"/>
        <v>33.963914396114738</v>
      </c>
      <c r="BG103" s="60">
        <f t="shared" si="148"/>
        <v>97.611490240416259</v>
      </c>
      <c r="BH103" s="58" t="str">
        <f t="shared" si="149"/>
        <v>-28,6147167241091+77,2993231764755i</v>
      </c>
      <c r="BI103" s="37">
        <f t="shared" si="150"/>
        <v>38.32124735613742</v>
      </c>
      <c r="BJ103" s="60">
        <f t="shared" si="151"/>
        <v>110.31357927484787</v>
      </c>
      <c r="BK103">
        <f t="shared" si="152"/>
        <v>33.963914396114738</v>
      </c>
      <c r="BL103" s="60">
        <f t="shared" si="153"/>
        <v>97.611490240416259</v>
      </c>
      <c r="BN103">
        <f t="shared" si="154"/>
        <v>0</v>
      </c>
      <c r="BO103">
        <f t="shared" si="155"/>
        <v>0</v>
      </c>
    </row>
    <row r="104" spans="13:67" x14ac:dyDescent="0.25">
      <c r="M104" s="66">
        <v>86</v>
      </c>
      <c r="N104" s="36">
        <f t="shared" si="115"/>
        <v>72.443596007499011</v>
      </c>
      <c r="O104" s="91" t="str">
        <f t="shared" si="103"/>
        <v>22,5</v>
      </c>
      <c r="P104" s="67" t="str">
        <f t="shared" si="104"/>
        <v>1+0,491590661076257i</v>
      </c>
      <c r="Q104" s="67">
        <f t="shared" si="116"/>
        <v>1.1142986036325233</v>
      </c>
      <c r="R104" s="67">
        <f t="shared" si="117"/>
        <v>0.45689753457239163</v>
      </c>
      <c r="S104" s="67" t="str">
        <f t="shared" si="105"/>
        <v>1+0,0136552961410071i</v>
      </c>
      <c r="T104" s="67">
        <f t="shared" si="118"/>
        <v>1.0000932292105065</v>
      </c>
      <c r="U104" s="67">
        <f t="shared" si="119"/>
        <v>1.3654447481405187E-2</v>
      </c>
      <c r="V104" t="str">
        <f t="shared" si="106"/>
        <v>1-0,00284485336270982i</v>
      </c>
      <c r="W104" s="67">
        <f t="shared" si="120"/>
        <v>1.0000040465871403</v>
      </c>
      <c r="X104" s="67">
        <f t="shared" si="121"/>
        <v>-2.8448456881002039E-3</v>
      </c>
      <c r="Y104" t="str">
        <f t="shared" si="107"/>
        <v>0,999999664123225+0,00788972665924856i</v>
      </c>
      <c r="Z104" s="67">
        <f t="shared" si="122"/>
        <v>1.0000307875427239</v>
      </c>
      <c r="AA104" s="67">
        <f t="shared" si="123"/>
        <v>7.8895656091668258E-3</v>
      </c>
      <c r="AB104" s="92" t="str">
        <f t="shared" si="124"/>
        <v>18,1480236269159-8,85569384299095i</v>
      </c>
      <c r="AC104" s="37">
        <f t="shared" si="125"/>
        <v>26.104196112394312</v>
      </c>
      <c r="AD104" s="60">
        <f t="shared" si="126"/>
        <v>-26.010994651554057</v>
      </c>
      <c r="AE104" t="str">
        <f t="shared" si="127"/>
        <v>34,4450883806789</v>
      </c>
      <c r="AF104" t="str">
        <f t="shared" si="108"/>
        <v>1+0,245795330538129i</v>
      </c>
      <c r="AG104">
        <f t="shared" si="128"/>
        <v>1.0297647034708211</v>
      </c>
      <c r="AH104">
        <f t="shared" si="129"/>
        <v>0.24101742887776606</v>
      </c>
      <c r="AI104" t="str">
        <f t="shared" si="109"/>
        <v>1+0,0136552961410071i</v>
      </c>
      <c r="AJ104">
        <f t="shared" si="130"/>
        <v>1.0000932292105065</v>
      </c>
      <c r="AK104">
        <f t="shared" si="131"/>
        <v>1.3654447481405187E-2</v>
      </c>
      <c r="AL104" t="str">
        <f t="shared" si="110"/>
        <v>1-0,000929125217557324i</v>
      </c>
      <c r="AM104">
        <f t="shared" si="132"/>
        <v>1.0000004316367417</v>
      </c>
      <c r="AN104">
        <f t="shared" si="133"/>
        <v>-9.2912495019435032E-4</v>
      </c>
      <c r="AO104" s="58" t="str">
        <f t="shared" si="134"/>
        <v>32,5846574809818-7,57080257380378i</v>
      </c>
      <c r="AP104">
        <f t="shared" si="135"/>
        <v>30.488599523732081</v>
      </c>
      <c r="AQ104" s="60">
        <f t="shared" si="136"/>
        <v>-13.080174189809364</v>
      </c>
      <c r="AR104" t="str">
        <f t="shared" si="111"/>
        <v>-1,36472945891784</v>
      </c>
      <c r="AS104" t="str">
        <f t="shared" si="112"/>
        <v>1+0,0102291823392285i</v>
      </c>
      <c r="AT104">
        <f t="shared" si="137"/>
        <v>1.0000523167171451</v>
      </c>
      <c r="AU104">
        <f t="shared" si="138"/>
        <v>1.0228825580800864E-2</v>
      </c>
      <c r="AV104" t="str">
        <f t="shared" si="113"/>
        <v>1+0,0102291823392285i</v>
      </c>
      <c r="AW104">
        <f t="shared" si="139"/>
        <v>1.0000523167171451</v>
      </c>
      <c r="AX104">
        <f t="shared" si="140"/>
        <v>1.0228825580800864E-2</v>
      </c>
      <c r="AY104" t="str">
        <f t="shared" si="114"/>
        <v>1-1,46639286529048i</v>
      </c>
      <c r="AZ104">
        <f t="shared" si="141"/>
        <v>1.774910711944357</v>
      </c>
      <c r="BA104">
        <f t="shared" si="142"/>
        <v>-0.97229053181928715</v>
      </c>
      <c r="BB104" s="58" t="str">
        <f t="shared" si="143"/>
        <v>-1,34411787368595+2,01497876842421i</v>
      </c>
      <c r="BC104">
        <f t="shared" si="144"/>
        <v>7.6840071298403503</v>
      </c>
      <c r="BD104" s="60">
        <f t="shared" si="145"/>
        <v>123.70578753106909</v>
      </c>
      <c r="BE104" s="58" t="str">
        <f t="shared" si="146"/>
        <v>-6,54904785572081+48,4709786753512i</v>
      </c>
      <c r="BF104" s="37">
        <f t="shared" si="147"/>
        <v>33.788203242234658</v>
      </c>
      <c r="BG104" s="60">
        <f t="shared" si="148"/>
        <v>97.694792879515049</v>
      </c>
      <c r="BH104" s="58" t="str">
        <f t="shared" si="149"/>
        <v>-28,5426140819763+75,8334440581507i</v>
      </c>
      <c r="BI104" s="37">
        <f t="shared" si="150"/>
        <v>38.172606653572437</v>
      </c>
      <c r="BJ104" s="60">
        <f t="shared" si="151"/>
        <v>110.62561334125976</v>
      </c>
      <c r="BK104">
        <f t="shared" si="152"/>
        <v>33.788203242234658</v>
      </c>
      <c r="BL104" s="60">
        <f t="shared" si="153"/>
        <v>97.694792879515049</v>
      </c>
      <c r="BN104">
        <f t="shared" si="154"/>
        <v>0</v>
      </c>
      <c r="BO104">
        <f t="shared" si="155"/>
        <v>0</v>
      </c>
    </row>
    <row r="105" spans="13:67" x14ac:dyDescent="0.25">
      <c r="M105" s="66">
        <v>87</v>
      </c>
      <c r="N105" s="36">
        <f t="shared" si="115"/>
        <v>74.131024130091816</v>
      </c>
      <c r="O105" s="91" t="str">
        <f t="shared" si="103"/>
        <v>22,5</v>
      </c>
      <c r="P105" s="67" t="str">
        <f t="shared" si="104"/>
        <v>1+0,503041278549997i</v>
      </c>
      <c r="Q105" s="67">
        <f t="shared" si="116"/>
        <v>1.1193973949966185</v>
      </c>
      <c r="R105" s="67">
        <f t="shared" si="117"/>
        <v>0.46607767085364393</v>
      </c>
      <c r="S105" s="67" t="str">
        <f t="shared" si="105"/>
        <v>1+0,0139733688486111i</v>
      </c>
      <c r="T105" s="67">
        <f t="shared" si="118"/>
        <v>1.0000976227533886</v>
      </c>
      <c r="U105" s="67">
        <f t="shared" si="119"/>
        <v>1.3972459498258111E-2</v>
      </c>
      <c r="V105" t="str">
        <f t="shared" si="106"/>
        <v>1-0,0029111185101273i</v>
      </c>
      <c r="W105" s="67">
        <f t="shared" si="120"/>
        <v>1.0000042372965128</v>
      </c>
      <c r="X105" s="67">
        <f t="shared" si="121"/>
        <v>-2.9111102866368178E-3</v>
      </c>
      <c r="Y105" t="str">
        <f t="shared" si="107"/>
        <v>0,999999648293841+0,00807350200141971i</v>
      </c>
      <c r="Z105" s="67">
        <f t="shared" si="122"/>
        <v>1.0000322384915261</v>
      </c>
      <c r="AA105" s="67">
        <f t="shared" si="123"/>
        <v>8.073329433448467E-3</v>
      </c>
      <c r="AB105" s="92" t="str">
        <f t="shared" si="124"/>
        <v>17,9843410022103-8,97963086610562i</v>
      </c>
      <c r="AC105" s="37">
        <f t="shared" si="125"/>
        <v>26.064569212361633</v>
      </c>
      <c r="AD105" s="60">
        <f t="shared" si="126"/>
        <v>-26.533082542810448</v>
      </c>
      <c r="AE105" t="str">
        <f t="shared" si="127"/>
        <v>34,4450883806789</v>
      </c>
      <c r="AF105" t="str">
        <f t="shared" si="108"/>
        <v>1+0,251520639274999i</v>
      </c>
      <c r="AG105">
        <f t="shared" si="128"/>
        <v>1.0311462708953101</v>
      </c>
      <c r="AH105">
        <f t="shared" si="129"/>
        <v>0.24640934016364133</v>
      </c>
      <c r="AI105" t="str">
        <f t="shared" si="109"/>
        <v>1+0,0139733688486111i</v>
      </c>
      <c r="AJ105">
        <f t="shared" si="130"/>
        <v>1.0000976227533886</v>
      </c>
      <c r="AK105">
        <f t="shared" si="131"/>
        <v>1.3972459498258111E-2</v>
      </c>
      <c r="AL105" t="str">
        <f t="shared" si="110"/>
        <v>1-0,000950767324077742i</v>
      </c>
      <c r="AM105">
        <f t="shared" si="132"/>
        <v>1.0000004519791501</v>
      </c>
      <c r="AN105">
        <f t="shared" si="133"/>
        <v>-9.5076703759316126E-4</v>
      </c>
      <c r="AO105" s="58" t="str">
        <f t="shared" si="134"/>
        <v>32,5021948753992-7,72640817244209i</v>
      </c>
      <c r="AP105">
        <f t="shared" si="135"/>
        <v>30.476992383262203</v>
      </c>
      <c r="AQ105" s="60">
        <f t="shared" si="136"/>
        <v>-13.372127203866674</v>
      </c>
      <c r="AR105" t="str">
        <f t="shared" si="111"/>
        <v>-1,36472945891784</v>
      </c>
      <c r="AS105" t="str">
        <f t="shared" si="112"/>
        <v>1+0,0104674506044945i</v>
      </c>
      <c r="AT105">
        <f t="shared" si="137"/>
        <v>1.0000547822605308</v>
      </c>
      <c r="AU105">
        <f t="shared" si="138"/>
        <v>1.0467068332082956E-2</v>
      </c>
      <c r="AV105" t="str">
        <f t="shared" si="113"/>
        <v>1+0,0104674506044945i</v>
      </c>
      <c r="AW105">
        <f t="shared" si="139"/>
        <v>1.0000547822605308</v>
      </c>
      <c r="AX105">
        <f t="shared" si="140"/>
        <v>1.0467068332082956E-2</v>
      </c>
      <c r="AY105" t="str">
        <f t="shared" si="114"/>
        <v>1-1,4330136885059i</v>
      </c>
      <c r="AZ105">
        <f t="shared" si="141"/>
        <v>1.7474347574216569</v>
      </c>
      <c r="BA105">
        <f t="shared" si="142"/>
        <v>-0.96152819634645248</v>
      </c>
      <c r="BB105" s="58" t="str">
        <f t="shared" si="143"/>
        <v>-1,34411124609533+1,96974541381197i</v>
      </c>
      <c r="BC105">
        <f t="shared" si="144"/>
        <v>7.548474902423898</v>
      </c>
      <c r="BD105" s="60">
        <f t="shared" si="145"/>
        <v>124.30877362721837</v>
      </c>
      <c r="BE105" s="58" t="str">
        <f t="shared" si="146"/>
        <v>-6,48536827844827+47,4941960424516i</v>
      </c>
      <c r="BF105" s="37">
        <f t="shared" si="147"/>
        <v>33.613044114785531</v>
      </c>
      <c r="BG105" s="60">
        <f t="shared" si="148"/>
        <v>97.775691084407939</v>
      </c>
      <c r="BH105" s="58" t="str">
        <f t="shared" si="149"/>
        <v>-28,4675085918989+74,4062014111428i</v>
      </c>
      <c r="BI105" s="37">
        <f t="shared" si="150"/>
        <v>38.025467285686105</v>
      </c>
      <c r="BJ105" s="60">
        <f t="shared" si="151"/>
        <v>110.93664642335168</v>
      </c>
      <c r="BK105">
        <f t="shared" si="152"/>
        <v>33.613044114785531</v>
      </c>
      <c r="BL105" s="60">
        <f t="shared" si="153"/>
        <v>97.775691084407939</v>
      </c>
      <c r="BN105">
        <f t="shared" si="154"/>
        <v>0</v>
      </c>
      <c r="BO105">
        <f t="shared" si="155"/>
        <v>0</v>
      </c>
    </row>
    <row r="106" spans="13:67" x14ac:dyDescent="0.25">
      <c r="M106" s="66">
        <v>88</v>
      </c>
      <c r="N106" s="36">
        <f t="shared" si="115"/>
        <v>75.857757502918361</v>
      </c>
      <c r="O106" s="91" t="str">
        <f t="shared" si="103"/>
        <v>22,5</v>
      </c>
      <c r="P106" s="67" t="str">
        <f t="shared" si="104"/>
        <v>1+0,514758615168163i</v>
      </c>
      <c r="Q106" s="67">
        <f t="shared" si="116"/>
        <v>1.1247117105684661</v>
      </c>
      <c r="R106" s="67">
        <f t="shared" si="117"/>
        <v>0.47538466985763345</v>
      </c>
      <c r="S106" s="67" t="str">
        <f t="shared" si="105"/>
        <v>1+0,0142988504213379i</v>
      </c>
      <c r="T106" s="67">
        <f t="shared" si="118"/>
        <v>1.0001022233368806</v>
      </c>
      <c r="U106" s="67">
        <f t="shared" si="119"/>
        <v>1.4297876040258376E-2</v>
      </c>
      <c r="V106" t="str">
        <f t="shared" si="106"/>
        <v>1-0,00297892717111206i</v>
      </c>
      <c r="W106" s="67">
        <f t="shared" si="120"/>
        <v>1.000004436993702</v>
      </c>
      <c r="X106" s="67">
        <f t="shared" si="121"/>
        <v>-2.9789183594853635E-3</v>
      </c>
      <c r="Y106" t="str">
        <f t="shared" si="107"/>
        <v>0,99999963171844+0,00826155802121743i</v>
      </c>
      <c r="Z106" s="67">
        <f t="shared" si="122"/>
        <v>1.0000337578191816</v>
      </c>
      <c r="AA106" s="67">
        <f t="shared" si="123"/>
        <v>8.2613731116418891E-3</v>
      </c>
      <c r="AB106" s="92" t="str">
        <f t="shared" si="124"/>
        <v>17,8161032828445-9,1021920927276i</v>
      </c>
      <c r="AC106" s="37">
        <f t="shared" si="125"/>
        <v>26.023459203560563</v>
      </c>
      <c r="AD106" s="60">
        <f t="shared" si="126"/>
        <v>-27.062348536746814</v>
      </c>
      <c r="AE106" t="str">
        <f t="shared" si="127"/>
        <v>34,4450883806789</v>
      </c>
      <c r="AF106" t="str">
        <f t="shared" si="108"/>
        <v>1+0,257379307584082i</v>
      </c>
      <c r="AG106">
        <f t="shared" si="128"/>
        <v>1.0325909683763757</v>
      </c>
      <c r="AH106">
        <f t="shared" si="129"/>
        <v>0.25191174455121529</v>
      </c>
      <c r="AI106" t="str">
        <f t="shared" si="109"/>
        <v>1+0,0142988504213379i</v>
      </c>
      <c r="AJ106">
        <f t="shared" si="130"/>
        <v>1.0001022233368806</v>
      </c>
      <c r="AK106">
        <f t="shared" si="131"/>
        <v>1.4297876040258376E-2</v>
      </c>
      <c r="AL106" t="str">
        <f t="shared" si="110"/>
        <v>1-0,000972913540018278i</v>
      </c>
      <c r="AM106">
        <f t="shared" si="132"/>
        <v>1.0000004732802663</v>
      </c>
      <c r="AN106">
        <f t="shared" si="133"/>
        <v>-9.7291323304452687E-4</v>
      </c>
      <c r="AO106" s="58" t="str">
        <f t="shared" si="134"/>
        <v>32,4163179648149-7,8842763985771i</v>
      </c>
      <c r="AP106">
        <f t="shared" si="135"/>
        <v>30.464871591659929</v>
      </c>
      <c r="AQ106" s="60">
        <f t="shared" si="136"/>
        <v>-13.670015641540209</v>
      </c>
      <c r="AR106" t="str">
        <f t="shared" si="111"/>
        <v>-1,36472945891784</v>
      </c>
      <c r="AS106" t="str">
        <f t="shared" si="112"/>
        <v>1+0,0107112688506242i</v>
      </c>
      <c r="AT106">
        <f t="shared" si="137"/>
        <v>1.0000573639948813</v>
      </c>
      <c r="AU106">
        <f t="shared" si="138"/>
        <v>1.0710859239624336E-2</v>
      </c>
      <c r="AV106" t="str">
        <f t="shared" si="113"/>
        <v>1+0,0107112688506242i</v>
      </c>
      <c r="AW106">
        <f t="shared" si="139"/>
        <v>1.0000573639948813</v>
      </c>
      <c r="AX106">
        <f t="shared" si="140"/>
        <v>1.0710859239624336E-2</v>
      </c>
      <c r="AY106" t="str">
        <f t="shared" si="114"/>
        <v>1-1,40039431454714i</v>
      </c>
      <c r="AZ106">
        <f t="shared" si="141"/>
        <v>1.7207859356166164</v>
      </c>
      <c r="BA106">
        <f t="shared" si="142"/>
        <v>-0.95068003034545678</v>
      </c>
      <c r="BB106" s="58" t="str">
        <f t="shared" si="143"/>
        <v>-1,34410430622604+1,92555643775081i</v>
      </c>
      <c r="BC106">
        <f t="shared" si="144"/>
        <v>7.4149700388331929</v>
      </c>
      <c r="BD106" s="60">
        <f t="shared" si="145"/>
        <v>124.91635956444705</v>
      </c>
      <c r="BE106" s="58" t="str">
        <f t="shared" si="146"/>
        <v>-6,41991656084303+46,5402079598464i</v>
      </c>
      <c r="BF106" s="37">
        <f t="shared" si="147"/>
        <v>33.438429242393759</v>
      </c>
      <c r="BG106" s="60">
        <f t="shared" si="148"/>
        <v>97.854011027700224</v>
      </c>
      <c r="BH106" s="58" t="str">
        <f t="shared" si="149"/>
        <v>-28,3892933922133+73,0167396041304i</v>
      </c>
      <c r="BI106" s="37">
        <f t="shared" si="150"/>
        <v>37.879841630493118</v>
      </c>
      <c r="BJ106" s="60">
        <f t="shared" si="151"/>
        <v>111.24634392290682</v>
      </c>
      <c r="BK106">
        <f t="shared" si="152"/>
        <v>33.438429242393759</v>
      </c>
      <c r="BL106" s="60">
        <f t="shared" si="153"/>
        <v>97.854011027700224</v>
      </c>
      <c r="BN106">
        <f t="shared" si="154"/>
        <v>0</v>
      </c>
      <c r="BO106">
        <f t="shared" si="155"/>
        <v>0</v>
      </c>
    </row>
    <row r="107" spans="13:67" x14ac:dyDescent="0.25">
      <c r="M107" s="66">
        <v>89</v>
      </c>
      <c r="N107" s="36">
        <f t="shared" si="115"/>
        <v>77.624711662869217</v>
      </c>
      <c r="O107" s="91" t="str">
        <f t="shared" si="103"/>
        <v>22,5</v>
      </c>
      <c r="P107" s="67" t="str">
        <f t="shared" si="104"/>
        <v>1+0,526748883617727i</v>
      </c>
      <c r="Q107" s="67">
        <f t="shared" si="116"/>
        <v>1.1302497009035313</v>
      </c>
      <c r="R107" s="67">
        <f t="shared" si="117"/>
        <v>0.48481701597251048</v>
      </c>
      <c r="S107" s="67" t="str">
        <f t="shared" si="105"/>
        <v>1+0,0146319134338258i</v>
      </c>
      <c r="T107" s="67">
        <f t="shared" si="118"/>
        <v>1.00010704071651</v>
      </c>
      <c r="U107" s="67">
        <f t="shared" si="119"/>
        <v>1.4630869371723606E-2</v>
      </c>
      <c r="V107" t="str">
        <f t="shared" si="106"/>
        <v>1-0,0030483152987137i</v>
      </c>
      <c r="W107" s="67">
        <f t="shared" si="120"/>
        <v>1.0000046461022871</v>
      </c>
      <c r="X107" s="67">
        <f t="shared" si="121"/>
        <v>-3.0483058568879532E-3</v>
      </c>
      <c r="Y107" t="str">
        <f t="shared" si="107"/>
        <v>0,999999614361865+0,00845399442843266i</v>
      </c>
      <c r="Z107" s="67">
        <f t="shared" si="122"/>
        <v>1.0000353487480704</v>
      </c>
      <c r="AA107" s="67">
        <f t="shared" si="123"/>
        <v>8.4537962946309858E-3</v>
      </c>
      <c r="AB107" s="92" t="str">
        <f t="shared" si="124"/>
        <v>17,6433034925071-9,22318789657999i</v>
      </c>
      <c r="AC107" s="37">
        <f t="shared" si="125"/>
        <v>25.980825366269311</v>
      </c>
      <c r="AD107" s="60">
        <f t="shared" si="126"/>
        <v>-27.598703694554811</v>
      </c>
      <c r="AE107" t="str">
        <f t="shared" si="127"/>
        <v>34,4450883806789</v>
      </c>
      <c r="AF107" t="str">
        <f t="shared" si="108"/>
        <v>1+0,263374441808864i</v>
      </c>
      <c r="AG107">
        <f t="shared" si="128"/>
        <v>1.0341015891091796</v>
      </c>
      <c r="AH107">
        <f t="shared" si="129"/>
        <v>0.25752622617802234</v>
      </c>
      <c r="AI107" t="str">
        <f t="shared" si="109"/>
        <v>1+0,0146319134338258i</v>
      </c>
      <c r="AJ107">
        <f t="shared" si="130"/>
        <v>1.00010704071651</v>
      </c>
      <c r="AK107">
        <f t="shared" si="131"/>
        <v>1.4630869371723606E-2</v>
      </c>
      <c r="AL107" t="str">
        <f t="shared" si="110"/>
        <v>1-0,000995575607595766i</v>
      </c>
      <c r="AM107">
        <f t="shared" si="132"/>
        <v>1.0000004955852724</v>
      </c>
      <c r="AN107">
        <f t="shared" si="133"/>
        <v>-9.9557527866747436E-4</v>
      </c>
      <c r="AO107" s="58" t="str">
        <f t="shared" si="134"/>
        <v>32,3269070471391-8,044376237334i</v>
      </c>
      <c r="AP107">
        <f t="shared" si="135"/>
        <v>30.452215956896861</v>
      </c>
      <c r="AQ107" s="60">
        <f t="shared" si="136"/>
        <v>-13.973921069980351</v>
      </c>
      <c r="AR107" t="str">
        <f t="shared" si="111"/>
        <v>-1,36472945891784</v>
      </c>
      <c r="AS107" t="str">
        <f t="shared" si="112"/>
        <v>1+0,0109607663532789i</v>
      </c>
      <c r="AT107">
        <f t="shared" si="137"/>
        <v>1.0000600673954796</v>
      </c>
      <c r="AU107">
        <f t="shared" si="138"/>
        <v>1.0960327448608696E-2</v>
      </c>
      <c r="AV107" t="str">
        <f t="shared" si="113"/>
        <v>1+0,0109607663532789i</v>
      </c>
      <c r="AW107">
        <f t="shared" si="139"/>
        <v>1.0000600673954796</v>
      </c>
      <c r="AX107">
        <f t="shared" si="140"/>
        <v>1.0960327448608696E-2</v>
      </c>
      <c r="AY107" t="str">
        <f t="shared" si="114"/>
        <v>1-1,36851744819036i</v>
      </c>
      <c r="AZ107">
        <f t="shared" si="141"/>
        <v>1.6949454286204775</v>
      </c>
      <c r="BA107">
        <f t="shared" si="142"/>
        <v>-0.93975049496369001</v>
      </c>
      <c r="BB107" s="58" t="str">
        <f t="shared" si="143"/>
        <v>-1,34409703936759+1,88238841019309i</v>
      </c>
      <c r="BC107">
        <f t="shared" si="144"/>
        <v>7.2835240023734578</v>
      </c>
      <c r="BD107" s="60">
        <f t="shared" si="145"/>
        <v>125.52828233836377</v>
      </c>
      <c r="BE107" s="58" t="str">
        <f t="shared" si="146"/>
        <v>-6,3526899873873+45,6084095571388i</v>
      </c>
      <c r="BF107" s="37">
        <f t="shared" si="147"/>
        <v>33.264349368642769</v>
      </c>
      <c r="BG107" s="60">
        <f t="shared" si="148"/>
        <v>97.929578643808966</v>
      </c>
      <c r="BH107" s="58" t="str">
        <f t="shared" si="149"/>
        <v>-28,3078594575807+71,6642174470836i</v>
      </c>
      <c r="BI107" s="37">
        <f t="shared" si="150"/>
        <v>37.735739959270319</v>
      </c>
      <c r="BJ107" s="60">
        <f t="shared" si="151"/>
        <v>111.5543612683834</v>
      </c>
      <c r="BK107">
        <f t="shared" si="152"/>
        <v>33.264349368642769</v>
      </c>
      <c r="BL107" s="60">
        <f t="shared" si="153"/>
        <v>97.929578643808966</v>
      </c>
      <c r="BN107">
        <f t="shared" si="154"/>
        <v>0</v>
      </c>
      <c r="BO107">
        <f t="shared" si="155"/>
        <v>0</v>
      </c>
    </row>
    <row r="108" spans="13:67" x14ac:dyDescent="0.25">
      <c r="M108" s="66">
        <v>90</v>
      </c>
      <c r="N108" s="36">
        <f t="shared" si="115"/>
        <v>79.432823472428197</v>
      </c>
      <c r="O108" s="91" t="str">
        <f t="shared" si="103"/>
        <v>22,5</v>
      </c>
      <c r="P108" s="67" t="str">
        <f t="shared" si="104"/>
        <v>1+0,539018441297731i</v>
      </c>
      <c r="Q108" s="67">
        <f t="shared" si="116"/>
        <v>1.1360197533753695</v>
      </c>
      <c r="R108" s="67">
        <f t="shared" si="117"/>
        <v>0.49437299598108297</v>
      </c>
      <c r="S108" s="67" t="str">
        <f t="shared" si="105"/>
        <v>1+0,0149727344804925i</v>
      </c>
      <c r="T108" s="67">
        <f t="shared" si="118"/>
        <v>1.0001120851073759</v>
      </c>
      <c r="U108" s="67">
        <f t="shared" si="119"/>
        <v>1.4971615754565614E-2</v>
      </c>
      <c r="V108" t="str">
        <f t="shared" si="106"/>
        <v>1-0,00311931968343594i</v>
      </c>
      <c r="W108" s="67">
        <f t="shared" si="120"/>
        <v>1.0000048650658093</v>
      </c>
      <c r="X108" s="67">
        <f t="shared" si="121"/>
        <v>-3.1193095663400341E-3</v>
      </c>
      <c r="Y108" t="str">
        <f t="shared" si="107"/>
        <v>0,999999596187299+0,00865091325539568i</v>
      </c>
      <c r="Z108" s="67">
        <f t="shared" si="122"/>
        <v>1.0000370146524145</v>
      </c>
      <c r="AA108" s="67">
        <f t="shared" si="123"/>
        <v>8.6507009516265613E-3</v>
      </c>
      <c r="AB108" s="92" t="str">
        <f t="shared" si="124"/>
        <v>17,4659442035442-9,3424242675681i</v>
      </c>
      <c r="AC108" s="37">
        <f t="shared" si="125"/>
        <v>25.936626963549546</v>
      </c>
      <c r="AD108" s="60">
        <f t="shared" si="126"/>
        <v>-28.142047707229942</v>
      </c>
      <c r="AE108" t="str">
        <f t="shared" si="127"/>
        <v>34,4450883806789</v>
      </c>
      <c r="AF108" t="str">
        <f t="shared" si="108"/>
        <v>1+0,269509220648866i</v>
      </c>
      <c r="AG108">
        <f t="shared" si="128"/>
        <v>1.0356810416410831</v>
      </c>
      <c r="AH108">
        <f t="shared" si="129"/>
        <v>0.26325434547078957</v>
      </c>
      <c r="AI108" t="str">
        <f t="shared" si="109"/>
        <v>1+0,0149727344804925i</v>
      </c>
      <c r="AJ108">
        <f t="shared" si="130"/>
        <v>1.0001120851073759</v>
      </c>
      <c r="AK108">
        <f t="shared" si="131"/>
        <v>1.4971615754565614E-2</v>
      </c>
      <c r="AL108" t="str">
        <f t="shared" si="110"/>
        <v>1-0,0010187655425384i</v>
      </c>
      <c r="AM108">
        <f t="shared" si="132"/>
        <v>1.0000005189414807</v>
      </c>
      <c r="AN108">
        <f t="shared" si="133"/>
        <v>-1.0187651900853954E-3</v>
      </c>
      <c r="AO108" s="58" t="str">
        <f t="shared" si="134"/>
        <v>32,2338401695132-8,20667144927653i</v>
      </c>
      <c r="AP108">
        <f t="shared" si="135"/>
        <v>30.439003550845982</v>
      </c>
      <c r="AQ108" s="60">
        <f t="shared" si="136"/>
        <v>-14.283923484433707</v>
      </c>
      <c r="AR108" t="str">
        <f t="shared" si="111"/>
        <v>-1,36472945891784</v>
      </c>
      <c r="AS108" t="str">
        <f t="shared" si="112"/>
        <v>1+0,011216075399337i</v>
      </c>
      <c r="AT108">
        <f t="shared" si="137"/>
        <v>1.0000628981955904</v>
      </c>
      <c r="AU108">
        <f t="shared" si="138"/>
        <v>1.1215605106107224E-2</v>
      </c>
      <c r="AV108" t="str">
        <f t="shared" si="113"/>
        <v>1+0,011216075399337i</v>
      </c>
      <c r="AW108">
        <f t="shared" si="139"/>
        <v>1.0000628981955904</v>
      </c>
      <c r="AX108">
        <f t="shared" si="140"/>
        <v>1.1215605106107224E-2</v>
      </c>
      <c r="AY108" t="str">
        <f t="shared" si="114"/>
        <v>1-1,33736618789909i</v>
      </c>
      <c r="AZ108">
        <f t="shared" si="141"/>
        <v>1.6698947034276574</v>
      </c>
      <c r="BA108">
        <f t="shared" si="142"/>
        <v>-0.92874423965624187</v>
      </c>
      <c r="BB108" s="58" t="str">
        <f t="shared" si="143"/>
        <v>-1,34408943011688+1,84021844237818i</v>
      </c>
      <c r="BC108">
        <f t="shared" si="144"/>
        <v>7.1541667605474437</v>
      </c>
      <c r="BD108" s="60">
        <f t="shared" si="145"/>
        <v>126.14426798334547</v>
      </c>
      <c r="BE108" s="58" t="str">
        <f t="shared" si="146"/>
        <v>-6,28368955729467+44,698206346616i</v>
      </c>
      <c r="BF108" s="37">
        <f t="shared" si="147"/>
        <v>33.09079372409699</v>
      </c>
      <c r="BG108" s="60">
        <f t="shared" si="148"/>
        <v>98.002220276115537</v>
      </c>
      <c r="BH108" s="58" t="str">
        <f t="shared" si="149"/>
        <v>-28,2230957124225+70,3478075000234i</v>
      </c>
      <c r="BI108" s="37">
        <f t="shared" si="150"/>
        <v>37.593170311393436</v>
      </c>
      <c r="BJ108" s="60">
        <f t="shared" si="151"/>
        <v>111.86034449891179</v>
      </c>
      <c r="BK108">
        <f t="shared" si="152"/>
        <v>33.09079372409699</v>
      </c>
      <c r="BL108" s="60">
        <f t="shared" si="153"/>
        <v>98.002220276115537</v>
      </c>
      <c r="BN108">
        <f t="shared" si="154"/>
        <v>0</v>
      </c>
      <c r="BO108">
        <f t="shared" si="155"/>
        <v>0</v>
      </c>
    </row>
    <row r="109" spans="13:67" x14ac:dyDescent="0.25">
      <c r="M109" s="66">
        <v>91</v>
      </c>
      <c r="N109" s="36">
        <f t="shared" si="115"/>
        <v>81.283051616409963</v>
      </c>
      <c r="O109" s="91" t="str">
        <f t="shared" si="103"/>
        <v>22,5</v>
      </c>
      <c r="P109" s="67" t="str">
        <f t="shared" si="104"/>
        <v>1+0,551573793690063i</v>
      </c>
      <c r="Q109" s="67">
        <f t="shared" si="116"/>
        <v>1.1420304942888557</v>
      </c>
      <c r="R109" s="67">
        <f t="shared" si="117"/>
        <v>0.50405069479996512</v>
      </c>
      <c r="S109" s="67" t="str">
        <f t="shared" si="105"/>
        <v>1+0,0153214942691684i</v>
      </c>
      <c r="T109" s="67">
        <f t="shared" si="118"/>
        <v>1.0001173672057897</v>
      </c>
      <c r="U109" s="67">
        <f t="shared" si="119"/>
        <v>1.5320295540338088E-2</v>
      </c>
      <c r="V109" t="str">
        <f t="shared" si="106"/>
        <v>1-0,00319197797274342i</v>
      </c>
      <c r="W109" s="67">
        <f t="shared" si="120"/>
        <v>1.0000050943487131</v>
      </c>
      <c r="X109" s="67">
        <f t="shared" si="121"/>
        <v>-3.1919671320828264E-3</v>
      </c>
      <c r="Y109" t="str">
        <f t="shared" si="107"/>
        <v>0,999999577156193+0,00885241891107508i</v>
      </c>
      <c r="Z109" s="67">
        <f t="shared" si="122"/>
        <v>1.0000387590654385</v>
      </c>
      <c r="AA109" s="67">
        <f t="shared" si="123"/>
        <v>8.8521914239640641E-3</v>
      </c>
      <c r="AB109" s="92" t="str">
        <f t="shared" si="124"/>
        <v>17,2840380449292-9,45970331467732i</v>
      </c>
      <c r="AC109" s="37">
        <f t="shared" si="125"/>
        <v>25.890823329075854</v>
      </c>
      <c r="AD109" s="60">
        <f t="shared" si="126"/>
        <v>-28.692268650368138</v>
      </c>
      <c r="AE109" t="str">
        <f t="shared" si="127"/>
        <v>34,4450883806789</v>
      </c>
      <c r="AF109" t="str">
        <f t="shared" si="108"/>
        <v>1+0,275786896845032i</v>
      </c>
      <c r="AG109">
        <f t="shared" si="128"/>
        <v>1.0373323539114223</v>
      </c>
      <c r="AH109">
        <f t="shared" si="129"/>
        <v>0.26909763535859105</v>
      </c>
      <c r="AI109" t="str">
        <f t="shared" si="109"/>
        <v>1+0,0153214942691684i</v>
      </c>
      <c r="AJ109">
        <f t="shared" si="130"/>
        <v>1.0001173672057897</v>
      </c>
      <c r="AK109">
        <f t="shared" si="131"/>
        <v>1.5320295540338088E-2</v>
      </c>
      <c r="AL109" t="str">
        <f t="shared" si="110"/>
        <v>1-0,00104249564045665i</v>
      </c>
      <c r="AM109">
        <f t="shared" si="132"/>
        <v>1.0000005433984325</v>
      </c>
      <c r="AN109">
        <f t="shared" si="133"/>
        <v>-1.0424952627964624E-3</v>
      </c>
      <c r="AO109" s="58" t="str">
        <f t="shared" si="134"/>
        <v>32,1369932731323-8,37112027897327i</v>
      </c>
      <c r="AP109">
        <f t="shared" si="135"/>
        <v>30.425211696117792</v>
      </c>
      <c r="AQ109" s="60">
        <f t="shared" si="136"/>
        <v>-14.60010108636383</v>
      </c>
      <c r="AR109" t="str">
        <f t="shared" si="111"/>
        <v>-1,36472945891784</v>
      </c>
      <c r="AS109" t="str">
        <f t="shared" si="112"/>
        <v>1+0,0114773313570341i</v>
      </c>
      <c r="AT109">
        <f t="shared" si="137"/>
        <v>1.0000658623986118</v>
      </c>
      <c r="AU109">
        <f t="shared" si="138"/>
        <v>1.1476827430551688E-2</v>
      </c>
      <c r="AV109" t="str">
        <f t="shared" si="113"/>
        <v>1+0,0114773313570341i</v>
      </c>
      <c r="AW109">
        <f t="shared" si="139"/>
        <v>1.0000658623986118</v>
      </c>
      <c r="AX109">
        <f t="shared" si="140"/>
        <v>1.1476827430551688E-2</v>
      </c>
      <c r="AY109" t="str">
        <f t="shared" si="114"/>
        <v>1-1,30692401686277i</v>
      </c>
      <c r="AZ109">
        <f t="shared" si="141"/>
        <v>1.6456155036498405</v>
      </c>
      <c r="BA109">
        <f t="shared" si="142"/>
        <v>-0.91766609460245219</v>
      </c>
      <c r="BB109" s="58" t="str">
        <f t="shared" si="143"/>
        <v>-1,34408146234556+1,79902417469405i</v>
      </c>
      <c r="BC109">
        <f t="shared" si="144"/>
        <v>7.0269266766017342</v>
      </c>
      <c r="BD109" s="60">
        <f t="shared" si="145"/>
        <v>126.76403200305585</v>
      </c>
      <c r="BE109" s="58" t="str">
        <f t="shared" si="146"/>
        <v>-6,2129201821268+43,809014143706i</v>
      </c>
      <c r="BF109" s="37">
        <f t="shared" si="147"/>
        <v>32.917750005677597</v>
      </c>
      <c r="BG109" s="60">
        <f t="shared" si="148"/>
        <v>98.071763352687725</v>
      </c>
      <c r="BH109" s="58" t="str">
        <f t="shared" si="149"/>
        <v>-28,1348891627966+69,066695386378i</v>
      </c>
      <c r="BI109" s="37">
        <f t="shared" si="150"/>
        <v>37.452138372719524</v>
      </c>
      <c r="BJ109" s="60">
        <f t="shared" si="151"/>
        <v>112.16393091669205</v>
      </c>
      <c r="BK109">
        <f t="shared" si="152"/>
        <v>32.917750005677597</v>
      </c>
      <c r="BL109" s="60">
        <f t="shared" si="153"/>
        <v>98.071763352687725</v>
      </c>
      <c r="BN109">
        <f t="shared" si="154"/>
        <v>0</v>
      </c>
      <c r="BO109">
        <f t="shared" si="155"/>
        <v>0</v>
      </c>
    </row>
    <row r="110" spans="13:67" x14ac:dyDescent="0.25">
      <c r="M110" s="66">
        <v>92</v>
      </c>
      <c r="N110" s="36">
        <f t="shared" si="115"/>
        <v>83.176377110267126</v>
      </c>
      <c r="O110" s="91" t="str">
        <f t="shared" si="103"/>
        <v>22,5</v>
      </c>
      <c r="P110" s="67" t="str">
        <f t="shared" si="104"/>
        <v>1+0,564421597808752i</v>
      </c>
      <c r="Q110" s="67">
        <f t="shared" si="116"/>
        <v>1.1482907907289794</v>
      </c>
      <c r="R110" s="67">
        <f t="shared" si="117"/>
        <v>0.5138479917642973</v>
      </c>
      <c r="S110" s="67" t="str">
        <f t="shared" si="105"/>
        <v>1+0,0156783777169098i</v>
      </c>
      <c r="T110" s="67">
        <f t="shared" si="118"/>
        <v>1.0001228982119319</v>
      </c>
      <c r="U110" s="67">
        <f t="shared" si="119"/>
        <v>1.5677093264350909E-2</v>
      </c>
      <c r="V110" t="str">
        <f t="shared" si="106"/>
        <v>1-0,00326632869102287i</v>
      </c>
      <c r="W110" s="67">
        <f t="shared" si="120"/>
        <v>1.0000053344373308</v>
      </c>
      <c r="X110" s="67">
        <f t="shared" si="121"/>
        <v>-3.2663170750491096E-3</v>
      </c>
      <c r="Y110" t="str">
        <f t="shared" si="107"/>
        <v>0,999999557228179+0,00905861823643675i</v>
      </c>
      <c r="Z110" s="67">
        <f t="shared" si="122"/>
        <v>1.0000405856868548</v>
      </c>
      <c r="AA110" s="67">
        <f t="shared" si="123"/>
        <v>9.0583744801398663E-3</v>
      </c>
      <c r="AB110" s="92" t="str">
        <f t="shared" si="124"/>
        <v>17,0976081854557-9,57482382267791i</v>
      </c>
      <c r="AC110" s="37">
        <f t="shared" si="125"/>
        <v>25.843373959408311</v>
      </c>
      <c r="AD110" s="60">
        <f t="shared" si="126"/>
        <v>-29.249242770199871</v>
      </c>
      <c r="AE110" t="str">
        <f t="shared" si="127"/>
        <v>34,4450883806789</v>
      </c>
      <c r="AF110" t="str">
        <f t="shared" si="108"/>
        <v>1+0,282210798904376i</v>
      </c>
      <c r="AG110">
        <f t="shared" si="128"/>
        <v>1.0390586773701695</v>
      </c>
      <c r="AH110">
        <f t="shared" si="129"/>
        <v>0.27505759727875878</v>
      </c>
      <c r="AI110" t="str">
        <f t="shared" si="109"/>
        <v>1+0,0156783777169098i</v>
      </c>
      <c r="AJ110">
        <f t="shared" si="130"/>
        <v>1.0001228982119319</v>
      </c>
      <c r="AK110">
        <f t="shared" si="131"/>
        <v>1.5677093264350909E-2</v>
      </c>
      <c r="AL110" t="str">
        <f t="shared" si="110"/>
        <v>1-0,00106677848336252i</v>
      </c>
      <c r="AM110">
        <f t="shared" si="132"/>
        <v>1.0000005690080043</v>
      </c>
      <c r="AN110">
        <f t="shared" si="133"/>
        <v>-1.0667780786923504E-3</v>
      </c>
      <c r="AO110" s="58" t="str">
        <f t="shared" si="134"/>
        <v>32,0362403596886-8,53767515881774i</v>
      </c>
      <c r="AP110">
        <f t="shared" si="135"/>
        <v>30.410816953857474</v>
      </c>
      <c r="AQ110" s="60">
        <f t="shared" si="136"/>
        <v>-14.922530049587829</v>
      </c>
      <c r="AR110" t="str">
        <f t="shared" si="111"/>
        <v>-1,36472945891784</v>
      </c>
      <c r="AS110" t="str">
        <f t="shared" si="112"/>
        <v>1+0,0117446727477371i</v>
      </c>
      <c r="AT110">
        <f t="shared" si="137"/>
        <v>1.0000689662908011</v>
      </c>
      <c r="AU110">
        <f t="shared" si="138"/>
        <v>1.1744132782793881E-2</v>
      </c>
      <c r="AV110" t="str">
        <f t="shared" si="113"/>
        <v>1+0,0117446727477371i</v>
      </c>
      <c r="AW110">
        <f t="shared" si="139"/>
        <v>1.0000689662908011</v>
      </c>
      <c r="AX110">
        <f t="shared" si="140"/>
        <v>1.1744132782793881E-2</v>
      </c>
      <c r="AY110" t="str">
        <f t="shared" si="114"/>
        <v>1-1,27717479423938i</v>
      </c>
      <c r="AZ110">
        <f t="shared" si="141"/>
        <v>1.6220898418522949</v>
      </c>
      <c r="BA110">
        <f t="shared" si="142"/>
        <v>-0.90652106214535311</v>
      </c>
      <c r="BB110" s="58" t="str">
        <f t="shared" si="143"/>
        <v>-1,344073119166+1,75878376481944i</v>
      </c>
      <c r="BC110">
        <f t="shared" si="144"/>
        <v>6.9018304045620971</v>
      </c>
      <c r="BD110" s="60">
        <f t="shared" si="145"/>
        <v>127.38727985685941</v>
      </c>
      <c r="BE110" s="58" t="str">
        <f t="shared" si="146"/>
        <v>-6,14039087377126+42,9402590146351i</v>
      </c>
      <c r="BF110" s="37">
        <f t="shared" si="147"/>
        <v>32.745204363970409</v>
      </c>
      <c r="BG110" s="60">
        <f t="shared" si="148"/>
        <v>98.138037086659523</v>
      </c>
      <c r="BH110" s="58" t="str">
        <f t="shared" si="149"/>
        <v>-28,0431250479675+67,8200791116118i</v>
      </c>
      <c r="BI110" s="37">
        <f t="shared" si="150"/>
        <v>37.312647358419568</v>
      </c>
      <c r="BJ110" s="60">
        <f t="shared" si="151"/>
        <v>112.4647498072716</v>
      </c>
      <c r="BK110">
        <f t="shared" si="152"/>
        <v>32.745204363970409</v>
      </c>
      <c r="BL110" s="60">
        <f t="shared" si="153"/>
        <v>98.138037086659523</v>
      </c>
      <c r="BN110">
        <f t="shared" si="154"/>
        <v>0</v>
      </c>
      <c r="BO110">
        <f t="shared" si="155"/>
        <v>0</v>
      </c>
    </row>
    <row r="111" spans="13:67" x14ac:dyDescent="0.25">
      <c r="M111" s="66">
        <v>93</v>
      </c>
      <c r="N111" s="36">
        <f t="shared" si="115"/>
        <v>85.113803820237734</v>
      </c>
      <c r="O111" s="91" t="str">
        <f t="shared" si="103"/>
        <v>22,5</v>
      </c>
      <c r="P111" s="67" t="str">
        <f t="shared" si="104"/>
        <v>1+0,577568665729603i</v>
      </c>
      <c r="Q111" s="67">
        <f t="shared" si="116"/>
        <v>1.1548097521378462</v>
      </c>
      <c r="R111" s="67">
        <f t="shared" si="117"/>
        <v>0.5237625575132111</v>
      </c>
      <c r="S111" s="67" t="str">
        <f t="shared" si="105"/>
        <v>1+0,0160435740480445i</v>
      </c>
      <c r="T111" s="67">
        <f t="shared" si="118"/>
        <v>1.0001286898535784</v>
      </c>
      <c r="U111" s="67">
        <f t="shared" si="119"/>
        <v>1.6042197741895515E-2</v>
      </c>
      <c r="V111" t="str">
        <f t="shared" si="106"/>
        <v>1-0,00334241126000927i</v>
      </c>
      <c r="W111" s="67">
        <f t="shared" si="120"/>
        <v>1.0000055858409147</v>
      </c>
      <c r="X111" s="67">
        <f t="shared" si="121"/>
        <v>-3.3423988132728912E-3</v>
      </c>
      <c r="Y111" t="str">
        <f t="shared" si="107"/>
        <v>0,999999536360986+0,00926962056109239i</v>
      </c>
      <c r="Z111" s="67">
        <f t="shared" si="122"/>
        <v>1.0000424983907104</v>
      </c>
      <c r="AA111" s="67">
        <f t="shared" si="123"/>
        <v>9.2693593721139677E-3</v>
      </c>
      <c r="AB111" s="92" t="str">
        <f t="shared" si="124"/>
        <v>16,906688786447-9,68758186209486i</v>
      </c>
      <c r="AC111" s="37">
        <f t="shared" si="125"/>
        <v>25.79423861046207</v>
      </c>
      <c r="AD111" s="60">
        <f t="shared" si="126"/>
        <v>-29.81283430402236</v>
      </c>
      <c r="AE111" t="str">
        <f t="shared" si="127"/>
        <v>34,4450883806789</v>
      </c>
      <c r="AF111" t="str">
        <f t="shared" si="108"/>
        <v>1+0,288784332864802i</v>
      </c>
      <c r="AG111">
        <f t="shared" si="128"/>
        <v>1.0408632911714049</v>
      </c>
      <c r="AH111">
        <f t="shared" si="129"/>
        <v>0.28113569697259327</v>
      </c>
      <c r="AI111" t="str">
        <f t="shared" si="109"/>
        <v>1+0,0160435740480445i</v>
      </c>
      <c r="AJ111">
        <f t="shared" si="130"/>
        <v>1.0001286898535784</v>
      </c>
      <c r="AK111">
        <f t="shared" si="131"/>
        <v>1.6042197741895515E-2</v>
      </c>
      <c r="AL111" t="str">
        <f t="shared" si="110"/>
        <v>1-0,00109162694634076i</v>
      </c>
      <c r="AM111">
        <f t="shared" si="132"/>
        <v>1.0000005958245175</v>
      </c>
      <c r="AN111">
        <f t="shared" si="133"/>
        <v>-1.091626512728875E-3</v>
      </c>
      <c r="AO111" s="58" t="str">
        <f t="shared" si="134"/>
        <v>31,9314536808171-8,70628240923668i</v>
      </c>
      <c r="AP111">
        <f t="shared" si="135"/>
        <v>30.395795112640659</v>
      </c>
      <c r="AQ111" s="60">
        <f t="shared" si="136"/>
        <v>-15.251284274257477</v>
      </c>
      <c r="AR111" t="str">
        <f t="shared" si="111"/>
        <v>-1,36472945891784</v>
      </c>
      <c r="AS111" t="str">
        <f t="shared" si="112"/>
        <v>1+0,0120182413193902i</v>
      </c>
      <c r="AT111">
        <f t="shared" si="137"/>
        <v>1.0000722164545974</v>
      </c>
      <c r="AU111">
        <f t="shared" si="138"/>
        <v>1.2017662738785868E-2</v>
      </c>
      <c r="AV111" t="str">
        <f t="shared" si="113"/>
        <v>1+0,0120182413193902i</v>
      </c>
      <c r="AW111">
        <f t="shared" si="139"/>
        <v>1.0000722164545974</v>
      </c>
      <c r="AX111">
        <f t="shared" si="140"/>
        <v>1.2017662738785868E-2</v>
      </c>
      <c r="AY111" t="str">
        <f t="shared" si="114"/>
        <v>1-1,2481027465973i</v>
      </c>
      <c r="AZ111">
        <f t="shared" si="141"/>
        <v>1.5992999925166398</v>
      </c>
      <c r="BA111">
        <f t="shared" si="142"/>
        <v>-0.89531430727586903</v>
      </c>
      <c r="BB111" s="58" t="str">
        <f t="shared" si="143"/>
        <v>-1,34406438289552+1,71947587614004i</v>
      </c>
      <c r="BC111">
        <f t="shared" si="144"/>
        <v>6.7789027885315303</v>
      </c>
      <c r="BD111" s="60">
        <f t="shared" si="145"/>
        <v>128.01370750086971</v>
      </c>
      <c r="BE111" s="58" t="str">
        <f t="shared" si="146"/>
        <v>-6,06611492055858+42,0913772509293i</v>
      </c>
      <c r="BF111" s="37">
        <f t="shared" si="147"/>
        <v>32.573141398993599</v>
      </c>
      <c r="BG111" s="60">
        <f t="shared" si="148"/>
        <v>98.200873196847354</v>
      </c>
      <c r="BH111" s="58" t="str">
        <f t="shared" si="149"/>
        <v>-27,9476870129195+66,6071683879329i</v>
      </c>
      <c r="BI111" s="37">
        <f t="shared" si="150"/>
        <v>37.174697901172195</v>
      </c>
      <c r="BJ111" s="60">
        <f t="shared" si="151"/>
        <v>112.76242322661227</v>
      </c>
      <c r="BK111">
        <f t="shared" si="152"/>
        <v>32.573141398993599</v>
      </c>
      <c r="BL111" s="60">
        <f t="shared" si="153"/>
        <v>98.200873196847354</v>
      </c>
      <c r="BN111">
        <f t="shared" si="154"/>
        <v>0</v>
      </c>
      <c r="BO111">
        <f t="shared" si="155"/>
        <v>0</v>
      </c>
    </row>
    <row r="112" spans="13:67" x14ac:dyDescent="0.25">
      <c r="M112" s="66">
        <v>94</v>
      </c>
      <c r="N112" s="36">
        <f t="shared" si="115"/>
        <v>87.096358995608071</v>
      </c>
      <c r="O112" s="91" t="str">
        <f t="shared" si="103"/>
        <v>22,5</v>
      </c>
      <c r="P112" s="67" t="str">
        <f t="shared" si="104"/>
        <v>1+0,591021968202046i</v>
      </c>
      <c r="Q112" s="67">
        <f t="shared" si="116"/>
        <v>1.1615967316144704</v>
      </c>
      <c r="R112" s="67">
        <f t="shared" si="117"/>
        <v>0.53379185153034647</v>
      </c>
      <c r="S112" s="67" t="str">
        <f t="shared" si="105"/>
        <v>1+0,0164172768945013i</v>
      </c>
      <c r="T112" s="67">
        <f t="shared" si="118"/>
        <v>1.0001347544109398</v>
      </c>
      <c r="U112" s="67">
        <f t="shared" si="119"/>
        <v>1.6415802166624142E-2</v>
      </c>
      <c r="V112" t="str">
        <f t="shared" si="106"/>
        <v>1-0,00342026601968777i</v>
      </c>
      <c r="W112" s="67">
        <f t="shared" si="120"/>
        <v>1.0000058490927168</v>
      </c>
      <c r="X112" s="67">
        <f t="shared" si="121"/>
        <v>-3.4202526827736661E-3</v>
      </c>
      <c r="Y112" t="str">
        <f t="shared" si="107"/>
        <v>0,999999514510352+0,00948553776126741i</v>
      </c>
      <c r="Z112" s="67">
        <f t="shared" si="122"/>
        <v>1.0000445012336001</v>
      </c>
      <c r="AA112" s="67">
        <f t="shared" si="123"/>
        <v>9.4852578929073197E-3</v>
      </c>
      <c r="AB112" s="92" t="str">
        <f t="shared" si="124"/>
        <v>16,7113254181274-9,79777145127776i</v>
      </c>
      <c r="AC112" s="37">
        <f t="shared" si="125"/>
        <v>25.743377397874262</v>
      </c>
      <c r="AD112" s="60">
        <f t="shared" si="126"/>
        <v>-30.382895338141385</v>
      </c>
      <c r="AE112" t="str">
        <f t="shared" si="127"/>
        <v>34,4450883806789</v>
      </c>
      <c r="AF112" t="str">
        <f t="shared" si="108"/>
        <v>1+0,295510984101024i</v>
      </c>
      <c r="AG112">
        <f t="shared" si="128"/>
        <v>1.0427496064369219</v>
      </c>
      <c r="AH112">
        <f t="shared" si="129"/>
        <v>0.28733336006876653</v>
      </c>
      <c r="AI112" t="str">
        <f t="shared" si="109"/>
        <v>1+0,0164172768945013i</v>
      </c>
      <c r="AJ112">
        <f t="shared" si="130"/>
        <v>1.0001347544109398</v>
      </c>
      <c r="AK112">
        <f t="shared" si="131"/>
        <v>1.6415802166624142E-2</v>
      </c>
      <c r="AL112" t="str">
        <f t="shared" si="110"/>
        <v>1-0,00111705420437534i</v>
      </c>
      <c r="AM112">
        <f t="shared" si="132"/>
        <v>1.0000006239048531</v>
      </c>
      <c r="AN112">
        <f t="shared" si="133"/>
        <v>-1.1170537397518501E-3</v>
      </c>
      <c r="AO112" s="58" t="str">
        <f t="shared" si="134"/>
        <v>31,8225039519187-8,87688193658477i</v>
      </c>
      <c r="AP112">
        <f t="shared" si="135"/>
        <v>30.380121178613262</v>
      </c>
      <c r="AQ112" s="60">
        <f t="shared" si="136"/>
        <v>-15.586435128560959</v>
      </c>
      <c r="AR112" t="str">
        <f t="shared" si="111"/>
        <v>-1,36472945891784</v>
      </c>
      <c r="AS112" t="str">
        <f t="shared" si="112"/>
        <v>1+0,0122981821216709i</v>
      </c>
      <c r="AT112">
        <f t="shared" si="137"/>
        <v>1.0000756197825731</v>
      </c>
      <c r="AU112">
        <f t="shared" si="138"/>
        <v>1.2297562163915506E-2</v>
      </c>
      <c r="AV112" t="str">
        <f t="shared" si="113"/>
        <v>1+0,0122981821216709i</v>
      </c>
      <c r="AW112">
        <f t="shared" si="139"/>
        <v>1.0000756197825731</v>
      </c>
      <c r="AX112">
        <f t="shared" si="140"/>
        <v>1.2297562163915506E-2</v>
      </c>
      <c r="AY112" t="str">
        <f t="shared" si="114"/>
        <v>1-1,21969245955206i</v>
      </c>
      <c r="AZ112">
        <f t="shared" si="141"/>
        <v>1.5772284856317278</v>
      </c>
      <c r="BA112">
        <f t="shared" si="142"/>
        <v>-0.8840511471930822</v>
      </c>
      <c r="BB112" s="58" t="str">
        <f t="shared" si="143"/>
        <v>-1,34405523501902+1,6810796664325i</v>
      </c>
      <c r="BC112">
        <f t="shared" si="144"/>
        <v>6.6581667670177547</v>
      </c>
      <c r="BD112" s="60">
        <f t="shared" si="145"/>
        <v>128.64300198184569</v>
      </c>
      <c r="BE112" s="58" t="str">
        <f t="shared" si="146"/>
        <v>-5,99011004924466+41,2618153701603i</v>
      </c>
      <c r="BF112" s="37">
        <f t="shared" si="147"/>
        <v>32.401544164892009</v>
      </c>
      <c r="BG112" s="60">
        <f t="shared" si="148"/>
        <v>98.260106643704304</v>
      </c>
      <c r="BH112" s="58" t="str">
        <f t="shared" si="149"/>
        <v>-27,8484573030752+65,4271839660509i</v>
      </c>
      <c r="BI112" s="37">
        <f t="shared" si="150"/>
        <v>37.038287945631012</v>
      </c>
      <c r="BJ112" s="60">
        <f t="shared" si="151"/>
        <v>113.05656685328475</v>
      </c>
      <c r="BK112">
        <f t="shared" si="152"/>
        <v>32.401544164892009</v>
      </c>
      <c r="BL112" s="60">
        <f t="shared" si="153"/>
        <v>98.260106643704304</v>
      </c>
      <c r="BN112">
        <f t="shared" si="154"/>
        <v>0</v>
      </c>
      <c r="BO112">
        <f t="shared" si="155"/>
        <v>0</v>
      </c>
    </row>
    <row r="113" spans="13:67" x14ac:dyDescent="0.25">
      <c r="M113" s="66">
        <v>95</v>
      </c>
      <c r="N113" s="36">
        <f t="shared" si="115"/>
        <v>89.125093813374562</v>
      </c>
      <c r="O113" s="91" t="str">
        <f t="shared" si="103"/>
        <v>22,5</v>
      </c>
      <c r="P113" s="67" t="str">
        <f t="shared" si="104"/>
        <v>1+0,604788638345133i</v>
      </c>
      <c r="Q113" s="67">
        <f t="shared" si="116"/>
        <v>1.1686613269340951</v>
      </c>
      <c r="R113" s="67">
        <f t="shared" si="117"/>
        <v>0.54393312039220398</v>
      </c>
      <c r="S113" s="67" t="str">
        <f t="shared" si="105"/>
        <v>1+0,0167996843984759i</v>
      </c>
      <c r="T113" s="67">
        <f t="shared" si="118"/>
        <v>1.00014110474267</v>
      </c>
      <c r="U113" s="67">
        <f t="shared" si="119"/>
        <v>1.6798104211126163E-2</v>
      </c>
      <c r="V113" t="str">
        <f t="shared" si="106"/>
        <v>1-0,00349993424968248i</v>
      </c>
      <c r="W113" s="67">
        <f t="shared" si="120"/>
        <v>1.0000061247511198</v>
      </c>
      <c r="X113" s="67">
        <f t="shared" si="121"/>
        <v>-3.4999199589262728E-3</v>
      </c>
      <c r="Y113" t="str">
        <f t="shared" si="107"/>
        <v>0,99999949162993+0,00970648431911941i</v>
      </c>
      <c r="Z113" s="67">
        <f t="shared" si="122"/>
        <v>1.0000465984632694</v>
      </c>
      <c r="AA113" s="67">
        <f t="shared" si="123"/>
        <v>9.7061844355233098E-3</v>
      </c>
      <c r="AB113" s="92" t="str">
        <f t="shared" si="124"/>
        <v>16,5115754337306-9,90518526874688i</v>
      </c>
      <c r="AC113" s="37">
        <f t="shared" si="125"/>
        <v>25.690750900918378</v>
      </c>
      <c r="AD113" s="60">
        <f t="shared" si="126"/>
        <v>-30.959265706347338</v>
      </c>
      <c r="AE113" t="str">
        <f t="shared" si="127"/>
        <v>34,4450883806789</v>
      </c>
      <c r="AF113" t="str">
        <f t="shared" si="108"/>
        <v>1+0,302394319172567i</v>
      </c>
      <c r="AG113">
        <f t="shared" si="128"/>
        <v>1.0447211705846877</v>
      </c>
      <c r="AH113">
        <f t="shared" si="129"/>
        <v>0.29365196745331706</v>
      </c>
      <c r="AI113" t="str">
        <f t="shared" si="109"/>
        <v>1+0,0167996843984759i</v>
      </c>
      <c r="AJ113">
        <f t="shared" si="130"/>
        <v>1.00014110474267</v>
      </c>
      <c r="AK113">
        <f t="shared" si="131"/>
        <v>1.6798104211126163E-2</v>
      </c>
      <c r="AL113" t="str">
        <f t="shared" si="110"/>
        <v>1-0,00114307373933504i</v>
      </c>
      <c r="AM113">
        <f t="shared" si="132"/>
        <v>1.0000006533085732</v>
      </c>
      <c r="AN113">
        <f t="shared" si="133"/>
        <v>-1.1430732414820183E-3</v>
      </c>
      <c r="AO113" s="58" t="str">
        <f t="shared" si="134"/>
        <v>31,7092605917153-9,04940693020126i</v>
      </c>
      <c r="AP113">
        <f t="shared" si="135"/>
        <v>30.363769367028958</v>
      </c>
      <c r="AQ113" s="60">
        <f t="shared" si="136"/>
        <v>-15.928051178080855</v>
      </c>
      <c r="AR113" t="str">
        <f t="shared" si="111"/>
        <v>-1,36472945891784</v>
      </c>
      <c r="AS113" t="str">
        <f t="shared" si="112"/>
        <v>1+0,0125846435828983i</v>
      </c>
      <c r="AT113">
        <f t="shared" si="137"/>
        <v>1.0000791834920415</v>
      </c>
      <c r="AU113">
        <f t="shared" si="138"/>
        <v>1.2583979289035646E-2</v>
      </c>
      <c r="AV113" t="str">
        <f t="shared" si="113"/>
        <v>1+0,0125846435828983i</v>
      </c>
      <c r="AW113">
        <f t="shared" si="139"/>
        <v>1.0000791834920415</v>
      </c>
      <c r="AX113">
        <f t="shared" si="140"/>
        <v>1.2583979289035646E-2</v>
      </c>
      <c r="AY113" t="str">
        <f t="shared" si="114"/>
        <v>1-1,19192886959342i</v>
      </c>
      <c r="AZ113">
        <f t="shared" si="141"/>
        <v>1.5558581009109567</v>
      </c>
      <c r="BA113">
        <f t="shared" si="142"/>
        <v>-0.87273703998105434</v>
      </c>
      <c r="BB113" s="58" t="str">
        <f t="shared" si="143"/>
        <v>-1,34404565614984+1,64357477681057i</v>
      </c>
      <c r="BC113">
        <f t="shared" si="144"/>
        <v>6.539643283038922</v>
      </c>
      <c r="BD113" s="60">
        <f t="shared" si="145"/>
        <v>129.27484208160365</v>
      </c>
      <c r="BE113" s="58" t="str">
        <f t="shared" si="146"/>
        <v>-5,91239857054802+40,4510301421033i</v>
      </c>
      <c r="BF113" s="37">
        <f t="shared" si="147"/>
        <v>32.230394183957301</v>
      </c>
      <c r="BG113" s="60">
        <f t="shared" si="148"/>
        <v>98.315576375256327</v>
      </c>
      <c r="BH113" s="58" t="str">
        <f t="shared" si="149"/>
        <v>-27,7453169824447+64,2793569751259i</v>
      </c>
      <c r="BI113" s="37">
        <f t="shared" si="150"/>
        <v>36.903412650067878</v>
      </c>
      <c r="BJ113" s="60">
        <f t="shared" si="151"/>
        <v>113.34679090352282</v>
      </c>
      <c r="BK113">
        <f t="shared" si="152"/>
        <v>32.230394183957301</v>
      </c>
      <c r="BL113" s="60">
        <f t="shared" si="153"/>
        <v>98.315576375256327</v>
      </c>
      <c r="BN113">
        <f t="shared" si="154"/>
        <v>0</v>
      </c>
      <c r="BO113">
        <f t="shared" si="155"/>
        <v>0</v>
      </c>
    </row>
    <row r="114" spans="13:67" x14ac:dyDescent="0.25">
      <c r="M114" s="66">
        <v>96</v>
      </c>
      <c r="N114" s="36">
        <f t="shared" si="115"/>
        <v>91.201083935590972</v>
      </c>
      <c r="O114" s="91" t="str">
        <f t="shared" si="103"/>
        <v>22,5</v>
      </c>
      <c r="P114" s="67" t="str">
        <f t="shared" si="104"/>
        <v>1+0,618875975429594i</v>
      </c>
      <c r="Q114" s="67">
        <f t="shared" si="116"/>
        <v>1.1760133812860853</v>
      </c>
      <c r="R114" s="67">
        <f t="shared" si="117"/>
        <v>0.55418339677483119</v>
      </c>
      <c r="S114" s="67" t="str">
        <f t="shared" si="105"/>
        <v>1+0,0171909993174887i</v>
      </c>
      <c r="T114" s="67">
        <f t="shared" si="118"/>
        <v>1.0001477543130983</v>
      </c>
      <c r="U114" s="67">
        <f t="shared" si="119"/>
        <v>1.7189306129747103E-2</v>
      </c>
      <c r="V114" t="str">
        <f t="shared" si="106"/>
        <v>1-0,00358145819114348i</v>
      </c>
      <c r="W114" s="67">
        <f t="shared" si="120"/>
        <v>1.0000064134008215</v>
      </c>
      <c r="X114" s="67">
        <f t="shared" si="121"/>
        <v>-3.5814428783276214E-3</v>
      </c>
      <c r="Y114" t="str">
        <f t="shared" si="107"/>
        <v>0,999999467671187+0,00993257738343792i</v>
      </c>
      <c r="Z114" s="67">
        <f t="shared" si="122"/>
        <v>1.0000487945276146</v>
      </c>
      <c r="AA114" s="67">
        <f t="shared" si="123"/>
        <v>9.9322560532221164E-3</v>
      </c>
      <c r="AB114" s="92" t="str">
        <f t="shared" si="124"/>
        <v>16,307508295418-10,0096154132917i</v>
      </c>
      <c r="AC114" s="37">
        <f t="shared" si="125"/>
        <v>25.63632026956093</v>
      </c>
      <c r="AD114" s="60">
        <f t="shared" si="126"/>
        <v>-31.541772931817334</v>
      </c>
      <c r="AE114" t="str">
        <f t="shared" si="127"/>
        <v>34,4450883806789</v>
      </c>
      <c r="AF114" t="str">
        <f t="shared" si="108"/>
        <v>1+0,309437987714797i</v>
      </c>
      <c r="AG114">
        <f t="shared" si="128"/>
        <v>1.0467816717162097</v>
      </c>
      <c r="AH114">
        <f t="shared" si="129"/>
        <v>0.30009285042618994</v>
      </c>
      <c r="AI114" t="str">
        <f t="shared" si="109"/>
        <v>1+0,0171909993174887i</v>
      </c>
      <c r="AJ114">
        <f t="shared" si="130"/>
        <v>1.0001477543130983</v>
      </c>
      <c r="AK114">
        <f t="shared" si="131"/>
        <v>1.7189306129747103E-2</v>
      </c>
      <c r="AL114" t="str">
        <f t="shared" si="110"/>
        <v>1-0,0011696993471217i</v>
      </c>
      <c r="AM114">
        <f t="shared" si="132"/>
        <v>1.0000006840980473</v>
      </c>
      <c r="AN114">
        <f t="shared" si="133"/>
        <v>-1.1696988136625959E-3</v>
      </c>
      <c r="AO114" s="58" t="str">
        <f t="shared" si="134"/>
        <v>31,5915919888608-9,22378356028732i</v>
      </c>
      <c r="AP114">
        <f t="shared" si="135"/>
        <v>30.346713095346832</v>
      </c>
      <c r="AQ114" s="60">
        <f t="shared" si="136"/>
        <v>-16.276197902802817</v>
      </c>
      <c r="AR114" t="str">
        <f t="shared" si="111"/>
        <v>-1,36472945891784</v>
      </c>
      <c r="AS114" t="str">
        <f t="shared" si="112"/>
        <v>1+0,0128777775887308i</v>
      </c>
      <c r="AT114">
        <f t="shared" si="137"/>
        <v>1.0000829151403521</v>
      </c>
      <c r="AU114">
        <f t="shared" si="138"/>
        <v>1.287706578821988E-2</v>
      </c>
      <c r="AV114" t="str">
        <f t="shared" si="113"/>
        <v>1+0,0128777775887308i</v>
      </c>
      <c r="AW114">
        <f t="shared" si="139"/>
        <v>1.0000829151403521</v>
      </c>
      <c r="AX114">
        <f t="shared" si="140"/>
        <v>1.287706578821988E-2</v>
      </c>
      <c r="AY114" t="str">
        <f t="shared" si="114"/>
        <v>1-1,16479725609847i</v>
      </c>
      <c r="AZ114">
        <f t="shared" si="141"/>
        <v>1.5351718626311928</v>
      </c>
      <c r="BA114">
        <f t="shared" si="142"/>
        <v>-0.86137757245192093</v>
      </c>
      <c r="BB114" s="58" t="str">
        <f t="shared" si="143"/>
        <v>-1,3440356259888+1,60694132092706i</v>
      </c>
      <c r="BC114">
        <f t="shared" si="144"/>
        <v>6.423351200726489</v>
      </c>
      <c r="BD114" s="60">
        <f t="shared" si="145"/>
        <v>129.90889900910341</v>
      </c>
      <c r="BE114" s="58" t="str">
        <f t="shared" si="146"/>
        <v>-5,83300750594286+39,6584886391786i</v>
      </c>
      <c r="BF114" s="37">
        <f t="shared" si="147"/>
        <v>32.059671470287412</v>
      </c>
      <c r="BG114" s="60">
        <f t="shared" si="148"/>
        <v>98.367126077286088</v>
      </c>
      <c r="BH114" s="58" t="str">
        <f t="shared" si="149"/>
        <v>-27,6381461764179+63,1629282722047i</v>
      </c>
      <c r="BI114" s="37">
        <f t="shared" si="150"/>
        <v>36.770064296073322</v>
      </c>
      <c r="BJ114" s="60">
        <f t="shared" si="151"/>
        <v>113.6327011063006</v>
      </c>
      <c r="BK114">
        <f t="shared" si="152"/>
        <v>32.059671470287412</v>
      </c>
      <c r="BL114" s="60">
        <f t="shared" si="153"/>
        <v>98.367126077286088</v>
      </c>
      <c r="BN114">
        <f t="shared" si="154"/>
        <v>0</v>
      </c>
      <c r="BO114">
        <f t="shared" si="155"/>
        <v>0</v>
      </c>
    </row>
    <row r="115" spans="13:67" x14ac:dyDescent="0.25">
      <c r="M115" s="66">
        <v>97</v>
      </c>
      <c r="N115" s="36">
        <f t="shared" si="115"/>
        <v>93.325430079699174</v>
      </c>
      <c r="O115" s="91" t="str">
        <f t="shared" si="103"/>
        <v>22,5</v>
      </c>
      <c r="P115" s="67" t="str">
        <f t="shared" si="104"/>
        <v>1+0,63329144874802i</v>
      </c>
      <c r="Q115" s="67">
        <f t="shared" si="116"/>
        <v>1.1836629837320105</v>
      </c>
      <c r="R115" s="67">
        <f t="shared" si="117"/>
        <v>0.56453949926645364</v>
      </c>
      <c r="S115" s="67" t="str">
        <f t="shared" si="105"/>
        <v>1+0,0175914291318895i</v>
      </c>
      <c r="T115" s="67">
        <f t="shared" si="118"/>
        <v>1.0001547172207419</v>
      </c>
      <c r="U115" s="67">
        <f t="shared" si="119"/>
        <v>1.7589614863694644E-2</v>
      </c>
      <c r="V115" t="str">
        <f t="shared" si="106"/>
        <v>1-0,00366488106914364i</v>
      </c>
      <c r="W115" s="67">
        <f t="shared" si="120"/>
        <v>1.0000067156540755</v>
      </c>
      <c r="X115" s="67">
        <f t="shared" si="121"/>
        <v>-3.6648646611717813E-3</v>
      </c>
      <c r="Y115" t="str">
        <f t="shared" si="107"/>
        <v>0,999999442583302+0,0101639368317584i</v>
      </c>
      <c r="Z115" s="67">
        <f t="shared" si="122"/>
        <v>1.0000510940841145</v>
      </c>
      <c r="AA115" s="67">
        <f t="shared" si="123"/>
        <v>1.0163592521178877E-2</v>
      </c>
      <c r="AB115" s="92" t="str">
        <f t="shared" si="124"/>
        <v>16,0992058461678-10,1108542085815i</v>
      </c>
      <c r="AC115" s="37">
        <f t="shared" si="125"/>
        <v>25.580047334203822</v>
      </c>
      <c r="AD115" s="60">
        <f t="shared" si="126"/>
        <v>-32.130232215172306</v>
      </c>
      <c r="AE115" t="str">
        <f t="shared" si="127"/>
        <v>34,4450883806789</v>
      </c>
      <c r="AF115" t="str">
        <f t="shared" si="108"/>
        <v>1+0,316645724374011i</v>
      </c>
      <c r="AG115">
        <f t="shared" si="128"/>
        <v>1.0489349430562136</v>
      </c>
      <c r="AH115">
        <f t="shared" si="129"/>
        <v>0.30665728564556882</v>
      </c>
      <c r="AI115" t="str">
        <f t="shared" si="109"/>
        <v>1+0,0175914291318895i</v>
      </c>
      <c r="AJ115">
        <f t="shared" si="130"/>
        <v>1.0001547172207419</v>
      </c>
      <c r="AK115">
        <f t="shared" si="131"/>
        <v>1.7589614863694644E-2</v>
      </c>
      <c r="AL115" t="str">
        <f t="shared" si="110"/>
        <v>1-0,00119694514498501i</v>
      </c>
      <c r="AM115">
        <f t="shared" si="132"/>
        <v>1.0000007163385836</v>
      </c>
      <c r="AN115">
        <f t="shared" si="133"/>
        <v>-1.1969445733733034E-3</v>
      </c>
      <c r="AO115" s="58" t="str">
        <f t="shared" si="134"/>
        <v>31,4693657968767-9,3999306784582i</v>
      </c>
      <c r="AP115">
        <f t="shared" si="135"/>
        <v>30.328924978059199</v>
      </c>
      <c r="AQ115" s="60">
        <f t="shared" si="136"/>
        <v>-16.630937401843909</v>
      </c>
      <c r="AR115" t="str">
        <f t="shared" si="111"/>
        <v>-1,36472945891784</v>
      </c>
      <c r="AS115" t="str">
        <f t="shared" si="112"/>
        <v>1+0,0131777395626984i</v>
      </c>
      <c r="AT115">
        <f t="shared" si="137"/>
        <v>1.0000868226409056</v>
      </c>
      <c r="AU115">
        <f t="shared" si="138"/>
        <v>1.3176976858285602E-2</v>
      </c>
      <c r="AV115" t="str">
        <f t="shared" si="113"/>
        <v>1+0,0131777395626984i</v>
      </c>
      <c r="AW115">
        <f t="shared" si="139"/>
        <v>1.0000868226409056</v>
      </c>
      <c r="AX115">
        <f t="shared" si="140"/>
        <v>1.3176976858285602E-2</v>
      </c>
      <c r="AY115" t="str">
        <f t="shared" si="114"/>
        <v>1-1,13828323352662i</v>
      </c>
      <c r="AZ115">
        <f t="shared" si="141"/>
        <v>1.515153035085175</v>
      </c>
      <c r="BA115">
        <f t="shared" si="142"/>
        <v>-0.8499784472139047</v>
      </c>
      <c r="BB115" s="58" t="str">
        <f t="shared" si="143"/>
        <v>-1,34402512328129+1,57115987442635i</v>
      </c>
      <c r="BC115">
        <f t="shared" si="144"/>
        <v>6.3093072291093222</v>
      </c>
      <c r="BD115" s="60">
        <f t="shared" si="145"/>
        <v>130.54483713683891</v>
      </c>
      <c r="BE115" s="58" t="str">
        <f t="shared" si="146"/>
        <v>-5,7519686934285+38,8836683097969i</v>
      </c>
      <c r="BF115" s="37">
        <f t="shared" si="147"/>
        <v>31.889354563313152</v>
      </c>
      <c r="BG115" s="60">
        <f t="shared" si="148"/>
        <v>98.414604921666594</v>
      </c>
      <c r="BH115" s="58" t="str">
        <f t="shared" si="149"/>
        <v>-27,5268243403484+62,077147802648i</v>
      </c>
      <c r="BI115" s="37">
        <f t="shared" si="150"/>
        <v>36.638232207168514</v>
      </c>
      <c r="BJ115" s="60">
        <f t="shared" si="151"/>
        <v>113.91389973499497</v>
      </c>
      <c r="BK115">
        <f t="shared" si="152"/>
        <v>31.889354563313152</v>
      </c>
      <c r="BL115" s="60">
        <f t="shared" si="153"/>
        <v>98.414604921666594</v>
      </c>
      <c r="BN115">
        <f t="shared" si="154"/>
        <v>0</v>
      </c>
      <c r="BO115">
        <f t="shared" si="155"/>
        <v>0</v>
      </c>
    </row>
    <row r="116" spans="13:67" x14ac:dyDescent="0.25">
      <c r="M116" s="66">
        <v>98</v>
      </c>
      <c r="N116" s="36">
        <f t="shared" si="115"/>
        <v>95.499258602143655</v>
      </c>
      <c r="O116" s="91" t="str">
        <f t="shared" si="103"/>
        <v>22,5</v>
      </c>
      <c r="P116" s="67" t="str">
        <f t="shared" si="104"/>
        <v>1+0,648042701575176i</v>
      </c>
      <c r="Q116" s="67">
        <f t="shared" si="116"/>
        <v>1.1916204693881574</v>
      </c>
      <c r="R116" s="67">
        <f t="shared" si="117"/>
        <v>0.57499803302986985</v>
      </c>
      <c r="S116" s="67" t="str">
        <f t="shared" si="105"/>
        <v>1+0,018001186154866i</v>
      </c>
      <c r="T116" s="67">
        <f t="shared" si="118"/>
        <v>1.0001620082281579</v>
      </c>
      <c r="U116" s="67">
        <f t="shared" si="119"/>
        <v>1.7999242148477153E-2</v>
      </c>
      <c r="V116" t="str">
        <f t="shared" si="106"/>
        <v>1-0,00375024711559708i</v>
      </c>
      <c r="W116" s="67">
        <f t="shared" si="120"/>
        <v>1.0000070321519885</v>
      </c>
      <c r="X116" s="67">
        <f t="shared" si="121"/>
        <v>-3.7502295341451507E-3</v>
      </c>
      <c r="Y116" t="str">
        <f t="shared" si="107"/>
        <v>0,999999416313063+0,0104006853339226i</v>
      </c>
      <c r="Z116" s="67">
        <f t="shared" si="122"/>
        <v>1.0000535020097083</v>
      </c>
      <c r="AA116" s="67">
        <f t="shared" si="123"/>
        <v>1.0400316399555607E-2</v>
      </c>
      <c r="AB116" s="92" t="str">
        <f t="shared" si="124"/>
        <v>15,8867625219739-10,2086950483124i</v>
      </c>
      <c r="AC116" s="37">
        <f t="shared" si="125"/>
        <v>25.521894717604241</v>
      </c>
      <c r="AD116" s="60">
        <f t="shared" si="126"/>
        <v>-32.724446471200743</v>
      </c>
      <c r="AE116" t="str">
        <f t="shared" si="127"/>
        <v>34,4450883806789</v>
      </c>
      <c r="AF116" t="str">
        <f t="shared" si="108"/>
        <v>1+0,324021350787588i</v>
      </c>
      <c r="AG116">
        <f t="shared" si="128"/>
        <v>1.0511849674373264</v>
      </c>
      <c r="AH116">
        <f t="shared" si="129"/>
        <v>0.31334648986257502</v>
      </c>
      <c r="AI116" t="str">
        <f t="shared" si="109"/>
        <v>1+0,018001186154866i</v>
      </c>
      <c r="AJ116">
        <f t="shared" si="130"/>
        <v>1.0001620082281579</v>
      </c>
      <c r="AK116">
        <f t="shared" si="131"/>
        <v>1.7999242148477153E-2</v>
      </c>
      <c r="AL116" t="str">
        <f t="shared" si="110"/>
        <v>1-0,00122482557900763i</v>
      </c>
      <c r="AM116">
        <f t="shared" si="132"/>
        <v>1.0000007500985681</v>
      </c>
      <c r="AN116">
        <f t="shared" si="133"/>
        <v>-1.2248249665146762E-3</v>
      </c>
      <c r="AO116" s="58" t="str">
        <f t="shared" si="134"/>
        <v>31,3424492586086-9,57775952302422i</v>
      </c>
      <c r="AP116">
        <f t="shared" si="135"/>
        <v>30.310376823427269</v>
      </c>
      <c r="AQ116" s="60">
        <f t="shared" si="136"/>
        <v>-16.992328086046211</v>
      </c>
      <c r="AR116" t="str">
        <f t="shared" si="111"/>
        <v>-1,36472945891784</v>
      </c>
      <c r="AS116" t="str">
        <f t="shared" si="112"/>
        <v>1+0,0134846885486101i</v>
      </c>
      <c r="AT116">
        <f t="shared" si="137"/>
        <v>1.0000909142799235</v>
      </c>
      <c r="AU116">
        <f t="shared" si="138"/>
        <v>1.3483871300120034E-2</v>
      </c>
      <c r="AV116" t="str">
        <f t="shared" si="113"/>
        <v>1+0,0134846885486101i</v>
      </c>
      <c r="AW116">
        <f t="shared" si="139"/>
        <v>1.0000909142799235</v>
      </c>
      <c r="AX116">
        <f t="shared" si="140"/>
        <v>1.3483871300120034E-2</v>
      </c>
      <c r="AY116" t="str">
        <f t="shared" si="114"/>
        <v>1-1,11237274379215i</v>
      </c>
      <c r="AZ116">
        <f t="shared" si="141"/>
        <v>1.4957851186355868</v>
      </c>
      <c r="BA116">
        <f t="shared" si="142"/>
        <v>-0.83854546903124183</v>
      </c>
      <c r="BB116" s="58" t="str">
        <f t="shared" si="143"/>
        <v>-1,34401412577235+1,53621146464138i</v>
      </c>
      <c r="BC116">
        <f t="shared" si="144"/>
        <v>6.1975258537136426</v>
      </c>
      <c r="BD116" s="60">
        <f t="shared" si="145"/>
        <v>131.18231477769748</v>
      </c>
      <c r="BE116" s="58" t="str">
        <f t="shared" si="146"/>
        <v>-5,66931887007849+38,1260570729254i</v>
      </c>
      <c r="BF116" s="37">
        <f t="shared" si="147"/>
        <v>31.719420571317883</v>
      </c>
      <c r="BG116" s="60">
        <f t="shared" si="148"/>
        <v>98.457868306496749</v>
      </c>
      <c r="BH116" s="58" t="str">
        <f t="shared" si="149"/>
        <v>-27,4112305550251+61,0212739732104i</v>
      </c>
      <c r="BI116" s="37">
        <f t="shared" si="150"/>
        <v>36.507902677140905</v>
      </c>
      <c r="BJ116" s="60">
        <f t="shared" si="151"/>
        <v>114.18998669165128</v>
      </c>
      <c r="BK116">
        <f t="shared" si="152"/>
        <v>31.719420571317883</v>
      </c>
      <c r="BL116" s="60">
        <f t="shared" si="153"/>
        <v>98.457868306496749</v>
      </c>
      <c r="BN116">
        <f t="shared" si="154"/>
        <v>0</v>
      </c>
      <c r="BO116">
        <f t="shared" si="155"/>
        <v>0</v>
      </c>
    </row>
    <row r="117" spans="13:67" x14ac:dyDescent="0.25">
      <c r="M117" s="66">
        <v>99</v>
      </c>
      <c r="N117" s="36">
        <f t="shared" si="115"/>
        <v>97.723722095581124</v>
      </c>
      <c r="O117" s="91" t="str">
        <f t="shared" si="103"/>
        <v>22,5</v>
      </c>
      <c r="P117" s="67" t="str">
        <f t="shared" si="104"/>
        <v>1+0,663137555220565i</v>
      </c>
      <c r="Q117" s="67">
        <f t="shared" si="116"/>
        <v>1.1998964193395645</v>
      </c>
      <c r="R117" s="67">
        <f t="shared" si="117"/>
        <v>0.58555539135400303</v>
      </c>
      <c r="S117" s="67" t="str">
        <f t="shared" si="105"/>
        <v>1+0,0184204876450157i</v>
      </c>
      <c r="T117" s="67">
        <f t="shared" si="118"/>
        <v>1.0001696427932014</v>
      </c>
      <c r="U117" s="67">
        <f t="shared" si="119"/>
        <v>1.8418404623722108E-2</v>
      </c>
      <c r="V117" t="str">
        <f t="shared" si="106"/>
        <v>1-0,0038376015927116i</v>
      </c>
      <c r="W117" s="67">
        <f t="shared" si="120"/>
        <v>1.000007363565881</v>
      </c>
      <c r="X117" s="67">
        <f t="shared" si="121"/>
        <v>-3.8375827538539354E-3</v>
      </c>
      <c r="Y117" t="str">
        <f t="shared" si="107"/>
        <v>0,999999388804745+0,0106429484171202i</v>
      </c>
      <c r="Z117" s="67">
        <f t="shared" si="122"/>
        <v>1.0000560234111251</v>
      </c>
      <c r="AA117" s="67">
        <f t="shared" si="123"/>
        <v>1.0642553098019638E-2</v>
      </c>
      <c r="AB117" s="92" t="str">
        <f t="shared" si="124"/>
        <v>15,670285498968-10,302933277178i</v>
      </c>
      <c r="AC117" s="37">
        <f t="shared" si="125"/>
        <v>25.461825948414251</v>
      </c>
      <c r="AD117" s="60">
        <f t="shared" si="126"/>
        <v>-33.324206416500552</v>
      </c>
      <c r="AE117" t="str">
        <f t="shared" si="127"/>
        <v>34,4450883806789</v>
      </c>
      <c r="AF117" t="str">
        <f t="shared" si="108"/>
        <v>1+0,331568777610283i</v>
      </c>
      <c r="AG117">
        <f t="shared" si="128"/>
        <v>1.0535358818217713</v>
      </c>
      <c r="AH117">
        <f t="shared" si="129"/>
        <v>0.32016161445048258</v>
      </c>
      <c r="AI117" t="str">
        <f t="shared" si="109"/>
        <v>1+0,0184204876450157i</v>
      </c>
      <c r="AJ117">
        <f t="shared" si="130"/>
        <v>1.0001696427932014</v>
      </c>
      <c r="AK117">
        <f t="shared" si="131"/>
        <v>1.8418404623722108E-2</v>
      </c>
      <c r="AL117" t="str">
        <f t="shared" si="110"/>
        <v>1-0,00125335543176473i</v>
      </c>
      <c r="AM117">
        <f t="shared" si="132"/>
        <v>1.0000007854496107</v>
      </c>
      <c r="AN117">
        <f t="shared" si="133"/>
        <v>-1.2533547754667335E-3</v>
      </c>
      <c r="AO117" s="58" t="str">
        <f t="shared" si="134"/>
        <v>31,2107095613053-9,75717343126334i</v>
      </c>
      <c r="AP117">
        <f t="shared" si="135"/>
        <v>30.29103963230941</v>
      </c>
      <c r="AQ117" s="60">
        <f t="shared" si="136"/>
        <v>-17.36042435867061</v>
      </c>
      <c r="AR117" t="str">
        <f t="shared" si="111"/>
        <v>-1,36472945891784</v>
      </c>
      <c r="AS117" t="str">
        <f t="shared" si="112"/>
        <v>1+0,0137987872948813i</v>
      </c>
      <c r="AT117">
        <f t="shared" si="137"/>
        <v>1.0000951987340052</v>
      </c>
      <c r="AU117">
        <f t="shared" si="138"/>
        <v>1.3797911601848995E-2</v>
      </c>
      <c r="AV117" t="str">
        <f t="shared" si="113"/>
        <v>1+0,0137987872948813i</v>
      </c>
      <c r="AW117">
        <f t="shared" si="139"/>
        <v>1.0000951987340052</v>
      </c>
      <c r="AX117">
        <f t="shared" si="140"/>
        <v>1.3797911601848995E-2</v>
      </c>
      <c r="AY117" t="str">
        <f t="shared" si="114"/>
        <v>1-1,08705204881043i</v>
      </c>
      <c r="AZ117">
        <f t="shared" si="141"/>
        <v>1.4770518463557578</v>
      </c>
      <c r="BA117">
        <f t="shared" si="142"/>
        <v>-0.8270845305510558</v>
      </c>
      <c r="BB117" s="58" t="str">
        <f t="shared" si="143"/>
        <v>-1,34400261015967+1,50207756052995i</v>
      </c>
      <c r="BC117">
        <f t="shared" si="144"/>
        <v>6.0880192765601793</v>
      </c>
      <c r="BD117" s="60">
        <f t="shared" si="145"/>
        <v>131.82098499798482</v>
      </c>
      <c r="BE117" s="58" t="str">
        <f t="shared" si="146"/>
        <v>-5,58509972927385+37,3851534319259i</v>
      </c>
      <c r="BF117" s="37">
        <f t="shared" si="147"/>
        <v>31.54984522497444</v>
      </c>
      <c r="BG117" s="60">
        <f t="shared" si="148"/>
        <v>98.496778581484278</v>
      </c>
      <c r="BH117" s="58" t="str">
        <f t="shared" si="149"/>
        <v>-27,29124385003+59,9945730396528i</v>
      </c>
      <c r="BI117" s="37">
        <f t="shared" si="150"/>
        <v>36.379058908869595</v>
      </c>
      <c r="BJ117" s="60">
        <f t="shared" si="151"/>
        <v>114.4605606393142</v>
      </c>
      <c r="BK117">
        <f t="shared" si="152"/>
        <v>31.54984522497444</v>
      </c>
      <c r="BL117" s="60">
        <f t="shared" si="153"/>
        <v>98.496778581484278</v>
      </c>
      <c r="BN117">
        <f t="shared" si="154"/>
        <v>0</v>
      </c>
      <c r="BO117">
        <f t="shared" si="155"/>
        <v>0</v>
      </c>
    </row>
    <row r="118" spans="13:67" x14ac:dyDescent="0.25">
      <c r="M118" s="66">
        <v>100</v>
      </c>
      <c r="N118" s="36">
        <f t="shared" si="115"/>
        <v>100</v>
      </c>
      <c r="O118" s="91" t="str">
        <f t="shared" si="103"/>
        <v>22,5</v>
      </c>
      <c r="P118" s="67" t="str">
        <f t="shared" si="104"/>
        <v>1+0,678584013175396i</v>
      </c>
      <c r="Q118" s="67">
        <f t="shared" si="116"/>
        <v>1.2085016602956018</v>
      </c>
      <c r="R118" s="67">
        <f t="shared" si="117"/>
        <v>0.59620775812876436</v>
      </c>
      <c r="S118" s="67" t="str">
        <f t="shared" si="105"/>
        <v>1+0,0188495559215388i</v>
      </c>
      <c r="T118" s="67">
        <f t="shared" si="118"/>
        <v>1.0001776371017497</v>
      </c>
      <c r="U118" s="67">
        <f t="shared" si="119"/>
        <v>1.8847323945418881E-2</v>
      </c>
      <c r="V118" t="str">
        <f t="shared" si="106"/>
        <v>1-0,00392699081698724i</v>
      </c>
      <c r="W118" s="67">
        <f t="shared" si="120"/>
        <v>1.0000077105987117</v>
      </c>
      <c r="X118" s="67">
        <f t="shared" si="121"/>
        <v>-3.9269706307959703E-3</v>
      </c>
      <c r="Y118" t="str">
        <f t="shared" si="107"/>
        <v>0,99999936+0,0108908545324446i</v>
      </c>
      <c r="Z118" s="67">
        <f t="shared" si="122"/>
        <v>1.0000586636357172</v>
      </c>
      <c r="AA118" s="67">
        <f t="shared" si="123"/>
        <v>1.0890430941738581E-2</v>
      </c>
      <c r="AB118" s="92" t="str">
        <f t="shared" si="124"/>
        <v>15,449894770449-10,3933671022296i</v>
      </c>
      <c r="AC118" s="37">
        <f t="shared" si="125"/>
        <v>25.39980557573513</v>
      </c>
      <c r="AD118" s="60">
        <f t="shared" si="126"/>
        <v>-33.929290710003208</v>
      </c>
      <c r="AE118" t="str">
        <f t="shared" si="127"/>
        <v>34,4450883806789</v>
      </c>
      <c r="AF118" t="str">
        <f t="shared" si="108"/>
        <v>1+0,339292006587698i</v>
      </c>
      <c r="AG118">
        <f t="shared" si="128"/>
        <v>1.0559919818513333</v>
      </c>
      <c r="AH118">
        <f t="shared" si="129"/>
        <v>0.32710373973420082</v>
      </c>
      <c r="AI118" t="str">
        <f t="shared" si="109"/>
        <v>1+0,0188495559215388i</v>
      </c>
      <c r="AJ118">
        <f t="shared" si="130"/>
        <v>1.0001776371017497</v>
      </c>
      <c r="AK118">
        <f t="shared" si="131"/>
        <v>1.8847323945418881E-2</v>
      </c>
      <c r="AL118" t="str">
        <f t="shared" si="110"/>
        <v>1-0,00128254983016186i</v>
      </c>
      <c r="AM118">
        <f t="shared" si="132"/>
        <v>1.0000008224666952</v>
      </c>
      <c r="AN118">
        <f t="shared" si="133"/>
        <v>-1.2825491269259181E-3</v>
      </c>
      <c r="AO118" s="58" t="str">
        <f t="shared" si="134"/>
        <v>31,0740142233028-9,93806756115767i</v>
      </c>
      <c r="AP118">
        <f t="shared" si="135"/>
        <v>30.270883599273333</v>
      </c>
      <c r="AQ118" s="60">
        <f t="shared" si="136"/>
        <v>-17.735276284518118</v>
      </c>
      <c r="AR118" t="str">
        <f t="shared" si="111"/>
        <v>-1,36472945891784</v>
      </c>
      <c r="AS118" t="str">
        <f t="shared" si="112"/>
        <v>1+0,0141202023408247i</v>
      </c>
      <c r="AT118">
        <f t="shared" si="137"/>
        <v>1.0000996850885144</v>
      </c>
      <c r="AU118">
        <f t="shared" si="138"/>
        <v>1.4119264023886361E-2</v>
      </c>
      <c r="AV118" t="str">
        <f t="shared" si="113"/>
        <v>1+0,0141202023408247i</v>
      </c>
      <c r="AW118">
        <f t="shared" si="139"/>
        <v>1.0000996850885144</v>
      </c>
      <c r="AX118">
        <f t="shared" si="140"/>
        <v>1.4119264023886361E-2</v>
      </c>
      <c r="AY118" t="str">
        <f t="shared" si="114"/>
        <v>1-1,06230772321383i</v>
      </c>
      <c r="AZ118">
        <f t="shared" si="141"/>
        <v>1.4589371812383669</v>
      </c>
      <c r="BA118">
        <f t="shared" si="142"/>
        <v>-0.81560159747933825</v>
      </c>
      <c r="BB118" s="58" t="str">
        <f t="shared" si="143"/>
        <v>-1,34399055204439+1,46874006284487i</v>
      </c>
      <c r="BC118">
        <f t="shared" si="144"/>
        <v>5.980797365074368</v>
      </c>
      <c r="BD118" s="60">
        <f t="shared" si="145"/>
        <v>132.46049646190653</v>
      </c>
      <c r="BE118" s="58" t="str">
        <f t="shared" si="146"/>
        <v>-5,49935795066498+36,6604666054215i</v>
      </c>
      <c r="BF118" s="37">
        <f t="shared" si="147"/>
        <v>31.380602940809514</v>
      </c>
      <c r="BG118" s="60">
        <f t="shared" si="148"/>
        <v>98.531205751903329</v>
      </c>
      <c r="BH118" s="58" t="str">
        <f t="shared" si="149"/>
        <v>-27,1667435558807+58,9963185109509i</v>
      </c>
      <c r="BI118" s="37">
        <f t="shared" si="150"/>
        <v>36.251680964347706</v>
      </c>
      <c r="BJ118" s="60">
        <f t="shared" si="151"/>
        <v>114.72522017738847</v>
      </c>
      <c r="BK118">
        <f t="shared" si="152"/>
        <v>31.380602940809514</v>
      </c>
      <c r="BL118" s="60">
        <f t="shared" si="153"/>
        <v>98.531205751903329</v>
      </c>
      <c r="BN118">
        <f t="shared" si="154"/>
        <v>0</v>
      </c>
      <c r="BO118">
        <f t="shared" si="155"/>
        <v>0</v>
      </c>
    </row>
    <row r="119" spans="13:67" x14ac:dyDescent="0.25">
      <c r="M119" s="66">
        <v>1</v>
      </c>
      <c r="N119" s="36">
        <f>10^(2+(M119/100))</f>
        <v>102.32929922807544</v>
      </c>
      <c r="O119" s="91" t="str">
        <f t="shared" si="103"/>
        <v>22,5</v>
      </c>
      <c r="P119" s="67" t="str">
        <f t="shared" si="104"/>
        <v>1+0,694390265356133i</v>
      </c>
      <c r="Q119" s="67">
        <f t="shared" si="116"/>
        <v>1.217447264000113</v>
      </c>
      <c r="R119" s="67">
        <f t="shared" si="117"/>
        <v>0.606951111271407</v>
      </c>
      <c r="S119" s="67" t="str">
        <f t="shared" si="105"/>
        <v>1+0,0192886184821148i</v>
      </c>
      <c r="T119" s="67">
        <f t="shared" si="118"/>
        <v>1.0001860081019673</v>
      </c>
      <c r="U119" s="67">
        <f t="shared" si="119"/>
        <v>1.9286226900634643E-2</v>
      </c>
      <c r="V119" t="str">
        <f t="shared" si="106"/>
        <v>1-0,00401846218377392i</v>
      </c>
      <c r="W119" s="67">
        <f t="shared" si="120"/>
        <v>1.0000080739865667</v>
      </c>
      <c r="X119" s="67">
        <f t="shared" si="121"/>
        <v>-4.0184405538897074E-3</v>
      </c>
      <c r="Y119" t="str">
        <f t="shared" si="107"/>
        <v>0,999999329837729+0,0111445351229997i</v>
      </c>
      <c r="Z119" s="67">
        <f t="shared" si="122"/>
        <v>1.0000614282827904</v>
      </c>
      <c r="AA119" s="67">
        <f t="shared" si="123"/>
        <v>1.1144081238886374E-2</v>
      </c>
      <c r="AB119" s="92" t="str">
        <f t="shared" si="124"/>
        <v>15,2257231492834-10,4797985284907i</v>
      </c>
      <c r="AC119" s="37">
        <f t="shared" si="125"/>
        <v>25.335799284039709</v>
      </c>
      <c r="AD119" s="60">
        <f t="shared" si="126"/>
        <v>-34.539466147990197</v>
      </c>
      <c r="AE119" t="str">
        <f t="shared" si="127"/>
        <v>34,4450883806789</v>
      </c>
      <c r="AF119" t="str">
        <f t="shared" si="108"/>
        <v>1+0,347195132678067i</v>
      </c>
      <c r="AG119">
        <f t="shared" si="128"/>
        <v>1.0585577264161556</v>
      </c>
      <c r="AH119">
        <f t="shared" si="129"/>
        <v>0.33417386912766861</v>
      </c>
      <c r="AI119" t="str">
        <f t="shared" si="109"/>
        <v>1+0,0192886184821148i</v>
      </c>
      <c r="AJ119">
        <f t="shared" si="130"/>
        <v>1.0001860081019673</v>
      </c>
      <c r="AK119">
        <f t="shared" si="131"/>
        <v>1.9286226900634643E-2</v>
      </c>
      <c r="AL119" t="str">
        <f t="shared" si="110"/>
        <v>1-0,00131242425345551i</v>
      </c>
      <c r="AM119">
        <f t="shared" si="132"/>
        <v>1.0000008612283398</v>
      </c>
      <c r="AN119">
        <f t="shared" si="133"/>
        <v>-1.3124234999246571E-3</v>
      </c>
      <c r="AO119" s="58" t="str">
        <f t="shared" si="134"/>
        <v>30,9322315131486-10,1203286252819i</v>
      </c>
      <c r="AP119">
        <f t="shared" si="135"/>
        <v>30.2498781161888</v>
      </c>
      <c r="AQ119" s="60">
        <f t="shared" si="136"/>
        <v>-18.116929247913966</v>
      </c>
      <c r="AR119" t="str">
        <f t="shared" si="111"/>
        <v>-1,36472945891784</v>
      </c>
      <c r="AS119" t="str">
        <f t="shared" si="112"/>
        <v>1+0,0144491041049522i</v>
      </c>
      <c r="AT119">
        <f t="shared" si="137"/>
        <v>1.0001043828568275</v>
      </c>
      <c r="AU119">
        <f t="shared" si="138"/>
        <v>1.4448098685905846E-2</v>
      </c>
      <c r="AV119" t="str">
        <f t="shared" si="113"/>
        <v>1+0,0144491041049522i</v>
      </c>
      <c r="AW119">
        <f t="shared" si="139"/>
        <v>1.0001043828568275</v>
      </c>
      <c r="AX119">
        <f t="shared" si="140"/>
        <v>1.4448098685905846E-2</v>
      </c>
      <c r="AY119" t="str">
        <f t="shared" si="114"/>
        <v>1-1,03812664723337i</v>
      </c>
      <c r="AZ119">
        <f t="shared" si="141"/>
        <v>1.4414253139500492</v>
      </c>
      <c r="BA119">
        <f t="shared" si="142"/>
        <v>-0.80410269329451955</v>
      </c>
      <c r="BB119" s="58" t="str">
        <f t="shared" si="143"/>
        <v>-1,34397792587955+1,43618129453278i</v>
      </c>
      <c r="BC119">
        <f t="shared" si="144"/>
        <v>5.875867610354395</v>
      </c>
      <c r="BD119" s="60">
        <f t="shared" si="145"/>
        <v>133.1004943024306</v>
      </c>
      <c r="BE119" s="58" t="str">
        <f t="shared" si="146"/>
        <v>-5,41214520109965+35,951516672692i</v>
      </c>
      <c r="BF119" s="37">
        <f t="shared" si="147"/>
        <v>31.211666894394096</v>
      </c>
      <c r="BG119" s="60">
        <f t="shared" si="148"/>
        <v>98.561028154440422</v>
      </c>
      <c r="BH119" s="58" t="str">
        <f t="shared" si="149"/>
        <v>-27,037609685713+58,0257905723672i</v>
      </c>
      <c r="BI119" s="37">
        <f t="shared" si="150"/>
        <v>36.125745726543194</v>
      </c>
      <c r="BJ119" s="60">
        <f t="shared" si="151"/>
        <v>114.98356505451663</v>
      </c>
      <c r="BK119">
        <f t="shared" si="152"/>
        <v>31.211666894394096</v>
      </c>
      <c r="BL119" s="60">
        <f t="shared" si="153"/>
        <v>98.561028154440422</v>
      </c>
      <c r="BN119">
        <f t="shared" si="154"/>
        <v>0</v>
      </c>
      <c r="BO119">
        <f t="shared" si="155"/>
        <v>0</v>
      </c>
    </row>
    <row r="120" spans="13:67" x14ac:dyDescent="0.25">
      <c r="M120" s="66">
        <v>2</v>
      </c>
      <c r="N120" s="36">
        <f t="shared" ref="N120:N183" si="156">10^(2+(M120/100))</f>
        <v>104.71285480508998</v>
      </c>
      <c r="O120" s="91" t="str">
        <f t="shared" si="103"/>
        <v>22,5</v>
      </c>
      <c r="P120" s="67" t="str">
        <f t="shared" si="104"/>
        <v>1+0,710564692446905i</v>
      </c>
      <c r="Q120" s="67">
        <f t="shared" si="116"/>
        <v>1.2267445464122368</v>
      </c>
      <c r="R120" s="67">
        <f t="shared" si="117"/>
        <v>0.61778122712592376</v>
      </c>
      <c r="S120" s="67" t="str">
        <f t="shared" si="105"/>
        <v>1+0,0197379081235251i</v>
      </c>
      <c r="T120" s="67">
        <f t="shared" si="118"/>
        <v>1.0001947735401804</v>
      </c>
      <c r="U120" s="67">
        <f t="shared" si="119"/>
        <v>1.9735345524750592E-2</v>
      </c>
      <c r="V120" t="str">
        <f t="shared" si="106"/>
        <v>1-0,00411206419240107i</v>
      </c>
      <c r="W120" s="67">
        <f t="shared" si="120"/>
        <v>1.0000084545002219</v>
      </c>
      <c r="X120" s="67">
        <f t="shared" si="121"/>
        <v>-4.112041015573149E-3</v>
      </c>
      <c r="Y120" t="str">
        <f t="shared" si="107"/>
        <v>0,999999298253955+0,0114041246935923i</v>
      </c>
      <c r="Z120" s="67">
        <f t="shared" si="122"/>
        <v>1.0000643232154767</v>
      </c>
      <c r="AA120" s="67">
        <f t="shared" si="123"/>
        <v>1.1403638349691925E-2</v>
      </c>
      <c r="AB120" s="92" t="str">
        <f t="shared" si="124"/>
        <v>14,9979161917159-10,5620343120347i</v>
      </c>
      <c r="AC120" s="37">
        <f t="shared" si="125"/>
        <v>25.269774007777933</v>
      </c>
      <c r="AD120" s="60">
        <f t="shared" si="126"/>
        <v>-35.154487914835599</v>
      </c>
      <c r="AE120" t="str">
        <f t="shared" si="127"/>
        <v>34,4450883806789</v>
      </c>
      <c r="AF120" t="str">
        <f t="shared" si="108"/>
        <v>1+0,355282346223453i</v>
      </c>
      <c r="AG120">
        <f t="shared" si="128"/>
        <v>1.0612377422321737</v>
      </c>
      <c r="AH120">
        <f t="shared" si="129"/>
        <v>0.34137292308871214</v>
      </c>
      <c r="AI120" t="str">
        <f t="shared" si="109"/>
        <v>1+0,0197379081235251i</v>
      </c>
      <c r="AJ120">
        <f t="shared" si="130"/>
        <v>1.0001947735401804</v>
      </c>
      <c r="AK120">
        <f t="shared" si="131"/>
        <v>1.9735345524750592E-2</v>
      </c>
      <c r="AL120" t="str">
        <f t="shared" si="110"/>
        <v>1-0,00134299454146032i</v>
      </c>
      <c r="AM120">
        <f t="shared" si="132"/>
        <v>1.0000009018167626</v>
      </c>
      <c r="AN120">
        <f t="shared" si="133"/>
        <v>-1.3429937340375035E-3</v>
      </c>
      <c r="AO120" s="58" t="str">
        <f t="shared" si="134"/>
        <v>30,7852309018294-10,3038346397435i</v>
      </c>
      <c r="AP120">
        <f t="shared" si="135"/>
        <v>30.227991778502648</v>
      </c>
      <c r="AQ120" s="60">
        <f t="shared" si="136"/>
        <v>-18.505423600099473</v>
      </c>
      <c r="AR120" t="str">
        <f t="shared" si="111"/>
        <v>-1,36472945891784</v>
      </c>
      <c r="AS120" t="str">
        <f t="shared" si="112"/>
        <v>1+0,0147856669753327i</v>
      </c>
      <c r="AT120">
        <f t="shared" si="137"/>
        <v>1.000109302000489</v>
      </c>
      <c r="AU120">
        <f t="shared" si="138"/>
        <v>1.4784589655773636E-2</v>
      </c>
      <c r="AV120" t="str">
        <f t="shared" si="113"/>
        <v>1+0,0147856669753327i</v>
      </c>
      <c r="AW120">
        <f t="shared" si="139"/>
        <v>1.000109302000489</v>
      </c>
      <c r="AX120">
        <f t="shared" si="140"/>
        <v>1.4784589655773636E-2</v>
      </c>
      <c r="AY120" t="str">
        <f t="shared" si="114"/>
        <v>1-1,01449599974251i</v>
      </c>
      <c r="AZ120">
        <f t="shared" si="141"/>
        <v>1.4245006611067457</v>
      </c>
      <c r="BA120">
        <f t="shared" si="142"/>
        <v>-0.79259388359263727</v>
      </c>
      <c r="BB120" s="58" t="str">
        <f t="shared" si="143"/>
        <v>-1,34396470491616+1,4043839913564i</v>
      </c>
      <c r="BC120">
        <f t="shared" si="144"/>
        <v>5.7732350951633133</v>
      </c>
      <c r="BD120" s="60">
        <f t="shared" si="145"/>
        <v>133.7406210131501</v>
      </c>
      <c r="BE120" s="58" t="str">
        <f t="shared" si="146"/>
        <v>-5,32351810497822+35,2578347308388i</v>
      </c>
      <c r="BF120" s="37">
        <f t="shared" si="147"/>
        <v>31.043009102941241</v>
      </c>
      <c r="BG120" s="60">
        <f t="shared" si="148"/>
        <v>98.586133098314519</v>
      </c>
      <c r="BH120" s="58" t="str">
        <f t="shared" si="149"/>
        <v>-26,9037233471137+57,0822755298473i</v>
      </c>
      <c r="BI120" s="37">
        <f t="shared" si="150"/>
        <v>36.001226873665956</v>
      </c>
      <c r="BJ120" s="60">
        <f t="shared" si="151"/>
        <v>115.23519741305067</v>
      </c>
      <c r="BK120">
        <f t="shared" si="152"/>
        <v>31.043009102941241</v>
      </c>
      <c r="BL120" s="60">
        <f t="shared" si="153"/>
        <v>98.586133098314519</v>
      </c>
      <c r="BN120">
        <f t="shared" si="154"/>
        <v>0</v>
      </c>
      <c r="BO120">
        <f t="shared" si="155"/>
        <v>0</v>
      </c>
    </row>
    <row r="121" spans="13:67" x14ac:dyDescent="0.25">
      <c r="M121" s="66">
        <v>3</v>
      </c>
      <c r="N121" s="36">
        <f t="shared" si="156"/>
        <v>107.15193052376065</v>
      </c>
      <c r="O121" s="91" t="str">
        <f t="shared" si="103"/>
        <v>22,5</v>
      </c>
      <c r="P121" s="67" t="str">
        <f t="shared" si="104"/>
        <v>1+0,727115870343047i</v>
      </c>
      <c r="Q121" s="67">
        <f t="shared" si="116"/>
        <v>1.2364050666770687</v>
      </c>
      <c r="R121" s="67">
        <f t="shared" si="117"/>
        <v>0.62869368584969043</v>
      </c>
      <c r="S121" s="67" t="str">
        <f t="shared" si="105"/>
        <v>1+0,0201976630650847i</v>
      </c>
      <c r="T121" s="67">
        <f t="shared" si="118"/>
        <v>1.0002039519984365</v>
      </c>
      <c r="U121" s="67">
        <f t="shared" si="119"/>
        <v>2.0194917221265579E-2</v>
      </c>
      <c r="V121" t="str">
        <f t="shared" si="106"/>
        <v>1-0,00420784647189263i</v>
      </c>
      <c r="W121" s="67">
        <f t="shared" si="120"/>
        <v>1.0000088529467781</v>
      </c>
      <c r="X121" s="67">
        <f t="shared" si="121"/>
        <v>-4.2078216374859534E-3</v>
      </c>
      <c r="Y121" t="str">
        <f t="shared" si="107"/>
        <v>0,999999265181682+0,0116697608820489i</v>
      </c>
      <c r="Z121" s="67">
        <f t="shared" si="122"/>
        <v>1.0000673545731549</v>
      </c>
      <c r="AA121" s="67">
        <f t="shared" si="123"/>
        <v>1.1669239757066196E-2</v>
      </c>
      <c r="AB121" s="92" t="str">
        <f t="shared" si="124"/>
        <v>14,7666320392998-10,6398869231317i</v>
      </c>
      <c r="AC121" s="37">
        <f t="shared" si="125"/>
        <v>25.201698044946529</v>
      </c>
      <c r="AD121" s="60">
        <f t="shared" si="126"/>
        <v>-35.774099890294167</v>
      </c>
      <c r="AE121" t="str">
        <f t="shared" si="127"/>
        <v>34,4450883806789</v>
      </c>
      <c r="AF121" t="str">
        <f t="shared" si="108"/>
        <v>1+0,363557935171524i</v>
      </c>
      <c r="AG121">
        <f t="shared" si="128"/>
        <v>1.0640368284162829</v>
      </c>
      <c r="AH121">
        <f t="shared" si="129"/>
        <v>0.34870173290307988</v>
      </c>
      <c r="AI121" t="str">
        <f t="shared" si="109"/>
        <v>1+0,0201976630650847i</v>
      </c>
      <c r="AJ121">
        <f t="shared" si="130"/>
        <v>1.0002039519984365</v>
      </c>
      <c r="AK121">
        <f t="shared" si="131"/>
        <v>2.0194917221265579E-2</v>
      </c>
      <c r="AL121" t="str">
        <f t="shared" si="110"/>
        <v>1-0,00137427690294765i</v>
      </c>
      <c r="AM121">
        <f t="shared" si="132"/>
        <v>1.0000009443180571</v>
      </c>
      <c r="AN121">
        <f t="shared" si="133"/>
        <v>-1.3742760377785587E-3</v>
      </c>
      <c r="AO121" s="58" t="str">
        <f t="shared" si="134"/>
        <v>30,6328835485571-10,4884546912847i</v>
      </c>
      <c r="AP121">
        <f t="shared" si="135"/>
        <v>30.205192394400591</v>
      </c>
      <c r="AQ121" s="60">
        <f t="shared" si="136"/>
        <v>-18.900794296700667</v>
      </c>
      <c r="AR121" t="str">
        <f t="shared" si="111"/>
        <v>-1,36472945891784</v>
      </c>
      <c r="AS121" t="str">
        <f t="shared" si="112"/>
        <v>1+0,0151300694020549i</v>
      </c>
      <c r="AT121">
        <f t="shared" si="137"/>
        <v>1.0001144529503165</v>
      </c>
      <c r="AU121">
        <f t="shared" si="138"/>
        <v>1.512891504048422E-2</v>
      </c>
      <c r="AV121" t="str">
        <f t="shared" si="113"/>
        <v>1+0,0151300694020549i</v>
      </c>
      <c r="AW121">
        <f t="shared" si="139"/>
        <v>1.0001144529503165</v>
      </c>
      <c r="AX121">
        <f t="shared" si="140"/>
        <v>1.512891504048422E-2</v>
      </c>
      <c r="AY121" t="str">
        <f t="shared" si="114"/>
        <v>1-0,991403251459162i</v>
      </c>
      <c r="AZ121">
        <f t="shared" si="141"/>
        <v>1.4081478640412015</v>
      </c>
      <c r="BA121">
        <f t="shared" si="142"/>
        <v>-0.78108126016227308</v>
      </c>
      <c r="BB121" s="58" t="str">
        <f t="shared" si="143"/>
        <v>-1,34395086114674+1,37333129273535i</v>
      </c>
      <c r="BC121">
        <f t="shared" si="144"/>
        <v>5.6729024719284817</v>
      </c>
      <c r="BD121" s="60">
        <f t="shared" si="145"/>
        <v>134.38051735551019</v>
      </c>
      <c r="BE121" s="58" t="str">
        <f t="shared" si="146"/>
        <v>-5,23353818275161+34,5789630607256i</v>
      </c>
      <c r="BF121" s="37">
        <f t="shared" si="147"/>
        <v>30.874600516875006</v>
      </c>
      <c r="BG121" s="60">
        <f t="shared" si="148"/>
        <v>98.606417465216026</v>
      </c>
      <c r="BH121" s="58" t="str">
        <f t="shared" si="149"/>
        <v>-26,764967184513+56,165065278402i</v>
      </c>
      <c r="BI121" s="37">
        <f t="shared" si="150"/>
        <v>35.878094866329072</v>
      </c>
      <c r="BJ121" s="60">
        <f t="shared" si="151"/>
        <v>115.47972305880957</v>
      </c>
      <c r="BK121">
        <f t="shared" si="152"/>
        <v>30.874600516875006</v>
      </c>
      <c r="BL121" s="60">
        <f t="shared" si="153"/>
        <v>98.606417465216026</v>
      </c>
      <c r="BN121">
        <f t="shared" si="154"/>
        <v>0</v>
      </c>
      <c r="BO121">
        <f t="shared" si="155"/>
        <v>0</v>
      </c>
    </row>
    <row r="122" spans="13:67" x14ac:dyDescent="0.25">
      <c r="M122" s="66">
        <v>4</v>
      </c>
      <c r="N122" s="36">
        <f t="shared" si="156"/>
        <v>109.64781961431861</v>
      </c>
      <c r="O122" s="91" t="str">
        <f t="shared" si="103"/>
        <v>22,5</v>
      </c>
      <c r="P122" s="67" t="str">
        <f t="shared" si="104"/>
        <v>1+0,744052574698161i</v>
      </c>
      <c r="Q122" s="67">
        <f t="shared" si="116"/>
        <v>1.2464406259084155</v>
      </c>
      <c r="R122" s="67">
        <f t="shared" si="117"/>
        <v>0.63968387779370806</v>
      </c>
      <c r="S122" s="67" t="str">
        <f t="shared" si="105"/>
        <v>1+0,0206681270749489i</v>
      </c>
      <c r="T122" s="67">
        <f t="shared" si="118"/>
        <v>1.0002135629338298</v>
      </c>
      <c r="U122" s="67">
        <f t="shared" si="119"/>
        <v>2.0665184884215732E-2</v>
      </c>
      <c r="V122" t="str">
        <f t="shared" si="106"/>
        <v>1-0,00430585980728102i</v>
      </c>
      <c r="W122" s="67">
        <f t="shared" si="120"/>
        <v>1.0000092701713719</v>
      </c>
      <c r="X122" s="67">
        <f t="shared" si="121"/>
        <v>-4.3058331967481545E-3</v>
      </c>
      <c r="Y122" t="str">
        <f t="shared" si="107"/>
        <v>0,999999230550762+0,0119415845321927i</v>
      </c>
      <c r="Z122" s="67">
        <f t="shared" si="122"/>
        <v>1.0000705287844731</v>
      </c>
      <c r="AA122" s="67">
        <f t="shared" si="123"/>
        <v>1.194102613884008E-2</v>
      </c>
      <c r="AB122" s="92" t="str">
        <f t="shared" si="124"/>
        <v>14,5320411764316-10,7131755115408i</v>
      </c>
      <c r="AC122" s="37">
        <f t="shared" si="125"/>
        <v>25.131541168880553</v>
      </c>
      <c r="AD122" s="60">
        <f t="shared" si="126"/>
        <v>-36.398035013690645</v>
      </c>
      <c r="AE122" t="str">
        <f t="shared" si="127"/>
        <v>34,4450883806789</v>
      </c>
      <c r="AF122" t="str">
        <f t="shared" si="108"/>
        <v>1+0,372026287349081i</v>
      </c>
      <c r="AG122">
        <f t="shared" si="128"/>
        <v>1.066959961047621</v>
      </c>
      <c r="AH122">
        <f t="shared" si="129"/>
        <v>0.35616103431161139</v>
      </c>
      <c r="AI122" t="str">
        <f t="shared" si="109"/>
        <v>1+0,0206681270749489i</v>
      </c>
      <c r="AJ122">
        <f t="shared" si="130"/>
        <v>1.0002135629338298</v>
      </c>
      <c r="AK122">
        <f t="shared" si="131"/>
        <v>2.0665184884215732E-2</v>
      </c>
      <c r="AL122" t="str">
        <f t="shared" si="110"/>
        <v>1-0,00140628792423963i</v>
      </c>
      <c r="AM122">
        <f t="shared" si="132"/>
        <v>1.000000988822374</v>
      </c>
      <c r="AN122">
        <f t="shared" si="133"/>
        <v>-1.4062869971942958E-3</v>
      </c>
      <c r="AO122" s="58" t="str">
        <f t="shared" si="134"/>
        <v>30,4750628203344-10,6740487258584i</v>
      </c>
      <c r="AP122">
        <f t="shared" si="135"/>
        <v>30.181446997063127</v>
      </c>
      <c r="AQ122" s="60">
        <f t="shared" si="136"/>
        <v>-19.303070526069657</v>
      </c>
      <c r="AR122" t="str">
        <f t="shared" si="111"/>
        <v>-1,36472945891784</v>
      </c>
      <c r="AS122" t="str">
        <f t="shared" si="112"/>
        <v>1+0,0154824939918443i</v>
      </c>
      <c r="AT122">
        <f t="shared" si="137"/>
        <v>1.0001198466284966</v>
      </c>
      <c r="AU122">
        <f t="shared" si="138"/>
        <v>1.5481257079141313E-2</v>
      </c>
      <c r="AV122" t="str">
        <f t="shared" si="113"/>
        <v>1+0,0154824939918443i</v>
      </c>
      <c r="AW122">
        <f t="shared" si="139"/>
        <v>1.0001198466284966</v>
      </c>
      <c r="AX122">
        <f t="shared" si="140"/>
        <v>1.5481257079141313E-2</v>
      </c>
      <c r="AY122" t="str">
        <f t="shared" si="114"/>
        <v>1-0,968836158302506i</v>
      </c>
      <c r="AZ122">
        <f t="shared" si="141"/>
        <v>1.3923517880314438</v>
      </c>
      <c r="BA122">
        <f t="shared" si="142"/>
        <v>-0.76957092489083745</v>
      </c>
      <c r="BB122" s="58" t="str">
        <f t="shared" si="143"/>
        <v>-1,34393636524625+1,34300673280057i</v>
      </c>
      <c r="BC122">
        <f t="shared" si="144"/>
        <v>5.5748699509428787</v>
      </c>
      <c r="BD122" s="60">
        <f t="shared" si="145"/>
        <v>135.0198232755838</v>
      </c>
      <c r="BE122" s="58" t="str">
        <f t="shared" si="146"/>
        <v>-5,14227175658884+33,914455298508i</v>
      </c>
      <c r="BF122" s="37">
        <f t="shared" si="147"/>
        <v>30.706411119823429</v>
      </c>
      <c r="BG122" s="60">
        <f t="shared" si="148"/>
        <v>98.621788261893172</v>
      </c>
      <c r="BH122" s="58" t="str">
        <f t="shared" si="149"/>
        <v>-26,6212258523422+55,2734567973209i</v>
      </c>
      <c r="BI122" s="37">
        <f t="shared" si="150"/>
        <v>35.756316948006003</v>
      </c>
      <c r="BJ122" s="60">
        <f t="shared" si="151"/>
        <v>115.71675274951421</v>
      </c>
      <c r="BK122">
        <f t="shared" si="152"/>
        <v>30.706411119823429</v>
      </c>
      <c r="BL122" s="60">
        <f t="shared" si="153"/>
        <v>98.621788261893172</v>
      </c>
      <c r="BN122">
        <f t="shared" si="154"/>
        <v>0</v>
      </c>
      <c r="BO122">
        <f t="shared" si="155"/>
        <v>0</v>
      </c>
    </row>
    <row r="123" spans="13:67" x14ac:dyDescent="0.25">
      <c r="M123" s="66">
        <v>5</v>
      </c>
      <c r="N123" s="36">
        <f t="shared" si="156"/>
        <v>112.20184543019634</v>
      </c>
      <c r="O123" s="91" t="str">
        <f t="shared" si="103"/>
        <v>22,5</v>
      </c>
      <c r="P123" s="67" t="str">
        <f t="shared" si="104"/>
        <v>1+0,761383785577081i</v>
      </c>
      <c r="Q123" s="67">
        <f t="shared" si="116"/>
        <v>1.2568632658088494</v>
      </c>
      <c r="R123" s="67">
        <f t="shared" si="117"/>
        <v>0.6507470108743606</v>
      </c>
      <c r="S123" s="67" t="str">
        <f t="shared" si="105"/>
        <v>1+0,0211495495993634i</v>
      </c>
      <c r="T123" s="67">
        <f t="shared" si="118"/>
        <v>1.0002236267196731</v>
      </c>
      <c r="U123" s="67">
        <f t="shared" si="119"/>
        <v>2.1146397023260103E-2</v>
      </c>
      <c r="V123" t="str">
        <f t="shared" si="106"/>
        <v>1-0,00440615616653403i</v>
      </c>
      <c r="W123" s="67">
        <f t="shared" si="120"/>
        <v>1.0000097070589684</v>
      </c>
      <c r="X123" s="67">
        <f t="shared" si="121"/>
        <v>-4.4061276528492904E-3</v>
      </c>
      <c r="Y123" t="str">
        <f t="shared" si="107"/>
        <v>0,999999194287736+0,012219739768521i</v>
      </c>
      <c r="Z123" s="67">
        <f t="shared" si="122"/>
        <v>1.0000738525809638</v>
      </c>
      <c r="AA123" s="67">
        <f t="shared" si="123"/>
        <v>1.2219141441650041E-2</v>
      </c>
      <c r="AB123" s="92" t="str">
        <f t="shared" si="124"/>
        <v>14,2943261018197-10,7817268655812i</v>
      </c>
      <c r="AC123" s="37">
        <f t="shared" si="125"/>
        <v>25.059274737503323</v>
      </c>
      <c r="AD123" s="60">
        <f t="shared" si="126"/>
        <v>-37.026015704898029</v>
      </c>
      <c r="AE123" t="str">
        <f t="shared" si="127"/>
        <v>34,4450883806789</v>
      </c>
      <c r="AF123" t="str">
        <f t="shared" si="108"/>
        <v>1+0,380691892788541i</v>
      </c>
      <c r="AG123">
        <f t="shared" si="128"/>
        <v>1.0700122977026583</v>
      </c>
      <c r="AH123">
        <f t="shared" si="129"/>
        <v>0.36375146099690564</v>
      </c>
      <c r="AI123" t="str">
        <f t="shared" si="109"/>
        <v>1+0,0211495495993634i</v>
      </c>
      <c r="AJ123">
        <f t="shared" si="130"/>
        <v>1.0002236267196731</v>
      </c>
      <c r="AK123">
        <f t="shared" si="131"/>
        <v>2.1146397023260103E-2</v>
      </c>
      <c r="AL123" t="str">
        <f t="shared" si="110"/>
        <v>1-0,00143904457800346i</v>
      </c>
      <c r="AM123">
        <f t="shared" si="132"/>
        <v>1.0000010354241127</v>
      </c>
      <c r="AN123">
        <f t="shared" si="133"/>
        <v>-1.4390435846565431E-3</v>
      </c>
      <c r="AO123" s="58" t="str">
        <f t="shared" si="134"/>
        <v>30,3116448452494-10,8604673621835i</v>
      </c>
      <c r="AP123">
        <f t="shared" si="135"/>
        <v>30.156721860223016</v>
      </c>
      <c r="AQ123" s="60">
        <f t="shared" si="136"/>
        <v>-19.712275329435727</v>
      </c>
      <c r="AR123" t="str">
        <f t="shared" si="111"/>
        <v>-1,36472945891784</v>
      </c>
      <c r="AS123" t="str">
        <f t="shared" si="112"/>
        <v>1+0,0158431276048831i</v>
      </c>
      <c r="AT123">
        <f t="shared" si="137"/>
        <v>1.0001254944717211</v>
      </c>
      <c r="AU123">
        <f t="shared" si="138"/>
        <v>1.5841802238024821E-2</v>
      </c>
      <c r="AV123" t="str">
        <f t="shared" si="113"/>
        <v>1+0,0158431276048831i</v>
      </c>
      <c r="AW123">
        <f t="shared" si="139"/>
        <v>1.0001254944717211</v>
      </c>
      <c r="AX123">
        <f t="shared" si="140"/>
        <v>1.5841802238024821E-2</v>
      </c>
      <c r="AY123" t="str">
        <f t="shared" si="114"/>
        <v>1-0,946782754901045i</v>
      </c>
      <c r="AZ123">
        <f t="shared" si="141"/>
        <v>1.3770975219562382</v>
      </c>
      <c r="BA123">
        <f t="shared" si="142"/>
        <v>-0.7580689736056927</v>
      </c>
      <c r="BB123" s="58" t="str">
        <f t="shared" si="143"/>
        <v>-1,34392118651017+1,31339423165764i</v>
      </c>
      <c r="BC123">
        <f t="shared" si="144"/>
        <v>5.479135298871979</v>
      </c>
      <c r="BD123" s="60">
        <f t="shared" si="145"/>
        <v>135.65817882445967</v>
      </c>
      <c r="BE123" s="58" t="str">
        <f t="shared" si="146"/>
        <v>-5,04978982255827+33,2638766093837i</v>
      </c>
      <c r="BF123" s="37">
        <f t="shared" si="147"/>
        <v>30.5384100363753</v>
      </c>
      <c r="BG123" s="60">
        <f t="shared" si="148"/>
        <v>98.632163119561653</v>
      </c>
      <c r="BH123" s="58" t="str">
        <f t="shared" si="149"/>
        <v>-26,4723865189046+54,4067516752462i</v>
      </c>
      <c r="BI123" s="37">
        <f t="shared" si="150"/>
        <v>35.635857159094989</v>
      </c>
      <c r="BJ123" s="60">
        <f t="shared" si="151"/>
        <v>115.945903495024</v>
      </c>
      <c r="BK123">
        <f t="shared" si="152"/>
        <v>30.5384100363753</v>
      </c>
      <c r="BL123" s="60">
        <f t="shared" si="153"/>
        <v>98.632163119561653</v>
      </c>
      <c r="BN123">
        <f t="shared" si="154"/>
        <v>0</v>
      </c>
      <c r="BO123">
        <f t="shared" si="155"/>
        <v>0</v>
      </c>
    </row>
    <row r="124" spans="13:67" x14ac:dyDescent="0.25">
      <c r="M124" s="66">
        <v>6</v>
      </c>
      <c r="N124" s="36">
        <f t="shared" si="156"/>
        <v>114.81536214968835</v>
      </c>
      <c r="O124" s="91" t="str">
        <f t="shared" si="103"/>
        <v>22,5</v>
      </c>
      <c r="P124" s="67" t="str">
        <f t="shared" si="104"/>
        <v>1+0,779118692217219i</v>
      </c>
      <c r="Q124" s="67">
        <f t="shared" si="116"/>
        <v>1.2676852671551679</v>
      </c>
      <c r="R124" s="67">
        <f t="shared" si="117"/>
        <v>0.66187811892582826</v>
      </c>
      <c r="S124" s="67" t="str">
        <f t="shared" si="105"/>
        <v>1+0,0216421858949228i</v>
      </c>
      <c r="T124" s="67">
        <f t="shared" si="118"/>
        <v>1.0002341646886046</v>
      </c>
      <c r="U124" s="67">
        <f t="shared" si="119"/>
        <v>2.1638807891477485E-2</v>
      </c>
      <c r="V124" t="str">
        <f t="shared" si="106"/>
        <v>1-0,00450878872810891i</v>
      </c>
      <c r="W124" s="67">
        <f t="shared" si="120"/>
        <v>1.0000101645362385</v>
      </c>
      <c r="X124" s="67">
        <f t="shared" si="121"/>
        <v>-4.5087581751620202E-3</v>
      </c>
      <c r="Y124" t="str">
        <f t="shared" si="107"/>
        <v>0,999999156315687+0,012504374072622i</v>
      </c>
      <c r="Z124" s="67">
        <f t="shared" si="122"/>
        <v>1.0000773330113197</v>
      </c>
      <c r="AA124" s="67">
        <f t="shared" si="123"/>
        <v>1.2503732956506348E-2</v>
      </c>
      <c r="AB124" s="92" t="str">
        <f t="shared" si="124"/>
        <v>14,0536809131484-10,8453763562721i</v>
      </c>
      <c r="AC124" s="37">
        <f t="shared" si="125"/>
        <v>24.98487179926213</v>
      </c>
      <c r="AD124" s="60">
        <f t="shared" si="126"/>
        <v>-37.657754341480128</v>
      </c>
      <c r="AE124" t="str">
        <f t="shared" si="127"/>
        <v>34,4450883806789</v>
      </c>
      <c r="AF124" t="str">
        <f t="shared" si="108"/>
        <v>1+0,38955934610861i</v>
      </c>
      <c r="AG124">
        <f t="shared" si="128"/>
        <v>1.0731991819511268</v>
      </c>
      <c r="AH124">
        <f t="shared" si="129"/>
        <v>0.37147353794839055</v>
      </c>
      <c r="AI124" t="str">
        <f t="shared" si="109"/>
        <v>1+0,0216421858949228i</v>
      </c>
      <c r="AJ124">
        <f t="shared" si="130"/>
        <v>1.0002341646886046</v>
      </c>
      <c r="AK124">
        <f t="shared" si="131"/>
        <v>2.1638807891477485E-2</v>
      </c>
      <c r="AL124" t="str">
        <f t="shared" si="110"/>
        <v>1-0,00147256423225056i</v>
      </c>
      <c r="AM124">
        <f t="shared" si="132"/>
        <v>1.0000010842221212</v>
      </c>
      <c r="AN124">
        <f t="shared" si="133"/>
        <v>-1.4725631678602241E-3</v>
      </c>
      <c r="AO124" s="58" t="str">
        <f t="shared" si="134"/>
        <v>30,1425090991455-11,0475517339603i</v>
      </c>
      <c r="AP124">
        <f t="shared" si="135"/>
        <v>30.130982517230962</v>
      </c>
      <c r="AQ124" s="60">
        <f t="shared" si="136"/>
        <v>-20.128425213944297</v>
      </c>
      <c r="AR124" t="str">
        <f t="shared" si="111"/>
        <v>-1,36472945891784</v>
      </c>
      <c r="AS124" t="str">
        <f t="shared" si="112"/>
        <v>1+0,0162121614538866i</v>
      </c>
      <c r="AT124">
        <f t="shared" si="137"/>
        <v>1.0001314084554125</v>
      </c>
      <c r="AU124">
        <f t="shared" si="138"/>
        <v>1.6210741307789083E-2</v>
      </c>
      <c r="AV124" t="str">
        <f t="shared" si="113"/>
        <v>1+0,0162121614538866i</v>
      </c>
      <c r="AW124">
        <f t="shared" si="139"/>
        <v>1.0001314084554125</v>
      </c>
      <c r="AX124">
        <f t="shared" si="140"/>
        <v>1.6210741307789083E-2</v>
      </c>
      <c r="AY124" t="str">
        <f t="shared" si="114"/>
        <v>1-0,925231348248384i</v>
      </c>
      <c r="AZ124">
        <f t="shared" si="141"/>
        <v>1.362370378341192</v>
      </c>
      <c r="BA124">
        <f t="shared" si="142"/>
        <v>-0.74658147995436797</v>
      </c>
      <c r="BB124" s="58" t="str">
        <f t="shared" si="143"/>
        <v>-1,34390529278978+1,28447808685428i</v>
      </c>
      <c r="BC124">
        <f t="shared" si="144"/>
        <v>5.3856938475777758</v>
      </c>
      <c r="BD124" s="60">
        <f t="shared" si="145"/>
        <v>136.29522507626919</v>
      </c>
      <c r="BE124" s="58" t="str">
        <f t="shared" si="146"/>
        <v>-4,95616788903981+32,6268038600726i</v>
      </c>
      <c r="BF124" s="37">
        <f t="shared" si="147"/>
        <v>30.370565646839907</v>
      </c>
      <c r="BG124" s="60">
        <f t="shared" si="148"/>
        <v>98.637470734789048</v>
      </c>
      <c r="BH124" s="58" t="str">
        <f t="shared" si="149"/>
        <v>-26,3183394006447+53,5642556682963i</v>
      </c>
      <c r="BI124" s="37">
        <f t="shared" si="150"/>
        <v>35.516676364808731</v>
      </c>
      <c r="BJ124" s="60">
        <f t="shared" si="151"/>
        <v>116.16679986232488</v>
      </c>
      <c r="BK124">
        <f t="shared" si="152"/>
        <v>30.370565646839907</v>
      </c>
      <c r="BL124" s="60">
        <f t="shared" si="153"/>
        <v>98.637470734789048</v>
      </c>
      <c r="BN124">
        <f t="shared" si="154"/>
        <v>0</v>
      </c>
      <c r="BO124">
        <f t="shared" si="155"/>
        <v>0</v>
      </c>
    </row>
    <row r="125" spans="13:67" x14ac:dyDescent="0.25">
      <c r="M125" s="66">
        <v>7</v>
      </c>
      <c r="N125" s="36">
        <f t="shared" si="156"/>
        <v>117.48975549395293</v>
      </c>
      <c r="O125" s="91" t="str">
        <f t="shared" si="103"/>
        <v>22,5</v>
      </c>
      <c r="P125" s="67" t="str">
        <f t="shared" si="104"/>
        <v>1+0,797266697900825i</v>
      </c>
      <c r="Q125" s="67">
        <f t="shared" si="116"/>
        <v>1.2789191481800894</v>
      </c>
      <c r="R125" s="67">
        <f t="shared" si="117"/>
        <v>0.67307207101319555</v>
      </c>
      <c r="S125" s="67" t="str">
        <f t="shared" si="105"/>
        <v>1+0,0221462971639118i</v>
      </c>
      <c r="T125" s="67">
        <f t="shared" si="118"/>
        <v>1.0002451991777177</v>
      </c>
      <c r="U125" s="67">
        <f t="shared" si="119"/>
        <v>2.2142677615927593E-2</v>
      </c>
      <c r="V125" t="str">
        <f t="shared" si="106"/>
        <v>1-0,00461381190914829i</v>
      </c>
      <c r="W125" s="67">
        <f t="shared" si="120"/>
        <v>1.0000106435735236</v>
      </c>
      <c r="X125" s="67">
        <f t="shared" si="121"/>
        <v>-4.6137791710946854E-3</v>
      </c>
      <c r="Y125" t="str">
        <f t="shared" si="107"/>
        <v>0,999999116554071+0,0127956383613713i</v>
      </c>
      <c r="Z125" s="67">
        <f t="shared" si="122"/>
        <v>1.0000809774563244</v>
      </c>
      <c r="AA125" s="67">
        <f t="shared" si="123"/>
        <v>1.279495139608056E-2</v>
      </c>
      <c r="AB125" s="92" t="str">
        <f t="shared" si="124"/>
        <v>13,8103108051839-10,9039688576005i</v>
      </c>
      <c r="AC125" s="37">
        <f t="shared" si="125"/>
        <v>24.908307194973403</v>
      </c>
      <c r="AD125" s="60">
        <f t="shared" si="126"/>
        <v>-38.292953790853936</v>
      </c>
      <c r="AE125" t="str">
        <f t="shared" si="127"/>
        <v>34,4450883806789</v>
      </c>
      <c r="AF125" t="str">
        <f t="shared" si="108"/>
        <v>1+0,398633348950413i</v>
      </c>
      <c r="AG125">
        <f t="shared" si="128"/>
        <v>1.076526147799217</v>
      </c>
      <c r="AH125">
        <f t="shared" si="129"/>
        <v>0.37932767472735318</v>
      </c>
      <c r="AI125" t="str">
        <f t="shared" si="109"/>
        <v>1+0,0221462971639118i</v>
      </c>
      <c r="AJ125">
        <f t="shared" si="130"/>
        <v>1.0002451991777177</v>
      </c>
      <c r="AK125">
        <f t="shared" si="131"/>
        <v>2.2142677615927593E-2</v>
      </c>
      <c r="AL125" t="str">
        <f t="shared" si="110"/>
        <v>1-0,00150686465954528i</v>
      </c>
      <c r="AM125">
        <f t="shared" si="132"/>
        <v>1.0000011353199068</v>
      </c>
      <c r="AN125">
        <f t="shared" si="133"/>
        <v>-1.5068635190305568E-3</v>
      </c>
      <c r="AO125" s="58" t="str">
        <f t="shared" si="134"/>
        <v>29,9675390249703-11,2351333645861i</v>
      </c>
      <c r="AP125">
        <f t="shared" si="135"/>
        <v>30.104193783832272</v>
      </c>
      <c r="AQ125" s="60">
        <f t="shared" si="136"/>
        <v>-20.551529759819793</v>
      </c>
      <c r="AR125" t="str">
        <f t="shared" si="111"/>
        <v>-1,36472945891784</v>
      </c>
      <c r="AS125" t="str">
        <f t="shared" si="112"/>
        <v>1+0,0165897912054864i</v>
      </c>
      <c r="AT125">
        <f t="shared" si="137"/>
        <v>1.0001376011190868</v>
      </c>
      <c r="AU125">
        <f t="shared" si="138"/>
        <v>1.6588269502833763E-2</v>
      </c>
      <c r="AV125" t="str">
        <f t="shared" si="113"/>
        <v>1+0,0165897912054864i</v>
      </c>
      <c r="AW125">
        <f t="shared" si="139"/>
        <v>1.0001376011190868</v>
      </c>
      <c r="AX125">
        <f t="shared" si="140"/>
        <v>1.6588269502833763E-2</v>
      </c>
      <c r="AY125" t="str">
        <f t="shared" si="114"/>
        <v>1-0,904170511503449i</v>
      </c>
      <c r="AZ125">
        <f t="shared" si="141"/>
        <v>1.3481558937572498</v>
      </c>
      <c r="BA125">
        <f t="shared" si="142"/>
        <v>-0.7351144794277279</v>
      </c>
      <c r="BB125" s="58" t="str">
        <f t="shared" si="143"/>
        <v>-1,34388865042434+1,25624296504753i</v>
      </c>
      <c r="BC125">
        <f t="shared" si="144"/>
        <v>5.2945385131779901</v>
      </c>
      <c r="BD125" s="60">
        <f t="shared" si="145"/>
        <v>136.93060503789667</v>
      </c>
      <c r="BE125" s="58" t="str">
        <f t="shared" si="146"/>
        <v>-4,86148578146129+32,0028257864419i</v>
      </c>
      <c r="BF125" s="37">
        <f t="shared" si="147"/>
        <v>30.202845708151386</v>
      </c>
      <c r="BG125" s="60">
        <f t="shared" si="148"/>
        <v>98.637651247042754</v>
      </c>
      <c r="BH125" s="58" t="str">
        <f t="shared" si="149"/>
        <v>-26,158978326174+52,7452782945773i</v>
      </c>
      <c r="BI125" s="37">
        <f t="shared" si="150"/>
        <v>35.398732297010255</v>
      </c>
      <c r="BJ125" s="60">
        <f t="shared" si="151"/>
        <v>116.37907527807691</v>
      </c>
      <c r="BK125">
        <f t="shared" si="152"/>
        <v>30.202845708151386</v>
      </c>
      <c r="BL125" s="60">
        <f t="shared" si="153"/>
        <v>98.637651247042754</v>
      </c>
      <c r="BN125">
        <f t="shared" si="154"/>
        <v>0</v>
      </c>
      <c r="BO125">
        <f t="shared" si="155"/>
        <v>0</v>
      </c>
    </row>
    <row r="126" spans="13:67" x14ac:dyDescent="0.25">
      <c r="M126" s="66">
        <v>8</v>
      </c>
      <c r="N126" s="36">
        <f t="shared" si="156"/>
        <v>120.22644346174135</v>
      </c>
      <c r="O126" s="91" t="str">
        <f t="shared" si="103"/>
        <v>22,5</v>
      </c>
      <c r="P126" s="67" t="str">
        <f t="shared" si="104"/>
        <v>1+0,815837424940733i</v>
      </c>
      <c r="Q126" s="67">
        <f t="shared" si="116"/>
        <v>1.2905776628835346</v>
      </c>
      <c r="R126" s="67">
        <f t="shared" si="117"/>
        <v>0.68432358167701246</v>
      </c>
      <c r="S126" s="67" t="str">
        <f t="shared" si="105"/>
        <v>1+0,0226621506927982i</v>
      </c>
      <c r="T126" s="67">
        <f t="shared" si="118"/>
        <v>1.0002567535758122</v>
      </c>
      <c r="U126" s="67">
        <f t="shared" si="119"/>
        <v>2.2658272331022956E-2</v>
      </c>
      <c r="V126" t="str">
        <f t="shared" si="106"/>
        <v>1-0,00472128139433294i</v>
      </c>
      <c r="W126" s="67">
        <f t="shared" si="120"/>
        <v>1.0000111451868947</v>
      </c>
      <c r="X126" s="67">
        <f t="shared" si="121"/>
        <v>-4.721246314897602E-3</v>
      </c>
      <c r="Y126" t="str">
        <f t="shared" si="107"/>
        <v>0,999999074918547+0,01309368706695i</v>
      </c>
      <c r="Z126" s="67">
        <f t="shared" si="122"/>
        <v>1.0000847936444974</v>
      </c>
      <c r="AA126" s="67">
        <f t="shared" si="123"/>
        <v>1.3092950973749552E-2</v>
      </c>
      <c r="AB126" s="92" t="str">
        <f t="shared" si="124"/>
        <v>13,5644314826068-10,9573596338727i</v>
      </c>
      <c r="AC126" s="37">
        <f t="shared" si="125"/>
        <v>24.829557654809363</v>
      </c>
      <c r="AD126" s="60">
        <f t="shared" si="126"/>
        <v>-38.931307995796054</v>
      </c>
      <c r="AE126" t="str">
        <f t="shared" si="127"/>
        <v>34,4450883806789</v>
      </c>
      <c r="AF126" t="str">
        <f t="shared" si="108"/>
        <v>1+0,407918712470367i</v>
      </c>
      <c r="AG126">
        <f t="shared" si="128"/>
        <v>1.0799989240658909</v>
      </c>
      <c r="AH126">
        <f t="shared" si="129"/>
        <v>0.3873141586562342</v>
      </c>
      <c r="AI126" t="str">
        <f t="shared" si="109"/>
        <v>1+0,0226621506927982i</v>
      </c>
      <c r="AJ126">
        <f t="shared" si="130"/>
        <v>1.0002567535758122</v>
      </c>
      <c r="AK126">
        <f t="shared" si="131"/>
        <v>2.2658272331022956E-2</v>
      </c>
      <c r="AL126" t="str">
        <f t="shared" si="110"/>
        <v>1-0,00154196404642821i</v>
      </c>
      <c r="AM126">
        <f t="shared" si="132"/>
        <v>1.0000011888258535</v>
      </c>
      <c r="AN126">
        <f t="shared" si="133"/>
        <v>-1.5419628243447446E-3</v>
      </c>
      <c r="AO126" s="58" t="str">
        <f t="shared" si="134"/>
        <v>29,786622683738-11,4230340783404i</v>
      </c>
      <c r="AP126">
        <f t="shared" si="135"/>
        <v>30.076319784852963</v>
      </c>
      <c r="AQ126" s="60">
        <f t="shared" si="136"/>
        <v>-20.981591223037967</v>
      </c>
      <c r="AR126" t="str">
        <f t="shared" si="111"/>
        <v>-1,36472945891784</v>
      </c>
      <c r="AS126" t="str">
        <f t="shared" si="112"/>
        <v>1+0,0169762170839751i</v>
      </c>
      <c r="AT126">
        <f t="shared" si="137"/>
        <v>1.000144085592912</v>
      </c>
      <c r="AU126">
        <f t="shared" si="138"/>
        <v>1.6974586562892531E-2</v>
      </c>
      <c r="AV126" t="str">
        <f t="shared" si="113"/>
        <v>1+0,0169762170839751i</v>
      </c>
      <c r="AW126">
        <f t="shared" si="139"/>
        <v>1.000144085592912</v>
      </c>
      <c r="AX126">
        <f t="shared" si="140"/>
        <v>1.6974586562892531E-2</v>
      </c>
      <c r="AY126" t="str">
        <f t="shared" si="114"/>
        <v>1-0,883589077931823i</v>
      </c>
      <c r="AZ126">
        <f t="shared" si="141"/>
        <v>1.3344398295316313</v>
      </c>
      <c r="BA126">
        <f t="shared" si="142"/>
        <v>-0.72367395362818709</v>
      </c>
      <c r="BB126" s="58" t="str">
        <f t="shared" si="143"/>
        <v>-1,34387122417016+1,22867389386603i</v>
      </c>
      <c r="BC126">
        <f t="shared" si="144"/>
        <v>5.2056598251673787</v>
      </c>
      <c r="BD126" s="60">
        <f t="shared" si="145"/>
        <v>137.56396454452567</v>
      </c>
      <c r="BE126" s="58" t="str">
        <f t="shared" si="146"/>
        <v>-4,76582741386223+31,3915431526587i</v>
      </c>
      <c r="BF126" s="37">
        <f t="shared" si="147"/>
        <v>30.035217479976751</v>
      </c>
      <c r="BG126" s="60">
        <f t="shared" si="148"/>
        <v>98.632656548729599</v>
      </c>
      <c r="BH126" s="58" t="str">
        <f t="shared" si="149"/>
        <v>-25,9942013290908+51,9491324685434i</v>
      </c>
      <c r="BI126" s="37">
        <f t="shared" si="150"/>
        <v>35.28197961002035</v>
      </c>
      <c r="BJ126" s="60">
        <f t="shared" si="151"/>
        <v>116.58237332148769</v>
      </c>
      <c r="BK126">
        <f t="shared" si="152"/>
        <v>30.035217479976751</v>
      </c>
      <c r="BL126" s="60">
        <f t="shared" si="153"/>
        <v>98.632656548729599</v>
      </c>
      <c r="BN126">
        <f t="shared" si="154"/>
        <v>0</v>
      </c>
      <c r="BO126">
        <f t="shared" si="155"/>
        <v>0</v>
      </c>
    </row>
    <row r="127" spans="13:67" x14ac:dyDescent="0.25">
      <c r="M127" s="66">
        <v>9</v>
      </c>
      <c r="N127" s="36">
        <f t="shared" si="156"/>
        <v>123.02687708123821</v>
      </c>
      <c r="O127" s="91" t="str">
        <f t="shared" si="103"/>
        <v>22,5</v>
      </c>
      <c r="P127" s="67" t="str">
        <f t="shared" si="104"/>
        <v>1+0,834840719782227i</v>
      </c>
      <c r="Q127" s="67">
        <f t="shared" si="116"/>
        <v>1.3026737993091391</v>
      </c>
      <c r="R127" s="67">
        <f t="shared" si="117"/>
        <v>0.69562722207075489</v>
      </c>
      <c r="S127" s="67" t="str">
        <f t="shared" si="105"/>
        <v>1+0,0231900199939508i</v>
      </c>
      <c r="T127" s="67">
        <f t="shared" si="118"/>
        <v>1.0002688523728607</v>
      </c>
      <c r="U127" s="67">
        <f t="shared" si="119"/>
        <v>2.3185864314760413E-2</v>
      </c>
      <c r="V127" t="str">
        <f t="shared" si="106"/>
        <v>1-0,00483125416540641i</v>
      </c>
      <c r="W127" s="67">
        <f t="shared" si="120"/>
        <v>1.0000116704403057</v>
      </c>
      <c r="X127" s="67">
        <f t="shared" si="121"/>
        <v>-4.8312165771379201E-3</v>
      </c>
      <c r="Y127" t="str">
        <f t="shared" si="107"/>
        <v>0,999999031320801+0,0133986782187271i</v>
      </c>
      <c r="Z127" s="67">
        <f t="shared" si="122"/>
        <v>1.000088789668472</v>
      </c>
      <c r="AA127" s="67">
        <f t="shared" si="123"/>
        <v>1.3397889484434211E-2</v>
      </c>
      <c r="AB127" s="92" t="str">
        <f t="shared" si="124"/>
        <v>13,3162684899169-11,0054151851335i</v>
      </c>
      <c r="AC127" s="37">
        <f t="shared" si="125"/>
        <v>24.748601889673701</v>
      </c>
      <c r="AD127" s="60">
        <f t="shared" si="126"/>
        <v>-39.57250261108959</v>
      </c>
      <c r="AE127" t="str">
        <f t="shared" si="127"/>
        <v>34,4450883806789</v>
      </c>
      <c r="AF127" t="str">
        <f t="shared" si="108"/>
        <v>1+0,417420359891114i</v>
      </c>
      <c r="AG127">
        <f t="shared" si="128"/>
        <v>1.0836234386776742</v>
      </c>
      <c r="AH127">
        <f t="shared" si="129"/>
        <v>0.39543314795933066</v>
      </c>
      <c r="AI127" t="str">
        <f t="shared" si="109"/>
        <v>1+0,0231900199939508i</v>
      </c>
      <c r="AJ127">
        <f t="shared" si="130"/>
        <v>1.0002688523728607</v>
      </c>
      <c r="AK127">
        <f t="shared" si="131"/>
        <v>2.3185864314760413E-2</v>
      </c>
      <c r="AL127" t="str">
        <f t="shared" si="110"/>
        <v>1-0,00157788100305886i</v>
      </c>
      <c r="AM127">
        <f t="shared" si="132"/>
        <v>1.000001244853455</v>
      </c>
      <c r="AN127">
        <f t="shared" si="133"/>
        <v>-1.5778796935729221E-3</v>
      </c>
      <c r="AO127" s="58" t="str">
        <f t="shared" si="134"/>
        <v>29,599653435626-11,6110659521145i</v>
      </c>
      <c r="AP127">
        <f t="shared" si="135"/>
        <v>30.047323984984963</v>
      </c>
      <c r="AQ127" s="60">
        <f t="shared" si="136"/>
        <v>-21.418604135064296</v>
      </c>
      <c r="AR127" t="str">
        <f t="shared" si="111"/>
        <v>-1,36472945891784</v>
      </c>
      <c r="AS127" t="str">
        <f t="shared" si="112"/>
        <v>1+0,0173716439774685i</v>
      </c>
      <c r="AT127">
        <f t="shared" si="137"/>
        <v>1.0001508756255129</v>
      </c>
      <c r="AU127">
        <f t="shared" si="138"/>
        <v>1.7369896856885215E-2</v>
      </c>
      <c r="AV127" t="str">
        <f t="shared" si="113"/>
        <v>1+0,0173716439774685i</v>
      </c>
      <c r="AW127">
        <f t="shared" si="139"/>
        <v>1.0001508756255129</v>
      </c>
      <c r="AX127">
        <f t="shared" si="140"/>
        <v>1.7369896856885215E-2</v>
      </c>
      <c r="AY127" t="str">
        <f t="shared" si="114"/>
        <v>1-0,863476134985003i</v>
      </c>
      <c r="AZ127">
        <f t="shared" si="141"/>
        <v>1.3212081727300353</v>
      </c>
      <c r="BA127">
        <f t="shared" si="142"/>
        <v>-0.71226581488217</v>
      </c>
      <c r="BB127" s="58" t="str">
        <f t="shared" si="143"/>
        <v>-1,34385297712629+1,20175625396325i</v>
      </c>
      <c r="BC127">
        <f t="shared" si="144"/>
        <v>5.1190459653393798</v>
      </c>
      <c r="BD127" s="60">
        <f t="shared" si="145"/>
        <v>138.19495313532809</v>
      </c>
      <c r="BE127" s="58" t="str">
        <f t="shared" si="146"/>
        <v>-4,66928052819153+30,7925688982639i</v>
      </c>
      <c r="BF127" s="37">
        <f t="shared" si="147"/>
        <v>29.867647855013072</v>
      </c>
      <c r="BG127" s="60">
        <f t="shared" si="148"/>
        <v>98.622450524238531</v>
      </c>
      <c r="BH127" s="58" t="str">
        <f t="shared" si="149"/>
        <v>-25,8239112682391+51,1751341787671i</v>
      </c>
      <c r="BI127" s="37">
        <f t="shared" si="150"/>
        <v>35.166369950324345</v>
      </c>
      <c r="BJ127" s="60">
        <f t="shared" si="151"/>
        <v>116.77634900026386</v>
      </c>
      <c r="BK127">
        <f t="shared" si="152"/>
        <v>29.867647855013072</v>
      </c>
      <c r="BL127" s="60">
        <f t="shared" si="153"/>
        <v>98.622450524238531</v>
      </c>
      <c r="BN127">
        <f t="shared" si="154"/>
        <v>0</v>
      </c>
      <c r="BO127">
        <f t="shared" si="155"/>
        <v>0</v>
      </c>
    </row>
    <row r="128" spans="13:67" x14ac:dyDescent="0.25">
      <c r="M128" s="66">
        <v>10</v>
      </c>
      <c r="N128" s="36">
        <f t="shared" si="156"/>
        <v>125.89254117941677</v>
      </c>
      <c r="O128" s="91" t="str">
        <f t="shared" si="103"/>
        <v>22,5</v>
      </c>
      <c r="P128" s="67" t="str">
        <f t="shared" si="104"/>
        <v>1+0,854286658223773i</v>
      </c>
      <c r="Q128" s="67">
        <f t="shared" si="116"/>
        <v>1.315220777823686</v>
      </c>
      <c r="R128" s="67">
        <f t="shared" si="117"/>
        <v>0.70697743194344975</v>
      </c>
      <c r="S128" s="67" t="str">
        <f t="shared" si="105"/>
        <v>1+0,0237301849506604i</v>
      </c>
      <c r="T128" s="67">
        <f t="shared" si="118"/>
        <v>1.0002815212117999</v>
      </c>
      <c r="U128" s="67">
        <f t="shared" si="119"/>
        <v>2.3725732127864316E-2</v>
      </c>
      <c r="V128" t="str">
        <f t="shared" si="106"/>
        <v>1-0,00494378853138758i</v>
      </c>
      <c r="W128" s="67">
        <f t="shared" si="120"/>
        <v>1.0000122204478519</v>
      </c>
      <c r="X128" s="67">
        <f t="shared" si="121"/>
        <v>-4.9437482548588254E-3</v>
      </c>
      <c r="Y128" t="str">
        <f t="shared" si="107"/>
        <v>0,999998985668357+0,0137107735270482i</v>
      </c>
      <c r="Z128" s="67">
        <f t="shared" si="122"/>
        <v>1.0000929740021438</v>
      </c>
      <c r="AA128" s="67">
        <f t="shared" si="123"/>
        <v>1.370992838726991E-2</v>
      </c>
      <c r="AB128" s="92" t="str">
        <f t="shared" si="124"/>
        <v>13,0660564618322-11,0480140418011i</v>
      </c>
      <c r="AC128" s="37">
        <f t="shared" si="125"/>
        <v>24.665420676239187</v>
      </c>
      <c r="AD128" s="60">
        <f t="shared" si="126"/>
        <v>-40.216215688568269</v>
      </c>
      <c r="AE128" t="str">
        <f t="shared" si="127"/>
        <v>34,4450883806789</v>
      </c>
      <c r="AF128" t="str">
        <f t="shared" si="108"/>
        <v>1+0,427143329111887i</v>
      </c>
      <c r="AG128">
        <f t="shared" si="128"/>
        <v>1.087405822866875</v>
      </c>
      <c r="AH128">
        <f t="shared" si="129"/>
        <v>0.4036846648849699</v>
      </c>
      <c r="AI128" t="str">
        <f t="shared" si="109"/>
        <v>1+0,0237301849506604i</v>
      </c>
      <c r="AJ128">
        <f t="shared" si="130"/>
        <v>1.0002815212117999</v>
      </c>
      <c r="AK128">
        <f t="shared" si="131"/>
        <v>2.3725732127864316E-2</v>
      </c>
      <c r="AL128" t="str">
        <f t="shared" si="110"/>
        <v>1-0,00161463457308306i</v>
      </c>
      <c r="AM128">
        <f t="shared" si="132"/>
        <v>1.0000013035215527</v>
      </c>
      <c r="AN128">
        <f t="shared" si="133"/>
        <v>-1.6146331699436964E-3</v>
      </c>
      <c r="AO128" s="58" t="str">
        <f t="shared" si="134"/>
        <v>29,4065306492884-11,7990313118248i</v>
      </c>
      <c r="AP128">
        <f t="shared" si="135"/>
        <v>30.017169223850683</v>
      </c>
      <c r="AQ128" s="60">
        <f t="shared" si="136"/>
        <v>-21.862554901376832</v>
      </c>
      <c r="AR128" t="str">
        <f t="shared" si="111"/>
        <v>-1,36472945891784</v>
      </c>
      <c r="AS128" t="str">
        <f t="shared" si="112"/>
        <v>1+0,0177762815465397i</v>
      </c>
      <c r="AT128">
        <f t="shared" si="137"/>
        <v>1.000157985613084</v>
      </c>
      <c r="AU128">
        <f t="shared" si="138"/>
        <v>1.7774409489076947E-2</v>
      </c>
      <c r="AV128" t="str">
        <f t="shared" si="113"/>
        <v>1+0,0177762815465397i</v>
      </c>
      <c r="AW128">
        <f t="shared" si="139"/>
        <v>1.000157985613084</v>
      </c>
      <c r="AX128">
        <f t="shared" si="140"/>
        <v>1.7774409489076947E-2</v>
      </c>
      <c r="AY128" t="str">
        <f t="shared" si="114"/>
        <v>1-0,843821018514409i</v>
      </c>
      <c r="AZ128">
        <f t="shared" si="141"/>
        <v>1.3084471373680691</v>
      </c>
      <c r="BA128">
        <f t="shared" si="142"/>
        <v>-0.7008958912919182</v>
      </c>
      <c r="BB128" s="58" t="str">
        <f t="shared" si="143"/>
        <v>-1,34383387065684+1,17547577125724i</v>
      </c>
      <c r="BC128">
        <f t="shared" si="144"/>
        <v>5.0346828161611423</v>
      </c>
      <c r="BD128" s="60">
        <f t="shared" si="145"/>
        <v>138.8232249038517</v>
      </c>
      <c r="BE128" s="58" t="str">
        <f t="shared" si="146"/>
        <v>-4,57193640267782+30,2055282696275i</v>
      </c>
      <c r="BF128" s="37">
        <f t="shared" si="147"/>
        <v>29.700103492400316</v>
      </c>
      <c r="BG128" s="60">
        <f t="shared" si="148"/>
        <v>98.607009215283455</v>
      </c>
      <c r="BH128" s="58" t="str">
        <f t="shared" si="149"/>
        <v>-25,6480164736666+50,4226022127427i</v>
      </c>
      <c r="BI128" s="37">
        <f t="shared" si="150"/>
        <v>35.051852040011816</v>
      </c>
      <c r="BJ128" s="60">
        <f t="shared" si="151"/>
        <v>116.96067000247483</v>
      </c>
      <c r="BK128">
        <f t="shared" si="152"/>
        <v>29.700103492400316</v>
      </c>
      <c r="BL128" s="60">
        <f t="shared" si="153"/>
        <v>98.607009215283455</v>
      </c>
      <c r="BN128">
        <f t="shared" si="154"/>
        <v>0</v>
      </c>
      <c r="BO128">
        <f t="shared" si="155"/>
        <v>0</v>
      </c>
    </row>
    <row r="129" spans="13:67" x14ac:dyDescent="0.25">
      <c r="M129" s="66">
        <v>11</v>
      </c>
      <c r="N129" s="36">
        <f t="shared" si="156"/>
        <v>128.82495516931343</v>
      </c>
      <c r="O129" s="91" t="str">
        <f t="shared" si="103"/>
        <v>22,5</v>
      </c>
      <c r="P129" s="67" t="str">
        <f t="shared" si="104"/>
        <v>1+0,874185550759331i</v>
      </c>
      <c r="Q129" s="67">
        <f t="shared" si="116"/>
        <v>1.3282320494388</v>
      </c>
      <c r="R129" s="67">
        <f t="shared" si="117"/>
        <v>0.71836853241070875</v>
      </c>
      <c r="S129" s="67" t="str">
        <f t="shared" si="105"/>
        <v>1+0,024282931965537i</v>
      </c>
      <c r="T129" s="67">
        <f t="shared" si="118"/>
        <v>1.0002947869427505</v>
      </c>
      <c r="U129" s="67">
        <f t="shared" si="119"/>
        <v>2.4278160755886721E-2</v>
      </c>
      <c r="V129" t="str">
        <f t="shared" si="106"/>
        <v>1-0,00505894415948687i</v>
      </c>
      <c r="W129" s="67">
        <f t="shared" si="120"/>
        <v>1.0000127963761307</v>
      </c>
      <c r="X129" s="67">
        <f t="shared" si="121"/>
        <v>-5.0589010024385877E-3</v>
      </c>
      <c r="Y129" t="str">
        <f t="shared" si="107"/>
        <v>0,999998937864379+0,0140301384689769i</v>
      </c>
      <c r="Z129" s="67">
        <f t="shared" si="122"/>
        <v>1.0000973555186239</v>
      </c>
      <c r="AA129" s="67">
        <f t="shared" si="123"/>
        <v>1.4029232890149788E-2</v>
      </c>
      <c r="AB129" s="92" t="str">
        <f t="shared" si="124"/>
        <v>12,8140382986673-11,0850474999798i</v>
      </c>
      <c r="AC129" s="37">
        <f t="shared" si="125"/>
        <v>24.579996934956402</v>
      </c>
      <c r="AD129" s="60">
        <f t="shared" si="126"/>
        <v>-40.862118407313979</v>
      </c>
      <c r="AE129" t="str">
        <f t="shared" si="127"/>
        <v>34,4450883806789</v>
      </c>
      <c r="AF129" t="str">
        <f t="shared" si="108"/>
        <v>1+0,437092775379666i</v>
      </c>
      <c r="AG129">
        <f t="shared" si="128"/>
        <v>1.09135241525783</v>
      </c>
      <c r="AH129">
        <f t="shared" si="129"/>
        <v>0.4120685888421064</v>
      </c>
      <c r="AI129" t="str">
        <f t="shared" si="109"/>
        <v>1+0,024282931965537i</v>
      </c>
      <c r="AJ129">
        <f t="shared" si="130"/>
        <v>1.0002947869427505</v>
      </c>
      <c r="AK129">
        <f t="shared" si="131"/>
        <v>2.4278160755886721E-2</v>
      </c>
      <c r="AL129" t="str">
        <f t="shared" si="110"/>
        <v>1-0,00165224424373013i</v>
      </c>
      <c r="AM129">
        <f t="shared" si="132"/>
        <v>1.0000013649545889</v>
      </c>
      <c r="AN129">
        <f t="shared" si="133"/>
        <v>-1.6522427402393249E-3</v>
      </c>
      <c r="AO129" s="58" t="str">
        <f t="shared" si="134"/>
        <v>29,2071604369945-11,9867227776719i</v>
      </c>
      <c r="AP129">
        <f t="shared" si="135"/>
        <v>29.985817755513228</v>
      </c>
      <c r="AQ129" s="60">
        <f t="shared" si="136"/>
        <v>-22.313421400658658</v>
      </c>
      <c r="AR129" t="str">
        <f t="shared" si="111"/>
        <v>-1,36472945891784</v>
      </c>
      <c r="AS129" t="str">
        <f t="shared" si="112"/>
        <v>1+0,0181903443353838i</v>
      </c>
      <c r="AT129">
        <f t="shared" si="137"/>
        <v>1.0001654306298733</v>
      </c>
      <c r="AU129">
        <f t="shared" si="138"/>
        <v>1.8188338407591122E-2</v>
      </c>
      <c r="AV129" t="str">
        <f t="shared" si="113"/>
        <v>1+0,0181903443353838i</v>
      </c>
      <c r="AW129">
        <f t="shared" si="139"/>
        <v>1.0001654306298733</v>
      </c>
      <c r="AX129">
        <f t="shared" si="140"/>
        <v>1.8188338407591122E-2</v>
      </c>
      <c r="AY129" t="str">
        <f t="shared" si="114"/>
        <v>1-0,824613307117123i</v>
      </c>
      <c r="AZ129">
        <f t="shared" si="141"/>
        <v>1.2961431658094866</v>
      </c>
      <c r="BA129">
        <f t="shared" si="142"/>
        <v>-0.68956991231663878</v>
      </c>
      <c r="BB129" s="58" t="str">
        <f t="shared" si="143"/>
        <v>-1,34381386430951+1,14981850935285i</v>
      </c>
      <c r="BC129">
        <f t="shared" si="144"/>
        <v>4.9525540181748067</v>
      </c>
      <c r="BD129" s="60">
        <f t="shared" si="145"/>
        <v>139.44843931793974</v>
      </c>
      <c r="BE129" s="58" t="str">
        <f t="shared" si="146"/>
        <v>-4,47388953100986+29,6300589323663i</v>
      </c>
      <c r="BF129" s="37">
        <f t="shared" si="147"/>
        <v>29.532550953131214</v>
      </c>
      <c r="BG129" s="60">
        <f t="shared" si="148"/>
        <v>98.586320910625744</v>
      </c>
      <c r="BH129" s="58" t="str">
        <f t="shared" si="149"/>
        <v>-25,4664314160969+49,6908579323647i</v>
      </c>
      <c r="BI129" s="37">
        <f t="shared" si="150"/>
        <v>34.938371773688047</v>
      </c>
      <c r="BJ129" s="60">
        <f t="shared" si="151"/>
        <v>117.13501791728109</v>
      </c>
      <c r="BK129">
        <f t="shared" si="152"/>
        <v>29.532550953131214</v>
      </c>
      <c r="BL129" s="60">
        <f t="shared" si="153"/>
        <v>98.586320910625744</v>
      </c>
      <c r="BN129">
        <f t="shared" si="154"/>
        <v>0</v>
      </c>
      <c r="BO129">
        <f t="shared" si="155"/>
        <v>0</v>
      </c>
    </row>
    <row r="130" spans="13:67" x14ac:dyDescent="0.25">
      <c r="M130" s="66">
        <v>12</v>
      </c>
      <c r="N130" s="36">
        <f t="shared" si="156"/>
        <v>131.82567385564084</v>
      </c>
      <c r="O130" s="91" t="str">
        <f t="shared" si="103"/>
        <v>22,5</v>
      </c>
      <c r="P130" s="67" t="str">
        <f t="shared" si="104"/>
        <v>1+0,894547948045116i</v>
      </c>
      <c r="Q130" s="67">
        <f t="shared" si="116"/>
        <v>1.3417212942156531</v>
      </c>
      <c r="R130" s="67">
        <f t="shared" si="117"/>
        <v>0.72979473944889328</v>
      </c>
      <c r="S130" s="67" t="str">
        <f t="shared" si="105"/>
        <v>1+0,0248485541123644i</v>
      </c>
      <c r="T130" s="67">
        <f t="shared" si="118"/>
        <v>1.0003086776797825</v>
      </c>
      <c r="U130" s="67">
        <f t="shared" si="119"/>
        <v>2.4843441754315909E-2</v>
      </c>
      <c r="V130" t="str">
        <f t="shared" si="106"/>
        <v>1-0,00517678210674257i</v>
      </c>
      <c r="W130" s="67">
        <f t="shared" si="120"/>
        <v>1.0000133994467177</v>
      </c>
      <c r="X130" s="67">
        <f t="shared" si="121"/>
        <v>-5.176735863165644E-3</v>
      </c>
      <c r="Y130" t="str">
        <f t="shared" si="107"/>
        <v>0,99999888780747+0,0143569423760327i</v>
      </c>
      <c r="Z130" s="67">
        <f t="shared" si="122"/>
        <v>1.0001019435090432</v>
      </c>
      <c r="AA130" s="67">
        <f t="shared" si="123"/>
        <v>1.4355972036178822E-2</v>
      </c>
      <c r="AB130" s="92" t="str">
        <f t="shared" si="124"/>
        <v>12,5604642722107-11,1164202893621i</v>
      </c>
      <c r="AC130" s="37">
        <f t="shared" si="125"/>
        <v>24.492315800386947</v>
      </c>
      <c r="AD130" s="60">
        <f t="shared" si="126"/>
        <v>-41.509875845264148</v>
      </c>
      <c r="AE130" t="str">
        <f t="shared" si="127"/>
        <v>34,4450883806789</v>
      </c>
      <c r="AF130" t="str">
        <f t="shared" si="108"/>
        <v>1+0,447273974022558i</v>
      </c>
      <c r="AG130">
        <f t="shared" si="128"/>
        <v>1.0954697658255712</v>
      </c>
      <c r="AH130">
        <f t="shared" si="129"/>
        <v>0.42058464958726299</v>
      </c>
      <c r="AI130" t="str">
        <f t="shared" si="109"/>
        <v>1+0,0248485541123644i</v>
      </c>
      <c r="AJ130">
        <f t="shared" si="130"/>
        <v>1.0003086776797825</v>
      </c>
      <c r="AK130">
        <f t="shared" si="131"/>
        <v>2.4843441754315909E-2</v>
      </c>
      <c r="AL130" t="str">
        <f t="shared" si="110"/>
        <v>1-0,00169072995614525i</v>
      </c>
      <c r="AM130">
        <f t="shared" si="132"/>
        <v>1.0000014292828709</v>
      </c>
      <c r="AN130">
        <f t="shared" si="133"/>
        <v>-1.6907283451259513E-3</v>
      </c>
      <c r="AO130" s="58" t="str">
        <f t="shared" si="134"/>
        <v>29,0014564127016-12,1739233623859i</v>
      </c>
      <c r="AP130">
        <f t="shared" si="135"/>
        <v>29.953231292583165</v>
      </c>
      <c r="AQ130" s="60">
        <f t="shared" si="136"/>
        <v>-22.77117258671635</v>
      </c>
      <c r="AR130" t="str">
        <f t="shared" si="111"/>
        <v>-1,36472945891784</v>
      </c>
      <c r="AS130" t="str">
        <f t="shared" si="112"/>
        <v>1+0,0186140518855721i</v>
      </c>
      <c r="AT130">
        <f t="shared" si="137"/>
        <v>1.0001732264600962</v>
      </c>
      <c r="AU130">
        <f t="shared" si="138"/>
        <v>1.8611902515322538E-2</v>
      </c>
      <c r="AV130" t="str">
        <f t="shared" si="113"/>
        <v>1+0,0186140518855721i</v>
      </c>
      <c r="AW130">
        <f t="shared" si="139"/>
        <v>1.0001732264600962</v>
      </c>
      <c r="AX130">
        <f t="shared" si="140"/>
        <v>1.8611902515322538E-2</v>
      </c>
      <c r="AY130" t="str">
        <f t="shared" si="114"/>
        <v>1-0,805842816610316i</v>
      </c>
      <c r="AZ130">
        <f t="shared" si="141"/>
        <v>1.2842829303087568</v>
      </c>
      <c r="BA130">
        <f t="shared" si="142"/>
        <v>-0.67829349496681035</v>
      </c>
      <c r="BB130" s="58" t="str">
        <f t="shared" si="143"/>
        <v>-1,34379291573054+1,12477086214229i</v>
      </c>
      <c r="BC130">
        <f t="shared" si="144"/>
        <v>4.8726410359262289</v>
      </c>
      <c r="BD130" s="60">
        <f t="shared" si="145"/>
        <v>140.07026200438682</v>
      </c>
      <c r="BE130" s="58" t="str">
        <f t="shared" si="146"/>
        <v>-4,37523727448144+29,0658110614899i</v>
      </c>
      <c r="BF130" s="37">
        <f t="shared" si="147"/>
        <v>29.36495683631318</v>
      </c>
      <c r="BG130" s="60">
        <f t="shared" si="148"/>
        <v>98.560386159122686</v>
      </c>
      <c r="BH130" s="58" t="str">
        <f t="shared" si="149"/>
        <v>-25,2790773972915+48,9792251037171i</v>
      </c>
      <c r="BI130" s="37">
        <f t="shared" si="150"/>
        <v>34.825872328509391</v>
      </c>
      <c r="BJ130" s="60">
        <f t="shared" si="151"/>
        <v>117.29908941767046</v>
      </c>
      <c r="BK130">
        <f t="shared" si="152"/>
        <v>29.36495683631318</v>
      </c>
      <c r="BL130" s="60">
        <f t="shared" si="153"/>
        <v>98.560386159122686</v>
      </c>
      <c r="BN130">
        <f t="shared" si="154"/>
        <v>0</v>
      </c>
      <c r="BO130">
        <f t="shared" si="155"/>
        <v>0</v>
      </c>
    </row>
    <row r="131" spans="13:67" x14ac:dyDescent="0.25">
      <c r="M131" s="66">
        <v>13</v>
      </c>
      <c r="N131" s="36">
        <f t="shared" si="156"/>
        <v>134.89628825916537</v>
      </c>
      <c r="O131" s="91" t="str">
        <f t="shared" si="103"/>
        <v>22,5</v>
      </c>
      <c r="P131" s="67" t="str">
        <f t="shared" si="104"/>
        <v>1+0,915384646493694i</v>
      </c>
      <c r="Q131" s="67">
        <f t="shared" si="116"/>
        <v>1.3557024197943977</v>
      </c>
      <c r="R131" s="67">
        <f t="shared" si="117"/>
        <v>0.74125017803907245</v>
      </c>
      <c r="S131" s="67" t="str">
        <f t="shared" si="105"/>
        <v>1+0,0254273512914915i</v>
      </c>
      <c r="T131" s="67">
        <f t="shared" si="118"/>
        <v>1.0003232228603418</v>
      </c>
      <c r="U131" s="67">
        <f t="shared" si="119"/>
        <v>2.5421873396740603E-2</v>
      </c>
      <c r="V131" t="str">
        <f t="shared" si="106"/>
        <v>1-0,00529736485239406i</v>
      </c>
      <c r="W131" s="67">
        <f t="shared" si="120"/>
        <v>1.000014030938756</v>
      </c>
      <c r="X131" s="67">
        <f t="shared" si="121"/>
        <v>-5.2973153015461894E-3</v>
      </c>
      <c r="Y131" t="str">
        <f t="shared" si="107"/>
        <v>0,999998835391451+0,0146913585239729i</v>
      </c>
      <c r="Z131" s="67">
        <f t="shared" si="122"/>
        <v>1.0001067477022332</v>
      </c>
      <c r="AA131" s="67">
        <f t="shared" si="123"/>
        <v>1.4690318792080341E-2</v>
      </c>
      <c r="AB131" s="92" t="str">
        <f t="shared" si="124"/>
        <v>12,3055910686036-11,1420511662258i</v>
      </c>
      <c r="AC131" s="37">
        <f t="shared" si="125"/>
        <v>24.402364683269493</v>
      </c>
      <c r="AD131" s="60">
        <f t="shared" si="126"/>
        <v>-42.159147788027298</v>
      </c>
      <c r="AE131" t="str">
        <f t="shared" si="127"/>
        <v>34,4450883806789</v>
      </c>
      <c r="AF131" t="str">
        <f t="shared" si="108"/>
        <v>1+0,457692323246847i</v>
      </c>
      <c r="AG131">
        <f t="shared" si="128"/>
        <v>1.0997646397111958</v>
      </c>
      <c r="AH131">
        <f t="shared" si="129"/>
        <v>0.42923242050061233</v>
      </c>
      <c r="AI131" t="str">
        <f t="shared" si="109"/>
        <v>1+0,0254273512914915i</v>
      </c>
      <c r="AJ131">
        <f t="shared" si="130"/>
        <v>1.0003232228603418</v>
      </c>
      <c r="AK131">
        <f t="shared" si="131"/>
        <v>2.5421873396740603E-2</v>
      </c>
      <c r="AL131" t="str">
        <f t="shared" si="110"/>
        <v>1-0,00173011211596258i</v>
      </c>
      <c r="AM131">
        <f t="shared" si="132"/>
        <v>1.000001496642847</v>
      </c>
      <c r="AN131">
        <f t="shared" si="133"/>
        <v>-1.73011038972444E-3</v>
      </c>
      <c r="AO131" s="58" t="str">
        <f t="shared" si="134"/>
        <v>28,789340469646-12,3604066265176i</v>
      </c>
      <c r="AP131">
        <f t="shared" si="135"/>
        <v>29.919371055052785</v>
      </c>
      <c r="AQ131" s="60">
        <f t="shared" si="136"/>
        <v>-23.235768095343573</v>
      </c>
      <c r="AR131" t="str">
        <f t="shared" si="111"/>
        <v>-1,36472945891784</v>
      </c>
      <c r="AS131" t="str">
        <f t="shared" si="112"/>
        <v>1+0,0190476288524563i</v>
      </c>
      <c r="AT131">
        <f t="shared" si="137"/>
        <v>1.0001813896313512</v>
      </c>
      <c r="AU131">
        <f t="shared" si="138"/>
        <v>1.9045325783297692E-2</v>
      </c>
      <c r="AV131" t="str">
        <f t="shared" si="113"/>
        <v>1+0,0190476288524563i</v>
      </c>
      <c r="AW131">
        <f t="shared" si="139"/>
        <v>1.0001813896313512</v>
      </c>
      <c r="AX131">
        <f t="shared" si="140"/>
        <v>1.9045325783297692E-2</v>
      </c>
      <c r="AY131" t="str">
        <f t="shared" si="114"/>
        <v>1-0,78749959463147i</v>
      </c>
      <c r="AZ131">
        <f t="shared" si="141"/>
        <v>1.2728533346559334</v>
      </c>
      <c r="BA131">
        <f t="shared" si="142"/>
        <v>-0.66707213068851057</v>
      </c>
      <c r="BB131" s="58" t="str">
        <f t="shared" si="143"/>
        <v>-1,34377098057548+1,10031954658012i</v>
      </c>
      <c r="BC131">
        <f t="shared" si="144"/>
        <v>4.794923231853895</v>
      </c>
      <c r="BD131" s="60">
        <f t="shared" si="145"/>
        <v>140.68836549391463</v>
      </c>
      <c r="BE131" s="58" t="str">
        <f t="shared" si="146"/>
        <v>-4,27607948962426+28,5124474062677i</v>
      </c>
      <c r="BF131" s="37">
        <f t="shared" si="147"/>
        <v>29.19728791512339</v>
      </c>
      <c r="BG131" s="60">
        <f t="shared" si="148"/>
        <v>98.529217705887334</v>
      </c>
      <c r="BH131" s="58" t="str">
        <f t="shared" si="149"/>
        <v>-25,0858832581818+48,2870297847288i</v>
      </c>
      <c r="BI131" s="37">
        <f t="shared" si="150"/>
        <v>34.714294286906679</v>
      </c>
      <c r="BJ131" s="60">
        <f t="shared" si="151"/>
        <v>117.45259739857107</v>
      </c>
      <c r="BK131">
        <f t="shared" si="152"/>
        <v>29.19728791512339</v>
      </c>
      <c r="BL131" s="60">
        <f t="shared" si="153"/>
        <v>98.529217705887334</v>
      </c>
      <c r="BN131">
        <f t="shared" si="154"/>
        <v>0</v>
      </c>
      <c r="BO131">
        <f t="shared" si="155"/>
        <v>0</v>
      </c>
    </row>
    <row r="132" spans="13:67" x14ac:dyDescent="0.25">
      <c r="M132" s="66">
        <v>14</v>
      </c>
      <c r="N132" s="36">
        <f t="shared" si="156"/>
        <v>138.0384264602886</v>
      </c>
      <c r="O132" s="91" t="str">
        <f t="shared" si="103"/>
        <v>22,5</v>
      </c>
      <c r="P132" s="67" t="str">
        <f t="shared" si="104"/>
        <v>1+0,936706693998393i</v>
      </c>
      <c r="Q132" s="67">
        <f t="shared" si="116"/>
        <v>1.3701895600906464</v>
      </c>
      <c r="R132" s="67">
        <f t="shared" si="117"/>
        <v>0.75272889688008937</v>
      </c>
      <c r="S132" s="67" t="str">
        <f t="shared" si="105"/>
        <v>1+0,0260196303888443i</v>
      </c>
      <c r="T132" s="67">
        <f t="shared" si="118"/>
        <v>1.0003384533074653</v>
      </c>
      <c r="U132" s="67">
        <f t="shared" si="119"/>
        <v>2.6013760826119597E-2</v>
      </c>
      <c r="V132" t="str">
        <f t="shared" si="106"/>
        <v>1-0,00542075633100922i</v>
      </c>
      <c r="W132" s="67">
        <f t="shared" si="120"/>
        <v>1.0000146921916697</v>
      </c>
      <c r="X132" s="67">
        <f t="shared" si="121"/>
        <v>-5.4207032363612663E-3</v>
      </c>
      <c r="Y132" t="str">
        <f t="shared" si="107"/>
        <v>0,99999878050514+0,0150335642246656i</v>
      </c>
      <c r="Z132" s="67">
        <f t="shared" si="122"/>
        <v>1.0001117782853395</v>
      </c>
      <c r="AA132" s="67">
        <f t="shared" si="123"/>
        <v>1.5032450138595208E-2</v>
      </c>
      <c r="AB132" s="92" t="str">
        <f t="shared" si="124"/>
        <v>12,0496807756271-11,1618734247527i</v>
      </c>
      <c r="AC132" s="37">
        <f t="shared" si="125"/>
        <v>24.310133323786431</v>
      </c>
      <c r="AD132" s="60">
        <f t="shared" si="126"/>
        <v>-42.809589570286796</v>
      </c>
      <c r="AE132" t="str">
        <f t="shared" si="127"/>
        <v>34,4450883806789</v>
      </c>
      <c r="AF132" t="str">
        <f t="shared" si="108"/>
        <v>1+0,468353346999197i</v>
      </c>
      <c r="AG132">
        <f t="shared" si="128"/>
        <v>1.1042440208782434</v>
      </c>
      <c r="AH132">
        <f t="shared" si="129"/>
        <v>0.43801131199281784</v>
      </c>
      <c r="AI132" t="str">
        <f t="shared" si="109"/>
        <v>1+0,0260196303888443i</v>
      </c>
      <c r="AJ132">
        <f t="shared" si="130"/>
        <v>1.0003384533074653</v>
      </c>
      <c r="AK132">
        <f t="shared" si="131"/>
        <v>2.6013760826119597E-2</v>
      </c>
      <c r="AL132" t="str">
        <f t="shared" si="110"/>
        <v>1-0,00177041160412454i</v>
      </c>
      <c r="AM132">
        <f t="shared" si="132"/>
        <v>1.0000015671773959</v>
      </c>
      <c r="AN132">
        <f t="shared" si="133"/>
        <v>-1.7704097544272042E-3</v>
      </c>
      <c r="AO132" s="58" t="str">
        <f t="shared" si="134"/>
        <v>28,5707435734942-12,5459368946997i</v>
      </c>
      <c r="AP132">
        <f t="shared" si="135"/>
        <v>29.884197823966936</v>
      </c>
      <c r="AQ132" s="60">
        <f t="shared" si="136"/>
        <v>-23.707157858514442</v>
      </c>
      <c r="AR132" t="str">
        <f t="shared" si="111"/>
        <v>-1,36472945891784</v>
      </c>
      <c r="AS132" t="str">
        <f t="shared" si="112"/>
        <v>1+0,0194913051242833i</v>
      </c>
      <c r="AT132">
        <f t="shared" si="137"/>
        <v>1.0001899374496066</v>
      </c>
      <c r="AU132">
        <f t="shared" si="138"/>
        <v>1.9488837366528327E-2</v>
      </c>
      <c r="AV132" t="str">
        <f t="shared" si="113"/>
        <v>1+0,0194913051242833i</v>
      </c>
      <c r="AW132">
        <f t="shared" si="139"/>
        <v>1.0001899374496066</v>
      </c>
      <c r="AX132">
        <f t="shared" si="140"/>
        <v>1.9488837366528327E-2</v>
      </c>
      <c r="AY132" t="str">
        <f t="shared" si="114"/>
        <v>1-0,769573915361484i</v>
      </c>
      <c r="AZ132">
        <f t="shared" si="141"/>
        <v>1.2618415158825631</v>
      </c>
      <c r="BA132">
        <f t="shared" si="142"/>
        <v>-0.65591117300684354</v>
      </c>
      <c r="BB132" s="58" t="str">
        <f t="shared" si="143"/>
        <v>-1,34374801241592+1,07645159562871i</v>
      </c>
      <c r="BC132">
        <f t="shared" si="144"/>
        <v>4.7193779475151825</v>
      </c>
      <c r="BD132" s="60">
        <f t="shared" si="145"/>
        <v>141.30242992251377</v>
      </c>
      <c r="BE132" s="58" t="str">
        <f t="shared" si="146"/>
        <v>-4,1765181342145+27,9696433270899i</v>
      </c>
      <c r="BF132" s="37">
        <f t="shared" si="147"/>
        <v>29.029511271301608</v>
      </c>
      <c r="BG132" s="60">
        <f t="shared" si="148"/>
        <v>98.492840352226978</v>
      </c>
      <c r="BH132" s="58" t="str">
        <f t="shared" si="149"/>
        <v>-24,8867861011712+47,6136002741348i</v>
      </c>
      <c r="BI132" s="37">
        <f t="shared" si="150"/>
        <v>34.60357577148212</v>
      </c>
      <c r="BJ132" s="60">
        <f t="shared" si="151"/>
        <v>117.59527206399937</v>
      </c>
      <c r="BK132">
        <f t="shared" si="152"/>
        <v>29.029511271301608</v>
      </c>
      <c r="BL132" s="60">
        <f t="shared" si="153"/>
        <v>98.492840352226978</v>
      </c>
      <c r="BN132">
        <f t="shared" si="154"/>
        <v>0</v>
      </c>
      <c r="BO132">
        <f t="shared" si="155"/>
        <v>0</v>
      </c>
    </row>
    <row r="133" spans="13:67" x14ac:dyDescent="0.25">
      <c r="M133" s="66">
        <v>15</v>
      </c>
      <c r="N133" s="36">
        <f t="shared" si="156"/>
        <v>141.25375446227542</v>
      </c>
      <c r="O133" s="91" t="str">
        <f t="shared" si="103"/>
        <v>22,5</v>
      </c>
      <c r="P133" s="67" t="str">
        <f t="shared" si="104"/>
        <v>1+0,958525395791028i</v>
      </c>
      <c r="Q133" s="67">
        <f t="shared" si="116"/>
        <v>1.3851970742014823</v>
      </c>
      <c r="R133" s="67">
        <f t="shared" si="117"/>
        <v>0.76422488358348184</v>
      </c>
      <c r="S133" s="67" t="str">
        <f t="shared" si="105"/>
        <v>1+0,0266257054386397i</v>
      </c>
      <c r="T133" s="67">
        <f t="shared" si="118"/>
        <v>1.0003544012949137</v>
      </c>
      <c r="U133" s="67">
        <f t="shared" si="119"/>
        <v>2.6619416209201299E-2</v>
      </c>
      <c r="V133" t="str">
        <f t="shared" si="106"/>
        <v>1-0,00554702196638326i</v>
      </c>
      <c r="W133" s="67">
        <f t="shared" si="120"/>
        <v>1.0000153846080047</v>
      </c>
      <c r="X133" s="67">
        <f t="shared" si="121"/>
        <v>-5.5469650744902439E-3</v>
      </c>
      <c r="Y133" t="str">
        <f t="shared" si="107"/>
        <v>0,999998723032118+0,0153837409201029i</v>
      </c>
      <c r="Z133" s="67">
        <f t="shared" si="122"/>
        <v>1.0001170459254074</v>
      </c>
      <c r="AA133" s="67">
        <f t="shared" si="123"/>
        <v>1.5382547162915946E-2</v>
      </c>
      <c r="AB133" s="92" t="str">
        <f t="shared" si="124"/>
        <v>11,7929998226294-11,1758353207468i</v>
      </c>
      <c r="AC133" s="37">
        <f t="shared" si="125"/>
        <v>24.215613835573308</v>
      </c>
      <c r="AD133" s="60">
        <f t="shared" si="126"/>
        <v>-43.460852944791696</v>
      </c>
      <c r="AE133" t="str">
        <f t="shared" si="127"/>
        <v>34,4450883806789</v>
      </c>
      <c r="AF133" t="str">
        <f t="shared" si="108"/>
        <v>1+0,479262697895514i</v>
      </c>
      <c r="AG133">
        <f t="shared" si="128"/>
        <v>1.1089151155945558</v>
      </c>
      <c r="AH133">
        <f t="shared" si="129"/>
        <v>0.44692056508694017</v>
      </c>
      <c r="AI133" t="str">
        <f t="shared" si="109"/>
        <v>1+0,0266257054386397i</v>
      </c>
      <c r="AJ133">
        <f t="shared" si="130"/>
        <v>1.0003544012949137</v>
      </c>
      <c r="AK133">
        <f t="shared" si="131"/>
        <v>2.6619416209201299E-2</v>
      </c>
      <c r="AL133" t="str">
        <f t="shared" si="110"/>
        <v>1-0,00181164978795317i</v>
      </c>
      <c r="AM133">
        <f t="shared" si="132"/>
        <v>1.0000016410361305</v>
      </c>
      <c r="AN133">
        <f t="shared" si="133"/>
        <v>-1.8116478059669414E-3</v>
      </c>
      <c r="AO133" s="58" t="str">
        <f t="shared" si="134"/>
        <v>28,3456065665414-12,7302695365944i</v>
      </c>
      <c r="AP133">
        <f t="shared" si="135"/>
        <v>29.847672000013226</v>
      </c>
      <c r="AQ133" s="60">
        <f t="shared" si="136"/>
        <v>-24.185281728440078</v>
      </c>
      <c r="AR133" t="str">
        <f t="shared" si="111"/>
        <v>-1,36472945891784</v>
      </c>
      <c r="AS133" t="str">
        <f t="shared" si="112"/>
        <v>1+0,019945315944085i</v>
      </c>
      <c r="AT133">
        <f t="shared" si="137"/>
        <v>1.0001988880358292</v>
      </c>
      <c r="AU133">
        <f t="shared" si="138"/>
        <v>1.9942671722407223E-2</v>
      </c>
      <c r="AV133" t="str">
        <f t="shared" si="113"/>
        <v>1+0,019945315944085i</v>
      </c>
      <c r="AW133">
        <f t="shared" si="139"/>
        <v>1.0001988880358292</v>
      </c>
      <c r="AX133">
        <f t="shared" si="140"/>
        <v>1.9942671722407223E-2</v>
      </c>
      <c r="AY133" t="str">
        <f t="shared" si="114"/>
        <v>1-0,75205627436794i</v>
      </c>
      <c r="AZ133">
        <f t="shared" si="141"/>
        <v>1.2512348459886282</v>
      </c>
      <c r="BA133">
        <f t="shared" si="142"/>
        <v>-0.64481582598927956</v>
      </c>
      <c r="BB133" s="58" t="str">
        <f t="shared" si="143"/>
        <v>-1,34372396264187+1,05315435137046i</v>
      </c>
      <c r="BC133">
        <f t="shared" si="144"/>
        <v>4.6459805914769783</v>
      </c>
      <c r="BD133" s="60">
        <f t="shared" si="145"/>
        <v>141.91214368566327</v>
      </c>
      <c r="BE133" s="58" t="str">
        <f t="shared" si="146"/>
        <v>-4,07665685485427+27,4370868019401i</v>
      </c>
      <c r="BF133" s="37">
        <f t="shared" si="147"/>
        <v>28.861594427050292</v>
      </c>
      <c r="BG133" s="60">
        <f t="shared" si="148"/>
        <v>98.451290740871542</v>
      </c>
      <c r="BH133" s="58" t="str">
        <f t="shared" si="149"/>
        <v>-24,6817320224972+46,9582671249999i</v>
      </c>
      <c r="BI133" s="37">
        <f t="shared" si="150"/>
        <v>34.493652591490211</v>
      </c>
      <c r="BJ133" s="60">
        <f t="shared" si="151"/>
        <v>117.72686195722315</v>
      </c>
      <c r="BK133">
        <f t="shared" si="152"/>
        <v>28.861594427050292</v>
      </c>
      <c r="BL133" s="60">
        <f t="shared" si="153"/>
        <v>98.451290740871542</v>
      </c>
      <c r="BN133">
        <f t="shared" si="154"/>
        <v>0</v>
      </c>
      <c r="BO133">
        <f t="shared" si="155"/>
        <v>0</v>
      </c>
    </row>
    <row r="134" spans="13:67" x14ac:dyDescent="0.25">
      <c r="M134" s="66">
        <v>16</v>
      </c>
      <c r="N134" s="36">
        <f t="shared" si="156"/>
        <v>144.54397707459285</v>
      </c>
      <c r="O134" s="91" t="str">
        <f t="shared" si="103"/>
        <v>22,5</v>
      </c>
      <c r="P134" s="67" t="str">
        <f t="shared" si="104"/>
        <v>1+0,980852320436096i</v>
      </c>
      <c r="Q134" s="67">
        <f t="shared" si="116"/>
        <v>1.4007395455632978</v>
      </c>
      <c r="R134" s="67">
        <f t="shared" si="117"/>
        <v>0.77573208025743057</v>
      </c>
      <c r="S134" s="67" t="str">
        <f t="shared" si="105"/>
        <v>1+0,0272458977898916i</v>
      </c>
      <c r="T134" s="67">
        <f t="shared" si="118"/>
        <v>1.0003711006153553</v>
      </c>
      <c r="U134" s="67">
        <f t="shared" si="119"/>
        <v>2.7239158894144432E-2</v>
      </c>
      <c r="V134" t="str">
        <f t="shared" si="106"/>
        <v>1-0,00567622870622741i</v>
      </c>
      <c r="W134" s="67">
        <f t="shared" si="120"/>
        <v>1.0000161096564022</v>
      </c>
      <c r="X134" s="67">
        <f t="shared" si="121"/>
        <v>-5.6761677455187702E-3</v>
      </c>
      <c r="Y134" t="str">
        <f t="shared" si="107"/>
        <v>0,999998662850476+0,015742074278604i</v>
      </c>
      <c r="Z134" s="67">
        <f t="shared" si="122"/>
        <v>1.00012256179197</v>
      </c>
      <c r="AA134" s="67">
        <f t="shared" si="123"/>
        <v>1.5740795153198098E-2</v>
      </c>
      <c r="AB134" s="92" t="str">
        <f t="shared" si="124"/>
        <v>11,5358178820236-11,1839004027816i</v>
      </c>
      <c r="AC134" s="37">
        <f t="shared" si="125"/>
        <v>24.118800740085934</v>
      </c>
      <c r="AD134" s="60">
        <f t="shared" si="126"/>
        <v>-44.112586973618448</v>
      </c>
      <c r="AE134" t="str">
        <f t="shared" si="127"/>
        <v>34,4450883806789</v>
      </c>
      <c r="AF134" t="str">
        <f t="shared" si="108"/>
        <v>1+0,490426160218048i</v>
      </c>
      <c r="AG134">
        <f t="shared" si="128"/>
        <v>1.1137853557244406</v>
      </c>
      <c r="AH134">
        <f t="shared" si="129"/>
        <v>0.45595924522227776</v>
      </c>
      <c r="AI134" t="str">
        <f t="shared" si="109"/>
        <v>1+0,0272458977898916i</v>
      </c>
      <c r="AJ134">
        <f t="shared" si="130"/>
        <v>1.0003711006153553</v>
      </c>
      <c r="AK134">
        <f t="shared" si="131"/>
        <v>2.7239158894144432E-2</v>
      </c>
      <c r="AL134" t="str">
        <f t="shared" si="110"/>
        <v>1-0,00185384853247939i</v>
      </c>
      <c r="AM134">
        <f t="shared" si="132"/>
        <v>1.0000017183757142</v>
      </c>
      <c r="AN134">
        <f t="shared" si="133"/>
        <v>-1.8538464087430803E-3</v>
      </c>
      <c r="AO134" s="58" t="str">
        <f t="shared" si="134"/>
        <v>28,1138809778823-12,9131513159719i</v>
      </c>
      <c r="AP134">
        <f t="shared" si="135"/>
        <v>29.809753667084991</v>
      </c>
      <c r="AQ134" s="60">
        <f t="shared" si="136"/>
        <v>-24.670069114172765</v>
      </c>
      <c r="AR134" t="str">
        <f t="shared" si="111"/>
        <v>-1,36472945891784</v>
      </c>
      <c r="AS134" t="str">
        <f t="shared" si="112"/>
        <v>1+0,0204099020344078i</v>
      </c>
      <c r="AT134">
        <f t="shared" si="137"/>
        <v>1.0002082603643374</v>
      </c>
      <c r="AU134">
        <f t="shared" si="138"/>
        <v>2.0407068731694223E-2</v>
      </c>
      <c r="AV134" t="str">
        <f t="shared" si="113"/>
        <v>1+0,0204099020344078i</v>
      </c>
      <c r="AW134">
        <f t="shared" si="139"/>
        <v>1.0002082603643374</v>
      </c>
      <c r="AX134">
        <f t="shared" si="140"/>
        <v>2.0407068731694223E-2</v>
      </c>
      <c r="AY134" t="str">
        <f t="shared" si="114"/>
        <v>1-0,734937383565705i</v>
      </c>
      <c r="AZ134">
        <f t="shared" si="141"/>
        <v>1.2410209336519689</v>
      </c>
      <c r="BA134">
        <f t="shared" si="142"/>
        <v>-0.63379113358081463</v>
      </c>
      <c r="BB134" s="58" t="str">
        <f t="shared" si="143"/>
        <v>-1,34369878035954+1,03041545828301i</v>
      </c>
      <c r="BC134">
        <f t="shared" si="144"/>
        <v>4.5747047331576418</v>
      </c>
      <c r="BD134" s="60">
        <f t="shared" si="145"/>
        <v>142.51720404244756</v>
      </c>
      <c r="BE134" s="58" t="str">
        <f t="shared" si="146"/>
        <v>-3,97660055960114+26,9144784004549i</v>
      </c>
      <c r="BF134" s="37">
        <f t="shared" si="147"/>
        <v>28.693505473243583</v>
      </c>
      <c r="BG134" s="60">
        <f t="shared" si="148"/>
        <v>98.404617068829111</v>
      </c>
      <c r="BH134" s="58" t="str">
        <f t="shared" si="149"/>
        <v>-24,4706768500287+46,3203632258082i</v>
      </c>
      <c r="BI134" s="37">
        <f t="shared" si="150"/>
        <v>34.384458400242636</v>
      </c>
      <c r="BJ134" s="60">
        <f t="shared" si="151"/>
        <v>117.84713492827483</v>
      </c>
      <c r="BK134">
        <f t="shared" si="152"/>
        <v>28.693505473243583</v>
      </c>
      <c r="BL134" s="60">
        <f t="shared" si="153"/>
        <v>98.404617068829111</v>
      </c>
      <c r="BN134">
        <f t="shared" si="154"/>
        <v>0</v>
      </c>
      <c r="BO134">
        <f t="shared" si="155"/>
        <v>0</v>
      </c>
    </row>
    <row r="135" spans="13:67" x14ac:dyDescent="0.25">
      <c r="M135" s="66">
        <v>17</v>
      </c>
      <c r="N135" s="36">
        <f t="shared" si="156"/>
        <v>147.91083881682084</v>
      </c>
      <c r="O135" s="91" t="str">
        <f t="shared" si="103"/>
        <v>22,5</v>
      </c>
      <c r="P135" s="67" t="str">
        <f t="shared" si="104"/>
        <v>1+1,00369930596457i</v>
      </c>
      <c r="Q135" s="67">
        <f t="shared" si="116"/>
        <v>1.4168317814030569</v>
      </c>
      <c r="R135" s="67">
        <f t="shared" si="117"/>
        <v>0.78724439938226964</v>
      </c>
      <c r="S135" s="67" t="str">
        <f t="shared" si="105"/>
        <v>1+0,0278805362767937i</v>
      </c>
      <c r="T135" s="67">
        <f t="shared" si="118"/>
        <v>1.0003885866517479</v>
      </c>
      <c r="U135" s="67">
        <f t="shared" si="119"/>
        <v>2.7873315571382222E-2</v>
      </c>
      <c r="V135" t="str">
        <f t="shared" si="106"/>
        <v>1-0,00580844505766536i</v>
      </c>
      <c r="W135" s="67">
        <f t="shared" si="120"/>
        <v>1.0000168688747144</v>
      </c>
      <c r="X135" s="67">
        <f t="shared" si="121"/>
        <v>-5.8083797371487021E-3</v>
      </c>
      <c r="Y135" t="str">
        <f t="shared" si="107"/>
        <v>0,999998599832561+0,0161087542932586i</v>
      </c>
      <c r="Z135" s="67">
        <f t="shared" si="122"/>
        <v>1.0001283375807142</v>
      </c>
      <c r="AA135" s="67">
        <f t="shared" si="123"/>
        <v>1.6107383695190856E-2</v>
      </c>
      <c r="AB135" s="92" t="str">
        <f t="shared" si="124"/>
        <v>11,2784067418723-11,1860477468575i</v>
      </c>
      <c r="AC135" s="37">
        <f t="shared" si="125"/>
        <v>24.01969099102546</v>
      </c>
      <c r="AD135" s="60">
        <f t="shared" si="126"/>
        <v>-44.764438936119134</v>
      </c>
      <c r="AE135" t="str">
        <f t="shared" si="127"/>
        <v>34,4450883806789</v>
      </c>
      <c r="AF135" t="str">
        <f t="shared" si="108"/>
        <v>1+0,501849652982287i</v>
      </c>
      <c r="AG135">
        <f t="shared" si="128"/>
        <v>1.118862401816435</v>
      </c>
      <c r="AH135">
        <f t="shared" si="129"/>
        <v>0.46512623632926497</v>
      </c>
      <c r="AI135" t="str">
        <f t="shared" si="109"/>
        <v>1+0,0278805362767937i</v>
      </c>
      <c r="AJ135">
        <f t="shared" si="130"/>
        <v>1.0003885866517479</v>
      </c>
      <c r="AK135">
        <f t="shared" si="131"/>
        <v>2.7873315571382222E-2</v>
      </c>
      <c r="AL135" t="str">
        <f t="shared" si="110"/>
        <v>1-0,00189703021203612i</v>
      </c>
      <c r="AM135">
        <f t="shared" si="132"/>
        <v>1.0000017993601937</v>
      </c>
      <c r="AN135">
        <f t="shared" si="133"/>
        <v>-1.8970279364118863E-3</v>
      </c>
      <c r="AO135" s="58" t="str">
        <f t="shared" si="134"/>
        <v>27,875529833924-13,0943208110117i</v>
      </c>
      <c r="AP135">
        <f t="shared" si="135"/>
        <v>29.770402660838094</v>
      </c>
      <c r="AQ135" s="60">
        <f t="shared" si="136"/>
        <v>-25.16143863356977</v>
      </c>
      <c r="AR135" t="str">
        <f t="shared" si="111"/>
        <v>-1,36472945891784</v>
      </c>
      <c r="AS135" t="str">
        <f t="shared" si="112"/>
        <v>1+0,0208853097249462i</v>
      </c>
      <c r="AT135">
        <f t="shared" si="137"/>
        <v>1.0002180743029527</v>
      </c>
      <c r="AU135">
        <f t="shared" si="138"/>
        <v>2.0882273822139221E-2</v>
      </c>
      <c r="AV135" t="str">
        <f t="shared" si="113"/>
        <v>1+0,0208853097249462i</v>
      </c>
      <c r="AW135">
        <f t="shared" si="139"/>
        <v>1.0002180743029527</v>
      </c>
      <c r="AX135">
        <f t="shared" si="140"/>
        <v>2.0882273822139221E-2</v>
      </c>
      <c r="AY135" t="str">
        <f t="shared" si="114"/>
        <v>1-0,718208166292285i</v>
      </c>
      <c r="AZ135">
        <f t="shared" si="141"/>
        <v>1.2311876258836127</v>
      </c>
      <c r="BA135">
        <f t="shared" si="142"/>
        <v>-0.62284196985385476</v>
      </c>
      <c r="BB135" s="58" t="str">
        <f t="shared" si="143"/>
        <v>-1,34367241228444+1,00822285667387i</v>
      </c>
      <c r="BC135">
        <f t="shared" si="144"/>
        <v>4.5055222018780903</v>
      </c>
      <c r="BD135" s="60">
        <f t="shared" si="145"/>
        <v>143.11731766711466</v>
      </c>
      <c r="BE135" s="58" t="str">
        <f t="shared" si="146"/>
        <v>-3,87645497934967+26,4015312239693i</v>
      </c>
      <c r="BF135" s="37">
        <f t="shared" si="147"/>
        <v>28.525213192903564</v>
      </c>
      <c r="BG135" s="60">
        <f t="shared" si="148"/>
        <v>98.352878730995513</v>
      </c>
      <c r="BH135" s="58" t="str">
        <f t="shared" si="149"/>
        <v>-24,2535868813732+45,699223951815i</v>
      </c>
      <c r="BI135" s="37">
        <f t="shared" si="150"/>
        <v>34.275924862716188</v>
      </c>
      <c r="BJ135" s="60">
        <f t="shared" si="151"/>
        <v>117.95587903354486</v>
      </c>
      <c r="BK135">
        <f t="shared" si="152"/>
        <v>28.525213192903564</v>
      </c>
      <c r="BL135" s="60">
        <f t="shared" si="153"/>
        <v>98.352878730995513</v>
      </c>
      <c r="BN135">
        <f t="shared" si="154"/>
        <v>0</v>
      </c>
      <c r="BO135">
        <f t="shared" si="155"/>
        <v>0</v>
      </c>
    </row>
    <row r="136" spans="13:67" x14ac:dyDescent="0.25">
      <c r="M136" s="66">
        <v>18</v>
      </c>
      <c r="N136" s="36">
        <f t="shared" si="156"/>
        <v>151.3561248436209</v>
      </c>
      <c r="O136" s="91" t="str">
        <f t="shared" si="103"/>
        <v>22,5</v>
      </c>
      <c r="P136" s="67" t="str">
        <f t="shared" si="104"/>
        <v>1+1,0270784661506i</v>
      </c>
      <c r="Q136" s="67">
        <f t="shared" si="116"/>
        <v>1.4334888125235821</v>
      </c>
      <c r="R136" s="67">
        <f t="shared" si="117"/>
        <v>0.79875573987668869</v>
      </c>
      <c r="S136" s="67" t="str">
        <f t="shared" si="105"/>
        <v>1+0,0285299573930724i</v>
      </c>
      <c r="T136" s="67">
        <f t="shared" si="118"/>
        <v>1.0004068964520638</v>
      </c>
      <c r="U136" s="67">
        <f t="shared" si="119"/>
        <v>2.8522220437778543E-2</v>
      </c>
      <c r="V136" t="str">
        <f t="shared" si="106"/>
        <v>1-0,00594374112355674i</v>
      </c>
      <c r="W136" s="67">
        <f t="shared" si="120"/>
        <v>1.0000176638732656</v>
      </c>
      <c r="X136" s="67">
        <f t="shared" si="121"/>
        <v>-5.9436711314288845E-3</v>
      </c>
      <c r="Y136" t="str">
        <f t="shared" si="107"/>
        <v>0,999998533844702+0,016483975382664i</v>
      </c>
      <c r="Z136" s="67">
        <f t="shared" si="122"/>
        <v>1.0001343855382485</v>
      </c>
      <c r="AA136" s="67">
        <f t="shared" si="123"/>
        <v>1.648250677103202E-2</v>
      </c>
      <c r="AB136" s="92" t="str">
        <f t="shared" si="124"/>
        <v>11,0210391595124-11,1822720917718i</v>
      </c>
      <c r="AC136" s="37">
        <f t="shared" si="125"/>
        <v>23.918283988607236</v>
      </c>
      <c r="AD136" s="60">
        <f t="shared" si="126"/>
        <v>-45.416055247777649</v>
      </c>
      <c r="AE136" t="str">
        <f t="shared" si="127"/>
        <v>34,4450883806789</v>
      </c>
      <c r="AF136" t="str">
        <f t="shared" si="108"/>
        <v>1+0,513539233075303i</v>
      </c>
      <c r="AG136">
        <f t="shared" si="128"/>
        <v>1.124154145972682</v>
      </c>
      <c r="AH136">
        <f t="shared" si="129"/>
        <v>0.47442023522664473</v>
      </c>
      <c r="AI136" t="str">
        <f t="shared" si="109"/>
        <v>1+0,0285299573930724i</v>
      </c>
      <c r="AJ136">
        <f t="shared" si="130"/>
        <v>1.0004068964520638</v>
      </c>
      <c r="AK136">
        <f t="shared" si="131"/>
        <v>2.8522220437778543E-2</v>
      </c>
      <c r="AL136" t="str">
        <f t="shared" si="110"/>
        <v>1-0,00194121772212144i</v>
      </c>
      <c r="AM136">
        <f t="shared" si="132"/>
        <v>1.0000018841613472</v>
      </c>
      <c r="AN136">
        <f t="shared" si="133"/>
        <v>-1.9412152837463901E-3</v>
      </c>
      <c r="AO136" s="58" t="str">
        <f t="shared" si="134"/>
        <v>27,6305284630642-13,2735089084905i</v>
      </c>
      <c r="AP136">
        <f t="shared" si="135"/>
        <v>29.729578642226109</v>
      </c>
      <c r="AQ136" s="60">
        <f t="shared" si="136"/>
        <v>-25.659297783548872</v>
      </c>
      <c r="AR136" t="str">
        <f t="shared" si="111"/>
        <v>-1,36472945891784</v>
      </c>
      <c r="AS136" t="str">
        <f t="shared" si="112"/>
        <v>1+0,0213717910831505i</v>
      </c>
      <c r="AT136">
        <f t="shared" si="137"/>
        <v>1.00022835065504</v>
      </c>
      <c r="AU136">
        <f t="shared" si="138"/>
        <v>2.1368538094792985E-2</v>
      </c>
      <c r="AV136" t="str">
        <f t="shared" si="113"/>
        <v>1+0,0213717910831505i</v>
      </c>
      <c r="AW136">
        <f t="shared" si="139"/>
        <v>1.00022835065504</v>
      </c>
      <c r="AX136">
        <f t="shared" si="140"/>
        <v>2.1368538094792985E-2</v>
      </c>
      <c r="AY136" t="str">
        <f t="shared" si="114"/>
        <v>1-0,701859752495241i</v>
      </c>
      <c r="AZ136">
        <f t="shared" si="141"/>
        <v>1.2217230095945157</v>
      </c>
      <c r="BA136">
        <f t="shared" si="142"/>
        <v>-0.61197303020634031</v>
      </c>
      <c r="BB136" s="58" t="str">
        <f t="shared" si="143"/>
        <v>-1,34364480262939+0,986564776270795i</v>
      </c>
      <c r="BC136">
        <f t="shared" si="144"/>
        <v>4.4384031903571914</v>
      </c>
      <c r="BD136" s="60">
        <f t="shared" si="145"/>
        <v>143.71220114614863</v>
      </c>
      <c r="BE136" s="58" t="str">
        <f t="shared" si="146"/>
        <v>-3,77632622183581+25,8979708103729i</v>
      </c>
      <c r="BF136" s="37">
        <f t="shared" si="147"/>
        <v>28.356687178964432</v>
      </c>
      <c r="BG136" s="60">
        <f t="shared" si="148"/>
        <v>98.296145898370924</v>
      </c>
      <c r="BH136" s="58" t="str">
        <f t="shared" si="149"/>
        <v>-24,0304396166663+45,0941873889549i</v>
      </c>
      <c r="BI136" s="37">
        <f t="shared" si="150"/>
        <v>34.167981832583294</v>
      </c>
      <c r="BJ136" s="60">
        <f t="shared" si="151"/>
        <v>118.05290336259976</v>
      </c>
      <c r="BK136">
        <f t="shared" si="152"/>
        <v>28.356687178964432</v>
      </c>
      <c r="BL136" s="60">
        <f t="shared" si="153"/>
        <v>98.296145898370924</v>
      </c>
      <c r="BN136">
        <f t="shared" si="154"/>
        <v>0</v>
      </c>
      <c r="BO136">
        <f t="shared" si="155"/>
        <v>0</v>
      </c>
    </row>
    <row r="137" spans="13:67" x14ac:dyDescent="0.25">
      <c r="M137" s="66">
        <v>19</v>
      </c>
      <c r="N137" s="36">
        <f t="shared" si="156"/>
        <v>154.8816618912482</v>
      </c>
      <c r="O137" s="91" t="str">
        <f t="shared" si="103"/>
        <v>22,5</v>
      </c>
      <c r="P137" s="67" t="str">
        <f t="shared" si="104"/>
        <v>1+1,05100219693438i</v>
      </c>
      <c r="Q137" s="67">
        <f t="shared" si="116"/>
        <v>1.4507258934619225</v>
      </c>
      <c r="R137" s="67">
        <f t="shared" si="117"/>
        <v>0.81026000325141057</v>
      </c>
      <c r="S137" s="67" t="str">
        <f t="shared" si="105"/>
        <v>1+0,0291945054703994i</v>
      </c>
      <c r="T137" s="67">
        <f t="shared" si="118"/>
        <v>1.0004260688075162</v>
      </c>
      <c r="U137" s="67">
        <f t="shared" si="119"/>
        <v>2.9186215364117318E-2</v>
      </c>
      <c r="V137" t="str">
        <f t="shared" si="106"/>
        <v>1-0,00608218863966654i</v>
      </c>
      <c r="W137" s="67">
        <f t="shared" si="120"/>
        <v>1.000018496338267</v>
      </c>
      <c r="X137" s="67">
        <f t="shared" si="121"/>
        <v>-6.0821136418252476E-3</v>
      </c>
      <c r="Y137" t="str">
        <f t="shared" si="107"/>
        <v>0,999998464746932+0,0168679364940085i</v>
      </c>
      <c r="Z137" s="67">
        <f t="shared" si="122"/>
        <v>1.0001407184880471</v>
      </c>
      <c r="AA137" s="67">
        <f t="shared" si="123"/>
        <v>1.6866362860250433E-2</v>
      </c>
      <c r="AB137" s="92" t="str">
        <f t="shared" si="124"/>
        <v>10,7639877064669-11,1725838735816i</v>
      </c>
      <c r="AC137" s="37">
        <f t="shared" si="125"/>
        <v>23.814581583551284</v>
      </c>
      <c r="AD137" s="60">
        <f t="shared" si="126"/>
        <v>-46.067082384062289</v>
      </c>
      <c r="AE137" t="str">
        <f t="shared" si="127"/>
        <v>34,4450883806789</v>
      </c>
      <c r="AF137" t="str">
        <f t="shared" si="108"/>
        <v>1+0,52550109846719i</v>
      </c>
      <c r="AG137">
        <f t="shared" si="128"/>
        <v>1.1296687144867841</v>
      </c>
      <c r="AH137">
        <f t="shared" si="129"/>
        <v>0.48383974639378541</v>
      </c>
      <c r="AI137" t="str">
        <f t="shared" si="109"/>
        <v>1+0,0291945054703994i</v>
      </c>
      <c r="AJ137">
        <f t="shared" si="130"/>
        <v>1.0004260688075162</v>
      </c>
      <c r="AK137">
        <f t="shared" si="131"/>
        <v>2.9186215364117318E-2</v>
      </c>
      <c r="AL137" t="str">
        <f t="shared" si="110"/>
        <v>1-0,00198643449153807i</v>
      </c>
      <c r="AM137">
        <f t="shared" si="132"/>
        <v>1.0000019729590484</v>
      </c>
      <c r="AN137">
        <f t="shared" si="133"/>
        <v>-1.9864318787724089E-3</v>
      </c>
      <c r="AO137" s="58" t="str">
        <f t="shared" si="134"/>
        <v>27,3788652878382-13,4504393740095i</v>
      </c>
      <c r="AP137">
        <f t="shared" si="135"/>
        <v>29.687241175959286</v>
      </c>
      <c r="AQ137" s="60">
        <f t="shared" si="136"/>
        <v>-26.16354263166405</v>
      </c>
      <c r="AR137" t="str">
        <f t="shared" si="111"/>
        <v>-1,36472945891784</v>
      </c>
      <c r="AS137" t="str">
        <f t="shared" si="112"/>
        <v>1+0,0218696040478762i</v>
      </c>
      <c r="AT137">
        <f t="shared" si="137"/>
        <v>1.0002391112035216</v>
      </c>
      <c r="AU137">
        <f t="shared" si="138"/>
        <v>2.1866118453053085E-2</v>
      </c>
      <c r="AV137" t="str">
        <f t="shared" si="113"/>
        <v>1+0,0218696040478762i</v>
      </c>
      <c r="AW137">
        <f t="shared" si="139"/>
        <v>1.0002391112035216</v>
      </c>
      <c r="AX137">
        <f t="shared" si="140"/>
        <v>2.1866118453053085E-2</v>
      </c>
      <c r="AY137" t="str">
        <f t="shared" si="114"/>
        <v>1-0,685883474029183i</v>
      </c>
      <c r="AZ137">
        <f t="shared" si="141"/>
        <v>1.2126154130417199</v>
      </c>
      <c r="BA137">
        <f t="shared" si="142"/>
        <v>-0.60118882353241454</v>
      </c>
      <c r="BB137" s="58" t="str">
        <f t="shared" si="143"/>
        <v>-1,34361589298747+0,965429729964605i</v>
      </c>
      <c r="BC137">
        <f t="shared" si="144"/>
        <v>4.3733163618782838</v>
      </c>
      <c r="BD137" s="60">
        <f t="shared" si="145"/>
        <v>144.30158141946441</v>
      </c>
      <c r="BE137" s="58" t="str">
        <f t="shared" si="146"/>
        <v>-3,67632032225189+25,4035350030764i</v>
      </c>
      <c r="BF137" s="37">
        <f t="shared" si="147"/>
        <v>28.187897945429562</v>
      </c>
      <c r="BG137" s="60">
        <f t="shared" si="148"/>
        <v>98.234499035402138</v>
      </c>
      <c r="BH137" s="58" t="str">
        <f t="shared" si="149"/>
        <v>-23,8012244799471+44,5045946321585i</v>
      </c>
      <c r="BI137" s="37">
        <f t="shared" si="150"/>
        <v>34.060557537837568</v>
      </c>
      <c r="BJ137" s="60">
        <f t="shared" si="151"/>
        <v>118.1380387878004</v>
      </c>
      <c r="BK137">
        <f t="shared" si="152"/>
        <v>28.187897945429562</v>
      </c>
      <c r="BL137" s="60">
        <f t="shared" si="153"/>
        <v>98.234499035402138</v>
      </c>
      <c r="BN137">
        <f t="shared" si="154"/>
        <v>0</v>
      </c>
      <c r="BO137">
        <f t="shared" si="155"/>
        <v>0</v>
      </c>
    </row>
    <row r="138" spans="13:67" x14ac:dyDescent="0.25">
      <c r="M138" s="66">
        <v>20</v>
      </c>
      <c r="N138" s="36">
        <f t="shared" si="156"/>
        <v>158.48931924611153</v>
      </c>
      <c r="O138" s="91" t="str">
        <f t="shared" si="103"/>
        <v>22,5</v>
      </c>
      <c r="P138" s="67" t="str">
        <f t="shared" si="104"/>
        <v>1+1,07548318299463i</v>
      </c>
      <c r="Q138" s="67">
        <f t="shared" si="116"/>
        <v>1.4685585030581045</v>
      </c>
      <c r="R138" s="67">
        <f t="shared" si="117"/>
        <v>0.8217511097461403</v>
      </c>
      <c r="S138" s="67" t="str">
        <f t="shared" si="105"/>
        <v>1+0,0298745328609619i</v>
      </c>
      <c r="T138" s="67">
        <f t="shared" si="118"/>
        <v>1.0004461443344468</v>
      </c>
      <c r="U138" s="67">
        <f t="shared" si="119"/>
        <v>2.9865650065971597E-2</v>
      </c>
      <c r="V138" t="str">
        <f t="shared" si="106"/>
        <v>1-0,00622386101270039i</v>
      </c>
      <c r="W138" s="67">
        <f t="shared" si="120"/>
        <v>1.0000193680353924</v>
      </c>
      <c r="X138" s="67">
        <f t="shared" si="121"/>
        <v>-6.2237806511496541E-3</v>
      </c>
      <c r="Y138" t="str">
        <f t="shared" si="107"/>
        <v>0,999998392392684+0,0172608412085558i</v>
      </c>
      <c r="Z138" s="67">
        <f t="shared" si="122"/>
        <v>1.0001473498575995</v>
      </c>
      <c r="AA138" s="67">
        <f t="shared" si="123"/>
        <v>1.7259155043020943E-2</v>
      </c>
      <c r="AB138" s="92" t="str">
        <f t="shared" si="124"/>
        <v>10,5075236150227-11,1570091587458i</v>
      </c>
      <c r="AC138" s="37">
        <f t="shared" si="125"/>
        <v>23.708588070763227</v>
      </c>
      <c r="AD138" s="60">
        <f t="shared" si="126"/>
        <v>-46.717167803303738</v>
      </c>
      <c r="AE138" t="str">
        <f t="shared" si="127"/>
        <v>34,4450883806789</v>
      </c>
      <c r="AF138" t="str">
        <f t="shared" si="108"/>
        <v>1+0,537741591497315i</v>
      </c>
      <c r="AG138">
        <f t="shared" si="128"/>
        <v>1.1354144702380999</v>
      </c>
      <c r="AH138">
        <f t="shared" si="129"/>
        <v>0.4933830771723639</v>
      </c>
      <c r="AI138" t="str">
        <f t="shared" si="109"/>
        <v>1+0,0298745328609619i</v>
      </c>
      <c r="AJ138">
        <f t="shared" si="130"/>
        <v>1.0004461443344468</v>
      </c>
      <c r="AK138">
        <f t="shared" si="131"/>
        <v>2.9865650065971597E-2</v>
      </c>
      <c r="AL138" t="str">
        <f t="shared" si="110"/>
        <v>1-0,0020327044948157i</v>
      </c>
      <c r="AM138">
        <f t="shared" si="132"/>
        <v>1.0000020659416475</v>
      </c>
      <c r="AN138">
        <f t="shared" si="133"/>
        <v>-2.0327016951871666E-3</v>
      </c>
      <c r="AO138" s="58" t="str">
        <f t="shared" si="134"/>
        <v>27,1205425973524-13,6248294998194i</v>
      </c>
      <c r="AP138">
        <f t="shared" si="135"/>
        <v>29.643349813790461</v>
      </c>
      <c r="AQ138" s="60">
        <f t="shared" si="136"/>
        <v>-26.67405753210236</v>
      </c>
      <c r="AR138" t="str">
        <f t="shared" si="111"/>
        <v>-1,36472945891784</v>
      </c>
      <c r="AS138" t="str">
        <f t="shared" si="112"/>
        <v>1+0,0223790125661466i</v>
      </c>
      <c r="AT138">
        <f t="shared" si="137"/>
        <v>1.000250378756957</v>
      </c>
      <c r="AU138">
        <f t="shared" si="138"/>
        <v>2.2375277734494513E-2</v>
      </c>
      <c r="AV138" t="str">
        <f t="shared" si="113"/>
        <v>1+0,0223790125661466i</v>
      </c>
      <c r="AW138">
        <f t="shared" si="139"/>
        <v>1.000250378756957</v>
      </c>
      <c r="AX138">
        <f t="shared" si="140"/>
        <v>2.2375277734494513E-2</v>
      </c>
      <c r="AY138" t="str">
        <f t="shared" si="114"/>
        <v>1-0,670270860059795i</v>
      </c>
      <c r="AZ138">
        <f t="shared" si="141"/>
        <v>1.2038534071245124</v>
      </c>
      <c r="BA138">
        <f t="shared" si="142"/>
        <v>-0.59049366538066417</v>
      </c>
      <c r="BB138" s="58" t="str">
        <f t="shared" si="143"/>
        <v>-1,34358562220942+0,944806507700918i</v>
      </c>
      <c r="BC138">
        <f t="shared" si="144"/>
        <v>4.3102289603486152</v>
      </c>
      <c r="BD138" s="60">
        <f t="shared" si="145"/>
        <v>144.885196164858</v>
      </c>
      <c r="BE138" s="58" t="str">
        <f t="shared" si="146"/>
        <v>-3,57654279450867+24,9179737838442i</v>
      </c>
      <c r="BF138" s="37">
        <f t="shared" si="147"/>
        <v>28.018817031111848</v>
      </c>
      <c r="BG138" s="60">
        <f t="shared" si="148"/>
        <v>98.168028361554235</v>
      </c>
      <c r="BH138" s="58" t="str">
        <f t="shared" si="149"/>
        <v>-23,565943522576+43,9297901593706i</v>
      </c>
      <c r="BI138" s="37">
        <f t="shared" si="150"/>
        <v>33.953578774139075</v>
      </c>
      <c r="BJ138" s="60">
        <f t="shared" si="151"/>
        <v>118.21113863275565</v>
      </c>
      <c r="BK138">
        <f t="shared" si="152"/>
        <v>28.018817031111848</v>
      </c>
      <c r="BL138" s="60">
        <f t="shared" si="153"/>
        <v>98.168028361554235</v>
      </c>
      <c r="BN138">
        <f t="shared" si="154"/>
        <v>0</v>
      </c>
      <c r="BO138">
        <f t="shared" si="155"/>
        <v>0</v>
      </c>
    </row>
    <row r="139" spans="13:67" x14ac:dyDescent="0.25">
      <c r="M139" s="66">
        <v>21</v>
      </c>
      <c r="N139" s="36">
        <f t="shared" si="156"/>
        <v>162.18100973589304</v>
      </c>
      <c r="O139" s="91" t="str">
        <f t="shared" si="103"/>
        <v>22,5</v>
      </c>
      <c r="P139" s="67" t="str">
        <f t="shared" si="104"/>
        <v>1+1,1005344044742i</v>
      </c>
      <c r="Q139" s="67">
        <f t="shared" si="116"/>
        <v>1.4870023454693615</v>
      </c>
      <c r="R139" s="67">
        <f t="shared" si="117"/>
        <v>0.83322301434576596</v>
      </c>
      <c r="S139" s="67" t="str">
        <f t="shared" si="105"/>
        <v>1+0,0305704001242833i</v>
      </c>
      <c r="T139" s="67">
        <f t="shared" si="118"/>
        <v>1.000467165560049</v>
      </c>
      <c r="U139" s="67">
        <f t="shared" si="119"/>
        <v>3.0560882277989875E-2</v>
      </c>
      <c r="V139" t="str">
        <f t="shared" si="106"/>
        <v>1-0,00636883335922569i</v>
      </c>
      <c r="W139" s="67">
        <f t="shared" si="120"/>
        <v>1.0000202808135232</v>
      </c>
      <c r="X139" s="67">
        <f t="shared" si="121"/>
        <v>-6.3687472503669938E-3</v>
      </c>
      <c r="Y139" t="str">
        <f t="shared" si="107"/>
        <v>0,999998316628485+0,0176628978495859i</v>
      </c>
      <c r="Z139" s="67">
        <f t="shared" si="122"/>
        <v>1.0001542937068504</v>
      </c>
      <c r="AA139" s="67">
        <f t="shared" si="123"/>
        <v>1.7661091105716505E-2</v>
      </c>
      <c r="AB139" s="92" t="str">
        <f t="shared" si="124"/>
        <v>10,2519156368278-11,1355894767485i</v>
      </c>
      <c r="AC139" s="37">
        <f t="shared" si="125"/>
        <v>23.600310172767792</v>
      </c>
      <c r="AD139" s="60">
        <f t="shared" si="126"/>
        <v>-47.365960862641046</v>
      </c>
      <c r="AE139" t="str">
        <f t="shared" si="127"/>
        <v>34,4450883806789</v>
      </c>
      <c r="AF139" t="str">
        <f t="shared" si="108"/>
        <v>1+0,5502672022371i</v>
      </c>
      <c r="AG139">
        <f t="shared" si="128"/>
        <v>1.1414000148317178</v>
      </c>
      <c r="AH139">
        <f t="shared" si="129"/>
        <v>0.50304833345246269</v>
      </c>
      <c r="AI139" t="str">
        <f t="shared" si="109"/>
        <v>1+0,0305704001242833i</v>
      </c>
      <c r="AJ139">
        <f t="shared" si="130"/>
        <v>1.000467165560049</v>
      </c>
      <c r="AK139">
        <f t="shared" si="131"/>
        <v>3.0560882277989875E-2</v>
      </c>
      <c r="AL139" t="str">
        <f t="shared" si="110"/>
        <v>1-0,00208005226492249i</v>
      </c>
      <c r="AM139">
        <f t="shared" si="132"/>
        <v>1.0000021633063725</v>
      </c>
      <c r="AN139">
        <f t="shared" si="133"/>
        <v>-2.0800492650668197E-3</v>
      </c>
      <c r="AO139" s="58" t="str">
        <f t="shared" si="134"/>
        <v>26,8555772923787-13,7963908311275i</v>
      </c>
      <c r="AP139">
        <f t="shared" si="135"/>
        <v>29.597864182484788</v>
      </c>
      <c r="AQ139" s="60">
        <f t="shared" si="136"/>
        <v>-27.190714869258539</v>
      </c>
      <c r="AR139" t="str">
        <f t="shared" si="111"/>
        <v>-1,36472945891784</v>
      </c>
      <c r="AS139" t="str">
        <f t="shared" si="112"/>
        <v>1+0,0229002867331006i</v>
      </c>
      <c r="AT139">
        <f t="shared" si="137"/>
        <v>1.0002621771977875</v>
      </c>
      <c r="AU139">
        <f t="shared" si="138"/>
        <v>2.2896284845533677E-2</v>
      </c>
      <c r="AV139" t="str">
        <f t="shared" si="113"/>
        <v>1+0,0229002867331006i</v>
      </c>
      <c r="AW139">
        <f t="shared" si="139"/>
        <v>1.0002621771977875</v>
      </c>
      <c r="AX139">
        <f t="shared" si="140"/>
        <v>2.2896284845533677E-2</v>
      </c>
      <c r="AY139" t="str">
        <f t="shared" si="114"/>
        <v>1-0,655013632572497i</v>
      </c>
      <c r="AZ139">
        <f t="shared" si="141"/>
        <v>1.1954258065040331</v>
      </c>
      <c r="BA139">
        <f t="shared" si="142"/>
        <v>-0.57989167210607395</v>
      </c>
      <c r="BB139" s="58" t="str">
        <f t="shared" si="143"/>
        <v>-1,34355392627543+0,924684170517563i</v>
      </c>
      <c r="BC139">
        <f t="shared" si="144"/>
        <v>4.2491069224828282</v>
      </c>
      <c r="BD139" s="60">
        <f t="shared" si="145"/>
        <v>145.46279412535935</v>
      </c>
      <c r="BE139" s="58" t="str">
        <f t="shared" si="146"/>
        <v>-3,47709818717317+24,441049069733i</v>
      </c>
      <c r="BF139" s="37">
        <f t="shared" si="147"/>
        <v>27.84941709525064</v>
      </c>
      <c r="BG139" s="60">
        <f t="shared" si="148"/>
        <v>98.096833262718278</v>
      </c>
      <c r="BH139" s="58" t="str">
        <f t="shared" si="149"/>
        <v>-23,3246121017514+43,3691222819652i</v>
      </c>
      <c r="BI139" s="37">
        <f t="shared" si="150"/>
        <v>33.846971104967608</v>
      </c>
      <c r="BJ139" s="60">
        <f t="shared" si="151"/>
        <v>118.27207925610078</v>
      </c>
      <c r="BK139">
        <f t="shared" si="152"/>
        <v>27.84941709525064</v>
      </c>
      <c r="BL139" s="60">
        <f t="shared" si="153"/>
        <v>98.096833262718278</v>
      </c>
      <c r="BN139">
        <f t="shared" si="154"/>
        <v>0</v>
      </c>
      <c r="BO139">
        <f t="shared" si="155"/>
        <v>0</v>
      </c>
    </row>
    <row r="140" spans="13:67" x14ac:dyDescent="0.25">
      <c r="M140" s="66">
        <v>22</v>
      </c>
      <c r="N140" s="36">
        <f t="shared" si="156"/>
        <v>165.95869074375622</v>
      </c>
      <c r="O140" s="91" t="str">
        <f t="shared" si="103"/>
        <v>22,5</v>
      </c>
      <c r="P140" s="67" t="str">
        <f t="shared" si="104"/>
        <v>1+1,12616914386232i</v>
      </c>
      <c r="Q140" s="67">
        <f t="shared" si="116"/>
        <v>1.5060733516623919</v>
      </c>
      <c r="R140" s="67">
        <f t="shared" si="117"/>
        <v>0.84466972257321216</v>
      </c>
      <c r="S140" s="67" t="str">
        <f t="shared" si="105"/>
        <v>1+0,0312824762183979i</v>
      </c>
      <c r="T140" s="67">
        <f t="shared" si="118"/>
        <v>1.0004891770121027</v>
      </c>
      <c r="U140" s="67">
        <f t="shared" si="119"/>
        <v>3.1272277931644069E-2</v>
      </c>
      <c r="V140" t="str">
        <f t="shared" si="106"/>
        <v>1-0,00651718254549956i</v>
      </c>
      <c r="W140" s="67">
        <f t="shared" si="120"/>
        <v>1.0000212366086689</v>
      </c>
      <c r="X140" s="67">
        <f t="shared" si="121"/>
        <v>-6.5170902783009401E-3</v>
      </c>
      <c r="Y140" t="str">
        <f t="shared" si="107"/>
        <v>0,99999823729363+0,0180743195928521i</v>
      </c>
      <c r="Z140" s="67">
        <f t="shared" si="122"/>
        <v>1.0001615647579705</v>
      </c>
      <c r="AA140" s="67">
        <f t="shared" si="123"/>
        <v>1.8072383648805854E-2</v>
      </c>
      <c r="AB140" s="92" t="str">
        <f t="shared" si="124"/>
        <v>9,99742892367855-11,1083815542072i</v>
      </c>
      <c r="AC140" s="37">
        <f t="shared" si="125"/>
        <v>23.489757013050102</v>
      </c>
      <c r="AD140" s="60">
        <f t="shared" si="126"/>
        <v>-48.013113721158184</v>
      </c>
      <c r="AE140" t="str">
        <f t="shared" si="127"/>
        <v>34,4450883806789</v>
      </c>
      <c r="AF140" t="str">
        <f t="shared" si="108"/>
        <v>1+0,563084571931163i</v>
      </c>
      <c r="AG140">
        <f t="shared" si="128"/>
        <v>1.1476341904748659</v>
      </c>
      <c r="AH140">
        <f t="shared" si="129"/>
        <v>0.51283341589855203</v>
      </c>
      <c r="AI140" t="str">
        <f t="shared" si="109"/>
        <v>1+0,0312824762183979i</v>
      </c>
      <c r="AJ140">
        <f t="shared" si="130"/>
        <v>1.0004891770121027</v>
      </c>
      <c r="AK140">
        <f t="shared" si="131"/>
        <v>3.1272277931644069E-2</v>
      </c>
      <c r="AL140" t="str">
        <f t="shared" si="110"/>
        <v>1-0,0021285029062729i</v>
      </c>
      <c r="AM140">
        <f t="shared" si="132"/>
        <v>1.0000022652597453</v>
      </c>
      <c r="AN140">
        <f t="shared" si="133"/>
        <v>-2.1284996918700294E-3</v>
      </c>
      <c r="AO140" s="58" t="str">
        <f t="shared" si="134"/>
        <v>26,5840015951099-13,9648299710157i</v>
      </c>
      <c r="AP140">
        <f t="shared" si="135"/>
        <v>29.550744076283696</v>
      </c>
      <c r="AQ140" s="60">
        <f t="shared" si="136"/>
        <v>-27.713374832059998</v>
      </c>
      <c r="AR140" t="str">
        <f t="shared" si="111"/>
        <v>-1,36472945891784</v>
      </c>
      <c r="AS140" t="str">
        <f t="shared" si="112"/>
        <v>1+0,0234337029352019i</v>
      </c>
      <c r="AT140">
        <f t="shared" si="137"/>
        <v>1.0002745315328463</v>
      </c>
      <c r="AU140">
        <f t="shared" si="138"/>
        <v>2.3429414898976819E-2</v>
      </c>
      <c r="AV140" t="str">
        <f t="shared" si="113"/>
        <v>1+0,0234337029352019i</v>
      </c>
      <c r="AW140">
        <f t="shared" si="139"/>
        <v>1.0002745315328463</v>
      </c>
      <c r="AX140">
        <f t="shared" si="140"/>
        <v>2.3429414898976819E-2</v>
      </c>
      <c r="AY140" t="str">
        <f t="shared" si="114"/>
        <v>1-0,640103701983316i</v>
      </c>
      <c r="AZ140">
        <f t="shared" si="141"/>
        <v>1.1873216705226708</v>
      </c>
      <c r="BA140">
        <f t="shared" si="142"/>
        <v>-0.56938675601317568</v>
      </c>
      <c r="BB140" s="58" t="str">
        <f t="shared" si="143"/>
        <v>-1,34352073816087+0,905052044724342i</v>
      </c>
      <c r="BC140">
        <f t="shared" si="144"/>
        <v>4.189914991354752</v>
      </c>
      <c r="BD140" s="60">
        <f t="shared" si="145"/>
        <v>146.03413537962754</v>
      </c>
      <c r="BE140" s="58" t="str">
        <f t="shared" si="146"/>
        <v>-3,37808964803805+23,9725344748426i</v>
      </c>
      <c r="BF140" s="37">
        <f t="shared" si="147"/>
        <v>27.679672004404857</v>
      </c>
      <c r="BG140" s="60">
        <f t="shared" si="148"/>
        <v>98.021021658469365</v>
      </c>
      <c r="BH140" s="58" t="str">
        <f t="shared" si="149"/>
        <v>-23,0772595268363+42,8219436715594i</v>
      </c>
      <c r="BI140" s="37">
        <f t="shared" si="150"/>
        <v>33.740659067638447</v>
      </c>
      <c r="BJ140" s="60">
        <f t="shared" si="151"/>
        <v>118.3207605475676</v>
      </c>
      <c r="BK140">
        <f t="shared" si="152"/>
        <v>27.679672004404857</v>
      </c>
      <c r="BL140" s="60">
        <f t="shared" si="153"/>
        <v>98.021021658469365</v>
      </c>
      <c r="BN140">
        <f t="shared" si="154"/>
        <v>0</v>
      </c>
      <c r="BO140">
        <f t="shared" si="155"/>
        <v>0</v>
      </c>
    </row>
    <row r="141" spans="13:67" x14ac:dyDescent="0.25">
      <c r="M141" s="66">
        <v>23</v>
      </c>
      <c r="N141" s="36">
        <f t="shared" si="156"/>
        <v>169.82436524617444</v>
      </c>
      <c r="O141" s="91" t="str">
        <f t="shared" si="103"/>
        <v>22,5</v>
      </c>
      <c r="P141" s="67" t="str">
        <f t="shared" si="104"/>
        <v>1+1,15240099303713i</v>
      </c>
      <c r="Q141" s="67">
        <f t="shared" si="116"/>
        <v>1.5257876814134277</v>
      </c>
      <c r="R141" s="67">
        <f t="shared" si="117"/>
        <v>0.8560853059590211</v>
      </c>
      <c r="S141" s="67" t="str">
        <f t="shared" si="105"/>
        <v>1+0,0320111386954758i</v>
      </c>
      <c r="T141" s="67">
        <f t="shared" si="118"/>
        <v>1.0005122253129048</v>
      </c>
      <c r="U141" s="67">
        <f t="shared" si="119"/>
        <v>3.2000211336471969E-2</v>
      </c>
      <c r="V141" t="str">
        <f t="shared" si="106"/>
        <v>1-0,00666898722822413i</v>
      </c>
      <c r="W141" s="67">
        <f t="shared" si="120"/>
        <v>1.0000222374480729</v>
      </c>
      <c r="X141" s="67">
        <f t="shared" si="121"/>
        <v>-6.6688883622583062E-3</v>
      </c>
      <c r="Y141" t="str">
        <f t="shared" si="107"/>
        <v>0,999998154219838+0,0184953245796082i</v>
      </c>
      <c r="Z141" s="67">
        <f t="shared" si="122"/>
        <v>1.0001691784265239</v>
      </c>
      <c r="AA141" s="67">
        <f t="shared" si="123"/>
        <v>1.8493250197138641E-2</v>
      </c>
      <c r="AB141" s="92" t="str">
        <f t="shared" si="124"/>
        <v>9,7443239403245-11,0754569536278i</v>
      </c>
      <c r="AC141" s="37">
        <f t="shared" si="125"/>
        <v>23.376940079547222</v>
      </c>
      <c r="AD141" s="60">
        <f t="shared" si="126"/>
        <v>-48.658282224488147</v>
      </c>
      <c r="AE141" t="str">
        <f t="shared" si="127"/>
        <v>34,4450883806789</v>
      </c>
      <c r="AF141" t="str">
        <f t="shared" si="108"/>
        <v>1+0,576200496518565i</v>
      </c>
      <c r="AG141">
        <f t="shared" si="128"/>
        <v>1.1541260815821817</v>
      </c>
      <c r="AH141">
        <f t="shared" si="129"/>
        <v>0.5227360167705285</v>
      </c>
      <c r="AI141" t="str">
        <f t="shared" si="109"/>
        <v>1+0,0320111386954758i</v>
      </c>
      <c r="AJ141">
        <f t="shared" si="130"/>
        <v>1.0005122253129048</v>
      </c>
      <c r="AK141">
        <f t="shared" si="131"/>
        <v>3.2000211336471969E-2</v>
      </c>
      <c r="AL141" t="str">
        <f t="shared" si="110"/>
        <v>1-0,00217808210803827i</v>
      </c>
      <c r="AM141">
        <f t="shared" si="132"/>
        <v>1.0000023720180213</v>
      </c>
      <c r="AN141">
        <f t="shared" si="133"/>
        <v>-2.1780786637439807E-3</v>
      </c>
      <c r="AO141" s="58" t="str">
        <f t="shared" si="134"/>
        <v>26,305863715267-14,1298494632665i</v>
      </c>
      <c r="AP141">
        <f t="shared" si="135"/>
        <v>29.501949553622765</v>
      </c>
      <c r="AQ141" s="60">
        <f t="shared" si="136"/>
        <v>-28.241885222204644</v>
      </c>
      <c r="AR141" t="str">
        <f t="shared" si="111"/>
        <v>-1,36472945891784</v>
      </c>
      <c r="AS141" t="str">
        <f t="shared" si="112"/>
        <v>1+0,023979543996781i</v>
      </c>
      <c r="AT141">
        <f t="shared" si="137"/>
        <v>1.0002874679462368</v>
      </c>
      <c r="AU141">
        <f t="shared" si="138"/>
        <v>2.3974949354497482E-2</v>
      </c>
      <c r="AV141" t="str">
        <f t="shared" si="113"/>
        <v>1+0,023979543996781i</v>
      </c>
      <c r="AW141">
        <f t="shared" si="139"/>
        <v>1.0002874679462368</v>
      </c>
      <c r="AX141">
        <f t="shared" si="140"/>
        <v>2.3974949354497482E-2</v>
      </c>
      <c r="AY141" t="str">
        <f t="shared" si="114"/>
        <v>1-0,625533162849704i</v>
      </c>
      <c r="AZ141">
        <f t="shared" si="141"/>
        <v>1.1795303039026823</v>
      </c>
      <c r="BA141">
        <f t="shared" si="142"/>
        <v>-0.55898262147981237</v>
      </c>
      <c r="BB141" s="58" t="str">
        <f t="shared" si="143"/>
        <v>-1,34348598769596+0,885899716222056i</v>
      </c>
      <c r="BC141">
        <f t="shared" si="144"/>
        <v>4.132616830586838</v>
      </c>
      <c r="BD141" s="60">
        <f t="shared" si="145"/>
        <v>146.59899155599535</v>
      </c>
      <c r="BE141" s="58" t="str">
        <f t="shared" si="146"/>
        <v>-3,27961850114778+23,512215038038i</v>
      </c>
      <c r="BF141" s="37">
        <f t="shared" si="147"/>
        <v>27.509556910134062</v>
      </c>
      <c r="BG141" s="60">
        <f t="shared" si="148"/>
        <v>97.940709331507179</v>
      </c>
      <c r="BH141" s="58" t="str">
        <f t="shared" si="149"/>
        <v>-22,8239296659326+42,2876119624829i</v>
      </c>
      <c r="BI141" s="37">
        <f t="shared" si="150"/>
        <v>33.634566384209592</v>
      </c>
      <c r="BJ141" s="60">
        <f t="shared" si="151"/>
        <v>118.35710633379068</v>
      </c>
      <c r="BK141">
        <f t="shared" si="152"/>
        <v>27.509556910134062</v>
      </c>
      <c r="BL141" s="60">
        <f t="shared" si="153"/>
        <v>97.940709331507179</v>
      </c>
      <c r="BN141">
        <f t="shared" si="154"/>
        <v>0</v>
      </c>
      <c r="BO141">
        <f t="shared" si="155"/>
        <v>0</v>
      </c>
    </row>
    <row r="142" spans="13:67" x14ac:dyDescent="0.25">
      <c r="M142" s="66">
        <v>24</v>
      </c>
      <c r="N142" s="36">
        <f t="shared" si="156"/>
        <v>173.78008287493768</v>
      </c>
      <c r="O142" s="91" t="str">
        <f t="shared" si="103"/>
        <v>22,5</v>
      </c>
      <c r="P142" s="67" t="str">
        <f t="shared" si="104"/>
        <v>1+1,17924386047228i</v>
      </c>
      <c r="Q142" s="67">
        <f t="shared" si="116"/>
        <v>1.546161725842923</v>
      </c>
      <c r="R142" s="67">
        <f t="shared" si="117"/>
        <v>0.86746391709160242</v>
      </c>
      <c r="S142" s="67" t="str">
        <f t="shared" si="105"/>
        <v>1+0,0327567739020078i</v>
      </c>
      <c r="T142" s="67">
        <f t="shared" si="118"/>
        <v>1.0005363592775962</v>
      </c>
      <c r="U142" s="67">
        <f t="shared" si="119"/>
        <v>3.2745065364856156E-2</v>
      </c>
      <c r="V142" t="str">
        <f t="shared" si="106"/>
        <v>1-0,00682432789625163i</v>
      </c>
      <c r="W142" s="67">
        <f t="shared" si="120"/>
        <v>1.0000232854545117</v>
      </c>
      <c r="X142" s="67">
        <f t="shared" si="121"/>
        <v>-6.8242219595938437E-3</v>
      </c>
      <c r="Y142" t="str">
        <f t="shared" si="107"/>
        <v>0,999998067230899+0,0189261360322712i</v>
      </c>
      <c r="Z142" s="67">
        <f t="shared" si="122"/>
        <v>1.0001771508541102</v>
      </c>
      <c r="AA142" s="67">
        <f t="shared" si="123"/>
        <v>1.8923913312670234E-2</v>
      </c>
      <c r="AB142" s="92" t="str">
        <f t="shared" si="124"/>
        <v>9,4928554186355-11,036901621074i</v>
      </c>
      <c r="AC142" s="37">
        <f t="shared" si="125"/>
        <v>23.261873178621318</v>
      </c>
      <c r="AD142" s="60">
        <f t="shared" si="126"/>
        <v>-49.301126765381582</v>
      </c>
      <c r="AE142" t="str">
        <f t="shared" si="127"/>
        <v>34,4450883806789</v>
      </c>
      <c r="AF142" t="str">
        <f t="shared" si="108"/>
        <v>1+0,589621930236141i</v>
      </c>
      <c r="AG142">
        <f t="shared" si="128"/>
        <v>1.1608850161042621</v>
      </c>
      <c r="AH142">
        <f t="shared" si="129"/>
        <v>0.53275361739432125</v>
      </c>
      <c r="AI142" t="str">
        <f t="shared" si="109"/>
        <v>1+0,0327567739020078i</v>
      </c>
      <c r="AJ142">
        <f t="shared" si="130"/>
        <v>1.0005363592775962</v>
      </c>
      <c r="AK142">
        <f t="shared" si="131"/>
        <v>3.2745065364856156E-2</v>
      </c>
      <c r="AL142" t="str">
        <f t="shared" si="110"/>
        <v>1-0,00222881615776766i</v>
      </c>
      <c r="AM142">
        <f t="shared" si="132"/>
        <v>1.0000024838076478</v>
      </c>
      <c r="AN142">
        <f t="shared" si="133"/>
        <v>-2.2288124671403309E-3</v>
      </c>
      <c r="AO142" s="58" t="str">
        <f t="shared" si="134"/>
        <v>26,0212284640281-14,2911487514939i</v>
      </c>
      <c r="AP142">
        <f t="shared" si="135"/>
        <v>29.451441037811399</v>
      </c>
      <c r="AQ142" s="60">
        <f t="shared" si="136"/>
        <v>-28.776081299429102</v>
      </c>
      <c r="AR142" t="str">
        <f t="shared" si="111"/>
        <v>-1,36472945891784</v>
      </c>
      <c r="AS142" t="str">
        <f t="shared" si="112"/>
        <v>1+0,0245380993299941i</v>
      </c>
      <c r="AT142">
        <f t="shared" si="137"/>
        <v>1.0003010138546939</v>
      </c>
      <c r="AU142">
        <f t="shared" si="138"/>
        <v>2.4533176162098366E-2</v>
      </c>
      <c r="AV142" t="str">
        <f t="shared" si="113"/>
        <v>1+0,0245380993299941i</v>
      </c>
      <c r="AW142">
        <f t="shared" si="139"/>
        <v>1.0003010138546939</v>
      </c>
      <c r="AX142">
        <f t="shared" si="140"/>
        <v>2.4533176162098366E-2</v>
      </c>
      <c r="AY142" t="str">
        <f t="shared" si="114"/>
        <v>1-0,611294289678941i</v>
      </c>
      <c r="AZ142">
        <f t="shared" si="141"/>
        <v>1.1720412572064522</v>
      </c>
      <c r="BA142">
        <f t="shared" si="142"/>
        <v>-0.54868276204324362</v>
      </c>
      <c r="BB142" s="58" t="str">
        <f t="shared" si="143"/>
        <v>-1,34344960141877+0,867217024957561i</v>
      </c>
      <c r="BC142">
        <f t="shared" si="144"/>
        <v>4.0771751384730486</v>
      </c>
      <c r="BD142" s="60">
        <f t="shared" si="145"/>
        <v>147.15714599120213</v>
      </c>
      <c r="BE142" s="58" t="str">
        <f t="shared" si="146"/>
        <v>-3,1817838399148+23,0598869182314i</v>
      </c>
      <c r="BF142" s="37">
        <f t="shared" si="147"/>
        <v>27.339048317094377</v>
      </c>
      <c r="BG142" s="60">
        <f t="shared" si="148"/>
        <v>97.856019225820532</v>
      </c>
      <c r="BH142" s="58" t="str">
        <f t="shared" si="149"/>
        <v>-22,5646815049288+41,7654904283263i</v>
      </c>
      <c r="BI142" s="37">
        <f t="shared" si="150"/>
        <v>33.528616176284451</v>
      </c>
      <c r="BJ142" s="60">
        <f t="shared" si="151"/>
        <v>118.38106469177301</v>
      </c>
      <c r="BK142">
        <f t="shared" si="152"/>
        <v>27.339048317094377</v>
      </c>
      <c r="BL142" s="60">
        <f t="shared" si="153"/>
        <v>97.856019225820532</v>
      </c>
      <c r="BN142">
        <f t="shared" si="154"/>
        <v>0</v>
      </c>
      <c r="BO142">
        <f t="shared" si="155"/>
        <v>0</v>
      </c>
    </row>
    <row r="143" spans="13:67" x14ac:dyDescent="0.25">
      <c r="M143" s="66">
        <v>25</v>
      </c>
      <c r="N143" s="36">
        <f t="shared" si="156"/>
        <v>177.82794100389242</v>
      </c>
      <c r="O143" s="91" t="str">
        <f t="shared" si="103"/>
        <v>22,5</v>
      </c>
      <c r="P143" s="67" t="str">
        <f t="shared" si="104"/>
        <v>1+1,20671197861139i</v>
      </c>
      <c r="Q143" s="67">
        <f t="shared" si="116"/>
        <v>1.5672121105084071</v>
      </c>
      <c r="R143" s="67">
        <f t="shared" si="117"/>
        <v>0.87879980415697689</v>
      </c>
      <c r="S143" s="67" t="str">
        <f t="shared" si="105"/>
        <v>1+0,0335197771836498i</v>
      </c>
      <c r="T143" s="67">
        <f t="shared" si="118"/>
        <v>1.0005616300170828</v>
      </c>
      <c r="U143" s="67">
        <f t="shared" si="119"/>
        <v>3.3507231640366474E-2</v>
      </c>
      <c r="V143" t="str">
        <f t="shared" si="106"/>
        <v>1-0,00698328691326037i</v>
      </c>
      <c r="W143" s="67">
        <f t="shared" si="120"/>
        <v>1.0000243828507946</v>
      </c>
      <c r="X143" s="67">
        <f t="shared" si="121"/>
        <v>-6.9831734002358996E-3</v>
      </c>
      <c r="Y143" t="str">
        <f t="shared" si="107"/>
        <v>0,999997976142297+0,0193669823727754i</v>
      </c>
      <c r="Z143" s="67">
        <f t="shared" si="122"/>
        <v>1.0001854989425301</v>
      </c>
      <c r="AA143" s="67">
        <f t="shared" si="123"/>
        <v>1.9364600709668209E-2</v>
      </c>
      <c r="AB143" s="92" t="str">
        <f t="shared" si="124"/>
        <v>9,24327136184948-10,9928153480354i</v>
      </c>
      <c r="AC143" s="37">
        <f t="shared" si="125"/>
        <v>23.144572379923698</v>
      </c>
      <c r="AD143" s="60">
        <f t="shared" si="126"/>
        <v>-49.941313115019369</v>
      </c>
      <c r="AE143" t="str">
        <f t="shared" si="127"/>
        <v>34,4450883806789</v>
      </c>
      <c r="AF143" t="str">
        <f t="shared" si="108"/>
        <v>1+0,603355989305697i</v>
      </c>
      <c r="AG143">
        <f t="shared" si="128"/>
        <v>1.1679205665759365</v>
      </c>
      <c r="AH143">
        <f t="shared" si="129"/>
        <v>0.54288348633492789</v>
      </c>
      <c r="AI143" t="str">
        <f t="shared" si="109"/>
        <v>1+0,0335197771836498i</v>
      </c>
      <c r="AJ143">
        <f t="shared" si="130"/>
        <v>1.0005616300170828</v>
      </c>
      <c r="AK143">
        <f t="shared" si="131"/>
        <v>3.3507231640366474E-2</v>
      </c>
      <c r="AL143" t="str">
        <f t="shared" si="110"/>
        <v>1-0,00228073195532577i</v>
      </c>
      <c r="AM143">
        <f t="shared" si="132"/>
        <v>1.0000026008657439</v>
      </c>
      <c r="AN143">
        <f t="shared" si="133"/>
        <v>-2.2807280007478945E-3</v>
      </c>
      <c r="AO143" s="58" t="str">
        <f t="shared" si="134"/>
        <v>25,7301778071311-14,4484252120155i</v>
      </c>
      <c r="AP143">
        <f t="shared" si="135"/>
        <v>29.399179421330594</v>
      </c>
      <c r="AQ143" s="60">
        <f t="shared" si="136"/>
        <v>-29.315785666839535</v>
      </c>
      <c r="AR143" t="str">
        <f t="shared" si="111"/>
        <v>-1,36472945891784</v>
      </c>
      <c r="AS143" t="str">
        <f t="shared" si="112"/>
        <v>1+0,0251096650882721i</v>
      </c>
      <c r="AT143">
        <f t="shared" si="137"/>
        <v>1.0003151979655438</v>
      </c>
      <c r="AU143">
        <f t="shared" si="138"/>
        <v>2.5104389908599967E-2</v>
      </c>
      <c r="AV143" t="str">
        <f t="shared" si="113"/>
        <v>1+0,0251096650882721i</v>
      </c>
      <c r="AW143">
        <f t="shared" si="139"/>
        <v>1.0003151979655438</v>
      </c>
      <c r="AX143">
        <f t="shared" si="140"/>
        <v>2.5104389908599967E-2</v>
      </c>
      <c r="AY143" t="str">
        <f t="shared" si="114"/>
        <v>1-0,597379532832002i</v>
      </c>
      <c r="AZ143">
        <f t="shared" si="141"/>
        <v>1.1648443270439965</v>
      </c>
      <c r="BA143">
        <f t="shared" si="142"/>
        <v>-0.53849045842347887</v>
      </c>
      <c r="BB143" s="58" t="str">
        <f t="shared" si="143"/>
        <v>-1,34341150242156+0,848994059511948i</v>
      </c>
      <c r="BC143">
        <f t="shared" si="144"/>
        <v>4.0235517613699887</v>
      </c>
      <c r="BD143" s="60">
        <f t="shared" si="145"/>
        <v>147.70839383525612</v>
      </c>
      <c r="BE143" s="58" t="str">
        <f t="shared" si="146"/>
        <v>-3,08468213971857+22,6153570592141i</v>
      </c>
      <c r="BF143" s="37">
        <f t="shared" si="147"/>
        <v>27.168124141293667</v>
      </c>
      <c r="BG143" s="60">
        <f t="shared" si="148"/>
        <v>97.767080720236734</v>
      </c>
      <c r="BH143" s="58" t="str">
        <f t="shared" si="149"/>
        <v>-22,2995896511481+41,2549487301398i</v>
      </c>
      <c r="BI143" s="37">
        <f t="shared" si="150"/>
        <v>33.422731182700595</v>
      </c>
      <c r="BJ143" s="60">
        <f t="shared" si="151"/>
        <v>118.39260816841657</v>
      </c>
      <c r="BK143">
        <f t="shared" si="152"/>
        <v>27.168124141293667</v>
      </c>
      <c r="BL143" s="60">
        <f t="shared" si="153"/>
        <v>97.767080720236734</v>
      </c>
      <c r="BN143">
        <f t="shared" si="154"/>
        <v>0</v>
      </c>
      <c r="BO143">
        <f t="shared" si="155"/>
        <v>0</v>
      </c>
    </row>
    <row r="144" spans="13:67" x14ac:dyDescent="0.25">
      <c r="M144" s="66">
        <v>26</v>
      </c>
      <c r="N144" s="36">
        <f t="shared" si="156"/>
        <v>181.9700858609983</v>
      </c>
      <c r="O144" s="91" t="str">
        <f t="shared" si="103"/>
        <v>22,5</v>
      </c>
      <c r="P144" s="67" t="str">
        <f t="shared" si="104"/>
        <v>1+1,23481991141427i</v>
      </c>
      <c r="Q144" s="67">
        <f t="shared" si="116"/>
        <v>1.5889556990756997</v>
      </c>
      <c r="R144" s="67">
        <f t="shared" si="117"/>
        <v>0.89008732488277786</v>
      </c>
      <c r="S144" s="67" t="str">
        <f t="shared" si="105"/>
        <v>1+0,0343005530948409i</v>
      </c>
      <c r="T144" s="67">
        <f t="shared" si="118"/>
        <v>1.000588091045767</v>
      </c>
      <c r="U144" s="67">
        <f t="shared" si="119"/>
        <v>3.4287110729702287E-2</v>
      </c>
      <c r="V144" t="str">
        <f t="shared" si="106"/>
        <v>1-0,00714594856142519i</v>
      </c>
      <c r="W144" s="67">
        <f t="shared" si="120"/>
        <v>1.0000255319644806</v>
      </c>
      <c r="X144" s="67">
        <f t="shared" si="121"/>
        <v>-7.1458269301957937E-3</v>
      </c>
      <c r="Y144" t="str">
        <f t="shared" si="107"/>
        <v>0,999997880760823+0,0198180973436859i</v>
      </c>
      <c r="Z144" s="67">
        <f t="shared" si="122"/>
        <v>1.0001942403895661</v>
      </c>
      <c r="AA144" s="67">
        <f t="shared" si="123"/>
        <v>1.9815545372453457E-2</v>
      </c>
      <c r="AB144" s="92" t="str">
        <f t="shared" si="124"/>
        <v>8,99581210687842-10,9433111537033i</v>
      </c>
      <c r="AC144" s="37">
        <f t="shared" si="125"/>
        <v>23.025055952635501</v>
      </c>
      <c r="AD144" s="60">
        <f t="shared" si="126"/>
        <v>-50.578513220185847</v>
      </c>
      <c r="AE144" t="str">
        <f t="shared" si="127"/>
        <v>34,4450883806789</v>
      </c>
      <c r="AF144" t="str">
        <f t="shared" si="108"/>
        <v>1+0,617409955707137i</v>
      </c>
      <c r="AG144">
        <f t="shared" si="128"/>
        <v>1.175242550883131</v>
      </c>
      <c r="AH144">
        <f t="shared" si="129"/>
        <v>0.55312267832275763</v>
      </c>
      <c r="AI144" t="str">
        <f t="shared" si="109"/>
        <v>1+0,0343005530948409i</v>
      </c>
      <c r="AJ144">
        <f t="shared" si="130"/>
        <v>1.000588091045767</v>
      </c>
      <c r="AK144">
        <f t="shared" si="131"/>
        <v>3.4287110729702287E-2</v>
      </c>
      <c r="AL144" t="str">
        <f t="shared" si="110"/>
        <v>1-0,00233385702715563i</v>
      </c>
      <c r="AM144">
        <f t="shared" si="132"/>
        <v>1.000002723440603</v>
      </c>
      <c r="AN144">
        <f t="shared" si="133"/>
        <v>-2.3338527897497153E-3</v>
      </c>
      <c r="AO144" s="58" t="str">
        <f t="shared" si="134"/>
        <v>25,4328113484896-14,6013752568892i</v>
      </c>
      <c r="AP144">
        <f t="shared" si="135"/>
        <v>29.345126173351108</v>
      </c>
      <c r="AQ144" s="60">
        <f t="shared" si="136"/>
        <v>-29.860808199214087</v>
      </c>
      <c r="AR144" t="str">
        <f t="shared" si="111"/>
        <v>-1,36472945891784</v>
      </c>
      <c r="AS144" t="str">
        <f t="shared" si="112"/>
        <v>1+0,0256945443233453i</v>
      </c>
      <c r="AT144">
        <f t="shared" si="137"/>
        <v>1.0003300503373795</v>
      </c>
      <c r="AU144">
        <f t="shared" si="138"/>
        <v>2.5688891967208631E-2</v>
      </c>
      <c r="AV144" t="str">
        <f t="shared" si="113"/>
        <v>1+0,0256945443233453i</v>
      </c>
      <c r="AW144">
        <f t="shared" si="139"/>
        <v>1.0003300503373795</v>
      </c>
      <c r="AX144">
        <f t="shared" si="140"/>
        <v>2.5688891967208631E-2</v>
      </c>
      <c r="AY144" t="str">
        <f t="shared" si="114"/>
        <v>1-0,583781514520631i</v>
      </c>
      <c r="AZ144">
        <f t="shared" si="141"/>
        <v>1.157929556016255</v>
      </c>
      <c r="BA144">
        <f t="shared" si="142"/>
        <v>-0.52840877745230763</v>
      </c>
      <c r="BB144" s="58" t="str">
        <f t="shared" si="143"/>
        <v>-1,34337161018993+0,831221151818727i</v>
      </c>
      <c r="BC144">
        <f t="shared" si="144"/>
        <v>3.9717078057286499</v>
      </c>
      <c r="BD144" s="60">
        <f t="shared" si="145"/>
        <v>148.25254210422659</v>
      </c>
      <c r="BE144" s="58" t="str">
        <f t="shared" si="146"/>
        <v>-2,98840689309135+22,1784428263842i</v>
      </c>
      <c r="BF144" s="37">
        <f t="shared" si="147"/>
        <v>26.996763758364168</v>
      </c>
      <c r="BG144" s="60">
        <f t="shared" si="148"/>
        <v>97.674028884040723</v>
      </c>
      <c r="BH144" s="58" t="str">
        <f t="shared" si="149"/>
        <v>-22,0287447737083+40,7553637329146i</v>
      </c>
      <c r="BI144" s="37">
        <f t="shared" si="150"/>
        <v>33.31683397907976</v>
      </c>
      <c r="BJ144" s="60">
        <f t="shared" si="151"/>
        <v>118.39173390501249</v>
      </c>
      <c r="BK144">
        <f t="shared" si="152"/>
        <v>26.996763758364168</v>
      </c>
      <c r="BL144" s="60">
        <f t="shared" si="153"/>
        <v>97.674028884040723</v>
      </c>
      <c r="BN144">
        <f t="shared" si="154"/>
        <v>0</v>
      </c>
      <c r="BO144">
        <f t="shared" si="155"/>
        <v>0</v>
      </c>
    </row>
    <row r="145" spans="13:67" x14ac:dyDescent="0.25">
      <c r="M145" s="66">
        <v>27</v>
      </c>
      <c r="N145" s="36">
        <f t="shared" si="156"/>
        <v>186.20871366628685</v>
      </c>
      <c r="O145" s="91" t="str">
        <f t="shared" si="103"/>
        <v>22,5</v>
      </c>
      <c r="P145" s="67" t="str">
        <f t="shared" si="104"/>
        <v>1+1,26358256207897i</v>
      </c>
      <c r="Q145" s="67">
        <f t="shared" si="116"/>
        <v>1.6114095975853111</v>
      </c>
      <c r="R145" s="67">
        <f t="shared" si="117"/>
        <v>0.90132095980812488</v>
      </c>
      <c r="S145" s="67" t="str">
        <f t="shared" si="105"/>
        <v>1+0,0350995156133046i</v>
      </c>
      <c r="T145" s="67">
        <f t="shared" si="118"/>
        <v>1.0006157983943131</v>
      </c>
      <c r="U145" s="67">
        <f t="shared" si="119"/>
        <v>3.5085112338261004E-2</v>
      </c>
      <c r="V145" t="str">
        <f t="shared" si="106"/>
        <v>1-0,00731239908610513i</v>
      </c>
      <c r="W145" s="67">
        <f t="shared" si="120"/>
        <v>1.0000267352328109</v>
      </c>
      <c r="X145" s="67">
        <f t="shared" si="121"/>
        <v>-7.3122687560828944E-3</v>
      </c>
      <c r="Y145" t="str">
        <f t="shared" si="107"/>
        <v>0,999997780884157+0,0202797201321315i</v>
      </c>
      <c r="Z145" s="67">
        <f t="shared" si="122"/>
        <v>1.0002033937264341</v>
      </c>
      <c r="AA145" s="67">
        <f t="shared" si="123"/>
        <v>2.0276985675720165E-2</v>
      </c>
      <c r="AB145" s="92" t="str">
        <f t="shared" si="124"/>
        <v>8,75070945180055-10,8885145946733i</v>
      </c>
      <c r="AC145" s="37">
        <f t="shared" si="125"/>
        <v>22.903344293639222</v>
      </c>
      <c r="AD145" s="60">
        <f t="shared" si="126"/>
        <v>-51.21240596181616</v>
      </c>
      <c r="AE145" t="str">
        <f t="shared" si="127"/>
        <v>34,4450883806789</v>
      </c>
      <c r="AF145" t="str">
        <f t="shared" si="108"/>
        <v>1+0,631791281039483i</v>
      </c>
      <c r="AG145">
        <f t="shared" si="128"/>
        <v>1.1828610327496256</v>
      </c>
      <c r="AH145">
        <f t="shared" si="129"/>
        <v>0.56346803398116296</v>
      </c>
      <c r="AI145" t="str">
        <f t="shared" si="109"/>
        <v>1+0,0350995156133046i</v>
      </c>
      <c r="AJ145">
        <f t="shared" si="130"/>
        <v>1.0006157983943131</v>
      </c>
      <c r="AK145">
        <f t="shared" si="131"/>
        <v>3.5085112338261004E-2</v>
      </c>
      <c r="AL145" t="str">
        <f t="shared" si="110"/>
        <v>1-0,00238821954087354i</v>
      </c>
      <c r="AM145">
        <f t="shared" si="132"/>
        <v>1.0000028517922213</v>
      </c>
      <c r="AN145">
        <f t="shared" si="133"/>
        <v>-2.3882150004119976E-3</v>
      </c>
      <c r="AO145" s="58" t="str">
        <f t="shared" si="134"/>
        <v>25,1292467357748-14,749695502491i</v>
      </c>
      <c r="AP145">
        <f t="shared" si="135"/>
        <v>29.289243450021974</v>
      </c>
      <c r="AQ145" s="60">
        <f t="shared" si="136"/>
        <v>-30.410946017023466</v>
      </c>
      <c r="AR145" t="str">
        <f t="shared" si="111"/>
        <v>-1,36472945891784</v>
      </c>
      <c r="AS145" t="str">
        <f t="shared" si="112"/>
        <v>1+0,0262930471459265i</v>
      </c>
      <c r="AT145">
        <f t="shared" si="137"/>
        <v>1.0003456024435844</v>
      </c>
      <c r="AU145">
        <f t="shared" si="138"/>
        <v>2.6286990650211464E-2</v>
      </c>
      <c r="AV145" t="str">
        <f t="shared" si="113"/>
        <v>1+0,0262930471459265i</v>
      </c>
      <c r="AW145">
        <f t="shared" si="139"/>
        <v>1.0003456024435844</v>
      </c>
      <c r="AX145">
        <f t="shared" si="140"/>
        <v>2.6286990650211464E-2</v>
      </c>
      <c r="AY145" t="str">
        <f t="shared" si="114"/>
        <v>1-0,570493024895516i</v>
      </c>
      <c r="AZ145">
        <f t="shared" si="141"/>
        <v>1.1512872323857481</v>
      </c>
      <c r="BA145">
        <f t="shared" si="142"/>
        <v>-0.51844057187099313</v>
      </c>
      <c r="BB145" s="58" t="str">
        <f t="shared" si="143"/>
        <v>-1,34332984043456+0,813888872009135i</v>
      </c>
      <c r="BC145">
        <f t="shared" si="144"/>
        <v>3.9216037481860062</v>
      </c>
      <c r="BD145" s="60">
        <f t="shared" si="145"/>
        <v>148.78940968308632</v>
      </c>
      <c r="BE145" s="58" t="str">
        <f t="shared" si="146"/>
        <v>-2,89304827026277+21,7489716180375i</v>
      </c>
      <c r="BF145" s="37">
        <f t="shared" si="147"/>
        <v>26.824948041825234</v>
      </c>
      <c r="BG145" s="60">
        <f t="shared" si="148"/>
        <v>97.57700372127016</v>
      </c>
      <c r="BH145" s="58" t="str">
        <f t="shared" si="149"/>
        <v>-21,7522539728084+40,2661203860386i</v>
      </c>
      <c r="BI145" s="37">
        <f t="shared" si="150"/>
        <v>33.210847198207986</v>
      </c>
      <c r="BJ145" s="60">
        <f t="shared" si="151"/>
        <v>118.3784636660628</v>
      </c>
      <c r="BK145">
        <f t="shared" si="152"/>
        <v>26.824948041825234</v>
      </c>
      <c r="BL145" s="60">
        <f t="shared" si="153"/>
        <v>97.57700372127016</v>
      </c>
      <c r="BN145">
        <f t="shared" si="154"/>
        <v>0</v>
      </c>
      <c r="BO145">
        <f t="shared" si="155"/>
        <v>0</v>
      </c>
    </row>
    <row r="146" spans="13:67" x14ac:dyDescent="0.25">
      <c r="M146" s="66">
        <v>28</v>
      </c>
      <c r="N146" s="36">
        <f t="shared" si="156"/>
        <v>190.54607179632498</v>
      </c>
      <c r="O146" s="91" t="str">
        <f t="shared" si="103"/>
        <v>22,5</v>
      </c>
      <c r="P146" s="67" t="str">
        <f t="shared" si="104"/>
        <v>1+1,29301518094358i</v>
      </c>
      <c r="Q146" s="67">
        <f t="shared" si="116"/>
        <v>1.6345911593271754</v>
      </c>
      <c r="R146" s="67">
        <f t="shared" si="117"/>
        <v>0.91249532480847817</v>
      </c>
      <c r="S146" s="67" t="str">
        <f t="shared" si="105"/>
        <v>1+0,0359170883595438i</v>
      </c>
      <c r="T146" s="67">
        <f t="shared" si="118"/>
        <v>1.0006448107276764</v>
      </c>
      <c r="U146" s="67">
        <f t="shared" si="119"/>
        <v>3.5901655509354438E-2</v>
      </c>
      <c r="V146" t="str">
        <f t="shared" si="106"/>
        <v>1-0,00748272674157162i</v>
      </c>
      <c r="W146" s="67">
        <f t="shared" si="120"/>
        <v>1.0000279952078788</v>
      </c>
      <c r="X146" s="67">
        <f t="shared" si="121"/>
        <v>-7.4825870906478874E-3</v>
      </c>
      <c r="Y146" t="str">
        <f t="shared" si="107"/>
        <v>0,999997676300449+0,0207520954966253i</v>
      </c>
      <c r="Z146" s="67">
        <f t="shared" si="122"/>
        <v>1.0002129783570091</v>
      </c>
      <c r="AA146" s="67">
        <f t="shared" si="123"/>
        <v>2.0749165507485241E-2</v>
      </c>
      <c r="AB146" s="92" t="str">
        <f t="shared" si="124"/>
        <v>8,50818585473198-10,8285630097729i</v>
      </c>
      <c r="AC146" s="37">
        <f t="shared" si="125"/>
        <v>22.779459848232829</v>
      </c>
      <c r="AD146" s="60">
        <f t="shared" si="126"/>
        <v>-51.842677870856924</v>
      </c>
      <c r="AE146" t="str">
        <f t="shared" si="127"/>
        <v>34,4450883806789</v>
      </c>
      <c r="AF146" t="str">
        <f t="shared" si="108"/>
        <v>1+0,646507590471789i</v>
      </c>
      <c r="AG146">
        <f t="shared" si="128"/>
        <v>1.1907863219476609</v>
      </c>
      <c r="AH146">
        <f t="shared" si="129"/>
        <v>0.57391618039939218</v>
      </c>
      <c r="AI146" t="str">
        <f t="shared" si="109"/>
        <v>1+0,0359170883595438i</v>
      </c>
      <c r="AJ146">
        <f t="shared" si="130"/>
        <v>1.0006448107276764</v>
      </c>
      <c r="AK146">
        <f t="shared" si="131"/>
        <v>3.5901655509354438E-2</v>
      </c>
      <c r="AL146" t="str">
        <f t="shared" si="110"/>
        <v>1-0,00244384832020388i</v>
      </c>
      <c r="AM146">
        <f t="shared" si="132"/>
        <v>1.0000029861928474</v>
      </c>
      <c r="AN146">
        <f t="shared" si="133"/>
        <v>-2.4438434550124672E-3</v>
      </c>
      <c r="AO146" s="58" t="str">
        <f t="shared" si="134"/>
        <v>24,8196199796654-14,8930839979362i</v>
      </c>
      <c r="AP146">
        <f t="shared" si="135"/>
        <v>29.231494207028238</v>
      </c>
      <c r="AQ146" s="60">
        <f t="shared" si="136"/>
        <v>-30.965983508698216</v>
      </c>
      <c r="AR146" t="str">
        <f t="shared" si="111"/>
        <v>-1,36472945891784</v>
      </c>
      <c r="AS146" t="str">
        <f t="shared" si="112"/>
        <v>1+0,0269054908901343i</v>
      </c>
      <c r="AT146">
        <f t="shared" si="137"/>
        <v>1.0003618872388327</v>
      </c>
      <c r="AU146">
        <f t="shared" si="138"/>
        <v>2.6899001364842023E-2</v>
      </c>
      <c r="AV146" t="str">
        <f t="shared" si="113"/>
        <v>1+0,0269054908901343i</v>
      </c>
      <c r="AW146">
        <f t="shared" si="139"/>
        <v>1.0003618872388327</v>
      </c>
      <c r="AX146">
        <f t="shared" si="140"/>
        <v>2.6899001364842023E-2</v>
      </c>
      <c r="AY146" t="str">
        <f t="shared" si="114"/>
        <v>1-0,557507018223564i</v>
      </c>
      <c r="AZ146">
        <f t="shared" si="141"/>
        <v>1.1449078894690741</v>
      </c>
      <c r="BA146">
        <f t="shared" si="142"/>
        <v>-0.50858848095481524</v>
      </c>
      <c r="BB146" s="58" t="str">
        <f t="shared" si="143"/>
        <v>-1,3432861049152+0,796988023381783i</v>
      </c>
      <c r="BC146">
        <f t="shared" si="144"/>
        <v>3.8731995431834836</v>
      </c>
      <c r="BD146" s="60">
        <f t="shared" si="145"/>
        <v>149.31882728099743</v>
      </c>
      <c r="BE146" s="58" t="str">
        <f t="shared" si="146"/>
        <v>-2,79869280747353+21,3267804541543i</v>
      </c>
      <c r="BF146" s="37">
        <f t="shared" si="147"/>
        <v>26.652659391416297</v>
      </c>
      <c r="BG146" s="60">
        <f t="shared" si="148"/>
        <v>97.476149410140522</v>
      </c>
      <c r="BH146" s="58" t="str">
        <f t="shared" si="149"/>
        <v>-21,4702410703862+39,7866126624431i</v>
      </c>
      <c r="BI146" s="37">
        <f t="shared" si="150"/>
        <v>33.104693750211716</v>
      </c>
      <c r="BJ146" s="60">
        <f t="shared" si="151"/>
        <v>118.35284377229927</v>
      </c>
      <c r="BK146">
        <f t="shared" si="152"/>
        <v>26.652659391416297</v>
      </c>
      <c r="BL146" s="60">
        <f t="shared" si="153"/>
        <v>97.476149410140522</v>
      </c>
      <c r="BN146">
        <f t="shared" si="154"/>
        <v>0</v>
      </c>
      <c r="BO146">
        <f t="shared" si="155"/>
        <v>0</v>
      </c>
    </row>
    <row r="147" spans="13:67" x14ac:dyDescent="0.25">
      <c r="M147" s="66">
        <v>29</v>
      </c>
      <c r="N147" s="36">
        <f t="shared" si="156"/>
        <v>194.98445997580458</v>
      </c>
      <c r="O147" s="91" t="str">
        <f t="shared" ref="O147:O210" si="157">COMPLEX(adc,0)</f>
        <v>22,5</v>
      </c>
      <c r="P147" s="67" t="str">
        <f t="shared" ref="P147:P210" si="158">IMSUM(COMPLEX(1,0),IMDIV(COMPLEX(0,2*PI()*N147),COMPLEX(wp_lf,0)))</f>
        <v>1+1,32313337357219i</v>
      </c>
      <c r="Q147" s="67">
        <f t="shared" si="116"/>
        <v>1.6585179903336968</v>
      </c>
      <c r="R147" s="67">
        <f t="shared" si="117"/>
        <v>0.92360518281296233</v>
      </c>
      <c r="S147" s="67" t="str">
        <f t="shared" ref="S147:S210" si="159">IMSUM(COMPLEX(1,0),IMDIV(COMPLEX(0,2*PI()*N147),COMPLEX(wz_esr,0)))</f>
        <v>1+0,0367537048214496i</v>
      </c>
      <c r="T147" s="67">
        <f t="shared" si="118"/>
        <v>1.0006751894686419</v>
      </c>
      <c r="U147" s="67">
        <f t="shared" si="119"/>
        <v>3.6737168827097745E-2</v>
      </c>
      <c r="V147" t="str">
        <f t="shared" ref="V147:V210" si="160">IMSUB(COMPLEX(1,0),IMDIV(COMPLEX(0,2*PI()*N147),COMPLEX(wz_rhp,0)))</f>
        <v>1-0,007657021837802i</v>
      </c>
      <c r="W147" s="67">
        <f t="shared" si="120"/>
        <v>1.0000293145620405</v>
      </c>
      <c r="X147" s="67">
        <f t="shared" si="121"/>
        <v>-7.6568721993781324E-3</v>
      </c>
      <c r="Y147" t="str">
        <f t="shared" ref="Y147:Y210" si="161">IMSUM(COMPLEX(1,0),IMDIV(COMPLEX(0,2*PI()*N147),COMPLEX(Q*(wsl/2),0)),IMDIV(IMPOWER(COMPLEX(0,2*PI()*N147),2),IMPOWER(COMPLEX(wsl/2,0),2)))</f>
        <v>0,999997566787864+0,0212354738968375i</v>
      </c>
      <c r="Z147" s="67">
        <f t="shared" si="122"/>
        <v>1.0002230145988804</v>
      </c>
      <c r="AA147" s="67">
        <f t="shared" si="123"/>
        <v>2.1232334394714017E-2</v>
      </c>
      <c r="AB147" s="92" t="str">
        <f t="shared" si="124"/>
        <v>8,268453709269-10,7636047082628i</v>
      </c>
      <c r="AC147" s="37">
        <f t="shared" si="125"/>
        <v>22.653427024050284</v>
      </c>
      <c r="AD147" s="60">
        <f t="shared" si="126"/>
        <v>-52.469023797862491</v>
      </c>
      <c r="AE147" t="str">
        <f t="shared" si="127"/>
        <v>34,4450883806789</v>
      </c>
      <c r="AF147" t="str">
        <f t="shared" ref="AF147:AF210" si="162">IMSUM(COMPLEX(1,0),IMDIV(COMPLEX(0,2*PI()*N147),COMPLEX(wp_lf_DCM,0)))</f>
        <v>1+0,661566686786094i</v>
      </c>
      <c r="AG147">
        <f t="shared" si="128"/>
        <v>1.1990289742392091</v>
      </c>
      <c r="AH147">
        <f t="shared" si="129"/>
        <v>0.58446353259087946</v>
      </c>
      <c r="AI147" t="str">
        <f t="shared" ref="AI147:AI210" si="163">IMSUM(COMPLEX(1,0),IMDIV(COMPLEX(0,2*PI()*N147),COMPLEX(wz1_dcm,0)))</f>
        <v>1+0,0367537048214496i</v>
      </c>
      <c r="AJ147">
        <f t="shared" si="130"/>
        <v>1.0006751894686419</v>
      </c>
      <c r="AK147">
        <f t="shared" si="131"/>
        <v>3.6737168827097745E-2</v>
      </c>
      <c r="AL147" t="str">
        <f t="shared" ref="AL147:AL210" si="164">IMSUB(COMPLEX(1,0),IMDIV(COMPLEX(0,2*PI()*N147),COMPLEX(wz2_dcm,0)))</f>
        <v>1-0,0025007728602617i</v>
      </c>
      <c r="AM147">
        <f t="shared" si="132"/>
        <v>1.0000031269275604</v>
      </c>
      <c r="AN147">
        <f t="shared" si="133"/>
        <v>-2.5007676471160579E-3</v>
      </c>
      <c r="AO147" s="58" t="str">
        <f t="shared" si="134"/>
        <v>24,5040856788474-15,0312415065772i</v>
      </c>
      <c r="AP147">
        <f t="shared" si="135"/>
        <v>29.171842313866456</v>
      </c>
      <c r="AQ147" s="60">
        <f t="shared" si="136"/>
        <v>-31.525692403434654</v>
      </c>
      <c r="AR147" t="str">
        <f t="shared" ref="AR147:AR210" si="165">COMPLEX(adc_ea,0)</f>
        <v>-1,36472945891784</v>
      </c>
      <c r="AS147" t="str">
        <f t="shared" ref="AS147:AS210" si="166">IMSUM(COMPLEX(1,0), IMDIV(COMPLEX(0,2*PI()*N147), COMPLEX(wp0_ea,0)))</f>
        <v>1+0,0275322002817479i</v>
      </c>
      <c r="AT147">
        <f t="shared" si="137"/>
        <v>1.0003789392287075</v>
      </c>
      <c r="AU147">
        <f t="shared" si="138"/>
        <v>2.7525246772367635E-2</v>
      </c>
      <c r="AV147" t="str">
        <f t="shared" ref="AV147:AV210" si="167">IMSUM(COMPLEX(1,0),IMDIV(COMPLEX(0,2*PI()*N147),COMPLEX(wp1_ea,0)))</f>
        <v>1+0,0275322002817479i</v>
      </c>
      <c r="AW147">
        <f t="shared" si="139"/>
        <v>1.0003789392287075</v>
      </c>
      <c r="AX147">
        <f t="shared" si="140"/>
        <v>2.7525246772367635E-2</v>
      </c>
      <c r="AY147" t="str">
        <f t="shared" ref="AY147:AY210" si="168">IMSUM(COMPLEX(1,0),IMDIV(COMPLEX(wz_ea,0),COMPLEX(0,2*PI()*N147)))</f>
        <v>1-0,544816609152159i</v>
      </c>
      <c r="AZ147">
        <f t="shared" si="141"/>
        <v>1.1387823047483907</v>
      </c>
      <c r="BA147">
        <f t="shared" si="142"/>
        <v>-0.49885493191846431</v>
      </c>
      <c r="BB147" s="58" t="str">
        <f t="shared" si="143"/>
        <v>-1,34324031125653+0,78050963749371i</v>
      </c>
      <c r="BC147">
        <f t="shared" si="144"/>
        <v>3.8264547276292982</v>
      </c>
      <c r="BD147" s="60">
        <f t="shared" si="145"/>
        <v>149.84063734167324</v>
      </c>
      <c r="BE147" s="58" t="str">
        <f t="shared" si="146"/>
        <v>-2,70542312507691+20,9117155458242i</v>
      </c>
      <c r="BF147" s="37">
        <f t="shared" si="147"/>
        <v>26.479881751679564</v>
      </c>
      <c r="BG147" s="60">
        <f t="shared" si="148"/>
        <v>97.371613543810767</v>
      </c>
      <c r="BH147" s="58" t="str">
        <f t="shared" si="149"/>
        <v>-21,1828468149327+39,3162445501788i</v>
      </c>
      <c r="BI147" s="37">
        <f t="shared" si="150"/>
        <v>32.998297041495753</v>
      </c>
      <c r="BJ147" s="60">
        <f t="shared" si="151"/>
        <v>118.31494493823863</v>
      </c>
      <c r="BK147">
        <f t="shared" si="152"/>
        <v>26.479881751679564</v>
      </c>
      <c r="BL147" s="60">
        <f t="shared" si="153"/>
        <v>97.371613543810767</v>
      </c>
      <c r="BN147">
        <f t="shared" si="154"/>
        <v>0</v>
      </c>
      <c r="BO147">
        <f t="shared" si="155"/>
        <v>0</v>
      </c>
    </row>
    <row r="148" spans="13:67" x14ac:dyDescent="0.25">
      <c r="M148" s="66">
        <v>30</v>
      </c>
      <c r="N148" s="36">
        <f t="shared" si="156"/>
        <v>199.52623149688802</v>
      </c>
      <c r="O148" s="91" t="str">
        <f t="shared" si="157"/>
        <v>22,5</v>
      </c>
      <c r="P148" s="67" t="str">
        <f t="shared" si="158"/>
        <v>1+1,35395310902921i</v>
      </c>
      <c r="Q148" s="67">
        <f t="shared" ref="Q148:Q211" si="169">IMABS(P148)</f>
        <v>1.6832079554974375</v>
      </c>
      <c r="R148" s="67">
        <f t="shared" ref="R148:R211" si="170">IMARGUMENT(P148)</f>
        <v>0.9346454546602363</v>
      </c>
      <c r="S148" s="67" t="str">
        <f t="shared" si="159"/>
        <v>1+0,0376098085841448i</v>
      </c>
      <c r="T148" s="67">
        <f t="shared" ref="T148:T211" si="171">IMABS(S148)</f>
        <v>1.0007069989271267</v>
      </c>
      <c r="U148" s="67">
        <f t="shared" ref="U148:U211" si="172">IMARGUMENT(S148)</f>
        <v>3.7592090622989884E-2</v>
      </c>
      <c r="V148" t="str">
        <f t="shared" si="160"/>
        <v>1-0,0078353767883635i</v>
      </c>
      <c r="W148" s="67">
        <f t="shared" ref="W148:W211" si="173">IMABS(V148)</f>
        <v>1.0000306960935827</v>
      </c>
      <c r="X148" s="67">
        <f t="shared" ref="X148:X211" si="174">IMARGUMENT(V148)</f>
        <v>-7.835216448169334E-3</v>
      </c>
      <c r="Y148" t="str">
        <f t="shared" si="161"/>
        <v>0,999997452114109+0,0217301116263948i</v>
      </c>
      <c r="Z148" s="67">
        <f t="shared" ref="Z148:Z211" si="175">IMABS(Y148)</f>
        <v>1.0002335237263373</v>
      </c>
      <c r="AA148" s="67">
        <f t="shared" ref="AA148:AA211" si="176">IMARGUMENT(Y148)</f>
        <v>2.1726747631676466E-2</v>
      </c>
      <c r="AB148" s="92" t="str">
        <f t="shared" ref="AB148:AB211" si="177">(IMDIV(IMPRODUCT(O148,S148,V148),IMPRODUCT(P148,Y148)))</f>
        <v>8,03171470064903-10,6937981100671i</v>
      </c>
      <c r="AC148" s="37">
        <f t="shared" ref="AC148:AC211" si="178">20*LOG(IMABS(AB148))</f>
        <v>22.525272098894952</v>
      </c>
      <c r="AD148" s="60">
        <f t="shared" ref="AD148:AD211" si="179">(180/PI())*IMARGUMENT(AB148)</f>
        <v>-53.091147533239351</v>
      </c>
      <c r="AE148" t="str">
        <f t="shared" ref="AE148:AE211" si="180">COMPLEX($B$67,0)</f>
        <v>34,4450883806789</v>
      </c>
      <c r="AF148" t="str">
        <f t="shared" si="162"/>
        <v>1+0,676976554514607i</v>
      </c>
      <c r="AG148">
        <f t="shared" ref="AG148:AG211" si="181">IMABS(AF148)</f>
        <v>1.2075997910576453</v>
      </c>
      <c r="AH148">
        <f t="shared" ref="AH148:AH211" si="182">IMARGUMENT(AF148)</f>
        <v>0.59510629587162711</v>
      </c>
      <c r="AI148" t="str">
        <f t="shared" si="163"/>
        <v>1+0,0376098085841448i</v>
      </c>
      <c r="AJ148">
        <f t="shared" ref="AJ148:AJ211" si="183">IMABS(AI148)</f>
        <v>1.0007069989271267</v>
      </c>
      <c r="AK148">
        <f t="shared" ref="AK148:AK211" si="184">IMARGUMENT(AI148)</f>
        <v>3.7592090622989884E-2</v>
      </c>
      <c r="AL148" t="str">
        <f t="shared" si="164"/>
        <v>1-0,0025590233431917i</v>
      </c>
      <c r="AM148">
        <f t="shared" ref="AM148:AM211" si="185">IMABS(AL148)</f>
        <v>1.000003274294875</v>
      </c>
      <c r="AN148">
        <f t="shared" ref="AN148:AN211" si="186">IMARGUMENT(AL148)</f>
        <v>-2.5590177572064913E-3</v>
      </c>
      <c r="AO148" s="58" t="str">
        <f t="shared" ref="AO148:AO211" si="187">(IMDIV(IMPRODUCT(AE148,AI148,AL148),IMPRODUCT(AF148)))</f>
        <v>24,1828171433794-15,1638728327449i</v>
      </c>
      <c r="AP148">
        <f t="shared" ref="AP148:AP211" si="188">20*LOG(IMABS(AO148))</f>
        <v>29.110252669239767</v>
      </c>
      <c r="AQ148" s="60">
        <f t="shared" ref="AQ148:AQ211" si="189">(180/PI())*IMARGUMENT(AO148)</f>
        <v>-32.08983189652416</v>
      </c>
      <c r="AR148" t="str">
        <f t="shared" si="165"/>
        <v>-1,36472945891784</v>
      </c>
      <c r="AS148" t="str">
        <f t="shared" si="166"/>
        <v>1+0,0281735076103829i</v>
      </c>
      <c r="AT148">
        <f t="shared" ref="AT148:AT211" si="190">IMABS(AS148)</f>
        <v>1.0003967945425816</v>
      </c>
      <c r="AU148">
        <f t="shared" ref="AU148:AU211" si="191">IMARGUMENT(AS148)</f>
        <v>2.8166056950444475E-2</v>
      </c>
      <c r="AV148" t="str">
        <f t="shared" si="167"/>
        <v>1+0,0281735076103829i</v>
      </c>
      <c r="AW148">
        <f t="shared" ref="AW148:AW211" si="192">IMABS(AV148)</f>
        <v>1.0003967945425816</v>
      </c>
      <c r="AX148">
        <f t="shared" ref="AX148:AX211" si="193">IMARGUMENT(AV148)</f>
        <v>2.8166056950444475E-2</v>
      </c>
      <c r="AY148" t="str">
        <f t="shared" si="168"/>
        <v>1-0,532415069058423i</v>
      </c>
      <c r="AZ148">
        <f t="shared" ref="AZ148:AZ211" si="194">IMABS(AY148)</f>
        <v>1.1329014987016679</v>
      </c>
      <c r="BA148">
        <f t="shared" ref="BA148:BA211" si="195">IMARGUMENT(AY148)</f>
        <v>-0.48924214205303318</v>
      </c>
      <c r="BB148" s="58" t="str">
        <f t="shared" ref="BB148:BB211" si="196">IMDIV(IMPRODUCT(AR148,AY148), AS148)</f>
        <v>-1,34319236275557+0,764444969370108i</v>
      </c>
      <c r="BC148">
        <f t="shared" ref="BC148:BC211" si="197">20*LOG(IMABS(BB148))</f>
        <v>3.7813285221745496</v>
      </c>
      <c r="BD148" s="60">
        <f t="shared" ref="BD148:BD211" si="198">(180/PI())*IMARGUMENT(BB148)</f>
        <v>150.35469391163568</v>
      </c>
      <c r="BE148" s="58" t="str">
        <f t="shared" ref="BE148:BE211" si="199">IMPRODUCT(AB148,BB148)</f>
        <v>-2,61331767704305+20,5036318486192i</v>
      </c>
      <c r="BF148" s="37">
        <f t="shared" ref="BF148:BF211" si="200">20*LOG(IMABS(BE148))</f>
        <v>26.306600621069517</v>
      </c>
      <c r="BG148" s="60">
        <f t="shared" ref="BG148:BG211" si="201">(180/PI())*IMARGUMENT(BE148)</f>
        <v>97.263546378396327</v>
      </c>
      <c r="BH148" s="58" t="str">
        <f t="shared" ref="BH148:BH211" si="202">IMPRODUCT(AO148,BB148)</f>
        <v>-20,8902289937418+38,8544310891932i</v>
      </c>
      <c r="BI148" s="37">
        <f t="shared" ref="BI148:BI211" si="203">20*LOG(IMABS(BH148))</f>
        <v>32.891581191414318</v>
      </c>
      <c r="BJ148" s="60">
        <f t="shared" ref="BJ148:BJ211" si="204">(180/PI())*IMARGUMENT(BH148)</f>
        <v>118.26486201511156</v>
      </c>
      <c r="BK148">
        <f t="shared" ref="BK148:BK211" si="205">IF($B$19=0,BF148,BI148)</f>
        <v>26.306600621069517</v>
      </c>
      <c r="BL148" s="60">
        <f t="shared" ref="BL148:BL211" si="206">IF($B$19=0,BG148,BJ148)</f>
        <v>97.263546378396327</v>
      </c>
      <c r="BN148">
        <f t="shared" si="154"/>
        <v>0</v>
      </c>
      <c r="BO148">
        <f t="shared" si="155"/>
        <v>0</v>
      </c>
    </row>
    <row r="149" spans="13:67" x14ac:dyDescent="0.25">
      <c r="M149" s="66">
        <v>31</v>
      </c>
      <c r="N149" s="36">
        <f t="shared" si="156"/>
        <v>204.17379446695315</v>
      </c>
      <c r="O149" s="91" t="str">
        <f t="shared" si="157"/>
        <v>22,5</v>
      </c>
      <c r="P149" s="67" t="str">
        <f t="shared" si="158"/>
        <v>1+1,38549072834633i</v>
      </c>
      <c r="Q149" s="67">
        <f t="shared" si="169"/>
        <v>1.7086791853164374</v>
      </c>
      <c r="R149" s="67">
        <f t="shared" si="170"/>
        <v>0.94561122904804662</v>
      </c>
      <c r="S149" s="67" t="str">
        <f t="shared" si="159"/>
        <v>1+0,0384858535651758i</v>
      </c>
      <c r="T149" s="67">
        <f t="shared" si="171"/>
        <v>1.0007403064355109</v>
      </c>
      <c r="U149" s="67">
        <f t="shared" si="172"/>
        <v>3.8466869186190203E-2</v>
      </c>
      <c r="V149" t="str">
        <f t="shared" si="160"/>
        <v>1-0,00801788615941163i</v>
      </c>
      <c r="W149" s="67">
        <f t="shared" si="173"/>
        <v>1.0000321427326551</v>
      </c>
      <c r="X149" s="67">
        <f t="shared" si="174"/>
        <v>-8.0177143520964219E-3</v>
      </c>
      <c r="Y149" t="str">
        <f t="shared" si="161"/>
        <v>0,999997332035946+0,0222362709487682i</v>
      </c>
      <c r="Z149" s="67">
        <f t="shared" si="175"/>
        <v>1.0002445280153835</v>
      </c>
      <c r="AA149" s="67">
        <f t="shared" si="176"/>
        <v>2.2232666411074655E-2</v>
      </c>
      <c r="AB149" s="92" t="str">
        <f t="shared" si="177"/>
        <v>7,79815924570661-10,619310846951i</v>
      </c>
      <c r="AC149" s="37">
        <f t="shared" si="178"/>
        <v>22.395023123223638</v>
      </c>
      <c r="AD149" s="60">
        <f t="shared" si="179"/>
        <v>-53.708762375574636</v>
      </c>
      <c r="AE149" t="str">
        <f t="shared" si="180"/>
        <v>34,4450883806789</v>
      </c>
      <c r="AF149" t="str">
        <f t="shared" si="162"/>
        <v>1+0,692745364173165i</v>
      </c>
      <c r="AG149">
        <f t="shared" si="181"/>
        <v>1.2165098189424577</v>
      </c>
      <c r="AH149">
        <f t="shared" si="182"/>
        <v>0.60584046918741452</v>
      </c>
      <c r="AI149" t="str">
        <f t="shared" si="163"/>
        <v>1+0,0384858535651758i</v>
      </c>
      <c r="AJ149">
        <f t="shared" si="183"/>
        <v>1.0007403064355109</v>
      </c>
      <c r="AK149">
        <f t="shared" si="184"/>
        <v>3.8466869186190203E-2</v>
      </c>
      <c r="AL149" t="str">
        <f t="shared" si="164"/>
        <v>1-0,00261863065417093i</v>
      </c>
      <c r="AM149">
        <f t="shared" si="185"/>
        <v>1.0000034286073738</v>
      </c>
      <c r="AN149">
        <f t="shared" si="186"/>
        <v>-2.6186246686810484E-3</v>
      </c>
      <c r="AO149" s="58" t="str">
        <f t="shared" si="187"/>
        <v>23,856006409719-15,2906881848791i</v>
      </c>
      <c r="AP149">
        <f t="shared" si="188"/>
        <v>29.046691316931597</v>
      </c>
      <c r="AQ149" s="60">
        <f t="shared" si="189"/>
        <v>-32.658148828858224</v>
      </c>
      <c r="AR149" t="str">
        <f t="shared" si="165"/>
        <v>-1,36472945891784</v>
      </c>
      <c r="AS149" t="str">
        <f t="shared" si="166"/>
        <v>1+0,0288297529056732i</v>
      </c>
      <c r="AT149">
        <f t="shared" si="190"/>
        <v>1.0004154910099115</v>
      </c>
      <c r="AU149">
        <f t="shared" si="191"/>
        <v>2.8821769558779093E-2</v>
      </c>
      <c r="AV149" t="str">
        <f t="shared" si="167"/>
        <v>1+0,0288297529056732i</v>
      </c>
      <c r="AW149">
        <f t="shared" si="192"/>
        <v>1.0004154910099115</v>
      </c>
      <c r="AX149">
        <f t="shared" si="193"/>
        <v>2.8821769558779093E-2</v>
      </c>
      <c r="AY149" t="str">
        <f t="shared" si="168"/>
        <v>1-0,520295822481651i</v>
      </c>
      <c r="AZ149">
        <f t="shared" si="194"/>
        <v>1.1272567333539674</v>
      </c>
      <c r="BA149">
        <f t="shared" si="195"/>
        <v>-0.47975212154287444</v>
      </c>
      <c r="BB149" s="58" t="str">
        <f t="shared" si="196"/>
        <v>-1,3431421581802+0,748785492830124i</v>
      </c>
      <c r="BC149">
        <f t="shared" si="197"/>
        <v>3.737779928725689</v>
      </c>
      <c r="BD149" s="60">
        <f t="shared" si="198"/>
        <v>150.86086246932939</v>
      </c>
      <c r="BE149" s="58" t="str">
        <f t="shared" si="199"/>
        <v>-2,52245053306077+20,1023926033244i</v>
      </c>
      <c r="BF149" s="37">
        <f t="shared" si="200"/>
        <v>26.132803051949331</v>
      </c>
      <c r="BG149" s="60">
        <f t="shared" si="201"/>
        <v>97.152100093754754</v>
      </c>
      <c r="BH149" s="58" t="str">
        <f t="shared" si="202"/>
        <v>-20,5925624464842+38,400599445159i</v>
      </c>
      <c r="BI149" s="37">
        <f t="shared" si="203"/>
        <v>32.784471245657279</v>
      </c>
      <c r="BJ149" s="60">
        <f t="shared" si="204"/>
        <v>118.20271364047119</v>
      </c>
      <c r="BK149">
        <f t="shared" si="205"/>
        <v>26.132803051949331</v>
      </c>
      <c r="BL149" s="60">
        <f t="shared" si="206"/>
        <v>97.152100093754754</v>
      </c>
      <c r="BN149">
        <f t="shared" ref="BN149:BN212" si="207">SUM((BK150&lt;0)*(BK149&gt;0))*N149</f>
        <v>0</v>
      </c>
      <c r="BO149">
        <f t="shared" ref="BO149:BO212" si="208">IF(BN149&gt;0,BL149,0)</f>
        <v>0</v>
      </c>
    </row>
    <row r="150" spans="13:67" x14ac:dyDescent="0.25">
      <c r="M150" s="66">
        <v>32</v>
      </c>
      <c r="N150" s="36">
        <f t="shared" si="156"/>
        <v>208.92961308540396</v>
      </c>
      <c r="O150" s="91" t="str">
        <f t="shared" si="157"/>
        <v>22,5</v>
      </c>
      <c r="P150" s="67" t="str">
        <f t="shared" si="158"/>
        <v>1+1,41776295318676i</v>
      </c>
      <c r="Q150" s="67">
        <f t="shared" si="169"/>
        <v>1.734950083267194</v>
      </c>
      <c r="R150" s="67">
        <f t="shared" si="170"/>
        <v>0.95649777154095827</v>
      </c>
      <c r="S150" s="67" t="str">
        <f t="shared" si="159"/>
        <v>1+0,0393823042551879i</v>
      </c>
      <c r="T150" s="67">
        <f t="shared" si="171"/>
        <v>1.0007751824902775</v>
      </c>
      <c r="U150" s="67">
        <f t="shared" si="172"/>
        <v>3.936196297750922E-2</v>
      </c>
      <c r="V150" t="str">
        <f t="shared" si="160"/>
        <v>1-0,00820464671983081i</v>
      </c>
      <c r="W150" s="67">
        <f t="shared" si="173"/>
        <v>1.0000336575474833</v>
      </c>
      <c r="X150" s="67">
        <f t="shared" si="174"/>
        <v>-8.2044626253104207E-3</v>
      </c>
      <c r="Y150" t="str">
        <f t="shared" si="161"/>
        <v>0,999997206298674+0,0227542202363308i</v>
      </c>
      <c r="Z150" s="67">
        <f t="shared" si="175"/>
        <v>1.0002560507908544</v>
      </c>
      <c r="AA150" s="67">
        <f t="shared" si="176"/>
        <v>2.2750357958000698E-2</v>
      </c>
      <c r="AB150" s="92" t="str">
        <f t="shared" si="177"/>
        <v>7,56796601862811-10,5403188336861i</v>
      </c>
      <c r="AC150" s="37">
        <f t="shared" si="178"/>
        <v>22.262709818041774</v>
      </c>
      <c r="AD150" s="60">
        <f t="shared" si="179"/>
        <v>-54.321591646012216</v>
      </c>
      <c r="AE150" t="str">
        <f t="shared" si="180"/>
        <v>34,4450883806789</v>
      </c>
      <c r="AF150" t="str">
        <f t="shared" si="162"/>
        <v>1+0,708881476593383i</v>
      </c>
      <c r="AG150">
        <f t="shared" si="181"/>
        <v>1.2257703487428691</v>
      </c>
      <c r="AH150">
        <f t="shared" si="182"/>
        <v>0.61666184941220648</v>
      </c>
      <c r="AI150" t="str">
        <f t="shared" si="163"/>
        <v>1+0,0393823042551879i</v>
      </c>
      <c r="AJ150">
        <f t="shared" si="183"/>
        <v>1.0007751824902775</v>
      </c>
      <c r="AK150">
        <f t="shared" si="184"/>
        <v>3.936196297750922E-2</v>
      </c>
      <c r="AL150" t="str">
        <f t="shared" si="164"/>
        <v>1-0,00267962639778469i</v>
      </c>
      <c r="AM150">
        <f t="shared" si="185"/>
        <v>1.0000035901923712</v>
      </c>
      <c r="AN150">
        <f t="shared" si="186"/>
        <v>-2.6796199842179743E-3</v>
      </c>
      <c r="AO150" s="58" t="str">
        <f t="shared" si="187"/>
        <v>23,5238641415308-15,4114045652247i</v>
      </c>
      <c r="AP150">
        <f t="shared" si="188"/>
        <v>28.981125561478294</v>
      </c>
      <c r="AQ150" s="60">
        <f t="shared" si="189"/>
        <v>-33.230377921884568</v>
      </c>
      <c r="AR150" t="str">
        <f t="shared" si="165"/>
        <v>-1,36472945891784</v>
      </c>
      <c r="AS150" t="str">
        <f t="shared" si="166"/>
        <v>1+0,0295012841175613i</v>
      </c>
      <c r="AT150">
        <f t="shared" si="190"/>
        <v>1.0004350682401058</v>
      </c>
      <c r="AU150">
        <f t="shared" si="191"/>
        <v>2.9492730008148994E-2</v>
      </c>
      <c r="AV150" t="str">
        <f t="shared" si="167"/>
        <v>1+0,0295012841175613i</v>
      </c>
      <c r="AW150">
        <f t="shared" si="192"/>
        <v>1.0004350682401058</v>
      </c>
      <c r="AX150">
        <f t="shared" si="193"/>
        <v>2.9492730008148994E-2</v>
      </c>
      <c r="AY150" t="str">
        <f t="shared" si="168"/>
        <v>1-0,508452443636884i</v>
      </c>
      <c r="AZ150">
        <f t="shared" si="194"/>
        <v>1.121839510554125</v>
      </c>
      <c r="BA150">
        <f t="shared" si="195"/>
        <v>-0.4703866769085322</v>
      </c>
      <c r="BB150" s="58" t="str">
        <f t="shared" si="196"/>
        <v>-1,34308959155839+0,733522895925921i</v>
      </c>
      <c r="BC150">
        <f t="shared" si="197"/>
        <v>3.6957678238683171</v>
      </c>
      <c r="BD150" s="60">
        <f t="shared" si="198"/>
        <v>151.35901971817145</v>
      </c>
      <c r="BE150" s="58" t="str">
        <f t="shared" si="199"/>
        <v>-2,43289119401905+19,7078688674837i</v>
      </c>
      <c r="BF150" s="37">
        <f t="shared" si="200"/>
        <v>25.958477641910083</v>
      </c>
      <c r="BG150" s="60">
        <f t="shared" si="201"/>
        <v>97.037428072159244</v>
      </c>
      <c r="BH150" s="58" t="str">
        <f t="shared" si="202"/>
        <v>-20,2900389747541+37,9541900113123i</v>
      </c>
      <c r="BI150" s="37">
        <f t="shared" si="203"/>
        <v>32.676893385346602</v>
      </c>
      <c r="BJ150" s="60">
        <f t="shared" si="204"/>
        <v>118.12864179628696</v>
      </c>
      <c r="BK150">
        <f t="shared" si="205"/>
        <v>25.958477641910083</v>
      </c>
      <c r="BL150" s="60">
        <f t="shared" si="206"/>
        <v>97.037428072159244</v>
      </c>
      <c r="BN150">
        <f t="shared" si="207"/>
        <v>0</v>
      </c>
      <c r="BO150">
        <f t="shared" si="208"/>
        <v>0</v>
      </c>
    </row>
    <row r="151" spans="13:67" x14ac:dyDescent="0.25">
      <c r="M151" s="66">
        <v>33</v>
      </c>
      <c r="N151" s="36">
        <f t="shared" si="156"/>
        <v>213.79620895022339</v>
      </c>
      <c r="O151" s="91" t="str">
        <f t="shared" si="157"/>
        <v>22,5</v>
      </c>
      <c r="P151" s="67" t="str">
        <f t="shared" si="158"/>
        <v>1+1,45078689471128i</v>
      </c>
      <c r="Q151" s="67">
        <f t="shared" si="169"/>
        <v>1.7620393338021709</v>
      </c>
      <c r="R151" s="67">
        <f t="shared" si="170"/>
        <v>0.96730053260998372</v>
      </c>
      <c r="S151" s="67" t="str">
        <f t="shared" si="159"/>
        <v>1+0,0402996359642022i</v>
      </c>
      <c r="T151" s="67">
        <f t="shared" si="171"/>
        <v>1.0008117009002477</v>
      </c>
      <c r="U151" s="67">
        <f t="shared" si="172"/>
        <v>4.0277840847107116E-2</v>
      </c>
      <c r="V151" t="str">
        <f t="shared" si="160"/>
        <v>1-0,00839575749254213i</v>
      </c>
      <c r="W151" s="67">
        <f t="shared" si="173"/>
        <v>1.0000352437508757</v>
      </c>
      <c r="X151" s="67">
        <f t="shared" si="174"/>
        <v>-8.395560232085009E-3</v>
      </c>
      <c r="Y151" t="str">
        <f t="shared" si="161"/>
        <v>0,999997074635587+0,0232842341126502i</v>
      </c>
      <c r="Z151" s="67">
        <f t="shared" si="175"/>
        <v>1.0002681164757499</v>
      </c>
      <c r="AA151" s="67">
        <f t="shared" si="176"/>
        <v>2.3280095666765432E-2</v>
      </c>
      <c r="AB151" s="92" t="str">
        <f t="shared" si="177"/>
        <v>7,34130156345159-10,4570053182304i</v>
      </c>
      <c r="AC151" s="37">
        <f t="shared" si="178"/>
        <v>22.128363468984652</v>
      </c>
      <c r="AD151" s="60">
        <f t="shared" si="179"/>
        <v>-54.929369147182776</v>
      </c>
      <c r="AE151" t="str">
        <f t="shared" si="180"/>
        <v>34,4450883806789</v>
      </c>
      <c r="AF151" t="str">
        <f t="shared" si="162"/>
        <v>1+0,72539344735564i</v>
      </c>
      <c r="AG151">
        <f t="shared" si="181"/>
        <v>1.2353929146091538</v>
      </c>
      <c r="AH151">
        <f t="shared" si="182"/>
        <v>0.62756603663265886</v>
      </c>
      <c r="AI151" t="str">
        <f t="shared" si="163"/>
        <v>1+0,0402996359642022i</v>
      </c>
      <c r="AJ151">
        <f t="shared" si="183"/>
        <v>1.0008117009002477</v>
      </c>
      <c r="AK151">
        <f t="shared" si="184"/>
        <v>4.0277840847107116E-2</v>
      </c>
      <c r="AL151" t="str">
        <f t="shared" si="164"/>
        <v>1-0,00274204291478359i</v>
      </c>
      <c r="AM151">
        <f t="shared" si="185"/>
        <v>1.0000037593926068</v>
      </c>
      <c r="AN151">
        <f t="shared" si="186"/>
        <v>-2.7420360425244343E-3</v>
      </c>
      <c r="AO151" s="58" t="str">
        <f t="shared" si="187"/>
        <v>23,1866194113678-15,5257471753825i</v>
      </c>
      <c r="AP151">
        <f t="shared" si="188"/>
        <v>28.9135240829279</v>
      </c>
      <c r="AQ151" s="60">
        <f t="shared" si="189"/>
        <v>-33.806242068874312</v>
      </c>
      <c r="AR151" t="str">
        <f t="shared" si="165"/>
        <v>-1,36472945891784</v>
      </c>
      <c r="AS151" t="str">
        <f t="shared" si="166"/>
        <v>1+0,0301884573007839i</v>
      </c>
      <c r="AT151">
        <f t="shared" si="190"/>
        <v>1.0004555677061331</v>
      </c>
      <c r="AU151">
        <f t="shared" si="191"/>
        <v>3.017929163281587E-2</v>
      </c>
      <c r="AV151" t="str">
        <f t="shared" si="167"/>
        <v>1+0,0301884573007839i</v>
      </c>
      <c r="AW151">
        <f t="shared" si="192"/>
        <v>1.0004555677061331</v>
      </c>
      <c r="AX151">
        <f t="shared" si="193"/>
        <v>3.017929163281587E-2</v>
      </c>
      <c r="AY151" t="str">
        <f t="shared" si="168"/>
        <v>1-0,4968786530079i</v>
      </c>
      <c r="AZ151">
        <f t="shared" si="194"/>
        <v>1.1166415699833787</v>
      </c>
      <c r="BA151">
        <f t="shared" si="195"/>
        <v>-0.46114741502099721</v>
      </c>
      <c r="BB151" s="58" t="str">
        <f t="shared" si="196"/>
        <v>-1,3430345519579+0,718649076492555i</v>
      </c>
      <c r="BC151">
        <f t="shared" si="197"/>
        <v>3.6552510479313871</v>
      </c>
      <c r="BD151" s="60">
        <f t="shared" si="198"/>
        <v>151.84905334667428</v>
      </c>
      <c r="BE151" s="58" t="str">
        <f t="shared" si="199"/>
        <v>-2,34470444123402+19,3199390412188i</v>
      </c>
      <c r="BF151" s="37">
        <f t="shared" si="200"/>
        <v>25.783614516916046</v>
      </c>
      <c r="BG151" s="60">
        <f t="shared" si="201"/>
        <v>96.919684199491513</v>
      </c>
      <c r="BH151" s="58" t="str">
        <f t="shared" si="202"/>
        <v>-19,9828671431192+37,5146575284653i</v>
      </c>
      <c r="BI151" s="37">
        <f t="shared" si="203"/>
        <v>32.568775130859294</v>
      </c>
      <c r="BJ151" s="60">
        <f t="shared" si="204"/>
        <v>118.04281127780001</v>
      </c>
      <c r="BK151">
        <f t="shared" si="205"/>
        <v>25.783614516916046</v>
      </c>
      <c r="BL151" s="60">
        <f t="shared" si="206"/>
        <v>96.919684199491513</v>
      </c>
      <c r="BN151">
        <f t="shared" si="207"/>
        <v>0</v>
      </c>
      <c r="BO151">
        <f t="shared" si="208"/>
        <v>0</v>
      </c>
    </row>
    <row r="152" spans="13:67" x14ac:dyDescent="0.25">
      <c r="M152" s="66">
        <v>34</v>
      </c>
      <c r="N152" s="36">
        <f t="shared" si="156"/>
        <v>218.77616239495524</v>
      </c>
      <c r="O152" s="91" t="str">
        <f t="shared" si="157"/>
        <v>22,5</v>
      </c>
      <c r="P152" s="67" t="str">
        <f t="shared" si="158"/>
        <v>1+1,48458006265081i</v>
      </c>
      <c r="Q152" s="67">
        <f t="shared" si="169"/>
        <v>1.7899659109659836</v>
      </c>
      <c r="R152" s="67">
        <f t="shared" si="170"/>
        <v>0.97801515468709321</v>
      </c>
      <c r="S152" s="67" t="str">
        <f t="shared" si="159"/>
        <v>1+0,0412383350736336i</v>
      </c>
      <c r="T152" s="67">
        <f t="shared" si="171"/>
        <v>1.0008499389417203</v>
      </c>
      <c r="U152" s="67">
        <f t="shared" si="172"/>
        <v>4.1214982255905398E-2</v>
      </c>
      <c r="V152" t="str">
        <f t="shared" si="160"/>
        <v>1-0,008591319807007i</v>
      </c>
      <c r="W152" s="67">
        <f t="shared" si="173"/>
        <v>1.0000369047070345</v>
      </c>
      <c r="X152" s="67">
        <f t="shared" si="174"/>
        <v>-8.5911084390403129E-3</v>
      </c>
      <c r="Y152" t="str">
        <f t="shared" si="161"/>
        <v>0,999996936767409+0,0238265935980994i</v>
      </c>
      <c r="Z152" s="67">
        <f t="shared" si="175"/>
        <v>1.0002807506428832</v>
      </c>
      <c r="AA152" s="67">
        <f t="shared" si="176"/>
        <v>2.382215924065588E-2</v>
      </c>
      <c r="AB152" s="92" t="str">
        <f t="shared" si="177"/>
        <v>7,11831999323759-10,3695599197999i</v>
      </c>
      <c r="AC152" s="37">
        <f t="shared" si="178"/>
        <v>21.992016817361581</v>
      </c>
      <c r="AD152" s="60">
        <f t="shared" si="179"/>
        <v>-55.531839565709163</v>
      </c>
      <c r="AE152" t="str">
        <f t="shared" si="180"/>
        <v>34,4450883806789</v>
      </c>
      <c r="AF152" t="str">
        <f t="shared" si="162"/>
        <v>1+0,742290031325405i</v>
      </c>
      <c r="AG152">
        <f t="shared" si="181"/>
        <v>1.2453892927936512</v>
      </c>
      <c r="AH152">
        <f t="shared" si="182"/>
        <v>0.63854844042599546</v>
      </c>
      <c r="AI152" t="str">
        <f t="shared" si="163"/>
        <v>1+0,0412383350736336i</v>
      </c>
      <c r="AJ152">
        <f t="shared" si="183"/>
        <v>1.0008499389417203</v>
      </c>
      <c r="AK152">
        <f t="shared" si="184"/>
        <v>4.1214982255905398E-2</v>
      </c>
      <c r="AL152" t="str">
        <f t="shared" si="164"/>
        <v>1-0,00280591329923114i</v>
      </c>
      <c r="AM152">
        <f t="shared" si="185"/>
        <v>1.0000039365669731</v>
      </c>
      <c r="AN152">
        <f t="shared" si="186"/>
        <v>-2.8059059354743495E-3</v>
      </c>
      <c r="AO152" s="58" t="str">
        <f t="shared" si="187"/>
        <v>22,8445193594246-15,6334508262183i</v>
      </c>
      <c r="AP152">
        <f t="shared" si="188"/>
        <v>28.843857049945683</v>
      </c>
      <c r="AQ152" s="60">
        <f t="shared" si="189"/>
        <v>-34.385452682913879</v>
      </c>
      <c r="AR152" t="str">
        <f t="shared" si="165"/>
        <v>-1,36472945891784</v>
      </c>
      <c r="AS152" t="str">
        <f t="shared" si="166"/>
        <v>1+0,030891636803659i</v>
      </c>
      <c r="AT152">
        <f t="shared" si="190"/>
        <v>1.0004770328320431</v>
      </c>
      <c r="AU152">
        <f t="shared" si="191"/>
        <v>3.0881815866380811E-2</v>
      </c>
      <c r="AV152" t="str">
        <f t="shared" si="167"/>
        <v>1+0,030891636803659i</v>
      </c>
      <c r="AW152">
        <f t="shared" si="192"/>
        <v>1.0004770328320431</v>
      </c>
      <c r="AX152">
        <f t="shared" si="193"/>
        <v>3.0881815866380811E-2</v>
      </c>
      <c r="AY152" t="str">
        <f t="shared" si="168"/>
        <v>1-0,485568314017707i</v>
      </c>
      <c r="AZ152">
        <f t="shared" si="194"/>
        <v>1.111654886904204</v>
      </c>
      <c r="BA152">
        <f t="shared" si="195"/>
        <v>-0.45203574763180715</v>
      </c>
      <c r="BB152" s="58" t="str">
        <f t="shared" si="196"/>
        <v>-1,34297692325567+0,704156137805943i</v>
      </c>
      <c r="BC152">
        <f t="shared" si="197"/>
        <v>3.6161884894681817</v>
      </c>
      <c r="BD152" s="60">
        <f t="shared" si="198"/>
        <v>152.33086175881286</v>
      </c>
      <c r="BE152" s="58" t="str">
        <f t="shared" si="199"/>
        <v>-2,25795021939394+18,9384883907132i</v>
      </c>
      <c r="BF152" s="37">
        <f t="shared" si="200"/>
        <v>25.608205306829767</v>
      </c>
      <c r="BG152" s="60">
        <f t="shared" si="201"/>
        <v>96.799022193103696</v>
      </c>
      <c r="BH152" s="58" t="str">
        <f t="shared" si="202"/>
        <v>-19,6712719682056+37,081472212629i</v>
      </c>
      <c r="BI152" s="37">
        <f t="shared" si="203"/>
        <v>32.460045539413869</v>
      </c>
      <c r="BJ152" s="60">
        <f t="shared" si="204"/>
        <v>117.94540907589894</v>
      </c>
      <c r="BK152">
        <f t="shared" si="205"/>
        <v>25.608205306829767</v>
      </c>
      <c r="BL152" s="60">
        <f t="shared" si="206"/>
        <v>96.799022193103696</v>
      </c>
      <c r="BN152">
        <f t="shared" si="207"/>
        <v>0</v>
      </c>
      <c r="BO152">
        <f t="shared" si="208"/>
        <v>0</v>
      </c>
    </row>
    <row r="153" spans="13:67" x14ac:dyDescent="0.25">
      <c r="M153" s="66">
        <v>35</v>
      </c>
      <c r="N153" s="36">
        <f t="shared" si="156"/>
        <v>223.87211385683412</v>
      </c>
      <c r="O153" s="91" t="str">
        <f t="shared" si="157"/>
        <v>22,5</v>
      </c>
      <c r="P153" s="67" t="str">
        <f t="shared" si="158"/>
        <v>1+1,5191603745903i</v>
      </c>
      <c r="Q153" s="67">
        <f t="shared" si="169"/>
        <v>1.8187490876218579</v>
      </c>
      <c r="R153" s="67">
        <f t="shared" si="170"/>
        <v>0.9886374782265962</v>
      </c>
      <c r="S153" s="67" t="str">
        <f t="shared" si="159"/>
        <v>1+0,042198899294175i</v>
      </c>
      <c r="T153" s="67">
        <f t="shared" si="171"/>
        <v>1.0008899775208262</v>
      </c>
      <c r="U153" s="67">
        <f t="shared" si="172"/>
        <v>4.2173877500694006E-2</v>
      </c>
      <c r="V153" t="str">
        <f t="shared" si="160"/>
        <v>1-0,00879143735295312i</v>
      </c>
      <c r="W153" s="67">
        <f t="shared" si="173"/>
        <v>1.0000386439386884</v>
      </c>
      <c r="X153" s="67">
        <f t="shared" si="174"/>
        <v>-8.7912108685689865E-3</v>
      </c>
      <c r="Y153" t="str">
        <f t="shared" si="161"/>
        <v>0,999996792401705+0,0243815862588567i</v>
      </c>
      <c r="Z153" s="67">
        <f t="shared" si="175"/>
        <v>1.0002939800689579</v>
      </c>
      <c r="AA153" s="67">
        <f t="shared" si="176"/>
        <v>2.4376834834664071E-2</v>
      </c>
      <c r="AB153" s="92" t="str">
        <f t="shared" si="177"/>
        <v>6,89916277486533-10,2781776634464i</v>
      </c>
      <c r="AC153" s="37">
        <f t="shared" si="178"/>
        <v>21.853703948937564</v>
      </c>
      <c r="AD153" s="60">
        <f t="shared" si="179"/>
        <v>-56.128758817841522</v>
      </c>
      <c r="AE153" t="str">
        <f t="shared" si="180"/>
        <v>34,4450883806789</v>
      </c>
      <c r="AF153" t="str">
        <f t="shared" si="162"/>
        <v>1+0,759580187295151i</v>
      </c>
      <c r="AG153">
        <f t="shared" si="181"/>
        <v>1.2557715002863128</v>
      </c>
      <c r="AH153">
        <f t="shared" si="182"/>
        <v>0.64960428712996909</v>
      </c>
      <c r="AI153" t="str">
        <f t="shared" si="163"/>
        <v>1+0,042198899294175i</v>
      </c>
      <c r="AJ153">
        <f t="shared" si="183"/>
        <v>1.0008899775208262</v>
      </c>
      <c r="AK153">
        <f t="shared" si="184"/>
        <v>4.2173877500694006E-2</v>
      </c>
      <c r="AL153" t="str">
        <f t="shared" si="164"/>
        <v>1-0,00287127141605061i</v>
      </c>
      <c r="AM153">
        <f t="shared" si="185"/>
        <v>1.0000041220912765</v>
      </c>
      <c r="AN153">
        <f t="shared" si="186"/>
        <v>-2.8712635256448065E-3</v>
      </c>
      <c r="AO153" s="58" t="str">
        <f t="shared" si="187"/>
        <v>22,4978287267956-15,7342613399692i</v>
      </c>
      <c r="AP153">
        <f t="shared" si="188"/>
        <v>28.772096230507639</v>
      </c>
      <c r="AQ153" s="60">
        <f t="shared" si="189"/>
        <v>-34.967710101549542</v>
      </c>
      <c r="AR153" t="str">
        <f t="shared" si="165"/>
        <v>-1,36472945891784</v>
      </c>
      <c r="AS153" t="str">
        <f t="shared" si="166"/>
        <v>1+0,0316111954612665i</v>
      </c>
      <c r="AT153">
        <f t="shared" si="190"/>
        <v>1.0004995090845825</v>
      </c>
      <c r="AU153">
        <f t="shared" si="191"/>
        <v>3.1600672421112391E-2</v>
      </c>
      <c r="AV153" t="str">
        <f t="shared" si="167"/>
        <v>1+0,0316111954612665i</v>
      </c>
      <c r="AW153">
        <f t="shared" si="192"/>
        <v>1.0004995090845825</v>
      </c>
      <c r="AX153">
        <f t="shared" si="193"/>
        <v>3.1600672421112391E-2</v>
      </c>
      <c r="AY153" t="str">
        <f t="shared" si="168"/>
        <v>1-0,474515429774861i</v>
      </c>
      <c r="AZ153">
        <f t="shared" si="194"/>
        <v>1.1068716696593246</v>
      </c>
      <c r="BA153">
        <f t="shared" si="195"/>
        <v>-0.44305289636371969</v>
      </c>
      <c r="BB153" s="58" t="str">
        <f t="shared" si="196"/>
        <v>-1,34291658389688+0,690036384346552i</v>
      </c>
      <c r="BC153">
        <f t="shared" si="197"/>
        <v>3.5785391649843259</v>
      </c>
      <c r="BD153" s="60">
        <f t="shared" si="198"/>
        <v>152.80435377780671</v>
      </c>
      <c r="BE153" s="58" t="str">
        <f t="shared" si="199"/>
        <v>-2,17268355281462+18,5634085726671i</v>
      </c>
      <c r="BF153" s="37">
        <f t="shared" si="200"/>
        <v>25.43224311392191</v>
      </c>
      <c r="BG153" s="60">
        <f t="shared" si="201"/>
        <v>96.675594959965167</v>
      </c>
      <c r="BH153" s="58" t="str">
        <f t="shared" si="202"/>
        <v>-19,3554944934894+36,6541208790982i</v>
      </c>
      <c r="BI153" s="37">
        <f t="shared" si="203"/>
        <v>32.35063539549197</v>
      </c>
      <c r="BJ153" s="60">
        <f t="shared" si="204"/>
        <v>117.8366436762572</v>
      </c>
      <c r="BK153">
        <f t="shared" si="205"/>
        <v>25.43224311392191</v>
      </c>
      <c r="BL153" s="60">
        <f t="shared" si="206"/>
        <v>96.675594959965167</v>
      </c>
      <c r="BN153">
        <f t="shared" si="207"/>
        <v>0</v>
      </c>
      <c r="BO153">
        <f t="shared" si="208"/>
        <v>0</v>
      </c>
    </row>
    <row r="154" spans="13:67" x14ac:dyDescent="0.25">
      <c r="M154" s="66">
        <v>36</v>
      </c>
      <c r="N154" s="36">
        <f t="shared" si="156"/>
        <v>229.08676527677744</v>
      </c>
      <c r="O154" s="91" t="str">
        <f t="shared" si="157"/>
        <v>22,5</v>
      </c>
      <c r="P154" s="67" t="str">
        <f t="shared" si="158"/>
        <v>1+1,55454616546886i</v>
      </c>
      <c r="Q154" s="67">
        <f t="shared" si="169"/>
        <v>1.8484084452777032</v>
      </c>
      <c r="R154" s="67">
        <f t="shared" si="170"/>
        <v>0.99916354677407104</v>
      </c>
      <c r="S154" s="67" t="str">
        <f t="shared" si="159"/>
        <v>1+0,0431818379296905i</v>
      </c>
      <c r="T154" s="67">
        <f t="shared" si="171"/>
        <v>1.0009319013434361</v>
      </c>
      <c r="U154" s="67">
        <f t="shared" si="172"/>
        <v>4.3155027942923523E-2</v>
      </c>
      <c r="V154" t="str">
        <f t="shared" si="160"/>
        <v>1-0,00899621623535219i</v>
      </c>
      <c r="W154" s="67">
        <f t="shared" si="173"/>
        <v>1.0000404651345629</v>
      </c>
      <c r="X154" s="67">
        <f t="shared" si="174"/>
        <v>-8.9959735534926068E-3</v>
      </c>
      <c r="Y154" t="str">
        <f t="shared" si="161"/>
        <v>0,999996641232254+0,0249495063593767i</v>
      </c>
      <c r="Z154" s="67">
        <f t="shared" si="175"/>
        <v>1.0003078327911694</v>
      </c>
      <c r="AA154" s="67">
        <f t="shared" si="176"/>
        <v>2.4944415201240057E-2</v>
      </c>
      <c r="AB154" s="92" t="str">
        <f t="shared" si="177"/>
        <v>6,6839585975055-10,183058019374i</v>
      </c>
      <c r="AC154" s="37">
        <f t="shared" si="178"/>
        <v>21.713460181210674</v>
      </c>
      <c r="AD154" s="60">
        <f t="shared" si="179"/>
        <v>-56.719894338257397</v>
      </c>
      <c r="AE154" t="str">
        <f t="shared" si="180"/>
        <v>34,4450883806789</v>
      </c>
      <c r="AF154" t="str">
        <f t="shared" si="162"/>
        <v>1+0,77727308273443i</v>
      </c>
      <c r="AG154">
        <f t="shared" si="181"/>
        <v>1.2665517933126478</v>
      </c>
      <c r="AH154">
        <f t="shared" si="182"/>
        <v>0.66072862809503996</v>
      </c>
      <c r="AI154" t="str">
        <f t="shared" si="163"/>
        <v>1+0,0431818379296905i</v>
      </c>
      <c r="AJ154">
        <f t="shared" si="183"/>
        <v>1.0009319013434361</v>
      </c>
      <c r="AK154">
        <f t="shared" si="184"/>
        <v>4.3155027942923523E-2</v>
      </c>
      <c r="AL154" t="str">
        <f t="shared" si="164"/>
        <v>1-0,00293815191898062i</v>
      </c>
      <c r="AM154">
        <f t="shared" si="185"/>
        <v>1.000004316359034</v>
      </c>
      <c r="AN154">
        <f t="shared" si="186"/>
        <v>-2.9381434642604463E-3</v>
      </c>
      <c r="AO154" s="58" t="str">
        <f t="shared" si="187"/>
        <v>22,146829262013-15,8279369318747i</v>
      </c>
      <c r="AP154">
        <f t="shared" si="188"/>
        <v>28.698215099412216</v>
      </c>
      <c r="AQ154" s="60">
        <f t="shared" si="189"/>
        <v>-35.552704047522141</v>
      </c>
      <c r="AR154" t="str">
        <f t="shared" si="165"/>
        <v>-1,36472945891784</v>
      </c>
      <c r="AS154" t="str">
        <f t="shared" si="166"/>
        <v>1+0,0323475147931312i</v>
      </c>
      <c r="AT154">
        <f t="shared" si="190"/>
        <v>1.0005230440690969</v>
      </c>
      <c r="AU154">
        <f t="shared" si="191"/>
        <v>3.233623947079127E-2</v>
      </c>
      <c r="AV154" t="str">
        <f t="shared" si="167"/>
        <v>1+0,0323475147931312i</v>
      </c>
      <c r="AW154">
        <f t="shared" si="192"/>
        <v>1.0005230440690969</v>
      </c>
      <c r="AX154">
        <f t="shared" si="193"/>
        <v>3.233623947079127E-2</v>
      </c>
      <c r="AY154" t="str">
        <f t="shared" si="168"/>
        <v>1-0,463714139893838i</v>
      </c>
      <c r="AZ154">
        <f t="shared" si="194"/>
        <v>1.1022843569322218</v>
      </c>
      <c r="BA154">
        <f t="shared" si="195"/>
        <v>-0.4341998981071683</v>
      </c>
      <c r="BB154" s="58" t="str">
        <f t="shared" si="196"/>
        <v>-1,3428534066428+0,676282317666254i</v>
      </c>
      <c r="BC154">
        <f t="shared" si="197"/>
        <v>3.5422622937850172</v>
      </c>
      <c r="BD154" s="60">
        <f t="shared" si="198"/>
        <v>153.26944832644821</v>
      </c>
      <c r="BE154" s="58" t="str">
        <f t="shared" si="199"/>
        <v>-2,08895449424751+18,194597162864i</v>
      </c>
      <c r="BF154" s="37">
        <f t="shared" si="200"/>
        <v>25.255722474995711</v>
      </c>
      <c r="BG154" s="60">
        <f t="shared" si="201"/>
        <v>96.549553988190809</v>
      </c>
      <c r="BH154" s="58" t="str">
        <f t="shared" si="202"/>
        <v>-19,0357912486671+36,2321080513683i</v>
      </c>
      <c r="BI154" s="37">
        <f t="shared" si="203"/>
        <v>32.240477393197239</v>
      </c>
      <c r="BJ154" s="60">
        <f t="shared" si="204"/>
        <v>117.71674427892607</v>
      </c>
      <c r="BK154">
        <f t="shared" si="205"/>
        <v>25.255722474995711</v>
      </c>
      <c r="BL154" s="60">
        <f t="shared" si="206"/>
        <v>96.549553988190809</v>
      </c>
      <c r="BN154">
        <f t="shared" si="207"/>
        <v>0</v>
      </c>
      <c r="BO154">
        <f t="shared" si="208"/>
        <v>0</v>
      </c>
    </row>
    <row r="155" spans="13:67" x14ac:dyDescent="0.25">
      <c r="M155" s="66">
        <v>37</v>
      </c>
      <c r="N155" s="36">
        <f t="shared" si="156"/>
        <v>234.42288153199232</v>
      </c>
      <c r="O155" s="91" t="str">
        <f t="shared" si="157"/>
        <v>22,5</v>
      </c>
      <c r="P155" s="67" t="str">
        <f t="shared" si="158"/>
        <v>1+1,59075619730119i</v>
      </c>
      <c r="Q155" s="67">
        <f t="shared" si="169"/>
        <v>1.8789638844991516</v>
      </c>
      <c r="R155" s="67">
        <f t="shared" si="170"/>
        <v>1.0095896110517695</v>
      </c>
      <c r="S155" s="67" t="str">
        <f t="shared" si="159"/>
        <v>1+0,0441876721472554i</v>
      </c>
      <c r="T155" s="67">
        <f t="shared" si="171"/>
        <v>1.0009757990929617</v>
      </c>
      <c r="U155" s="67">
        <f t="shared" si="172"/>
        <v>4.4158946241156544E-2</v>
      </c>
      <c r="V155" t="str">
        <f t="shared" si="160"/>
        <v>1-0,00920576503067819i</v>
      </c>
      <c r="W155" s="67">
        <f t="shared" si="173"/>
        <v>1.0000423721572003</v>
      </c>
      <c r="X155" s="67">
        <f t="shared" si="174"/>
        <v>-9.2055049929756789E-3</v>
      </c>
      <c r="Y155" t="str">
        <f t="shared" si="161"/>
        <v>0,999996482938407+0,0255306550184142i</v>
      </c>
      <c r="Z155" s="67">
        <f t="shared" si="175"/>
        <v>1.0003223381664799</v>
      </c>
      <c r="AA155" s="67">
        <f t="shared" si="176"/>
        <v>2.5525199839118402E-2</v>
      </c>
      <c r="AB155" s="92" t="str">
        <f t="shared" si="177"/>
        <v>6,47282332199372-10,0844039547588i</v>
      </c>
      <c r="AC155" s="37">
        <f t="shared" si="178"/>
        <v>21.571321949924936</v>
      </c>
      <c r="AD155" s="60">
        <f t="shared" si="179"/>
        <v>-57.305025312550903</v>
      </c>
      <c r="AE155" t="str">
        <f t="shared" si="180"/>
        <v>34,4450883806789</v>
      </c>
      <c r="AF155" t="str">
        <f t="shared" si="162"/>
        <v>1+0,795378098650596i</v>
      </c>
      <c r="AG155">
        <f t="shared" si="181"/>
        <v>1.2777426657246118</v>
      </c>
      <c r="AH155">
        <f t="shared" si="182"/>
        <v>0.67191634889972796</v>
      </c>
      <c r="AI155" t="str">
        <f t="shared" si="163"/>
        <v>1+0,0441876721472554i</v>
      </c>
      <c r="AJ155">
        <f t="shared" si="183"/>
        <v>1.0009757990929617</v>
      </c>
      <c r="AK155">
        <f t="shared" si="184"/>
        <v>4.4158946241156544E-2</v>
      </c>
      <c r="AL155" t="str">
        <f t="shared" si="164"/>
        <v>1-0,0030065902689491i</v>
      </c>
      <c r="AM155">
        <f t="shared" si="185"/>
        <v>1.0000045197823084</v>
      </c>
      <c r="AN155">
        <f t="shared" si="186"/>
        <v>-3.006581209555425E-3</v>
      </c>
      <c r="AO155" s="58" t="str">
        <f t="shared" si="187"/>
        <v>21,7918190010718-15,9142495583002i</v>
      </c>
      <c r="AP155">
        <f t="shared" si="188"/>
        <v>28.622188941835461</v>
      </c>
      <c r="AQ155" s="60">
        <f t="shared" si="189"/>
        <v>-36.140114144501638</v>
      </c>
      <c r="AR155" t="str">
        <f t="shared" si="165"/>
        <v>-1,36472945891784</v>
      </c>
      <c r="AS155" t="str">
        <f t="shared" si="166"/>
        <v>1+0,033100985205509i</v>
      </c>
      <c r="AT155">
        <f t="shared" si="190"/>
        <v>1.0005476876299177</v>
      </c>
      <c r="AU155">
        <f t="shared" si="191"/>
        <v>3.3088903837102147E-2</v>
      </c>
      <c r="AV155" t="str">
        <f t="shared" si="167"/>
        <v>1+0,033100985205509i</v>
      </c>
      <c r="AW155">
        <f t="shared" si="192"/>
        <v>1.0005476876299177</v>
      </c>
      <c r="AX155">
        <f t="shared" si="193"/>
        <v>3.3088903837102147E-2</v>
      </c>
      <c r="AY155" t="str">
        <f t="shared" si="168"/>
        <v>1-0,453158717387771i</v>
      </c>
      <c r="AZ155">
        <f t="shared" si="194"/>
        <v>1.097885614781672</v>
      </c>
      <c r="BA155">
        <f t="shared" si="195"/>
        <v>-0.42547761076880947</v>
      </c>
      <c r="BB155" s="58" t="str">
        <f t="shared" si="196"/>
        <v>-1,3427872583073+0,662886632355891i</v>
      </c>
      <c r="BC155">
        <f t="shared" si="197"/>
        <v>3.507317367861758</v>
      </c>
      <c r="BD155" s="60">
        <f t="shared" si="198"/>
        <v>153.72607408705707</v>
      </c>
      <c r="BE155" s="58" t="str">
        <f t="shared" si="199"/>
        <v>-2,00680810516101+17,8319571918249i</v>
      </c>
      <c r="BF155" s="37">
        <f t="shared" si="200"/>
        <v>25.078639317786671</v>
      </c>
      <c r="BG155" s="60">
        <f t="shared" si="201"/>
        <v>96.421048774506204</v>
      </c>
      <c r="BH155" s="58" t="str">
        <f t="shared" si="202"/>
        <v>-18,7124335938053+35,8149570429377i</v>
      </c>
      <c r="BI155" s="37">
        <f t="shared" si="203"/>
        <v>32.129506309697227</v>
      </c>
      <c r="BJ155" s="60">
        <f t="shared" si="204"/>
        <v>117.58595994255546</v>
      </c>
      <c r="BK155">
        <f t="shared" si="205"/>
        <v>25.078639317786671</v>
      </c>
      <c r="BL155" s="60">
        <f t="shared" si="206"/>
        <v>96.421048774506204</v>
      </c>
      <c r="BN155">
        <f t="shared" si="207"/>
        <v>0</v>
      </c>
      <c r="BO155">
        <f t="shared" si="208"/>
        <v>0</v>
      </c>
    </row>
    <row r="156" spans="13:67" x14ac:dyDescent="0.25">
      <c r="M156" s="66">
        <v>38</v>
      </c>
      <c r="N156" s="36">
        <f t="shared" si="156"/>
        <v>239.88329190194912</v>
      </c>
      <c r="O156" s="91" t="str">
        <f t="shared" si="157"/>
        <v>22,5</v>
      </c>
      <c r="P156" s="67" t="str">
        <f t="shared" si="158"/>
        <v>1+1,6278096691255i</v>
      </c>
      <c r="Q156" s="67">
        <f t="shared" si="169"/>
        <v>1.9104356358952452</v>
      </c>
      <c r="R156" s="67">
        <f t="shared" si="170"/>
        <v>1.0199121320771427</v>
      </c>
      <c r="S156" s="67" t="str">
        <f t="shared" si="159"/>
        <v>1+0,045216935253486i</v>
      </c>
      <c r="T156" s="67">
        <f t="shared" si="171"/>
        <v>1.0010217636164152</v>
      </c>
      <c r="U156" s="67">
        <f t="shared" si="172"/>
        <v>4.5186156587146024E-2</v>
      </c>
      <c r="V156" t="str">
        <f t="shared" si="160"/>
        <v>1-0,00942019484447625i</v>
      </c>
      <c r="W156" s="67">
        <f t="shared" si="173"/>
        <v>1.0000443690511476</v>
      </c>
      <c r="X156" s="67">
        <f t="shared" si="174"/>
        <v>-9.4199162097255845E-3</v>
      </c>
      <c r="Y156" t="str">
        <f t="shared" si="161"/>
        <v>0,999996317184401+0,0261253403686808i</v>
      </c>
      <c r="Z156" s="67">
        <f t="shared" si="175"/>
        <v>1.000337526933657</v>
      </c>
      <c r="AA156" s="67">
        <f t="shared" si="176"/>
        <v>2.6119495145264592E-2</v>
      </c>
      <c r="AB156" s="92" t="str">
        <f t="shared" si="177"/>
        <v>6,26586000759034-9,9824210052782i</v>
      </c>
      <c r="AC156" s="37">
        <f t="shared" si="178"/>
        <v>21.427326695528262</v>
      </c>
      <c r="AD156" s="60">
        <f t="shared" si="179"/>
        <v>-57.883942854369174</v>
      </c>
      <c r="AE156" t="str">
        <f t="shared" si="180"/>
        <v>34,4450883806789</v>
      </c>
      <c r="AF156" t="str">
        <f t="shared" si="162"/>
        <v>1+0,813904834562749i</v>
      </c>
      <c r="AG156">
        <f t="shared" si="181"/>
        <v>1.2893568473175359</v>
      </c>
      <c r="AH156">
        <f t="shared" si="182"/>
        <v>0.683162179500862</v>
      </c>
      <c r="AI156" t="str">
        <f t="shared" si="163"/>
        <v>1+0,045216935253486i</v>
      </c>
      <c r="AJ156">
        <f t="shared" si="183"/>
        <v>1.0010217636164152</v>
      </c>
      <c r="AK156">
        <f t="shared" si="184"/>
        <v>4.5186156587146024E-2</v>
      </c>
      <c r="AL156" t="str">
        <f t="shared" si="164"/>
        <v>1-0,00307662275287514i</v>
      </c>
      <c r="AM156">
        <f t="shared" si="185"/>
        <v>1.0000047327925821</v>
      </c>
      <c r="AN156">
        <f t="shared" si="186"/>
        <v>-3.0766130455624047E-3</v>
      </c>
      <c r="AO156" s="58" t="str">
        <f t="shared" si="187"/>
        <v>21,4331114226614-15,9929862181533i</v>
      </c>
      <c r="AP156">
        <f t="shared" si="188"/>
        <v>28.543994952163708</v>
      </c>
      <c r="AQ156" s="60">
        <f t="shared" si="189"/>
        <v>-36.729610486203157</v>
      </c>
      <c r="AR156" t="str">
        <f t="shared" si="165"/>
        <v>-1,36472945891784</v>
      </c>
      <c r="AS156" t="str">
        <f t="shared" si="166"/>
        <v>1+0,0338720061983864i</v>
      </c>
      <c r="AT156">
        <f t="shared" si="190"/>
        <v>1.0005734919554403</v>
      </c>
      <c r="AU156">
        <f t="shared" si="191"/>
        <v>3.3859061179608345E-2</v>
      </c>
      <c r="AV156" t="str">
        <f t="shared" si="167"/>
        <v>1+0,0338720061983864i</v>
      </c>
      <c r="AW156">
        <f t="shared" si="192"/>
        <v>1.0005734919554403</v>
      </c>
      <c r="AX156">
        <f t="shared" si="193"/>
        <v>3.3859061179608345E-2</v>
      </c>
      <c r="AY156" t="str">
        <f t="shared" si="168"/>
        <v>1-0,442843565631923i</v>
      </c>
      <c r="AZ156">
        <f t="shared" si="194"/>
        <v>1.0936683334638502</v>
      </c>
      <c r="BA156">
        <f t="shared" si="195"/>
        <v>-0.41688671931997628</v>
      </c>
      <c r="BB156" s="58" t="str">
        <f t="shared" si="196"/>
        <v>-1,34271799948124+0,649842212111215i</v>
      </c>
      <c r="BC156">
        <f t="shared" si="197"/>
        <v>3.4736642167771037</v>
      </c>
      <c r="BD156" s="60">
        <f t="shared" si="198"/>
        <v>154.17416914404365</v>
      </c>
      <c r="BE156" s="58" t="str">
        <f t="shared" si="199"/>
        <v>-1,92628446612576+17,4753966902984i</v>
      </c>
      <c r="BF156" s="37">
        <f t="shared" si="200"/>
        <v>24.900990912305385</v>
      </c>
      <c r="BG156" s="60">
        <f t="shared" si="201"/>
        <v>96.29022628967445</v>
      </c>
      <c r="BH156" s="58" t="str">
        <f t="shared" si="202"/>
        <v>-18,3857069498255+35,4022109998983i</v>
      </c>
      <c r="BI156" s="37">
        <f t="shared" si="203"/>
        <v>32.017659168940817</v>
      </c>
      <c r="BJ156" s="60">
        <f t="shared" si="204"/>
        <v>117.44455865784046</v>
      </c>
      <c r="BK156">
        <f t="shared" si="205"/>
        <v>24.900990912305385</v>
      </c>
      <c r="BL156" s="60">
        <f t="shared" si="206"/>
        <v>96.29022628967445</v>
      </c>
      <c r="BN156">
        <f t="shared" si="207"/>
        <v>0</v>
      </c>
      <c r="BO156">
        <f t="shared" si="208"/>
        <v>0</v>
      </c>
    </row>
    <row r="157" spans="13:67" x14ac:dyDescent="0.25">
      <c r="M157" s="66">
        <v>39</v>
      </c>
      <c r="N157" s="36">
        <f t="shared" si="156"/>
        <v>245.4708915685033</v>
      </c>
      <c r="O157" s="91" t="str">
        <f t="shared" si="157"/>
        <v>22,5</v>
      </c>
      <c r="P157" s="67" t="str">
        <f t="shared" si="158"/>
        <v>1+1,66572622718297i</v>
      </c>
      <c r="Q157" s="67">
        <f t="shared" si="169"/>
        <v>1.9428442716608072</v>
      </c>
      <c r="R157" s="67">
        <f t="shared" si="170"/>
        <v>1.0301277833381663</v>
      </c>
      <c r="S157" s="67" t="str">
        <f t="shared" si="159"/>
        <v>1+0,0462701729773047i</v>
      </c>
      <c r="T157" s="67">
        <f t="shared" si="171"/>
        <v>1.0010698921191017</v>
      </c>
      <c r="U157" s="67">
        <f t="shared" si="172"/>
        <v>4.6237194945498855E-2</v>
      </c>
      <c r="V157" t="str">
        <f t="shared" si="160"/>
        <v>1-0,00963961937027181i</v>
      </c>
      <c r="W157" s="67">
        <f t="shared" si="173"/>
        <v>1.0000464600515337</v>
      </c>
      <c r="X157" s="67">
        <f t="shared" si="174"/>
        <v>-9.6393208085064925E-3</v>
      </c>
      <c r="Y157" t="str">
        <f t="shared" si="161"/>
        <v>0,999996143618649+0,0267338777202205i</v>
      </c>
      <c r="Z157" s="67">
        <f t="shared" si="175"/>
        <v>1.0003534312782303</v>
      </c>
      <c r="AA157" s="67">
        <f t="shared" si="176"/>
        <v>2.6727614569990597E-2</v>
      </c>
      <c r="AB157" s="92" t="str">
        <f t="shared" si="177"/>
        <v>6,06315901197106-9,87731637293636i</v>
      </c>
      <c r="AC157" s="37">
        <f t="shared" si="178"/>
        <v>21.281512750252531</v>
      </c>
      <c r="AD157" s="60">
        <f t="shared" si="179"/>
        <v>-58.456450128555957</v>
      </c>
      <c r="AE157" t="str">
        <f t="shared" si="180"/>
        <v>34,4450883806789</v>
      </c>
      <c r="AF157" t="str">
        <f t="shared" si="162"/>
        <v>1+0,832863113591485i</v>
      </c>
      <c r="AG157">
        <f t="shared" si="181"/>
        <v>1.3014073021084918</v>
      </c>
      <c r="AH157">
        <f t="shared" si="182"/>
        <v>0.69446070528110437</v>
      </c>
      <c r="AI157" t="str">
        <f t="shared" si="163"/>
        <v>1+0,0462701729773047i</v>
      </c>
      <c r="AJ157">
        <f t="shared" si="183"/>
        <v>1.0010698921191017</v>
      </c>
      <c r="AK157">
        <f t="shared" si="184"/>
        <v>4.6237194945498855E-2</v>
      </c>
      <c r="AL157" t="str">
        <f t="shared" si="164"/>
        <v>1-0,00314828650290864i</v>
      </c>
      <c r="AM157">
        <f t="shared" si="185"/>
        <v>1.0000049558416719</v>
      </c>
      <c r="AN157">
        <f t="shared" si="186"/>
        <v>-3.1482761013384261E-3</v>
      </c>
      <c r="AO157" s="58" t="str">
        <f t="shared" si="187"/>
        <v>21,0710344818685-16,0639501944103i</v>
      </c>
      <c r="AP157">
        <f t="shared" si="188"/>
        <v>28.463612327351164</v>
      </c>
      <c r="AQ157" s="60">
        <f t="shared" si="189"/>
        <v>-37.320854256733568</v>
      </c>
      <c r="AR157" t="str">
        <f t="shared" si="165"/>
        <v>-1,36472945891784</v>
      </c>
      <c r="AS157" t="str">
        <f t="shared" si="166"/>
        <v>1+0,034660986577299i</v>
      </c>
      <c r="AT157">
        <f t="shared" si="190"/>
        <v>1.000600511688112</v>
      </c>
      <c r="AU157">
        <f t="shared" si="191"/>
        <v>3.4647116189334533E-2</v>
      </c>
      <c r="AV157" t="str">
        <f t="shared" si="167"/>
        <v>1+0,034660986577299i</v>
      </c>
      <c r="AW157">
        <f t="shared" si="192"/>
        <v>1.000600511688112</v>
      </c>
      <c r="AX157">
        <f t="shared" si="193"/>
        <v>3.4647116189334533E-2</v>
      </c>
      <c r="AY157" t="str">
        <f t="shared" si="168"/>
        <v>1-0,432763215396303i</v>
      </c>
      <c r="AZ157">
        <f t="shared" si="194"/>
        <v>1.0896256240563302</v>
      </c>
      <c r="BA157">
        <f t="shared" si="195"/>
        <v>-0.408427742094708</v>
      </c>
      <c r="BB157" s="58" t="str">
        <f t="shared" si="196"/>
        <v>-1,34264548424437+0,637142125894806i</v>
      </c>
      <c r="BC157">
        <f t="shared" si="197"/>
        <v>3.4412630675458229</v>
      </c>
      <c r="BD157" s="60">
        <f t="shared" si="198"/>
        <v>154.61368061196734</v>
      </c>
      <c r="BE157" s="58" t="str">
        <f t="shared" si="199"/>
        <v>-1,84741871569025+17,1248282471015i</v>
      </c>
      <c r="BF157" s="37">
        <f t="shared" si="200"/>
        <v>24.722775817798365</v>
      </c>
      <c r="BG157" s="60">
        <f t="shared" si="201"/>
        <v>96.157230483411368</v>
      </c>
      <c r="BH157" s="58" t="str">
        <f t="shared" si="202"/>
        <v>-18,0559099183033+34,9934338922319i</v>
      </c>
      <c r="BI157" s="37">
        <f t="shared" si="203"/>
        <v>31.904875394896987</v>
      </c>
      <c r="BJ157" s="60">
        <f t="shared" si="204"/>
        <v>117.2928263552338</v>
      </c>
      <c r="BK157">
        <f t="shared" si="205"/>
        <v>24.722775817798365</v>
      </c>
      <c r="BL157" s="60">
        <f t="shared" si="206"/>
        <v>96.157230483411368</v>
      </c>
      <c r="BN157">
        <f t="shared" si="207"/>
        <v>0</v>
      </c>
      <c r="BO157">
        <f t="shared" si="208"/>
        <v>0</v>
      </c>
    </row>
    <row r="158" spans="13:67" x14ac:dyDescent="0.25">
      <c r="M158" s="66">
        <v>40</v>
      </c>
      <c r="N158" s="36">
        <f t="shared" si="156"/>
        <v>251.18864315095806</v>
      </c>
      <c r="O158" s="91" t="str">
        <f t="shared" si="157"/>
        <v>22,5</v>
      </c>
      <c r="P158" s="67" t="str">
        <f t="shared" si="158"/>
        <v>1+1,7045259753346i</v>
      </c>
      <c r="Q158" s="67">
        <f t="shared" si="169"/>
        <v>1.9762107176590176</v>
      </c>
      <c r="R158" s="67">
        <f t="shared" si="170"/>
        <v>1.040233452055777</v>
      </c>
      <c r="S158" s="67" t="str">
        <f t="shared" si="159"/>
        <v>1+0,0473479437592945i</v>
      </c>
      <c r="T158" s="67">
        <f t="shared" si="171"/>
        <v>1.001120286368343</v>
      </c>
      <c r="U158" s="67">
        <f t="shared" si="172"/>
        <v>4.7312609296878284E-2</v>
      </c>
      <c r="V158" t="str">
        <f t="shared" si="160"/>
        <v>1-0,009864154949853i</v>
      </c>
      <c r="W158" s="67">
        <f t="shared" si="173"/>
        <v>1.0000486495930458</v>
      </c>
      <c r="X158" s="67">
        <f t="shared" si="174"/>
        <v>-9.8638350359981884E-3</v>
      </c>
      <c r="Y158" t="str">
        <f t="shared" si="161"/>
        <v>0,999995961872995+0,0273565897275923i</v>
      </c>
      <c r="Z158" s="67">
        <f t="shared" si="175"/>
        <v>1.0003700849004933</v>
      </c>
      <c r="AA158" s="67">
        <f t="shared" si="176"/>
        <v>2.7349878775288806E-2</v>
      </c>
      <c r="AB158" s="92" t="str">
        <f t="shared" si="177"/>
        <v>5,86479815974347-9,76929805609984i</v>
      </c>
      <c r="AC158" s="37">
        <f t="shared" si="178"/>
        <v>21.133919226451241</v>
      </c>
      <c r="AD158" s="60">
        <f t="shared" si="179"/>
        <v>-59.022362422052169</v>
      </c>
      <c r="AE158" t="str">
        <f t="shared" si="180"/>
        <v>34,4450883806789</v>
      </c>
      <c r="AF158" t="str">
        <f t="shared" si="162"/>
        <v>1+0,8522629876673i</v>
      </c>
      <c r="AG158">
        <f t="shared" si="181"/>
        <v>1.3139072266136571</v>
      </c>
      <c r="AH158">
        <f t="shared" si="182"/>
        <v>0.7058063789470207</v>
      </c>
      <c r="AI158" t="str">
        <f t="shared" si="163"/>
        <v>1+0,0473479437592945i</v>
      </c>
      <c r="AJ158">
        <f t="shared" si="183"/>
        <v>1.001120286368343</v>
      </c>
      <c r="AK158">
        <f t="shared" si="184"/>
        <v>4.7312609296878284E-2</v>
      </c>
      <c r="AL158" t="str">
        <f t="shared" si="164"/>
        <v>1-0,00322161951611851i</v>
      </c>
      <c r="AM158">
        <f t="shared" si="185"/>
        <v>1.0000051894026885</v>
      </c>
      <c r="AN158">
        <f t="shared" si="186"/>
        <v>-3.221608370638345E-3</v>
      </c>
      <c r="AO158" s="58" t="str">
        <f t="shared" si="187"/>
        <v>20,7059295271833-16,1269622227951i</v>
      </c>
      <c r="AP158">
        <f t="shared" si="188"/>
        <v>28.381022354074684</v>
      </c>
      <c r="AQ158" s="60">
        <f t="shared" si="189"/>
        <v>-37.913498399494557</v>
      </c>
      <c r="AR158" t="str">
        <f t="shared" si="165"/>
        <v>-1,36472945891784</v>
      </c>
      <c r="AS158" t="str">
        <f t="shared" si="166"/>
        <v>1+0,0354683446700875i</v>
      </c>
      <c r="AT158">
        <f t="shared" si="190"/>
        <v>1.0006288040395579</v>
      </c>
      <c r="AU158">
        <f t="shared" si="191"/>
        <v>3.5453482785990462E-2</v>
      </c>
      <c r="AV158" t="str">
        <f t="shared" si="167"/>
        <v>1+0,0354683446700875i</v>
      </c>
      <c r="AW158">
        <f t="shared" si="192"/>
        <v>1.0006288040395579</v>
      </c>
      <c r="AX158">
        <f t="shared" si="193"/>
        <v>3.5453482785990462E-2</v>
      </c>
      <c r="AY158" t="str">
        <f t="shared" si="168"/>
        <v>1-0,422912321945783i</v>
      </c>
      <c r="AZ158">
        <f t="shared" si="194"/>
        <v>1.0857508148988761</v>
      </c>
      <c r="BA158">
        <f t="shared" si="195"/>
        <v>-0.40010103728911078</v>
      </c>
      <c r="BB158" s="58" t="str">
        <f t="shared" si="196"/>
        <v>-1,34256955986417+0,624779624191586i</v>
      </c>
      <c r="BC158">
        <f t="shared" si="197"/>
        <v>3.4100745995445307</v>
      </c>
      <c r="BD158" s="60">
        <f t="shared" si="198"/>
        <v>155.04456425185069</v>
      </c>
      <c r="BE158" s="58" t="str">
        <f t="shared" si="199"/>
        <v>-1,77024111591334+16,7801685815639i</v>
      </c>
      <c r="BF158" s="37">
        <f t="shared" si="200"/>
        <v>24.543993825995784</v>
      </c>
      <c r="BG158" s="60">
        <f t="shared" si="201"/>
        <v>96.022201829798519</v>
      </c>
      <c r="BH158" s="58" t="str">
        <f t="shared" si="202"/>
        <v>-17,7233532949792+34,5882114419352i</v>
      </c>
      <c r="BI158" s="37">
        <f t="shared" si="203"/>
        <v>31.791096953619224</v>
      </c>
      <c r="BJ158" s="60">
        <f t="shared" si="204"/>
        <v>117.13106585235614</v>
      </c>
      <c r="BK158">
        <f t="shared" si="205"/>
        <v>24.543993825995784</v>
      </c>
      <c r="BL158" s="60">
        <f t="shared" si="206"/>
        <v>96.022201829798519</v>
      </c>
      <c r="BN158">
        <f t="shared" si="207"/>
        <v>0</v>
      </c>
      <c r="BO158">
        <f t="shared" si="208"/>
        <v>0</v>
      </c>
    </row>
    <row r="159" spans="13:67" x14ac:dyDescent="0.25">
      <c r="M159" s="66">
        <v>41</v>
      </c>
      <c r="N159" s="36">
        <f t="shared" si="156"/>
        <v>257.03957827688663</v>
      </c>
      <c r="O159" s="91" t="str">
        <f t="shared" si="157"/>
        <v>22,5</v>
      </c>
      <c r="P159" s="67" t="str">
        <f t="shared" si="158"/>
        <v>1+1,74422948572041i</v>
      </c>
      <c r="Q159" s="67">
        <f t="shared" si="169"/>
        <v>2.0105562660260183</v>
      </c>
      <c r="R159" s="67">
        <f t="shared" si="170"/>
        <v>1.0502262395691691</v>
      </c>
      <c r="S159" s="67" t="str">
        <f t="shared" si="159"/>
        <v>1+0,0484508190477891i</v>
      </c>
      <c r="T159" s="67">
        <f t="shared" si="171"/>
        <v>1.0011730529066398</v>
      </c>
      <c r="U159" s="67">
        <f t="shared" si="172"/>
        <v>4.8412959884677219E-2</v>
      </c>
      <c r="V159" t="str">
        <f t="shared" si="160"/>
        <v>1-0,0100939206349561i</v>
      </c>
      <c r="W159" s="67">
        <f t="shared" si="173"/>
        <v>1.0000509423193324</v>
      </c>
      <c r="X159" s="67">
        <f t="shared" si="174"/>
        <v>-1.0093577842027742E-2</v>
      </c>
      <c r="Y159" t="str">
        <f t="shared" si="161"/>
        <v>0,999995771561933+0,0279938065609448i</v>
      </c>
      <c r="Z159" s="67">
        <f t="shared" si="175"/>
        <v>1.0003875230866872</v>
      </c>
      <c r="AA159" s="67">
        <f t="shared" si="176"/>
        <v>2.7986615796427354E-2</v>
      </c>
      <c r="AB159" s="92" t="str">
        <f t="shared" si="177"/>
        <v>5,67084297434832-9,65857401694876i</v>
      </c>
      <c r="AC159" s="37">
        <f t="shared" si="178"/>
        <v>20.984585906788482</v>
      </c>
      <c r="AD159" s="60">
        <f t="shared" si="179"/>
        <v>-59.581507164604929</v>
      </c>
      <c r="AE159" t="str">
        <f t="shared" si="180"/>
        <v>34,4450883806789</v>
      </c>
      <c r="AF159" t="str">
        <f t="shared" si="162"/>
        <v>1+0,872114742860205i</v>
      </c>
      <c r="AG159">
        <f t="shared" si="181"/>
        <v>1.3268700481637685</v>
      </c>
      <c r="AH159">
        <f t="shared" si="182"/>
        <v>0.71719353322175539</v>
      </c>
      <c r="AI159" t="str">
        <f t="shared" si="163"/>
        <v>1+0,0484508190477891i</v>
      </c>
      <c r="AJ159">
        <f t="shared" si="183"/>
        <v>1.0011730529066398</v>
      </c>
      <c r="AK159">
        <f t="shared" si="184"/>
        <v>4.8412959884677219E-2</v>
      </c>
      <c r="AL159" t="str">
        <f t="shared" si="164"/>
        <v>1-0,00329666067463898i</v>
      </c>
      <c r="AM159">
        <f t="shared" si="185"/>
        <v>1.0000054339710378</v>
      </c>
      <c r="AN159">
        <f t="shared" si="186"/>
        <v>-3.296648732045322E-3</v>
      </c>
      <c r="AO159" s="58" t="str">
        <f t="shared" si="187"/>
        <v>20,3381501072075-16,1818615750812i</v>
      </c>
      <c r="AP159">
        <f t="shared" si="188"/>
        <v>28.296208488994402</v>
      </c>
      <c r="AQ159" s="60">
        <f t="shared" si="189"/>
        <v>-38.507188331437369</v>
      </c>
      <c r="AR159" t="str">
        <f t="shared" si="165"/>
        <v>-1,36472945891784</v>
      </c>
      <c r="AS159" t="str">
        <f t="shared" si="166"/>
        <v>1+0,0362945085486989i</v>
      </c>
      <c r="AT159">
        <f t="shared" si="190"/>
        <v>1.0006584289110803</v>
      </c>
      <c r="AU159">
        <f t="shared" si="191"/>
        <v>3.6278584318851372E-2</v>
      </c>
      <c r="AV159" t="str">
        <f t="shared" si="167"/>
        <v>1+0,0362945085486989i</v>
      </c>
      <c r="AW159">
        <f t="shared" si="192"/>
        <v>1.0006584289110803</v>
      </c>
      <c r="AX159">
        <f t="shared" si="193"/>
        <v>3.6278584318851372E-2</v>
      </c>
      <c r="AY159" t="str">
        <f t="shared" si="168"/>
        <v>1-0,413285662206267i</v>
      </c>
      <c r="AZ159">
        <f t="shared" si="194"/>
        <v>1.0820374478664185</v>
      </c>
      <c r="BA159">
        <f t="shared" si="195"/>
        <v>-0.39190680961634805</v>
      </c>
      <c r="BB159" s="58" t="str">
        <f t="shared" si="196"/>
        <v>-1,34249006648097+0,612748135355697i</v>
      </c>
      <c r="BC159">
        <f t="shared" si="197"/>
        <v>3.3800599945130831</v>
      </c>
      <c r="BD159" s="60">
        <f t="shared" si="198"/>
        <v>155.46678407836646</v>
      </c>
      <c r="BE159" s="58" t="str">
        <f t="shared" si="199"/>
        <v>-1,69477714255568+16,4413381325518i</v>
      </c>
      <c r="BF159" s="37">
        <f t="shared" si="200"/>
        <v>24.364645901301564</v>
      </c>
      <c r="BG159" s="60">
        <f t="shared" si="201"/>
        <v>95.885276913761544</v>
      </c>
      <c r="BH159" s="58" t="str">
        <f t="shared" si="202"/>
        <v>-17,3883589828099+34,1861519764923i</v>
      </c>
      <c r="BI159" s="37">
        <f t="shared" si="203"/>
        <v>31.676268483507485</v>
      </c>
      <c r="BJ159" s="60">
        <f t="shared" si="204"/>
        <v>116.95959574692905</v>
      </c>
      <c r="BK159">
        <f t="shared" si="205"/>
        <v>24.364645901301564</v>
      </c>
      <c r="BL159" s="60">
        <f t="shared" si="206"/>
        <v>95.885276913761544</v>
      </c>
      <c r="BN159">
        <f t="shared" si="207"/>
        <v>0</v>
      </c>
      <c r="BO159">
        <f t="shared" si="208"/>
        <v>0</v>
      </c>
    </row>
    <row r="160" spans="13:67" x14ac:dyDescent="0.25">
      <c r="M160" s="66">
        <v>42</v>
      </c>
      <c r="N160" s="36">
        <f t="shared" si="156"/>
        <v>263.02679918953817</v>
      </c>
      <c r="O160" s="91" t="str">
        <f t="shared" si="157"/>
        <v>22,5</v>
      </c>
      <c r="P160" s="67" t="str">
        <f t="shared" si="158"/>
        <v>1+1,78485780966715i</v>
      </c>
      <c r="Q160" s="67">
        <f t="shared" si="169"/>
        <v>2.0459025882797586</v>
      </c>
      <c r="R160" s="67">
        <f t="shared" si="170"/>
        <v>1.0601034608849926</v>
      </c>
      <c r="S160" s="67" t="str">
        <f t="shared" si="159"/>
        <v>1+0,0495793836018655i</v>
      </c>
      <c r="T160" s="67">
        <f t="shared" si="171"/>
        <v>1.0012283032747031</v>
      </c>
      <c r="U160" s="67">
        <f t="shared" si="172"/>
        <v>4.953881946510004E-2</v>
      </c>
      <c r="V160" t="str">
        <f t="shared" si="160"/>
        <v>1-0,0103290382503886i</v>
      </c>
      <c r="W160" s="67">
        <f t="shared" si="173"/>
        <v>1.0000533430928462</v>
      </c>
      <c r="X160" s="67">
        <f t="shared" si="174"/>
        <v>-1.032867094220632E-2</v>
      </c>
      <c r="Y160" t="str">
        <f t="shared" si="161"/>
        <v>0,999995572281786+0,0286458660810778i</v>
      </c>
      <c r="Z160" s="67">
        <f t="shared" si="175"/>
        <v>1.0004057827835222</v>
      </c>
      <c r="AA160" s="67">
        <f t="shared" si="176"/>
        <v>2.8638161206857148E-2</v>
      </c>
      <c r="AB160" s="92" t="str">
        <f t="shared" si="177"/>
        <v>5,4813469678567-9,54535139081953i</v>
      </c>
      <c r="AC160" s="37">
        <f t="shared" si="178"/>
        <v>20.833553136823198</v>
      </c>
      <c r="AD160" s="60">
        <f t="shared" si="179"/>
        <v>-60.133723901647265</v>
      </c>
      <c r="AE160" t="str">
        <f t="shared" si="180"/>
        <v>34,4450883806789</v>
      </c>
      <c r="AF160" t="str">
        <f t="shared" si="162"/>
        <v>1+0,892428904833578i</v>
      </c>
      <c r="AG160">
        <f t="shared" si="181"/>
        <v>1.3403094232983888</v>
      </c>
      <c r="AH160">
        <f t="shared" si="182"/>
        <v>0.72861639426799607</v>
      </c>
      <c r="AI160" t="str">
        <f t="shared" si="163"/>
        <v>1+0,0495793836018655i</v>
      </c>
      <c r="AJ160">
        <f t="shared" si="183"/>
        <v>1.0012283032747031</v>
      </c>
      <c r="AK160">
        <f t="shared" si="184"/>
        <v>4.953881946510004E-2</v>
      </c>
      <c r="AL160" t="str">
        <f t="shared" si="164"/>
        <v>1-0,0033734497662856i</v>
      </c>
      <c r="AM160">
        <f t="shared" si="185"/>
        <v>1.0000056900654744</v>
      </c>
      <c r="AN160">
        <f t="shared" si="186"/>
        <v>-3.3734369695698732E-3</v>
      </c>
      <c r="AO160" s="58" t="str">
        <f t="shared" si="187"/>
        <v>19,9680606749653-16,2285070451314i</v>
      </c>
      <c r="AP160">
        <f t="shared" si="188"/>
        <v>28.209156431470518</v>
      </c>
      <c r="AQ160" s="60">
        <f t="shared" si="189"/>
        <v>-39.101562698995217</v>
      </c>
      <c r="AR160" t="str">
        <f t="shared" si="165"/>
        <v>-1,36472945891784</v>
      </c>
      <c r="AS160" t="str">
        <f t="shared" si="166"/>
        <v>1+0,0371399162561574i</v>
      </c>
      <c r="AT160">
        <f t="shared" si="190"/>
        <v>1.0006894490197817</v>
      </c>
      <c r="AU160">
        <f t="shared" si="191"/>
        <v>3.712285377132156E-2</v>
      </c>
      <c r="AV160" t="str">
        <f t="shared" si="167"/>
        <v>1+0,0371399162561574i</v>
      </c>
      <c r="AW160">
        <f t="shared" si="192"/>
        <v>1.0006894490197817</v>
      </c>
      <c r="AX160">
        <f t="shared" si="193"/>
        <v>3.712285377132156E-2</v>
      </c>
      <c r="AY160" t="str">
        <f t="shared" si="168"/>
        <v>1-0,403878131995335i</v>
      </c>
      <c r="AZ160">
        <f t="shared" si="194"/>
        <v>1.078479274489798</v>
      </c>
      <c r="BA160">
        <f t="shared" si="195"/>
        <v>-0.38384511707403057</v>
      </c>
      <c r="BB160" s="58" t="str">
        <f t="shared" si="196"/>
        <v>-1,34240683677894+0,601041262046405i</v>
      </c>
      <c r="BC160">
        <f t="shared" si="197"/>
        <v>3.3511809817397968</v>
      </c>
      <c r="BD160" s="60">
        <f t="shared" si="198"/>
        <v>155.880311960375</v>
      </c>
      <c r="BE160" s="58" t="str">
        <f t="shared" si="199"/>
        <v>-1,62104759779377+16,1082606657683i</v>
      </c>
      <c r="BF160" s="37">
        <f t="shared" si="200"/>
        <v>24.184734118562979</v>
      </c>
      <c r="BG160" s="60">
        <f t="shared" si="201"/>
        <v>95.746588058727752</v>
      </c>
      <c r="BH160" s="58" t="str">
        <f t="shared" si="202"/>
        <v>-17,0512588117554+33,7868871967999i</v>
      </c>
      <c r="BI160" s="37">
        <f t="shared" si="203"/>
        <v>31.56033741321032</v>
      </c>
      <c r="BJ160" s="60">
        <f t="shared" si="204"/>
        <v>116.77874926137984</v>
      </c>
      <c r="BK160">
        <f t="shared" si="205"/>
        <v>24.184734118562979</v>
      </c>
      <c r="BL160" s="60">
        <f t="shared" si="206"/>
        <v>95.746588058727752</v>
      </c>
      <c r="BN160">
        <f t="shared" si="207"/>
        <v>0</v>
      </c>
      <c r="BO160">
        <f t="shared" si="208"/>
        <v>0</v>
      </c>
    </row>
    <row r="161" spans="13:67" x14ac:dyDescent="0.25">
      <c r="M161" s="66">
        <v>43</v>
      </c>
      <c r="N161" s="36">
        <f t="shared" si="156"/>
        <v>269.15348039269179</v>
      </c>
      <c r="O161" s="91" t="str">
        <f t="shared" si="157"/>
        <v>22,5</v>
      </c>
      <c r="P161" s="67" t="str">
        <f t="shared" si="158"/>
        <v>1+1,82643248884998i</v>
      </c>
      <c r="Q161" s="67">
        <f t="shared" si="169"/>
        <v>2.0822717489143274</v>
      </c>
      <c r="R161" s="67">
        <f t="shared" si="170"/>
        <v>1.069862643435485</v>
      </c>
      <c r="S161" s="67" t="str">
        <f t="shared" si="159"/>
        <v>1+0,0507342358013884i</v>
      </c>
      <c r="T161" s="67">
        <f t="shared" si="171"/>
        <v>1.0012861542448048</v>
      </c>
      <c r="U161" s="67">
        <f t="shared" si="172"/>
        <v>5.0690773560557352E-2</v>
      </c>
      <c r="V161" t="str">
        <f t="shared" si="160"/>
        <v>1-0,0105696324586226i</v>
      </c>
      <c r="W161" s="67">
        <f t="shared" si="173"/>
        <v>1.0000558570051528</v>
      </c>
      <c r="X161" s="67">
        <f t="shared" si="174"/>
        <v>-1.0569238882001576E-2</v>
      </c>
      <c r="Y161" t="str">
        <f t="shared" si="161"/>
        <v>0,999995363609856+0,0293131140185799i</v>
      </c>
      <c r="Z161" s="67">
        <f t="shared" si="175"/>
        <v>1.0004249026761951</v>
      </c>
      <c r="AA161" s="67">
        <f t="shared" si="176"/>
        <v>2.9304858286471298E-2</v>
      </c>
      <c r="AB161" s="92" t="str">
        <f t="shared" si="177"/>
        <v>5,29635198293574-9,42983574117865i</v>
      </c>
      <c r="AC161" s="37">
        <f t="shared" si="178"/>
        <v>20.680861720484181</v>
      </c>
      <c r="AD161" s="60">
        <f t="shared" si="179"/>
        <v>-60.678864221937708</v>
      </c>
      <c r="AE161" t="str">
        <f t="shared" si="180"/>
        <v>34,4450883806789</v>
      </c>
      <c r="AF161" t="str">
        <f t="shared" si="162"/>
        <v>1+0,91321624442499i</v>
      </c>
      <c r="AG161">
        <f t="shared" si="181"/>
        <v>1.3542392362805336</v>
      </c>
      <c r="AH161">
        <f t="shared" si="182"/>
        <v>0.74006909576859981</v>
      </c>
      <c r="AI161" t="str">
        <f t="shared" si="163"/>
        <v>1+0,0507342358013884i</v>
      </c>
      <c r="AJ161">
        <f t="shared" si="183"/>
        <v>1.0012861542448048</v>
      </c>
      <c r="AK161">
        <f t="shared" si="184"/>
        <v>5.0690773560557352E-2</v>
      </c>
      <c r="AL161" t="str">
        <f t="shared" si="164"/>
        <v>1-0,00345202750565121i</v>
      </c>
      <c r="AM161">
        <f t="shared" si="185"/>
        <v>1.0000059582291996</v>
      </c>
      <c r="AN161">
        <f t="shared" si="186"/>
        <v>-3.4520137937276776E-3</v>
      </c>
      <c r="AO161" s="58" t="str">
        <f t="shared" si="187"/>
        <v>19,5960351991725-16,2667778266279i</v>
      </c>
      <c r="AP161">
        <f t="shared" si="188"/>
        <v>28.119854188140994</v>
      </c>
      <c r="AQ161" s="60">
        <f t="shared" si="189"/>
        <v>-39.696254171532189</v>
      </c>
      <c r="AR161" t="str">
        <f t="shared" si="165"/>
        <v>-1,36472945891784</v>
      </c>
      <c r="AS161" t="str">
        <f t="shared" si="166"/>
        <v>1+0,03800501603882i</v>
      </c>
      <c r="AT161">
        <f t="shared" si="190"/>
        <v>1.000721930030571</v>
      </c>
      <c r="AU161">
        <f t="shared" si="191"/>
        <v>3.7986733969190778E-2</v>
      </c>
      <c r="AV161" t="str">
        <f t="shared" si="167"/>
        <v>1+0,03800501603882i</v>
      </c>
      <c r="AW161">
        <f t="shared" si="192"/>
        <v>1.000721930030571</v>
      </c>
      <c r="AX161">
        <f t="shared" si="193"/>
        <v>3.7986733969190778E-2</v>
      </c>
      <c r="AY161" t="str">
        <f t="shared" si="168"/>
        <v>1-0,394684743315944i</v>
      </c>
      <c r="AZ161">
        <f t="shared" si="194"/>
        <v>1.0750702519400175</v>
      </c>
      <c r="BA161">
        <f t="shared" si="195"/>
        <v>-0.37591587778363672</v>
      </c>
      <c r="BB161" s="58" t="str">
        <f t="shared" si="196"/>
        <v>-1,34231969564209+0,589652777750796i</v>
      </c>
      <c r="BC161">
        <f t="shared" si="197"/>
        <v>3.3233998785450614</v>
      </c>
      <c r="BD161" s="60">
        <f t="shared" si="198"/>
        <v>156.28512721712113</v>
      </c>
      <c r="BE161" s="58" t="str">
        <f t="shared" si="199"/>
        <v>-1,54906874322795+15,7808629007378i</v>
      </c>
      <c r="BF161" s="37">
        <f t="shared" si="200"/>
        <v>24.004261599029235</v>
      </c>
      <c r="BG161" s="60">
        <f t="shared" si="201"/>
        <v>95.606262995183414</v>
      </c>
      <c r="BH161" s="58" t="str">
        <f t="shared" si="202"/>
        <v>-16,7123932738187+33,3900728494111i</v>
      </c>
      <c r="BI161" s="37">
        <f t="shared" si="203"/>
        <v>31.443254066686048</v>
      </c>
      <c r="BJ161" s="60">
        <f t="shared" si="204"/>
        <v>116.58887304558893</v>
      </c>
      <c r="BK161">
        <f t="shared" si="205"/>
        <v>24.004261599029235</v>
      </c>
      <c r="BL161" s="60">
        <f t="shared" si="206"/>
        <v>95.606262995183414</v>
      </c>
      <c r="BN161">
        <f t="shared" si="207"/>
        <v>0</v>
      </c>
      <c r="BO161">
        <f t="shared" si="208"/>
        <v>0</v>
      </c>
    </row>
    <row r="162" spans="13:67" x14ac:dyDescent="0.25">
      <c r="M162" s="66">
        <v>44</v>
      </c>
      <c r="N162" s="36">
        <f t="shared" si="156"/>
        <v>275.42287033381683</v>
      </c>
      <c r="O162" s="91" t="str">
        <f t="shared" si="157"/>
        <v>22,5</v>
      </c>
      <c r="P162" s="67" t="str">
        <f t="shared" si="158"/>
        <v>1+1,86897556671408i</v>
      </c>
      <c r="Q162" s="67">
        <f t="shared" si="169"/>
        <v>2.1196862194613182</v>
      </c>
      <c r="R162" s="67">
        <f t="shared" si="170"/>
        <v>1.0795015250941542</v>
      </c>
      <c r="S162" s="67" t="str">
        <f t="shared" si="159"/>
        <v>1+0,0519159879642802i</v>
      </c>
      <c r="T162" s="67">
        <f t="shared" si="171"/>
        <v>1.0013467280649131</v>
      </c>
      <c r="U162" s="67">
        <f t="shared" si="172"/>
        <v>5.1869420716285537E-2</v>
      </c>
      <c r="V162" t="str">
        <f t="shared" si="160"/>
        <v>1-0,0108158308258917i</v>
      </c>
      <c r="W162" s="67">
        <f t="shared" si="173"/>
        <v>1.0000584893877229</v>
      </c>
      <c r="X162" s="67">
        <f t="shared" si="174"/>
        <v>-1.08154091022763E-2</v>
      </c>
      <c r="Y162" t="str">
        <f t="shared" si="161"/>
        <v>0,99999514510352+0,0299959041571396i</v>
      </c>
      <c r="Z162" s="67">
        <f t="shared" si="175"/>
        <v>1.0004449232700492</v>
      </c>
      <c r="AA162" s="67">
        <f t="shared" si="176"/>
        <v>2.9987058193263586E-2</v>
      </c>
      <c r="AB162" s="92" t="str">
        <f t="shared" si="177"/>
        <v>5,11588858110633-9,31223036323683i</v>
      </c>
      <c r="AC162" s="37">
        <f t="shared" si="178"/>
        <v>20.526552818879139</v>
      </c>
      <c r="AD162" s="60">
        <f t="shared" si="179"/>
        <v>-61.216791642754181</v>
      </c>
      <c r="AE162" t="str">
        <f t="shared" si="180"/>
        <v>34,4450883806789</v>
      </c>
      <c r="AF162" t="str">
        <f t="shared" si="162"/>
        <v>1+0,934487783357043i</v>
      </c>
      <c r="AG162">
        <f t="shared" si="181"/>
        <v>1.3686735977739761</v>
      </c>
      <c r="AH162">
        <f t="shared" si="182"/>
        <v>0.7515456935849617</v>
      </c>
      <c r="AI162" t="str">
        <f t="shared" si="163"/>
        <v>1+0,0519159879642802i</v>
      </c>
      <c r="AJ162">
        <f t="shared" si="183"/>
        <v>1.0013467280649131</v>
      </c>
      <c r="AK162">
        <f t="shared" si="184"/>
        <v>5.1869420716285537E-2</v>
      </c>
      <c r="AL162" t="str">
        <f t="shared" si="164"/>
        <v>1-0,0035324355556933i</v>
      </c>
      <c r="AM162">
        <f t="shared" si="185"/>
        <v>1.0000062390310149</v>
      </c>
      <c r="AN162">
        <f t="shared" si="186"/>
        <v>-3.532420863107474E-3</v>
      </c>
      <c r="AO162" s="58" t="str">
        <f t="shared" si="187"/>
        <v>19,2224556931536-16,2965742724891i</v>
      </c>
      <c r="AP162">
        <f t="shared" si="188"/>
        <v>28.028292128826557</v>
      </c>
      <c r="AQ162" s="60">
        <f t="shared" si="189"/>
        <v>-40.290890267738916</v>
      </c>
      <c r="AR162" t="str">
        <f t="shared" si="165"/>
        <v>-1,36472945891784</v>
      </c>
      <c r="AS162" t="str">
        <f t="shared" si="166"/>
        <v>1+0,0388902665840423i</v>
      </c>
      <c r="AT162">
        <f t="shared" si="190"/>
        <v>1.0007559406943223</v>
      </c>
      <c r="AU162">
        <f t="shared" si="191"/>
        <v>3.8870677792596543E-2</v>
      </c>
      <c r="AV162" t="str">
        <f t="shared" si="167"/>
        <v>1+0,0388902665840423i</v>
      </c>
      <c r="AW162">
        <f t="shared" si="192"/>
        <v>1.0007559406943223</v>
      </c>
      <c r="AX162">
        <f t="shared" si="193"/>
        <v>3.8870677792596543E-2</v>
      </c>
      <c r="AY162" t="str">
        <f t="shared" si="168"/>
        <v>1-0,38570062171173i</v>
      </c>
      <c r="AZ162">
        <f t="shared" si="194"/>
        <v>1.0718045388916837</v>
      </c>
      <c r="BA162">
        <f t="shared" si="195"/>
        <v>-0.36811887686439004</v>
      </c>
      <c r="BB162" s="58" t="str">
        <f t="shared" si="196"/>
        <v>-1,34222845979487+0,578576623391035i</v>
      </c>
      <c r="BC162">
        <f t="shared" si="197"/>
        <v>3.2966796262012359</v>
      </c>
      <c r="BD162" s="60">
        <f t="shared" si="198"/>
        <v>156.68121621224574</v>
      </c>
      <c r="BE162" s="58" t="str">
        <f t="shared" si="199"/>
        <v>-1,47885245089948+15,4590741586036i</v>
      </c>
      <c r="BF162" s="37">
        <f t="shared" si="200"/>
        <v>23.823232445080347</v>
      </c>
      <c r="BG162" s="60">
        <f t="shared" si="201"/>
        <v>95.464424569491598</v>
      </c>
      <c r="BH162" s="58" t="str">
        <f t="shared" si="202"/>
        <v>-16,3721101830787+32,9953892939243i</v>
      </c>
      <c r="BI162" s="37">
        <f t="shared" si="203"/>
        <v>31.324971755027779</v>
      </c>
      <c r="BJ162" s="60">
        <f t="shared" si="204"/>
        <v>116.3903259445068</v>
      </c>
      <c r="BK162">
        <f t="shared" si="205"/>
        <v>23.823232445080347</v>
      </c>
      <c r="BL162" s="60">
        <f t="shared" si="206"/>
        <v>95.464424569491598</v>
      </c>
      <c r="BN162">
        <f t="shared" si="207"/>
        <v>0</v>
      </c>
      <c r="BO162">
        <f t="shared" si="208"/>
        <v>0</v>
      </c>
    </row>
    <row r="163" spans="13:67" x14ac:dyDescent="0.25">
      <c r="M163" s="66">
        <v>45</v>
      </c>
      <c r="N163" s="36">
        <f t="shared" si="156"/>
        <v>281.83829312644554</v>
      </c>
      <c r="O163" s="91" t="str">
        <f t="shared" si="157"/>
        <v>22,5</v>
      </c>
      <c r="P163" s="67" t="str">
        <f t="shared" si="158"/>
        <v>1+1,91250960016247i</v>
      </c>
      <c r="Q163" s="67">
        <f t="shared" si="169"/>
        <v>2.1581688930001772</v>
      </c>
      <c r="R163" s="67">
        <f t="shared" si="170"/>
        <v>1.0890180515003942</v>
      </c>
      <c r="S163" s="67" t="str">
        <f t="shared" si="159"/>
        <v>1+0,0531252666711799i</v>
      </c>
      <c r="T163" s="67">
        <f t="shared" si="171"/>
        <v>1.0014101527141035</v>
      </c>
      <c r="U163" s="67">
        <f t="shared" si="172"/>
        <v>5.3075372760074284E-2</v>
      </c>
      <c r="V163" t="str">
        <f t="shared" si="160"/>
        <v>1-0,0110677638898291i</v>
      </c>
      <c r="W163" s="67">
        <f t="shared" si="173"/>
        <v>1.000061245823235</v>
      </c>
      <c r="X163" s="67">
        <f t="shared" si="174"/>
        <v>-1.1067312006328375E-2</v>
      </c>
      <c r="Y163" t="str">
        <f t="shared" si="161"/>
        <v>0,999994916299298+0,0306945985211261i</v>
      </c>
      <c r="Z163" s="67">
        <f t="shared" si="175"/>
        <v>1.0004658869760694</v>
      </c>
      <c r="AA163" s="67">
        <f t="shared" si="176"/>
        <v>3.0685120138426468E-2</v>
      </c>
      <c r="AB163" s="92" t="str">
        <f t="shared" si="177"/>
        <v>4,93997647135613-9,19273563849749i</v>
      </c>
      <c r="AC163" s="37">
        <f t="shared" si="178"/>
        <v>20.370667852826564</v>
      </c>
      <c r="AD163" s="60">
        <f t="shared" si="179"/>
        <v>-61.74738145559806</v>
      </c>
      <c r="AE163" t="str">
        <f t="shared" si="180"/>
        <v>34,4450883806789</v>
      </c>
      <c r="AF163" t="str">
        <f t="shared" si="162"/>
        <v>1+0,956254800081237i</v>
      </c>
      <c r="AG163">
        <f t="shared" si="181"/>
        <v>1.3836268437257231</v>
      </c>
      <c r="AH163">
        <f t="shared" si="182"/>
        <v>0.76304018090651538</v>
      </c>
      <c r="AI163" t="str">
        <f t="shared" si="163"/>
        <v>1+0,0531252666711799i</v>
      </c>
      <c r="AJ163">
        <f t="shared" si="183"/>
        <v>1.0014101527141035</v>
      </c>
      <c r="AK163">
        <f t="shared" si="184"/>
        <v>5.3075372760074284E-2</v>
      </c>
      <c r="AL163" t="str">
        <f t="shared" si="164"/>
        <v>1-0,00361471654982433i</v>
      </c>
      <c r="AM163">
        <f t="shared" si="185"/>
        <v>1.0000065330665273</v>
      </c>
      <c r="AN163">
        <f t="shared" si="186"/>
        <v>-3.6147008064405287E-3</v>
      </c>
      <c r="AO163" s="58" t="str">
        <f t="shared" si="187"/>
        <v>18,8477106733055-16,3178185271847i</v>
      </c>
      <c r="AP163">
        <f t="shared" si="188"/>
        <v>27.934463033297938</v>
      </c>
      <c r="AQ163" s="60">
        <f t="shared" si="189"/>
        <v>-40.885094210017989</v>
      </c>
      <c r="AR163" t="str">
        <f t="shared" si="165"/>
        <v>-1,36472945891784</v>
      </c>
      <c r="AS163" t="str">
        <f t="shared" si="166"/>
        <v>1+0,0397961372633808i</v>
      </c>
      <c r="AT163">
        <f t="shared" si="190"/>
        <v>1.0007915529924729</v>
      </c>
      <c r="AU163">
        <f t="shared" si="191"/>
        <v>3.9775148391698087E-2</v>
      </c>
      <c r="AV163" t="str">
        <f t="shared" si="167"/>
        <v>1+0,0397961372633808i</v>
      </c>
      <c r="AW163">
        <f t="shared" si="192"/>
        <v>1.0007915529924729</v>
      </c>
      <c r="AX163">
        <f t="shared" si="193"/>
        <v>3.9775148391698087E-2</v>
      </c>
      <c r="AY163" t="str">
        <f t="shared" si="168"/>
        <v>1-0,3769210036825i</v>
      </c>
      <c r="AZ163">
        <f t="shared" si="194"/>
        <v>1.0686764912811655</v>
      </c>
      <c r="BA163">
        <f t="shared" si="195"/>
        <v>-0.36045377330694511</v>
      </c>
      <c r="BB163" s="58" t="str">
        <f t="shared" si="196"/>
        <v>-1,34213293742661+0,567806904013921i</v>
      </c>
      <c r="BC163">
        <f t="shared" si="197"/>
        <v>3.2709838214428686</v>
      </c>
      <c r="BD163" s="60">
        <f t="shared" si="198"/>
        <v>157.0685719475959</v>
      </c>
      <c r="BE163" s="58" t="str">
        <f t="shared" si="199"/>
        <v>-1,41040637000585+15,1428260315853i</v>
      </c>
      <c r="BF163" s="37">
        <f t="shared" si="200"/>
        <v>23.641651674269461</v>
      </c>
      <c r="BG163" s="60">
        <f t="shared" si="201"/>
        <v>95.321190491997839</v>
      </c>
      <c r="BH163" s="58" t="str">
        <f t="shared" si="202"/>
        <v>-16,0307632715486+32,6025419574445i</v>
      </c>
      <c r="BI163" s="37">
        <f t="shared" si="203"/>
        <v>31.205446854740803</v>
      </c>
      <c r="BJ163" s="60">
        <f t="shared" si="204"/>
        <v>116.18347773757785</v>
      </c>
      <c r="BK163">
        <f t="shared" si="205"/>
        <v>23.641651674269461</v>
      </c>
      <c r="BL163" s="60">
        <f t="shared" si="206"/>
        <v>95.321190491997839</v>
      </c>
      <c r="BN163">
        <f t="shared" si="207"/>
        <v>0</v>
      </c>
      <c r="BO163">
        <f t="shared" si="208"/>
        <v>0</v>
      </c>
    </row>
    <row r="164" spans="13:67" x14ac:dyDescent="0.25">
      <c r="M164" s="66">
        <v>46</v>
      </c>
      <c r="N164" s="36">
        <f t="shared" si="156"/>
        <v>288.40315031266073</v>
      </c>
      <c r="O164" s="91" t="str">
        <f t="shared" si="157"/>
        <v>22,5</v>
      </c>
      <c r="P164" s="67" t="str">
        <f t="shared" si="158"/>
        <v>1+1,95705767151593i</v>
      </c>
      <c r="Q164" s="67">
        <f t="shared" si="169"/>
        <v>2.1977430990994726</v>
      </c>
      <c r="R164" s="67">
        <f t="shared" si="170"/>
        <v>1.0984103727462942</v>
      </c>
      <c r="S164" s="67" t="str">
        <f t="shared" si="159"/>
        <v>1+0,0543627130976647i</v>
      </c>
      <c r="T164" s="67">
        <f t="shared" si="171"/>
        <v>1.001476562169749</v>
      </c>
      <c r="U164" s="67">
        <f t="shared" si="172"/>
        <v>5.4309255064976809E-2</v>
      </c>
      <c r="V164" t="str">
        <f t="shared" si="160"/>
        <v>1-0,0113255652286801i</v>
      </c>
      <c r="W164" s="67">
        <f t="shared" si="173"/>
        <v>1.0000641321574077</v>
      </c>
      <c r="X164" s="67">
        <f t="shared" si="174"/>
        <v>-1.1325081028462363E-2</v>
      </c>
      <c r="Y164" t="str">
        <f t="shared" si="161"/>
        <v>0,999994676711865+0,0314095675675395i</v>
      </c>
      <c r="Z164" s="67">
        <f t="shared" si="175"/>
        <v>1.0004878382003688</v>
      </c>
      <c r="AA164" s="67">
        <f t="shared" si="176"/>
        <v>3.139941156493016E-2</v>
      </c>
      <c r="AB164" s="92" t="str">
        <f t="shared" si="177"/>
        <v>4,76862497319853-9,07154844185074i</v>
      </c>
      <c r="AC164" s="37">
        <f t="shared" si="178"/>
        <v>20.213248409449687</v>
      </c>
      <c r="AD164" s="60">
        <f t="shared" si="179"/>
        <v>-62.270520535470936</v>
      </c>
      <c r="AE164" t="str">
        <f t="shared" si="180"/>
        <v>34,4450883806789</v>
      </c>
      <c r="AF164" t="str">
        <f t="shared" si="162"/>
        <v>1+0,978528835757964i</v>
      </c>
      <c r="AG164">
        <f t="shared" si="181"/>
        <v>1.3991135344959809</v>
      </c>
      <c r="AH164">
        <f t="shared" si="182"/>
        <v>0.77454650379904377</v>
      </c>
      <c r="AI164" t="str">
        <f t="shared" si="163"/>
        <v>1+0,0543627130976647i</v>
      </c>
      <c r="AJ164">
        <f t="shared" si="183"/>
        <v>1.001476562169749</v>
      </c>
      <c r="AK164">
        <f t="shared" si="184"/>
        <v>5.4309255064976809E-2</v>
      </c>
      <c r="AL164" t="str">
        <f t="shared" si="164"/>
        <v>1-0,0036989141145165i</v>
      </c>
      <c r="AM164">
        <f t="shared" si="185"/>
        <v>1.0000068409594141</v>
      </c>
      <c r="AN164">
        <f t="shared" si="186"/>
        <v>-3.6988972451830601E-3</v>
      </c>
      <c r="AO164" s="58" t="str">
        <f t="shared" si="187"/>
        <v>18,4721935600563-16,3304550245421i</v>
      </c>
      <c r="AP164">
        <f t="shared" si="188"/>
        <v>27.838362128516817</v>
      </c>
      <c r="AQ164" s="60">
        <f t="shared" si="189"/>
        <v>-41.478485801577584</v>
      </c>
      <c r="AR164" t="str">
        <f t="shared" si="165"/>
        <v>-1,36472945891784</v>
      </c>
      <c r="AS164" t="str">
        <f t="shared" si="166"/>
        <v>1+0,0407231083814606i</v>
      </c>
      <c r="AT164">
        <f t="shared" si="190"/>
        <v>1.0008288422883547</v>
      </c>
      <c r="AU164">
        <f t="shared" si="191"/>
        <v>4.0700619406062115E-2</v>
      </c>
      <c r="AV164" t="str">
        <f t="shared" si="167"/>
        <v>1+0,0407231083814606i</v>
      </c>
      <c r="AW164">
        <f t="shared" si="192"/>
        <v>1.0008288422883547</v>
      </c>
      <c r="AX164">
        <f t="shared" si="193"/>
        <v>4.0700619406062115E-2</v>
      </c>
      <c r="AY164" t="str">
        <f t="shared" si="168"/>
        <v>1-0,368341234158561i</v>
      </c>
      <c r="AZ164">
        <f t="shared" si="194"/>
        <v>1.0656806579747293</v>
      </c>
      <c r="BA164">
        <f t="shared" si="195"/>
        <v>-0.35292010681519048</v>
      </c>
      <c r="BB164" s="58" t="str">
        <f t="shared" si="196"/>
        <v>-1,34203292779906+0,557337885560592i</v>
      </c>
      <c r="BC164">
        <f t="shared" si="197"/>
        <v>3.2462767437363897</v>
      </c>
      <c r="BD164" s="60">
        <f t="shared" si="198"/>
        <v>157.44719365864776</v>
      </c>
      <c r="BE164" s="58" t="str">
        <f t="shared" si="199"/>
        <v>-1,34373410701576+14,8320520746819i</v>
      </c>
      <c r="BF164" s="37">
        <f t="shared" si="200"/>
        <v>23.459525153186107</v>
      </c>
      <c r="BG164" s="60">
        <f t="shared" si="201"/>
        <v>95.176673123176798</v>
      </c>
      <c r="BH164" s="58" t="str">
        <f t="shared" si="202"/>
        <v>-15,6887107326527+32,2112616693049i</v>
      </c>
      <c r="BI164" s="37">
        <f t="shared" si="203"/>
        <v>31.084638872253223</v>
      </c>
      <c r="BJ164" s="60">
        <f t="shared" si="204"/>
        <v>115.96870785707021</v>
      </c>
      <c r="BK164">
        <f t="shared" si="205"/>
        <v>23.459525153186107</v>
      </c>
      <c r="BL164" s="60">
        <f t="shared" si="206"/>
        <v>95.176673123176798</v>
      </c>
      <c r="BN164">
        <f t="shared" si="207"/>
        <v>0</v>
      </c>
      <c r="BO164">
        <f t="shared" si="208"/>
        <v>0</v>
      </c>
    </row>
    <row r="165" spans="13:67" x14ac:dyDescent="0.25">
      <c r="M165" s="66">
        <v>47</v>
      </c>
      <c r="N165" s="36">
        <f t="shared" si="156"/>
        <v>295.12092266663871</v>
      </c>
      <c r="O165" s="91" t="str">
        <f t="shared" si="157"/>
        <v>22,5</v>
      </c>
      <c r="P165" s="67" t="str">
        <f t="shared" si="158"/>
        <v>1+2,00264340075153i</v>
      </c>
      <c r="Q165" s="67">
        <f t="shared" si="169"/>
        <v>2.2384326191720967</v>
      </c>
      <c r="R165" s="67">
        <f t="shared" si="170"/>
        <v>1.1076768394803398</v>
      </c>
      <c r="S165" s="67" t="str">
        <f t="shared" si="159"/>
        <v>1+0,0556289833542094i</v>
      </c>
      <c r="T165" s="67">
        <f t="shared" si="171"/>
        <v>1.0015460966870287</v>
      </c>
      <c r="U165" s="67">
        <f t="shared" si="172"/>
        <v>5.5571706814857791E-2</v>
      </c>
      <c r="V165" t="str">
        <f t="shared" si="160"/>
        <v>1-0,0115893715321269i</v>
      </c>
      <c r="W165" s="67">
        <f t="shared" si="173"/>
        <v>1.0000671545113906</v>
      </c>
      <c r="X165" s="67">
        <f t="shared" si="174"/>
        <v>-1.1588852704127614E-2</v>
      </c>
      <c r="Y165" t="str">
        <f t="shared" si="161"/>
        <v>0,999994425833024+0,032141190382432i</v>
      </c>
      <c r="Z165" s="67">
        <f t="shared" si="175"/>
        <v>1.0005108234378672</v>
      </c>
      <c r="AA165" s="67">
        <f t="shared" si="176"/>
        <v>3.213030832962064E-2</v>
      </c>
      <c r="AB165" s="92" t="str">
        <f t="shared" si="177"/>
        <v>4,6018335083633-8,94886160217109i</v>
      </c>
      <c r="AC165" s="37">
        <f t="shared" si="178"/>
        <v>20.054336153115887</v>
      </c>
      <c r="AD165" s="60">
        <f t="shared" si="179"/>
        <v>-62.786107116870262</v>
      </c>
      <c r="AE165" t="str">
        <f t="shared" si="180"/>
        <v>34,4450883806789</v>
      </c>
      <c r="AF165" t="str">
        <f t="shared" si="162"/>
        <v>1+1,00132170037577i</v>
      </c>
      <c r="AG165">
        <f t="shared" si="181"/>
        <v>1.4151484542772972</v>
      </c>
      <c r="AH165">
        <f t="shared" si="182"/>
        <v>0.786058577054768</v>
      </c>
      <c r="AI165" t="str">
        <f t="shared" si="163"/>
        <v>1+0,0556289833542094i</v>
      </c>
      <c r="AJ165">
        <f t="shared" si="183"/>
        <v>1.0015460966870287</v>
      </c>
      <c r="AK165">
        <f t="shared" si="184"/>
        <v>5.5571706814857791E-2</v>
      </c>
      <c r="AL165" t="str">
        <f t="shared" si="164"/>
        <v>1-0,0037850728924331i</v>
      </c>
      <c r="AM165">
        <f t="shared" si="185"/>
        <v>1.0000071633627436</v>
      </c>
      <c r="AN165">
        <f t="shared" si="186"/>
        <v>-3.7850548166236454E-3</v>
      </c>
      <c r="AO165" s="58" t="str">
        <f t="shared" si="187"/>
        <v>18,0963010351367-16,334450845159i</v>
      </c>
      <c r="AP165">
        <f t="shared" si="188"/>
        <v>27.739987116045501</v>
      </c>
      <c r="AQ165" s="60">
        <f t="shared" si="189"/>
        <v>-42.070682320685677</v>
      </c>
      <c r="AR165" t="str">
        <f t="shared" si="165"/>
        <v>-1,36472945891784</v>
      </c>
      <c r="AS165" t="str">
        <f t="shared" si="166"/>
        <v>1+0,0416716714306382i</v>
      </c>
      <c r="AT165">
        <f t="shared" si="190"/>
        <v>1.0008678874855679</v>
      </c>
      <c r="AU165">
        <f t="shared" si="191"/>
        <v>4.164757518775216E-2</v>
      </c>
      <c r="AV165" t="str">
        <f t="shared" si="167"/>
        <v>1+0,0416716714306382i</v>
      </c>
      <c r="AW165">
        <f t="shared" si="192"/>
        <v>1.0008678874855679</v>
      </c>
      <c r="AX165">
        <f t="shared" si="193"/>
        <v>4.164757518775216E-2</v>
      </c>
      <c r="AY165" t="str">
        <f t="shared" si="168"/>
        <v>1-0,359956764032546i</v>
      </c>
      <c r="AZ165">
        <f t="shared" si="194"/>
        <v>1.0628117763615446</v>
      </c>
      <c r="BA165">
        <f t="shared" si="195"/>
        <v>-0.34551730458738072</v>
      </c>
      <c r="BB165" s="58" t="str">
        <f t="shared" si="196"/>
        <v>-1,34192822083645+0,54716399171415i</v>
      </c>
      <c r="BC165">
        <f t="shared" si="197"/>
        <v>3.222523378491112</v>
      </c>
      <c r="BD165" s="60">
        <f t="shared" si="198"/>
        <v>157.81708641319494</v>
      </c>
      <c r="BE165" s="58" t="str">
        <f t="shared" si="199"/>
        <v>-1,2788354169221+14,5266875199531i</v>
      </c>
      <c r="BF165" s="37">
        <f t="shared" si="200"/>
        <v>23.276859531607023</v>
      </c>
      <c r="BG165" s="60">
        <f t="shared" si="201"/>
        <v>95.030979296324674</v>
      </c>
      <c r="BH165" s="58" t="str">
        <f t="shared" si="202"/>
        <v>-15,346313724906+31,821304870631i</v>
      </c>
      <c r="BI165" s="37">
        <f t="shared" si="203"/>
        <v>30.962510494536616</v>
      </c>
      <c r="BJ165" s="60">
        <f t="shared" si="204"/>
        <v>115.74640409250921</v>
      </c>
      <c r="BK165">
        <f t="shared" si="205"/>
        <v>23.276859531607023</v>
      </c>
      <c r="BL165" s="60">
        <f t="shared" si="206"/>
        <v>95.030979296324674</v>
      </c>
      <c r="BN165">
        <f t="shared" si="207"/>
        <v>0</v>
      </c>
      <c r="BO165">
        <f t="shared" si="208"/>
        <v>0</v>
      </c>
    </row>
    <row r="166" spans="13:67" x14ac:dyDescent="0.25">
      <c r="M166" s="66">
        <v>48</v>
      </c>
      <c r="N166" s="36">
        <f t="shared" si="156"/>
        <v>301.99517204020168</v>
      </c>
      <c r="O166" s="91" t="str">
        <f t="shared" si="157"/>
        <v>22,5</v>
      </c>
      <c r="P166" s="67" t="str">
        <f t="shared" si="158"/>
        <v>1+2,04929095802634i</v>
      </c>
      <c r="Q166" s="67">
        <f t="shared" si="169"/>
        <v>2.2802617022281706</v>
      </c>
      <c r="R166" s="67">
        <f t="shared" si="170"/>
        <v>1.1168159984833488</v>
      </c>
      <c r="S166" s="67" t="str">
        <f t="shared" si="159"/>
        <v>1+0,0569247488340652i</v>
      </c>
      <c r="T166" s="67">
        <f t="shared" si="171"/>
        <v>1.0016189030913012</v>
      </c>
      <c r="U166" s="67">
        <f t="shared" si="172"/>
        <v>5.6863381272619064E-2</v>
      </c>
      <c r="V166" t="str">
        <f t="shared" si="160"/>
        <v>1-0,0118593226737636i</v>
      </c>
      <c r="W166" s="67">
        <f t="shared" si="173"/>
        <v>1.0000703192947387</v>
      </c>
      <c r="X166" s="67">
        <f t="shared" si="174"/>
        <v>-1.1858766741657464E-2</v>
      </c>
      <c r="Y166" t="str">
        <f t="shared" si="161"/>
        <v>0,999994163130628+0,0328898548819043i</v>
      </c>
      <c r="Z166" s="67">
        <f t="shared" si="175"/>
        <v>1.00053489137035</v>
      </c>
      <c r="AA166" s="67">
        <f t="shared" si="176"/>
        <v>3.2878194888873724E-2</v>
      </c>
      <c r="AB166" s="92" t="str">
        <f t="shared" si="177"/>
        <v>4,43959211547014-8,824863416772i</v>
      </c>
      <c r="AC166" s="37">
        <f t="shared" si="178"/>
        <v>19.893972740955405</v>
      </c>
      <c r="AD166" s="60">
        <f t="shared" si="179"/>
        <v>-63.294050539688698</v>
      </c>
      <c r="AE166" t="str">
        <f t="shared" si="180"/>
        <v>34,4450883806789</v>
      </c>
      <c r="AF166" t="str">
        <f t="shared" si="162"/>
        <v>1+1,02464547901317i</v>
      </c>
      <c r="AG166">
        <f t="shared" si="181"/>
        <v>1.4317466108435979</v>
      </c>
      <c r="AH166">
        <f t="shared" si="182"/>
        <v>0.7975703002436394</v>
      </c>
      <c r="AI166" t="str">
        <f t="shared" si="163"/>
        <v>1+0,0569247488340652i</v>
      </c>
      <c r="AJ166">
        <f t="shared" si="183"/>
        <v>1.0016189030913012</v>
      </c>
      <c r="AK166">
        <f t="shared" si="184"/>
        <v>5.6863381272619064E-2</v>
      </c>
      <c r="AL166" t="str">
        <f t="shared" si="164"/>
        <v>1-0,00387323856609864i</v>
      </c>
      <c r="AM166">
        <f t="shared" si="185"/>
        <v>1.0000075009603628</v>
      </c>
      <c r="AN166">
        <f t="shared" si="186"/>
        <v>-3.873219197527698E-3</v>
      </c>
      <c r="AO166" s="58" t="str">
        <f t="shared" si="187"/>
        <v>17,7204313696441-16,3297959291604i</v>
      </c>
      <c r="AP166">
        <f t="shared" si="188"/>
        <v>27.639338189404803</v>
      </c>
      <c r="AQ166" s="60">
        <f t="shared" si="189"/>
        <v>-42.661299426325527</v>
      </c>
      <c r="AR166" t="str">
        <f t="shared" si="165"/>
        <v>-1,36472945891784</v>
      </c>
      <c r="AS166" t="str">
        <f t="shared" si="166"/>
        <v>1+0,0426423293515982i</v>
      </c>
      <c r="AT166">
        <f t="shared" si="190"/>
        <v>1.0009087711937239</v>
      </c>
      <c r="AU166">
        <f t="shared" si="191"/>
        <v>4.2616511028112772E-2</v>
      </c>
      <c r="AV166" t="str">
        <f t="shared" si="167"/>
        <v>1+0,0426423293515982i</v>
      </c>
      <c r="AW166">
        <f t="shared" si="192"/>
        <v>1.0009087711937239</v>
      </c>
      <c r="AX166">
        <f t="shared" si="193"/>
        <v>4.2616511028112772E-2</v>
      </c>
      <c r="AY166" t="str">
        <f t="shared" si="168"/>
        <v>1-0,351763147747411i</v>
      </c>
      <c r="AZ166">
        <f t="shared" si="194"/>
        <v>1.0600647678859849</v>
      </c>
      <c r="BA166">
        <f t="shared" si="195"/>
        <v>-0.33824468801067142</v>
      </c>
      <c r="BB166" s="58" t="str">
        <f t="shared" si="196"/>
        <v>-1,34181859669718+0,537279800823021i</v>
      </c>
      <c r="BC166">
        <f t="shared" si="197"/>
        <v>3.199689436401036</v>
      </c>
      <c r="BD166" s="60">
        <f t="shared" si="198"/>
        <v>158.17826071478561</v>
      </c>
      <c r="BE166" s="58" t="str">
        <f t="shared" si="199"/>
        <v>-1,21570640343438+14,2266690134725i</v>
      </c>
      <c r="BF166" s="37">
        <f t="shared" si="200"/>
        <v>23.093662177356418</v>
      </c>
      <c r="BG166" s="60">
        <f t="shared" si="201"/>
        <v>94.884210175096911</v>
      </c>
      <c r="BH166" s="58" t="str">
        <f t="shared" si="202"/>
        <v>-15,0039348489847+31,4324536947977i</v>
      </c>
      <c r="BI166" s="37">
        <f t="shared" si="203"/>
        <v>30.839027625805841</v>
      </c>
      <c r="BJ166" s="60">
        <f t="shared" si="204"/>
        <v>115.51696128846017</v>
      </c>
      <c r="BK166">
        <f t="shared" si="205"/>
        <v>23.093662177356418</v>
      </c>
      <c r="BL166" s="60">
        <f t="shared" si="206"/>
        <v>94.884210175096911</v>
      </c>
      <c r="BN166">
        <f t="shared" si="207"/>
        <v>0</v>
      </c>
      <c r="BO166">
        <f t="shared" si="208"/>
        <v>0</v>
      </c>
    </row>
    <row r="167" spans="13:67" x14ac:dyDescent="0.25">
      <c r="M167" s="66">
        <v>49</v>
      </c>
      <c r="N167" s="36">
        <f t="shared" si="156"/>
        <v>309.02954325135937</v>
      </c>
      <c r="O167" s="91" t="str">
        <f t="shared" si="157"/>
        <v>22,5</v>
      </c>
      <c r="P167" s="67" t="str">
        <f t="shared" si="158"/>
        <v>1+2,09702507649267i</v>
      </c>
      <c r="Q167" s="67">
        <f t="shared" si="169"/>
        <v>2.3232550810100658</v>
      </c>
      <c r="R167" s="67">
        <f t="shared" si="170"/>
        <v>1.1258265877719797</v>
      </c>
      <c r="S167" s="67" t="str">
        <f t="shared" si="159"/>
        <v>1+0,0582506965692409i</v>
      </c>
      <c r="T167" s="67">
        <f t="shared" si="171"/>
        <v>1.0016951350839245</v>
      </c>
      <c r="U167" s="67">
        <f t="shared" si="172"/>
        <v>5.8184946050920595E-2</v>
      </c>
      <c r="V167" t="str">
        <f t="shared" si="160"/>
        <v>1-0,0121355617852585i</v>
      </c>
      <c r="W167" s="67">
        <f t="shared" si="173"/>
        <v>1.0000736332189966</v>
      </c>
      <c r="X167" s="67">
        <f t="shared" si="174"/>
        <v>-1.213496609564315E-2</v>
      </c>
      <c r="Y167" t="str">
        <f t="shared" si="161"/>
        <v>0,999993888047449+0,0336559580177836i</v>
      </c>
      <c r="Z167" s="67">
        <f t="shared" si="175"/>
        <v>1.0005600929691074</v>
      </c>
      <c r="AA167" s="67">
        <f t="shared" si="176"/>
        <v>3.3643464487839246E-2</v>
      </c>
      <c r="AB167" s="92" t="str">
        <f t="shared" si="177"/>
        <v>4,2818819822593-8,69973721951288i</v>
      </c>
      <c r="AC167" s="37">
        <f t="shared" si="178"/>
        <v>19.732199743144591</v>
      </c>
      <c r="AD167" s="60">
        <f t="shared" si="179"/>
        <v>-63.794270968201225</v>
      </c>
      <c r="AE167" t="str">
        <f t="shared" si="180"/>
        <v>34,4450883806789</v>
      </c>
      <c r="AF167" t="str">
        <f t="shared" si="162"/>
        <v>1+1,04851253824634i</v>
      </c>
      <c r="AG167">
        <f t="shared" si="181"/>
        <v>1.448923235668399</v>
      </c>
      <c r="AH167">
        <f t="shared" si="182"/>
        <v>0.80907557386283147</v>
      </c>
      <c r="AI167" t="str">
        <f t="shared" si="163"/>
        <v>1+0,0582506965692409i</v>
      </c>
      <c r="AJ167">
        <f t="shared" si="183"/>
        <v>1.0016951350839245</v>
      </c>
      <c r="AK167">
        <f t="shared" si="184"/>
        <v>5.8184946050920595E-2</v>
      </c>
      <c r="AL167" t="str">
        <f t="shared" si="164"/>
        <v>1-0,00396345788212029i</v>
      </c>
      <c r="AM167">
        <f t="shared" si="185"/>
        <v>1.0000078544683453</v>
      </c>
      <c r="AN167">
        <f t="shared" si="186"/>
        <v>-3.9634371283314151E-3</v>
      </c>
      <c r="AO167" s="58" t="str">
        <f t="shared" si="187"/>
        <v>17,3449827378286-16,3165031417587i</v>
      </c>
      <c r="AP167">
        <f t="shared" si="188"/>
        <v>27.536418041252574</v>
      </c>
      <c r="AQ167" s="60">
        <f t="shared" si="189"/>
        <v>-43.249952069369982</v>
      </c>
      <c r="AR167" t="str">
        <f t="shared" si="165"/>
        <v>-1,36472945891784</v>
      </c>
      <c r="AS167" t="str">
        <f t="shared" si="166"/>
        <v>1+0,0436355968000183i</v>
      </c>
      <c r="AT167">
        <f t="shared" si="190"/>
        <v>1.000951579901892</v>
      </c>
      <c r="AU167">
        <f t="shared" si="191"/>
        <v>4.3607933388225092E-2</v>
      </c>
      <c r="AV167" t="str">
        <f t="shared" si="167"/>
        <v>1+0,0436355968000183i</v>
      </c>
      <c r="AW167">
        <f t="shared" si="192"/>
        <v>1.000951579901892</v>
      </c>
      <c r="AX167">
        <f t="shared" si="193"/>
        <v>4.3607933388225092E-2</v>
      </c>
      <c r="AY167" t="str">
        <f t="shared" si="168"/>
        <v>1-0,343756040939349i</v>
      </c>
      <c r="AZ167">
        <f t="shared" si="194"/>
        <v>1.0574347335331364</v>
      </c>
      <c r="BA167">
        <f t="shared" si="195"/>
        <v>-0.33110147924597078</v>
      </c>
      <c r="BB167" s="58" t="str">
        <f t="shared" si="196"/>
        <v>-1,34170382532653+0,527680042897888i</v>
      </c>
      <c r="BC167">
        <f t="shared" si="197"/>
        <v>3.1777413691152439</v>
      </c>
      <c r="BD167" s="60">
        <f t="shared" si="198"/>
        <v>158.53073211223449</v>
      </c>
      <c r="BE167" s="58" t="str">
        <f t="shared" si="199"/>
        <v>-1,15433972600114+13,9319343748383i</v>
      </c>
      <c r="BF167" s="37">
        <f t="shared" si="200"/>
        <v>22.90994111225984</v>
      </c>
      <c r="BG167" s="60">
        <f t="shared" si="201"/>
        <v>94.736461144033257</v>
      </c>
      <c r="BH167" s="58" t="str">
        <f t="shared" si="202"/>
        <v>-14,6619366117805+31,0445159164105i</v>
      </c>
      <c r="BI167" s="37">
        <f t="shared" si="203"/>
        <v>30.714159410367813</v>
      </c>
      <c r="BJ167" s="60">
        <f t="shared" si="204"/>
        <v>115.28078004286449</v>
      </c>
      <c r="BK167">
        <f t="shared" si="205"/>
        <v>22.90994111225984</v>
      </c>
      <c r="BL167" s="60">
        <f t="shared" si="206"/>
        <v>94.736461144033257</v>
      </c>
      <c r="BN167">
        <f t="shared" si="207"/>
        <v>0</v>
      </c>
      <c r="BO167">
        <f t="shared" si="208"/>
        <v>0</v>
      </c>
    </row>
    <row r="168" spans="13:67" x14ac:dyDescent="0.25">
      <c r="M168" s="66">
        <v>50</v>
      </c>
      <c r="N168" s="36">
        <f t="shared" si="156"/>
        <v>316.22776601683825</v>
      </c>
      <c r="O168" s="91" t="str">
        <f t="shared" si="157"/>
        <v>22,5</v>
      </c>
      <c r="P168" s="67" t="str">
        <f t="shared" si="158"/>
        <v>1+2,14587106541196i</v>
      </c>
      <c r="Q168" s="67">
        <f t="shared" si="169"/>
        <v>2.3674379884956349</v>
      </c>
      <c r="R168" s="67">
        <f t="shared" si="170"/>
        <v>1.1347075312848038</v>
      </c>
      <c r="S168" s="67" t="str">
        <f t="shared" si="159"/>
        <v>1+0,0596075295947767i</v>
      </c>
      <c r="T168" s="67">
        <f t="shared" si="171"/>
        <v>1.0017749535621223</v>
      </c>
      <c r="U168" s="67">
        <f t="shared" si="172"/>
        <v>5.9537083385197025E-2</v>
      </c>
      <c r="V168" t="str">
        <f t="shared" si="160"/>
        <v>1-0,0124182353322451i</v>
      </c>
      <c r="W168" s="67">
        <f t="shared" si="173"/>
        <v>1.0000771033119231</v>
      </c>
      <c r="X168" s="67">
        <f t="shared" si="174"/>
        <v>-1.2417597041980108E-2</v>
      </c>
      <c r="Y168" t="str">
        <f t="shared" si="161"/>
        <v>0,9999936+0,0344399059880931i</v>
      </c>
      <c r="Z168" s="67">
        <f t="shared" si="175"/>
        <v>1.0005864816023795</v>
      </c>
      <c r="AA168" s="67">
        <f t="shared" si="176"/>
        <v>3.4426519353307518E-2</v>
      </c>
      <c r="AB168" s="92" t="str">
        <f t="shared" si="177"/>
        <v>4,12867599022004-8,57366100184682i</v>
      </c>
      <c r="AC168" s="37">
        <f t="shared" si="178"/>
        <v>19.569058568089304</v>
      </c>
      <c r="AD168" s="60">
        <f t="shared" si="179"/>
        <v>-64.286699086307323</v>
      </c>
      <c r="AE168" t="str">
        <f t="shared" si="180"/>
        <v>34,4450883806789</v>
      </c>
      <c r="AF168" t="str">
        <f t="shared" si="162"/>
        <v>1+1,07293553270598i</v>
      </c>
      <c r="AG168">
        <f t="shared" si="181"/>
        <v>1.4666937844495918</v>
      </c>
      <c r="AH168">
        <f t="shared" si="182"/>
        <v>0.82056831548020737</v>
      </c>
      <c r="AI168" t="str">
        <f t="shared" si="163"/>
        <v>1+0,0596075295947767i</v>
      </c>
      <c r="AJ168">
        <f t="shared" si="183"/>
        <v>1.0017749535621223</v>
      </c>
      <c r="AK168">
        <f t="shared" si="184"/>
        <v>5.9537083385197025E-2</v>
      </c>
      <c r="AL168" t="str">
        <f t="shared" si="164"/>
        <v>1-0,00405577867597361i</v>
      </c>
      <c r="AM168">
        <f t="shared" si="185"/>
        <v>1.0000082246365118</v>
      </c>
      <c r="AN168">
        <f t="shared" si="186"/>
        <v>-4.0557564378980518E-3</v>
      </c>
      <c r="AO168" s="58" t="str">
        <f t="shared" si="187"/>
        <v>16,9703515317505-16,2946081908269i</v>
      </c>
      <c r="AP168">
        <f t="shared" si="188"/>
        <v>27.431231860345704</v>
      </c>
      <c r="AQ168" s="60">
        <f t="shared" si="189"/>
        <v>-43.836255403309778</v>
      </c>
      <c r="AR168" t="str">
        <f t="shared" si="165"/>
        <v>-1,36472945891784</v>
      </c>
      <c r="AS168" t="str">
        <f t="shared" si="166"/>
        <v>1+0,0446520004194472i</v>
      </c>
      <c r="AT168">
        <f t="shared" si="190"/>
        <v>1.000996404160104</v>
      </c>
      <c r="AU168">
        <f t="shared" si="191"/>
        <v>4.462236013300977E-2</v>
      </c>
      <c r="AV168" t="str">
        <f t="shared" si="167"/>
        <v>1+0,0446520004194472i</v>
      </c>
      <c r="AW168">
        <f t="shared" si="192"/>
        <v>1.000996404160104</v>
      </c>
      <c r="AX168">
        <f t="shared" si="193"/>
        <v>4.462236013300977E-2</v>
      </c>
      <c r="AY168" t="str">
        <f t="shared" si="168"/>
        <v>1-0,335931198134342i</v>
      </c>
      <c r="AZ168">
        <f t="shared" si="194"/>
        <v>1.0549169492808306</v>
      </c>
      <c r="BA168">
        <f t="shared" si="195"/>
        <v>-0.32408680768268933</v>
      </c>
      <c r="BB168" s="58" t="str">
        <f t="shared" si="196"/>
        <v>-1,34158366598946+0,518359596679987i</v>
      </c>
      <c r="BC168">
        <f t="shared" si="197"/>
        <v>3.1566463814372785</v>
      </c>
      <c r="BD168" s="60">
        <f t="shared" si="198"/>
        <v>158.87452081637963</v>
      </c>
      <c r="BE168" s="58" t="str">
        <f t="shared" si="199"/>
        <v>-1,09472481165381+13,6424223789213i</v>
      </c>
      <c r="BF168" s="37">
        <f t="shared" si="200"/>
        <v>22.725704949526566</v>
      </c>
      <c r="BG168" s="60">
        <f t="shared" si="201"/>
        <v>94.587821730072292</v>
      </c>
      <c r="BH168" s="58" t="str">
        <f t="shared" si="202"/>
        <v>-14,3206798912402+30,6573247680272i</v>
      </c>
      <c r="BI168" s="37">
        <f t="shared" si="203"/>
        <v>30.587878241782974</v>
      </c>
      <c r="BJ168" s="60">
        <f t="shared" si="204"/>
        <v>115.03826541306981</v>
      </c>
      <c r="BK168">
        <f t="shared" si="205"/>
        <v>22.725704949526566</v>
      </c>
      <c r="BL168" s="60">
        <f t="shared" si="206"/>
        <v>94.587821730072292</v>
      </c>
      <c r="BN168">
        <f t="shared" si="207"/>
        <v>0</v>
      </c>
      <c r="BO168">
        <f t="shared" si="208"/>
        <v>0</v>
      </c>
    </row>
    <row r="169" spans="13:67" x14ac:dyDescent="0.25">
      <c r="M169" s="66">
        <v>51</v>
      </c>
      <c r="N169" s="36">
        <f t="shared" si="156"/>
        <v>323.59365692962825</v>
      </c>
      <c r="O169" s="91" t="str">
        <f t="shared" si="157"/>
        <v>22,5</v>
      </c>
      <c r="P169" s="67" t="str">
        <f t="shared" si="158"/>
        <v>1+2,19585482357409i</v>
      </c>
      <c r="Q169" s="67">
        <f t="shared" si="169"/>
        <v>2.4128361747565039</v>
      </c>
      <c r="R169" s="67">
        <f t="shared" si="170"/>
        <v>1.1434579332048589</v>
      </c>
      <c r="S169" s="67" t="str">
        <f t="shared" si="159"/>
        <v>1+0,0609959673215026i</v>
      </c>
      <c r="T169" s="67">
        <f t="shared" si="171"/>
        <v>1.0018585269535243</v>
      </c>
      <c r="U169" s="67">
        <f t="shared" si="172"/>
        <v>6.0920490408744823E-2</v>
      </c>
      <c r="V169" t="str">
        <f t="shared" si="160"/>
        <v>1-0,0127074931919797i</v>
      </c>
      <c r="W169" s="67">
        <f t="shared" si="173"/>
        <v>1.0000807369323859</v>
      </c>
      <c r="X169" s="67">
        <f t="shared" si="174"/>
        <v>-1.270680925462047E-2</v>
      </c>
      <c r="Y169" t="str">
        <f t="shared" si="161"/>
        <v>0,999993298377292+0,0352421144524237i</v>
      </c>
      <c r="Z169" s="67">
        <f t="shared" si="175"/>
        <v>1.0006141131478075</v>
      </c>
      <c r="AA169" s="67">
        <f t="shared" si="176"/>
        <v>3.5227770890226648E-2</v>
      </c>
      <c r="AB169" s="92" t="str">
        <f t="shared" si="177"/>
        <v>3,97993926676882-8,44680708564865i</v>
      </c>
      <c r="AC169" s="37">
        <f t="shared" si="178"/>
        <v>19.404590392601381</v>
      </c>
      <c r="AD169" s="60">
        <f t="shared" si="179"/>
        <v>-64.771275772133407</v>
      </c>
      <c r="AE169" t="str">
        <f t="shared" si="180"/>
        <v>34,4450883806789</v>
      </c>
      <c r="AF169" t="str">
        <f t="shared" si="162"/>
        <v>1+1,09792741178705i</v>
      </c>
      <c r="AG169">
        <f t="shared" si="181"/>
        <v>1.4850739380762865</v>
      </c>
      <c r="AH169">
        <f t="shared" si="182"/>
        <v>0.83204247576776313</v>
      </c>
      <c r="AI169" t="str">
        <f t="shared" si="163"/>
        <v>1+0,0609959673215026i</v>
      </c>
      <c r="AJ169">
        <f t="shared" si="183"/>
        <v>1.0018585269535243</v>
      </c>
      <c r="AK169">
        <f t="shared" si="184"/>
        <v>6.0920490408744823E-2</v>
      </c>
      <c r="AL169" t="str">
        <f t="shared" si="164"/>
        <v>1-0,00415024989736551i</v>
      </c>
      <c r="AM169">
        <f t="shared" si="185"/>
        <v>1.0000086122500198</v>
      </c>
      <c r="AN169">
        <f t="shared" si="186"/>
        <v>-4.1502260688493211E-3</v>
      </c>
      <c r="AO169" s="58" t="str">
        <f t="shared" si="187"/>
        <v>16,5969306919427-16,2641693974762i</v>
      </c>
      <c r="AP169">
        <f t="shared" si="188"/>
        <v>27.323787318342291</v>
      </c>
      <c r="AQ169" s="60">
        <f t="shared" si="189"/>
        <v>-44.419825688590848</v>
      </c>
      <c r="AR169" t="str">
        <f t="shared" si="165"/>
        <v>-1,36472945891784</v>
      </c>
      <c r="AS169" t="str">
        <f t="shared" si="166"/>
        <v>1+0,0456920791205376i</v>
      </c>
      <c r="AT169">
        <f t="shared" si="190"/>
        <v>1.001043338769285</v>
      </c>
      <c r="AU169">
        <f t="shared" si="191"/>
        <v>4.5660320768938514E-2</v>
      </c>
      <c r="AV169" t="str">
        <f t="shared" si="167"/>
        <v>1+0,0456920791205376i</v>
      </c>
      <c r="AW169">
        <f t="shared" si="192"/>
        <v>1.001043338769285</v>
      </c>
      <c r="AX169">
        <f t="shared" si="193"/>
        <v>4.5660320768938514E-2</v>
      </c>
      <c r="AY169" t="str">
        <f t="shared" si="168"/>
        <v>1-0,32828447049716i</v>
      </c>
      <c r="AZ169">
        <f t="shared" si="194"/>
        <v>1.0525068615308883</v>
      </c>
      <c r="BA169">
        <f t="shared" si="195"/>
        <v>-0.31719971624562376</v>
      </c>
      <c r="BB169" s="58" t="str">
        <f t="shared" si="196"/>
        <v>-1,34145786678279+0,509313486778626i</v>
      </c>
      <c r="BC169">
        <f t="shared" si="197"/>
        <v>3.1363724402575817</v>
      </c>
      <c r="BD169" s="60">
        <f t="shared" si="198"/>
        <v>159.20965132510469</v>
      </c>
      <c r="BE169" s="58" t="str">
        <f t="shared" si="199"/>
        <v>-1,03684806978664+13,3580725593652i</v>
      </c>
      <c r="BF169" s="37">
        <f t="shared" si="200"/>
        <v>22.54096283285897</v>
      </c>
      <c r="BG169" s="60">
        <f t="shared" si="201"/>
        <v>94.438375552971266</v>
      </c>
      <c r="BH169" s="58" t="str">
        <f t="shared" si="202"/>
        <v>-13,9805224157684+30,2707386254689i</v>
      </c>
      <c r="BI169" s="37">
        <f t="shared" si="203"/>
        <v>30.460159758599868</v>
      </c>
      <c r="BJ169" s="60">
        <f t="shared" si="204"/>
        <v>114.78982563651375</v>
      </c>
      <c r="BK169">
        <f t="shared" si="205"/>
        <v>22.54096283285897</v>
      </c>
      <c r="BL169" s="60">
        <f t="shared" si="206"/>
        <v>94.438375552971266</v>
      </c>
      <c r="BN169">
        <f t="shared" si="207"/>
        <v>0</v>
      </c>
      <c r="BO169">
        <f t="shared" si="208"/>
        <v>0</v>
      </c>
    </row>
    <row r="170" spans="13:67" x14ac:dyDescent="0.25">
      <c r="M170" s="66">
        <v>52</v>
      </c>
      <c r="N170" s="36">
        <f t="shared" si="156"/>
        <v>331.13112148259137</v>
      </c>
      <c r="O170" s="91" t="str">
        <f t="shared" si="157"/>
        <v>22,5</v>
      </c>
      <c r="P170" s="67" t="str">
        <f t="shared" si="158"/>
        <v>1+2,24700285302927i</v>
      </c>
      <c r="Q170" s="67">
        <f t="shared" si="169"/>
        <v>2.4594759241597952</v>
      </c>
      <c r="R170" s="67">
        <f t="shared" si="170"/>
        <v>1.1520770719712419</v>
      </c>
      <c r="S170" s="67" t="str">
        <f t="shared" si="159"/>
        <v>1+0,0624167459174797i</v>
      </c>
      <c r="T170" s="67">
        <f t="shared" si="171"/>
        <v>1.0019460315660356</v>
      </c>
      <c r="U170" s="67">
        <f t="shared" si="172"/>
        <v>6.2335879429633347E-2</v>
      </c>
      <c r="V170" t="str">
        <f t="shared" si="160"/>
        <v>1-0,0130034887328083i</v>
      </c>
      <c r="W170" s="67">
        <f t="shared" si="173"/>
        <v>1.0000845417859554</v>
      </c>
      <c r="X170" s="67">
        <f t="shared" si="174"/>
        <v>-1.3002755884070199E-2</v>
      </c>
      <c r="Y170" t="str">
        <f t="shared" si="161"/>
        <v>0,999992982539545+0,0360630087523215i</v>
      </c>
      <c r="Z170" s="67">
        <f t="shared" si="175"/>
        <v>1.0006430461101525</v>
      </c>
      <c r="AA170" s="67">
        <f t="shared" si="176"/>
        <v>3.6047639881894751E-2</v>
      </c>
      <c r="AB170" s="92" t="str">
        <f t="shared" si="177"/>
        <v>3,83562974046718-8,31934184626814i</v>
      </c>
      <c r="AC170" s="37">
        <f t="shared" si="178"/>
        <v>19.238836097118629</v>
      </c>
      <c r="AD170" s="60">
        <f t="shared" si="179"/>
        <v>-65.247951755023522</v>
      </c>
      <c r="AE170" t="str">
        <f t="shared" si="180"/>
        <v>34,4450883806789</v>
      </c>
      <c r="AF170" t="str">
        <f t="shared" si="162"/>
        <v>1+1,12350142651463i</v>
      </c>
      <c r="AG170">
        <f t="shared" si="181"/>
        <v>1.5040796040703459</v>
      </c>
      <c r="AH170">
        <f t="shared" si="182"/>
        <v>0.84349205432211483</v>
      </c>
      <c r="AI170" t="str">
        <f t="shared" si="163"/>
        <v>1+0,0624167459174797i</v>
      </c>
      <c r="AJ170">
        <f t="shared" si="183"/>
        <v>1.0019460315660356</v>
      </c>
      <c r="AK170">
        <f t="shared" si="184"/>
        <v>6.2335879429633347E-2</v>
      </c>
      <c r="AL170" t="str">
        <f t="shared" si="164"/>
        <v>1-0,00424692163618806i</v>
      </c>
      <c r="AM170">
        <f t="shared" si="185"/>
        <v>1.0000090181310286</v>
      </c>
      <c r="AN170">
        <f t="shared" si="186"/>
        <v>-4.2468961034853852E-3</v>
      </c>
      <c r="AO170" s="58" t="str">
        <f t="shared" si="187"/>
        <v>16,2251080689702-16,2252673223844i</v>
      </c>
      <c r="AP170">
        <f t="shared" si="188"/>
        <v>27.214094546593699</v>
      </c>
      <c r="AQ170" s="60">
        <f t="shared" si="189"/>
        <v>-45.000281184682663</v>
      </c>
      <c r="AR170" t="str">
        <f t="shared" si="165"/>
        <v>-1,36472945891784</v>
      </c>
      <c r="AS170" t="str">
        <f t="shared" si="166"/>
        <v>1+0,046756384366784i</v>
      </c>
      <c r="AT170">
        <f t="shared" si="190"/>
        <v>1.0010924829799963</v>
      </c>
      <c r="AU170">
        <f t="shared" si="191"/>
        <v>4.6722356685311245E-2</v>
      </c>
      <c r="AV170" t="str">
        <f t="shared" si="167"/>
        <v>1+0,046756384366784i</v>
      </c>
      <c r="AW170">
        <f t="shared" si="192"/>
        <v>1.0010924829799963</v>
      </c>
      <c r="AX170">
        <f t="shared" si="193"/>
        <v>4.6722356685311245E-2</v>
      </c>
      <c r="AY170" t="str">
        <f t="shared" si="168"/>
        <v>1-0,320811803631594i</v>
      </c>
      <c r="AZ170">
        <f t="shared" si="194"/>
        <v>1.0502000825315891</v>
      </c>
      <c r="BA170">
        <f t="shared" si="195"/>
        <v>-0.3104391675386472</v>
      </c>
      <c r="BB170" s="58" t="str">
        <f t="shared" si="196"/>
        <v>-1,34132616412586+0,500536880875695i</v>
      </c>
      <c r="BC170">
        <f t="shared" si="197"/>
        <v>3.1168882804223235</v>
      </c>
      <c r="BD170" s="60">
        <f t="shared" si="198"/>
        <v>159.53615205750759</v>
      </c>
      <c r="BE170" s="58" t="str">
        <f t="shared" si="199"/>
        <v>-0,98069310811821+13,0788250331941i</v>
      </c>
      <c r="BF170" s="37">
        <f t="shared" si="200"/>
        <v>22.355724377540959</v>
      </c>
      <c r="BG170" s="60">
        <f t="shared" si="201"/>
        <v>94.288200302484071</v>
      </c>
      <c r="BH170" s="58" t="str">
        <f t="shared" si="202"/>
        <v>-13,6418172717587+29,8846405641639i</v>
      </c>
      <c r="BI170" s="37">
        <f t="shared" si="203"/>
        <v>30.330982827016012</v>
      </c>
      <c r="BJ170" s="60">
        <f t="shared" si="204"/>
        <v>114.53587087282493</v>
      </c>
      <c r="BK170">
        <f t="shared" si="205"/>
        <v>22.355724377540959</v>
      </c>
      <c r="BL170" s="60">
        <f t="shared" si="206"/>
        <v>94.288200302484071</v>
      </c>
      <c r="BN170">
        <f t="shared" si="207"/>
        <v>0</v>
      </c>
      <c r="BO170">
        <f t="shared" si="208"/>
        <v>0</v>
      </c>
    </row>
    <row r="171" spans="13:67" x14ac:dyDescent="0.25">
      <c r="M171" s="66">
        <v>53</v>
      </c>
      <c r="N171" s="36">
        <f t="shared" si="156"/>
        <v>338.84415613920277</v>
      </c>
      <c r="O171" s="91" t="str">
        <f t="shared" si="157"/>
        <v>22,5</v>
      </c>
      <c r="P171" s="67" t="str">
        <f t="shared" si="158"/>
        <v>1+2,2993422731397i</v>
      </c>
      <c r="Q171" s="67">
        <f t="shared" si="169"/>
        <v>2.5073840729029215</v>
      </c>
      <c r="R171" s="67">
        <f t="shared" si="170"/>
        <v>1.1605643940305019</v>
      </c>
      <c r="S171" s="67" t="str">
        <f t="shared" si="159"/>
        <v>1+0,0638706186983251i</v>
      </c>
      <c r="T171" s="67">
        <f t="shared" si="171"/>
        <v>1.0020376519537113</v>
      </c>
      <c r="U171" s="67">
        <f t="shared" si="172"/>
        <v>6.3783978209165204E-2</v>
      </c>
      <c r="V171" t="str">
        <f t="shared" si="160"/>
        <v>1-0,0133063788954844i</v>
      </c>
      <c r="W171" s="67">
        <f t="shared" si="173"/>
        <v>1.000088525941234</v>
      </c>
      <c r="X171" s="67">
        <f t="shared" si="174"/>
        <v>-1.3305593637667807E-2</v>
      </c>
      <c r="Y171" t="str">
        <f t="shared" si="161"/>
        <v>0,999992651816822+0,03690302413681i</v>
      </c>
      <c r="Z171" s="67">
        <f t="shared" si="175"/>
        <v>1.0006733417444884</v>
      </c>
      <c r="AA171" s="67">
        <f t="shared" si="176"/>
        <v>3.6886556693852164E-2</v>
      </c>
      <c r="AB171" s="92" t="str">
        <f t="shared" si="177"/>
        <v>3,69569869513026-8,19142548391646i</v>
      </c>
      <c r="AC171" s="37">
        <f t="shared" si="178"/>
        <v>19.071836205980613</v>
      </c>
      <c r="AD171" s="60">
        <f t="shared" si="179"/>
        <v>-65.716687257848321</v>
      </c>
      <c r="AE171" t="str">
        <f t="shared" si="180"/>
        <v>34,4450883806789</v>
      </c>
      <c r="AF171" t="str">
        <f t="shared" si="162"/>
        <v>1+1,14967113656985i</v>
      </c>
      <c r="AG171">
        <f t="shared" si="181"/>
        <v>1.5237269185329143</v>
      </c>
      <c r="AH171">
        <f t="shared" si="182"/>
        <v>0.85491111517192597</v>
      </c>
      <c r="AI171" t="str">
        <f t="shared" si="163"/>
        <v>1+0,0638706186983251i</v>
      </c>
      <c r="AJ171">
        <f t="shared" si="183"/>
        <v>1.0020376519537113</v>
      </c>
      <c r="AK171">
        <f t="shared" si="184"/>
        <v>6.3783978209165204E-2</v>
      </c>
      <c r="AL171" t="str">
        <f t="shared" si="164"/>
        <v>1-0,00434584514907673i</v>
      </c>
      <c r="AM171">
        <f t="shared" si="185"/>
        <v>1.0000094431404434</v>
      </c>
      <c r="AN171">
        <f t="shared" si="186"/>
        <v>-4.3458177903068513E-3</v>
      </c>
      <c r="AO171" s="58" t="str">
        <f t="shared" si="187"/>
        <v>15,8552648302986-16,1780042523216i</v>
      </c>
      <c r="AP171">
        <f t="shared" si="188"/>
        <v>27.102166103163874</v>
      </c>
      <c r="AQ171" s="60">
        <f t="shared" si="189"/>
        <v>-45.577243024151869</v>
      </c>
      <c r="AR171" t="str">
        <f t="shared" si="165"/>
        <v>-1,36472945891784</v>
      </c>
      <c r="AS171" t="str">
        <f t="shared" si="166"/>
        <v>1+0,0478454804669153i</v>
      </c>
      <c r="AT171">
        <f t="shared" si="190"/>
        <v>1.0011439407003919</v>
      </c>
      <c r="AU171">
        <f t="shared" si="191"/>
        <v>4.7809021399041821E-2</v>
      </c>
      <c r="AV171" t="str">
        <f t="shared" si="167"/>
        <v>1+0,0478454804669153i</v>
      </c>
      <c r="AW171">
        <f t="shared" si="192"/>
        <v>1.0011439407003919</v>
      </c>
      <c r="AX171">
        <f t="shared" si="193"/>
        <v>4.7809021399041821E-2</v>
      </c>
      <c r="AY171" t="str">
        <f t="shared" si="168"/>
        <v>1-0,313509235430761i</v>
      </c>
      <c r="AZ171">
        <f t="shared" si="194"/>
        <v>1.0479923858026738</v>
      </c>
      <c r="BA171">
        <f t="shared" si="195"/>
        <v>-0.30380404981224324</v>
      </c>
      <c r="BB171" s="58" t="str">
        <f t="shared" si="196"/>
        <v>-1,34118828222879+0,492025086995001i</v>
      </c>
      <c r="BC171">
        <f t="shared" si="197"/>
        <v>3.0981634077409947</v>
      </c>
      <c r="BD171" s="60">
        <f t="shared" si="198"/>
        <v>159.85405499796053</v>
      </c>
      <c r="BE171" s="58" t="str">
        <f t="shared" si="199"/>
        <v>-0,92624094821987+12,8046203457578i</v>
      </c>
      <c r="BF171" s="37">
        <f t="shared" si="200"/>
        <v>22.169999613721586</v>
      </c>
      <c r="BG171" s="60">
        <f t="shared" si="201"/>
        <v>94.137367740112211</v>
      </c>
      <c r="BH171" s="58" t="str">
        <f t="shared" si="202"/>
        <v>-13,3049114523767+29,4989377905177i</v>
      </c>
      <c r="BI171" s="37">
        <f t="shared" si="203"/>
        <v>30.200329510904869</v>
      </c>
      <c r="BJ171" s="60">
        <f t="shared" si="204"/>
        <v>114.27681197380868</v>
      </c>
      <c r="BK171">
        <f t="shared" si="205"/>
        <v>22.169999613721586</v>
      </c>
      <c r="BL171" s="60">
        <f t="shared" si="206"/>
        <v>94.137367740112211</v>
      </c>
      <c r="BN171">
        <f t="shared" si="207"/>
        <v>0</v>
      </c>
      <c r="BO171">
        <f t="shared" si="208"/>
        <v>0</v>
      </c>
    </row>
    <row r="172" spans="13:67" x14ac:dyDescent="0.25">
      <c r="M172" s="66">
        <v>54</v>
      </c>
      <c r="N172" s="36">
        <f t="shared" si="156"/>
        <v>346.73685045253183</v>
      </c>
      <c r="O172" s="91" t="str">
        <f t="shared" si="157"/>
        <v>22,5</v>
      </c>
      <c r="P172" s="67" t="str">
        <f t="shared" si="158"/>
        <v>1+2,35290083495876i</v>
      </c>
      <c r="Q172" s="67">
        <f t="shared" si="169"/>
        <v>2.5565880268728534</v>
      </c>
      <c r="R172" s="67">
        <f t="shared" si="170"/>
        <v>1.1689195073765526</v>
      </c>
      <c r="S172" s="67" t="str">
        <f t="shared" si="159"/>
        <v>1+0,0653583565266322i</v>
      </c>
      <c r="T172" s="67">
        <f t="shared" si="171"/>
        <v>1.0021335812993508</v>
      </c>
      <c r="U172" s="67">
        <f t="shared" si="172"/>
        <v>6.5265530241590181E-2</v>
      </c>
      <c r="V172" t="str">
        <f t="shared" si="160"/>
        <v>1-0,0136163242763817i</v>
      </c>
      <c r="W172" s="67">
        <f t="shared" si="173"/>
        <v>1.0000926978469544</v>
      </c>
      <c r="X172" s="67">
        <f t="shared" si="174"/>
        <v>-1.3615482861683754E-2</v>
      </c>
      <c r="Y172" t="str">
        <f t="shared" si="161"/>
        <v>0,999992305507618+0,0377626059931652i</v>
      </c>
      <c r="Z172" s="67">
        <f t="shared" si="175"/>
        <v>1.0007050641851656</v>
      </c>
      <c r="AA172" s="67">
        <f t="shared" si="176"/>
        <v>3.7744961481488946E-2</v>
      </c>
      <c r="AB172" s="92" t="str">
        <f t="shared" si="177"/>
        <v>3,56009131905153-8,06321184120963i</v>
      </c>
      <c r="AC172" s="37">
        <f t="shared" si="178"/>
        <v>18.903630832735075</v>
      </c>
      <c r="AD172" s="60">
        <f t="shared" si="179"/>
        <v>-66.177451627441513</v>
      </c>
      <c r="AE172" t="str">
        <f t="shared" si="180"/>
        <v>34,4450883806789</v>
      </c>
      <c r="AF172" t="str">
        <f t="shared" si="162"/>
        <v>1+1,17645041747938i</v>
      </c>
      <c r="AG172">
        <f t="shared" si="181"/>
        <v>1.5440322486228737</v>
      </c>
      <c r="AH172">
        <f t="shared" si="182"/>
        <v>0.86629380187563554</v>
      </c>
      <c r="AI172" t="str">
        <f t="shared" si="163"/>
        <v>1+0,0653583565266322i</v>
      </c>
      <c r="AJ172">
        <f t="shared" si="183"/>
        <v>1.0021335812993508</v>
      </c>
      <c r="AK172">
        <f t="shared" si="184"/>
        <v>6.5265530241590181E-2</v>
      </c>
      <c r="AL172" t="str">
        <f t="shared" si="164"/>
        <v>1-0,00444707288658753i</v>
      </c>
      <c r="AM172">
        <f t="shared" si="185"/>
        <v>1.0000098881797412</v>
      </c>
      <c r="AN172">
        <f t="shared" si="186"/>
        <v>-4.4470435711530931E-3</v>
      </c>
      <c r="AO172" s="58" t="str">
        <f t="shared" si="187"/>
        <v>15,487773926202-16,1225035529446i</v>
      </c>
      <c r="AP172">
        <f t="shared" si="188"/>
        <v>26.988016930402967</v>
      </c>
      <c r="AQ172" s="60">
        <f t="shared" si="189"/>
        <v>-46.150336063227435</v>
      </c>
      <c r="AR172" t="str">
        <f t="shared" si="165"/>
        <v>-1,36472945891784</v>
      </c>
      <c r="AS172" t="str">
        <f t="shared" si="166"/>
        <v>1+0,0489599448741002i</v>
      </c>
      <c r="AT172">
        <f t="shared" si="190"/>
        <v>1.0011978207138061</v>
      </c>
      <c r="AU172">
        <f t="shared" si="191"/>
        <v>4.892088080288981E-2</v>
      </c>
      <c r="AV172" t="str">
        <f t="shared" si="167"/>
        <v>1+0,0489599448741002i</v>
      </c>
      <c r="AW172">
        <f t="shared" si="192"/>
        <v>1.0011978207138061</v>
      </c>
      <c r="AX172">
        <f t="shared" si="193"/>
        <v>4.892088080288981E-2</v>
      </c>
      <c r="AY172" t="str">
        <f t="shared" si="168"/>
        <v>1-0,306372893976338i</v>
      </c>
      <c r="AZ172">
        <f t="shared" si="194"/>
        <v>1.0458797015734822</v>
      </c>
      <c r="BA172">
        <f t="shared" si="195"/>
        <v>-0.29729318274411876</v>
      </c>
      <c r="BB172" s="58" t="str">
        <f t="shared" si="196"/>
        <v>-1,34104393253745+0,483773550834201i</v>
      </c>
      <c r="BC172">
        <f t="shared" si="197"/>
        <v>3.0801680993323357</v>
      </c>
      <c r="BD172" s="60">
        <f t="shared" si="198"/>
        <v>160.16339535068232</v>
      </c>
      <c r="BE172" s="58" t="str">
        <f t="shared" si="199"/>
        <v>-0,873470239142943+12,5353993351299i</v>
      </c>
      <c r="BF172" s="37">
        <f t="shared" si="200"/>
        <v>21.983798932067433</v>
      </c>
      <c r="BG172" s="60">
        <f t="shared" si="201"/>
        <v>93.985943723240808</v>
      </c>
      <c r="BH172" s="58" t="str">
        <f t="shared" si="202"/>
        <v>-12,9701444600999+29,1135609537859i</v>
      </c>
      <c r="BI172" s="37">
        <f t="shared" si="203"/>
        <v>30.0681850297353</v>
      </c>
      <c r="BJ172" s="60">
        <f t="shared" si="204"/>
        <v>114.01305928745494</v>
      </c>
      <c r="BK172">
        <f t="shared" si="205"/>
        <v>21.983798932067433</v>
      </c>
      <c r="BL172" s="60">
        <f t="shared" si="206"/>
        <v>93.985943723240808</v>
      </c>
      <c r="BN172">
        <f t="shared" si="207"/>
        <v>0</v>
      </c>
      <c r="BO172">
        <f t="shared" si="208"/>
        <v>0</v>
      </c>
    </row>
    <row r="173" spans="13:67" x14ac:dyDescent="0.25">
      <c r="M173" s="66">
        <v>55</v>
      </c>
      <c r="N173" s="36">
        <f t="shared" si="156"/>
        <v>354.81338923357566</v>
      </c>
      <c r="O173" s="91" t="str">
        <f t="shared" si="157"/>
        <v>22,5</v>
      </c>
      <c r="P173" s="67" t="str">
        <f t="shared" si="158"/>
        <v>1+2,40770693594483i</v>
      </c>
      <c r="Q173" s="67">
        <f t="shared" si="169"/>
        <v>2.6071157798219935</v>
      </c>
      <c r="R173" s="67">
        <f t="shared" si="170"/>
        <v>1.1771421749253346</v>
      </c>
      <c r="S173" s="67" t="str">
        <f t="shared" si="159"/>
        <v>1+0,0668807482206898i</v>
      </c>
      <c r="T173" s="67">
        <f t="shared" si="171"/>
        <v>1.0022340218145456</v>
      </c>
      <c r="U173" s="67">
        <f t="shared" si="172"/>
        <v>6.6781295034734386E-2</v>
      </c>
      <c r="V173" t="str">
        <f t="shared" si="160"/>
        <v>1-0,0139334892126437i</v>
      </c>
      <c r="W173" s="67">
        <f t="shared" si="173"/>
        <v>1.0000970663498814</v>
      </c>
      <c r="X173" s="67">
        <f t="shared" si="174"/>
        <v>-1.3932587625277161E-2</v>
      </c>
      <c r="Y173" t="str">
        <f t="shared" si="161"/>
        <v>0,999991942877364+0,0386422100830652i</v>
      </c>
      <c r="Z173" s="67">
        <f t="shared" si="175"/>
        <v>1.0007382805807665</v>
      </c>
      <c r="AA173" s="67">
        <f t="shared" si="176"/>
        <v>3.8623304401382168E-2</v>
      </c>
      <c r="AB173" s="92" t="str">
        <f t="shared" si="177"/>
        <v>3,42874724595421-7,93484826446814i</v>
      </c>
      <c r="AC173" s="37">
        <f t="shared" si="178"/>
        <v>18.734259630422113</v>
      </c>
      <c r="AD173" s="60">
        <f t="shared" si="179"/>
        <v>-66.630222955836743</v>
      </c>
      <c r="AE173" t="str">
        <f t="shared" si="180"/>
        <v>34,4450883806789</v>
      </c>
      <c r="AF173" t="str">
        <f t="shared" si="162"/>
        <v>1+1,20385346797242i</v>
      </c>
      <c r="AG173">
        <f t="shared" si="181"/>
        <v>1.5650121955912109</v>
      </c>
      <c r="AH173">
        <f t="shared" si="182"/>
        <v>0.87763435211782859</v>
      </c>
      <c r="AI173" t="str">
        <f t="shared" si="163"/>
        <v>1+0,0668807482206898i</v>
      </c>
      <c r="AJ173">
        <f t="shared" si="183"/>
        <v>1.0022340218145456</v>
      </c>
      <c r="AK173">
        <f t="shared" si="184"/>
        <v>6.6781295034734386E-2</v>
      </c>
      <c r="AL173" t="str">
        <f t="shared" si="164"/>
        <v>1-0,00455065852100677i</v>
      </c>
      <c r="AM173">
        <f t="shared" si="185"/>
        <v>1.0000103541928829</v>
      </c>
      <c r="AN173">
        <f t="shared" si="186"/>
        <v>-4.550627108970395E-3</v>
      </c>
      <c r="AO173" s="58" t="str">
        <f t="shared" si="187"/>
        <v>15,1229986275447-16,0589088954307i</v>
      </c>
      <c r="AP173">
        <f t="shared" si="188"/>
        <v>26.871664303481193</v>
      </c>
      <c r="AQ173" s="60">
        <f t="shared" si="189"/>
        <v>-46.719189703623691</v>
      </c>
      <c r="AR173" t="str">
        <f t="shared" si="165"/>
        <v>-1,36472945891784</v>
      </c>
      <c r="AS173" t="str">
        <f t="shared" si="166"/>
        <v>1+0,0501003684921187i</v>
      </c>
      <c r="AT173">
        <f t="shared" si="190"/>
        <v>1.0012542369064144</v>
      </c>
      <c r="AU173">
        <f t="shared" si="191"/>
        <v>5.0058513417055223E-2</v>
      </c>
      <c r="AV173" t="str">
        <f t="shared" si="167"/>
        <v>1+0,0501003684921187i</v>
      </c>
      <c r="AW173">
        <f t="shared" si="192"/>
        <v>1.0012542369064144</v>
      </c>
      <c r="AX173">
        <f t="shared" si="193"/>
        <v>5.0058513417055223E-2</v>
      </c>
      <c r="AY173" t="str">
        <f t="shared" si="168"/>
        <v>1-0,299398995485625i</v>
      </c>
      <c r="AZ173">
        <f t="shared" si="194"/>
        <v>1.0438581122440929</v>
      </c>
      <c r="BA173">
        <f t="shared" si="195"/>
        <v>-0.2909053230241983</v>
      </c>
      <c r="BB173" s="58" t="str">
        <f t="shared" si="196"/>
        <v>-1,34089281315428+0,475777853157105i</v>
      </c>
      <c r="BC173">
        <f t="shared" si="197"/>
        <v>3.0628734015043753</v>
      </c>
      <c r="BD173" s="60">
        <f t="shared" si="198"/>
        <v>160.46421120532727</v>
      </c>
      <c r="BE173" s="58" t="str">
        <f t="shared" si="199"/>
        <v>-0,822357467826498+12,2711030149935i</v>
      </c>
      <c r="BF173" s="37">
        <f t="shared" si="200"/>
        <v>21.797133031926506</v>
      </c>
      <c r="BG173" s="60">
        <f t="shared" si="201"/>
        <v>93.833988249490517</v>
      </c>
      <c r="BH173" s="58" t="str">
        <f t="shared" si="202"/>
        <v>-12,6378469747032+28,7284633452934i</v>
      </c>
      <c r="BI173" s="37">
        <f t="shared" si="203"/>
        <v>29.934537704985562</v>
      </c>
      <c r="BJ173" s="60">
        <f t="shared" si="204"/>
        <v>113.74502150170363</v>
      </c>
      <c r="BK173">
        <f t="shared" si="205"/>
        <v>21.797133031926506</v>
      </c>
      <c r="BL173" s="60">
        <f t="shared" si="206"/>
        <v>93.833988249490517</v>
      </c>
      <c r="BN173">
        <f t="shared" si="207"/>
        <v>0</v>
      </c>
      <c r="BO173">
        <f t="shared" si="208"/>
        <v>0</v>
      </c>
    </row>
    <row r="174" spans="13:67" x14ac:dyDescent="0.25">
      <c r="M174" s="66">
        <v>56</v>
      </c>
      <c r="N174" s="36">
        <f t="shared" si="156"/>
        <v>363.07805477010152</v>
      </c>
      <c r="O174" s="91" t="str">
        <f t="shared" si="157"/>
        <v>22,5</v>
      </c>
      <c r="P174" s="67" t="str">
        <f t="shared" si="158"/>
        <v>1+2,46378963501812i</v>
      </c>
      <c r="Q174" s="67">
        <f t="shared" si="169"/>
        <v>2.658995931855241</v>
      </c>
      <c r="R174" s="67">
        <f t="shared" si="170"/>
        <v>1.1852323077680578</v>
      </c>
      <c r="S174" s="67" t="str">
        <f t="shared" si="159"/>
        <v>1+0,0684386009727256i</v>
      </c>
      <c r="T174" s="67">
        <f t="shared" si="171"/>
        <v>1.0023391851579504</v>
      </c>
      <c r="U174" s="67">
        <f t="shared" si="172"/>
        <v>6.8332048391192279E-2</v>
      </c>
      <c r="V174" t="str">
        <f t="shared" si="160"/>
        <v>1-0,0142580418693178i</v>
      </c>
      <c r="W174" s="67">
        <f t="shared" si="173"/>
        <v>1.0001016407135563</v>
      </c>
      <c r="X174" s="67">
        <f t="shared" si="174"/>
        <v>-1.4257075806351814E-2</v>
      </c>
      <c r="Y174" t="str">
        <f t="shared" si="161"/>
        <v>0,999991563156873+0,0395423027842414i</v>
      </c>
      <c r="Z174" s="67">
        <f t="shared" si="175"/>
        <v>1.0007730612353667</v>
      </c>
      <c r="AA174" s="67">
        <f t="shared" si="176"/>
        <v>3.9522045826372344E-2</v>
      </c>
      <c r="AB174" s="92" t="str">
        <f t="shared" si="177"/>
        <v>3,30160108466057-7,80647550619027i</v>
      </c>
      <c r="AC174" s="37">
        <f t="shared" si="178"/>
        <v>18.563761746750117</v>
      </c>
      <c r="AD174" s="60">
        <f t="shared" si="179"/>
        <v>-67.074987694837134</v>
      </c>
      <c r="AE174" t="str">
        <f t="shared" si="180"/>
        <v>34,4450883806789</v>
      </c>
      <c r="AF174" t="str">
        <f t="shared" si="162"/>
        <v>1+1,23189481750906i</v>
      </c>
      <c r="AG174">
        <f t="shared" si="181"/>
        <v>1.586683598391841</v>
      </c>
      <c r="AH174">
        <f t="shared" si="182"/>
        <v>0.88892711171834948</v>
      </c>
      <c r="AI174" t="str">
        <f t="shared" si="163"/>
        <v>1+0,0684386009727256i</v>
      </c>
      <c r="AJ174">
        <f t="shared" si="183"/>
        <v>1.0023391851579504</v>
      </c>
      <c r="AK174">
        <f t="shared" si="184"/>
        <v>6.8332048391192279E-2</v>
      </c>
      <c r="AL174" t="str">
        <f t="shared" si="164"/>
        <v>1-0,00465665697480894i</v>
      </c>
      <c r="AM174">
        <f t="shared" si="185"/>
        <v>1.0000108421683143</v>
      </c>
      <c r="AN174">
        <f t="shared" si="186"/>
        <v>-4.6566233162252573E-3</v>
      </c>
      <c r="AO174" s="58" t="str">
        <f t="shared" si="187"/>
        <v>14,7612911472059-15,9873833658856i</v>
      </c>
      <c r="AP174">
        <f t="shared" si="188"/>
        <v>26.753127770365555</v>
      </c>
      <c r="AQ174" s="60">
        <f t="shared" si="189"/>
        <v>-47.283438680718589</v>
      </c>
      <c r="AR174" t="str">
        <f t="shared" si="165"/>
        <v>-1,36472945891784</v>
      </c>
      <c r="AS174" t="str">
        <f t="shared" si="166"/>
        <v>1+0,0512673559886687i</v>
      </c>
      <c r="AT174">
        <f t="shared" si="190"/>
        <v>1.0013133085054193</v>
      </c>
      <c r="AU174">
        <f t="shared" si="191"/>
        <v>5.1222510644052671E-2</v>
      </c>
      <c r="AV174" t="str">
        <f t="shared" si="167"/>
        <v>1+0,0512673559886687i</v>
      </c>
      <c r="AW174">
        <f t="shared" si="192"/>
        <v>1.0013133085054193</v>
      </c>
      <c r="AX174">
        <f t="shared" si="193"/>
        <v>5.1222510644052671E-2</v>
      </c>
      <c r="AY174" t="str">
        <f t="shared" si="168"/>
        <v>1-0,292583842305333i</v>
      </c>
      <c r="AZ174">
        <f t="shared" si="194"/>
        <v>1.0419238478786019</v>
      </c>
      <c r="BA174">
        <f t="shared" si="195"/>
        <v>-0.28463916973718439</v>
      </c>
      <c r="BB174" s="58" t="str">
        <f t="shared" si="196"/>
        <v>-1,34073460823386+0,468033707244113i</v>
      </c>
      <c r="BC174">
        <f t="shared" si="197"/>
        <v>3.0462511253580944</v>
      </c>
      <c r="BD174" s="60">
        <f t="shared" si="198"/>
        <v>160.75654321398335</v>
      </c>
      <c r="BE174" s="58" t="str">
        <f t="shared" si="199"/>
        <v>-0,772877165114281+12,0116724749741i</v>
      </c>
      <c r="BF174" s="37">
        <f t="shared" si="200"/>
        <v>21.610012872108207</v>
      </c>
      <c r="BG174" s="60">
        <f t="shared" si="201"/>
        <v>93.681555519146201</v>
      </c>
      <c r="BH174" s="58" t="str">
        <f t="shared" si="202"/>
        <v>-12,3083395974067+28,3436199930816i</v>
      </c>
      <c r="BI174" s="37">
        <f t="shared" si="203"/>
        <v>29.799378895723628</v>
      </c>
      <c r="BJ174" s="60">
        <f t="shared" si="204"/>
        <v>113.4731045332647</v>
      </c>
      <c r="BK174">
        <f t="shared" si="205"/>
        <v>21.610012872108207</v>
      </c>
      <c r="BL174" s="60">
        <f t="shared" si="206"/>
        <v>93.681555519146201</v>
      </c>
      <c r="BN174">
        <f t="shared" si="207"/>
        <v>0</v>
      </c>
      <c r="BO174">
        <f t="shared" si="208"/>
        <v>0</v>
      </c>
    </row>
    <row r="175" spans="13:67" x14ac:dyDescent="0.25">
      <c r="M175" s="66">
        <v>57</v>
      </c>
      <c r="N175" s="36">
        <f t="shared" si="156"/>
        <v>371.53522909717265</v>
      </c>
      <c r="O175" s="91" t="str">
        <f t="shared" si="157"/>
        <v>22,5</v>
      </c>
      <c r="P175" s="67" t="str">
        <f t="shared" si="158"/>
        <v>1+2,521178667968i</v>
      </c>
      <c r="Q175" s="67">
        <f t="shared" si="169"/>
        <v>2.7122577082233357</v>
      </c>
      <c r="R175" s="67">
        <f t="shared" si="170"/>
        <v>1.193189958343964</v>
      </c>
      <c r="S175" s="67" t="str">
        <f t="shared" si="159"/>
        <v>1+0,0700327407768889i</v>
      </c>
      <c r="T175" s="67">
        <f t="shared" si="171"/>
        <v>1.0024492928725737</v>
      </c>
      <c r="U175" s="67">
        <f t="shared" si="172"/>
        <v>6.9918582689679099E-2</v>
      </c>
      <c r="V175" t="str">
        <f t="shared" si="160"/>
        <v>1-0,0145901543285185i</v>
      </c>
      <c r="W175" s="67">
        <f t="shared" si="173"/>
        <v>1.0001064306379246</v>
      </c>
      <c r="X175" s="67">
        <f t="shared" si="174"/>
        <v>-1.4589119179349923E-2</v>
      </c>
      <c r="Y175" t="str">
        <f t="shared" si="161"/>
        <v>0,999991165540707+0,040463361337758i</v>
      </c>
      <c r="Z175" s="67">
        <f t="shared" si="175"/>
        <v>1.0008094797563678</v>
      </c>
      <c r="AA175" s="67">
        <f t="shared" si="176"/>
        <v>4.0441656564382131E-2</v>
      </c>
      <c r="AB175" s="92" t="str">
        <f t="shared" si="177"/>
        <v>3,17858293485079-7,67822766598952i</v>
      </c>
      <c r="AC175" s="37">
        <f t="shared" si="178"/>
        <v>18.392175784055308</v>
      </c>
      <c r="AD175" s="60">
        <f t="shared" si="179"/>
        <v>-67.511740266291383</v>
      </c>
      <c r="AE175" t="str">
        <f t="shared" si="180"/>
        <v>34,4450883806789</v>
      </c>
      <c r="AF175" t="str">
        <f t="shared" si="162"/>
        <v>1+1,260589333984i</v>
      </c>
      <c r="AG175">
        <f t="shared" si="181"/>
        <v>1.6090635378860043</v>
      </c>
      <c r="AH175">
        <f t="shared" si="182"/>
        <v>0.90016654797500406</v>
      </c>
      <c r="AI175" t="str">
        <f t="shared" si="163"/>
        <v>1+0,0700327407768889i</v>
      </c>
      <c r="AJ175">
        <f t="shared" si="183"/>
        <v>1.0024492928725737</v>
      </c>
      <c r="AK175">
        <f t="shared" si="184"/>
        <v>6.9918582689679099E-2</v>
      </c>
      <c r="AL175" t="str">
        <f t="shared" si="164"/>
        <v>1-0,00476512444977728i</v>
      </c>
      <c r="AM175">
        <f t="shared" si="185"/>
        <v>1.0000113531410639</v>
      </c>
      <c r="AN175">
        <f t="shared" si="186"/>
        <v>-4.765088383977191E-3</v>
      </c>
      <c r="AO175" s="58" t="str">
        <f t="shared" si="187"/>
        <v>14,4029913556905-15,9081084676637i</v>
      </c>
      <c r="AP175">
        <f t="shared" si="188"/>
        <v>26.632429083791585</v>
      </c>
      <c r="AQ175" s="60">
        <f t="shared" si="189"/>
        <v>-47.84272381358209</v>
      </c>
      <c r="AR175" t="str">
        <f t="shared" si="165"/>
        <v>-1,36472945891784</v>
      </c>
      <c r="AS175" t="str">
        <f t="shared" si="166"/>
        <v>1+0,0524615261159675i</v>
      </c>
      <c r="AT175">
        <f t="shared" si="190"/>
        <v>1.0013751603282439</v>
      </c>
      <c r="AU175">
        <f t="shared" si="191"/>
        <v>5.2413477026754779E-2</v>
      </c>
      <c r="AV175" t="str">
        <f t="shared" si="167"/>
        <v>1+0,0524615261159675i</v>
      </c>
      <c r="AW175">
        <f t="shared" si="192"/>
        <v>1.0013751603282439</v>
      </c>
      <c r="AX175">
        <f t="shared" si="193"/>
        <v>5.2413477026754779E-2</v>
      </c>
      <c r="AY175" t="str">
        <f t="shared" si="168"/>
        <v>1-0,285923820951037i</v>
      </c>
      <c r="AZ175">
        <f t="shared" si="194"/>
        <v>1.0400732817389555</v>
      </c>
      <c r="BA175">
        <f t="shared" si="195"/>
        <v>-0.27849336953763665</v>
      </c>
      <c r="BB175" s="58" t="str">
        <f t="shared" si="196"/>
        <v>-1,34056898735237+0,460536956398473i</v>
      </c>
      <c r="BC175">
        <f t="shared" si="197"/>
        <v>3.0302738402994662</v>
      </c>
      <c r="BD175" s="60">
        <f t="shared" si="198"/>
        <v>161.04043427987719</v>
      </c>
      <c r="BE175" s="58" t="str">
        <f t="shared" si="199"/>
        <v>-0,725002106359084+11,7570487973328i</v>
      </c>
      <c r="BF175" s="37">
        <f t="shared" si="200"/>
        <v>21.422449624354751</v>
      </c>
      <c r="BG175" s="60">
        <f t="shared" si="201"/>
        <v>93.528694013585834</v>
      </c>
      <c r="BH175" s="58" t="str">
        <f t="shared" si="202"/>
        <v>-11,9819316807883+27,9590266611708i</v>
      </c>
      <c r="BI175" s="37">
        <f t="shared" si="203"/>
        <v>29.662702924091043</v>
      </c>
      <c r="BJ175" s="60">
        <f t="shared" si="204"/>
        <v>113.19771046629508</v>
      </c>
      <c r="BK175">
        <f t="shared" si="205"/>
        <v>21.422449624354751</v>
      </c>
      <c r="BL175" s="60">
        <f t="shared" si="206"/>
        <v>93.528694013585834</v>
      </c>
      <c r="BN175">
        <f t="shared" si="207"/>
        <v>0</v>
      </c>
      <c r="BO175">
        <f t="shared" si="208"/>
        <v>0</v>
      </c>
    </row>
    <row r="176" spans="13:67" x14ac:dyDescent="0.25">
      <c r="M176" s="66">
        <v>58</v>
      </c>
      <c r="N176" s="36">
        <f t="shared" si="156"/>
        <v>380.18939632056163</v>
      </c>
      <c r="O176" s="91" t="str">
        <f t="shared" si="157"/>
        <v>22,5</v>
      </c>
      <c r="P176" s="67" t="str">
        <f t="shared" si="158"/>
        <v>1+2,57990446321938i</v>
      </c>
      <c r="Q176" s="67">
        <f t="shared" si="169"/>
        <v>2.7669309784198228</v>
      </c>
      <c r="R176" s="67">
        <f t="shared" si="170"/>
        <v>1.2010153135708386</v>
      </c>
      <c r="S176" s="67" t="str">
        <f t="shared" si="159"/>
        <v>1+0,071664012867205i</v>
      </c>
      <c r="T176" s="67">
        <f t="shared" si="171"/>
        <v>1.0025645768429239</v>
      </c>
      <c r="U176" s="67">
        <f t="shared" si="172"/>
        <v>7.1541707166118171E-2</v>
      </c>
      <c r="V176" t="str">
        <f t="shared" si="160"/>
        <v>1-0,0149300026806677i</v>
      </c>
      <c r="W176" s="67">
        <f t="shared" si="173"/>
        <v>1.0001114462798857</v>
      </c>
      <c r="X176" s="67">
        <f t="shared" si="174"/>
        <v>-1.4928893505025185E-2</v>
      </c>
      <c r="Y176" t="str">
        <f t="shared" si="161"/>
        <v>0,999990749185467+0,0414058741010517i</v>
      </c>
      <c r="Z176" s="67">
        <f t="shared" si="175"/>
        <v>1.0008476132092157</v>
      </c>
      <c r="AA176" s="67">
        <f t="shared" si="176"/>
        <v>4.1382618080975847E-2</v>
      </c>
      <c r="AB176" s="92" t="str">
        <f t="shared" si="177"/>
        <v>3,05961888665187-7,55023216720031i</v>
      </c>
      <c r="AC176" s="37">
        <f t="shared" si="178"/>
        <v>18.219539763914085</v>
      </c>
      <c r="AD176" s="60">
        <f t="shared" si="179"/>
        <v>-67.940482670290677</v>
      </c>
      <c r="AE176" t="str">
        <f t="shared" si="180"/>
        <v>34,4450883806789</v>
      </c>
      <c r="AF176" t="str">
        <f t="shared" si="162"/>
        <v>1+1,28995223160969i</v>
      </c>
      <c r="AG176">
        <f t="shared" si="181"/>
        <v>1.6321693416538676</v>
      </c>
      <c r="AH176">
        <f t="shared" si="182"/>
        <v>0.91134726226820517</v>
      </c>
      <c r="AI176" t="str">
        <f t="shared" si="163"/>
        <v>1+0,071664012867205i</v>
      </c>
      <c r="AJ176">
        <f t="shared" si="183"/>
        <v>1.0025645768429239</v>
      </c>
      <c r="AK176">
        <f t="shared" si="184"/>
        <v>7.1541707166118171E-2</v>
      </c>
      <c r="AL176" t="str">
        <f t="shared" si="164"/>
        <v>1-0,00487611845680278i</v>
      </c>
      <c r="AM176">
        <f t="shared" si="185"/>
        <v>1.0000118881949378</v>
      </c>
      <c r="AN176">
        <f t="shared" si="186"/>
        <v>-4.8760798116265387E-3</v>
      </c>
      <c r="AO176" s="58" t="str">
        <f t="shared" si="187"/>
        <v>14,0484256001163-15,821283027747i</v>
      </c>
      <c r="AP176">
        <f t="shared" si="188"/>
        <v>26.509592125840605</v>
      </c>
      <c r="AQ176" s="60">
        <f t="shared" si="189"/>
        <v>-48.396692712766082</v>
      </c>
      <c r="AR176" t="str">
        <f t="shared" si="165"/>
        <v>-1,36472945891784</v>
      </c>
      <c r="AS176" t="str">
        <f t="shared" si="166"/>
        <v>1+0,0536835120388233i</v>
      </c>
      <c r="AT176">
        <f t="shared" si="190"/>
        <v>1.001439923043226</v>
      </c>
      <c r="AU176">
        <f t="shared" si="191"/>
        <v>5.3632030509491425E-2</v>
      </c>
      <c r="AV176" t="str">
        <f t="shared" si="167"/>
        <v>1+0,0536835120388233i</v>
      </c>
      <c r="AW176">
        <f t="shared" si="192"/>
        <v>1.001439923043226</v>
      </c>
      <c r="AX176">
        <f t="shared" si="193"/>
        <v>5.3632030509491425E-2</v>
      </c>
      <c r="AY176" t="str">
        <f t="shared" si="168"/>
        <v>1-0,279415400191258i</v>
      </c>
      <c r="AZ176">
        <f t="shared" si="194"/>
        <v>1.0383029258670327</v>
      </c>
      <c r="BA176">
        <f t="shared" si="195"/>
        <v>-0.27246652161413021</v>
      </c>
      <c r="BB176" s="58" t="str">
        <f t="shared" si="196"/>
        <v>-1,34039560484989+0,453283571506072i</v>
      </c>
      <c r="BC176">
        <f t="shared" si="197"/>
        <v>3.0149148656369826</v>
      </c>
      <c r="BD176" s="60">
        <f t="shared" si="198"/>
        <v>161.31592925798958</v>
      </c>
      <c r="BE176" s="58" t="str">
        <f t="shared" si="199"/>
        <v>-0,678703505735293+11,5071729889005i</v>
      </c>
      <c r="BF176" s="37">
        <f t="shared" si="200"/>
        <v>21.234454629551035</v>
      </c>
      <c r="BG176" s="60">
        <f t="shared" si="201"/>
        <v>93.375446587698903</v>
      </c>
      <c r="BH176" s="58" t="str">
        <f t="shared" si="202"/>
        <v>-11,658920252831+27,5746987635363i</v>
      </c>
      <c r="BI176" s="37">
        <f t="shared" si="203"/>
        <v>29.524506991477587</v>
      </c>
      <c r="BJ176" s="60">
        <f t="shared" si="204"/>
        <v>112.91923654522346</v>
      </c>
      <c r="BK176">
        <f t="shared" si="205"/>
        <v>21.234454629551035</v>
      </c>
      <c r="BL176" s="60">
        <f t="shared" si="206"/>
        <v>93.375446587698903</v>
      </c>
      <c r="BN176">
        <f t="shared" si="207"/>
        <v>0</v>
      </c>
      <c r="BO176">
        <f t="shared" si="208"/>
        <v>0</v>
      </c>
    </row>
    <row r="177" spans="13:67" x14ac:dyDescent="0.25">
      <c r="M177" s="66">
        <v>59</v>
      </c>
      <c r="N177" s="36">
        <f t="shared" si="156"/>
        <v>389.04514499428063</v>
      </c>
      <c r="O177" s="91" t="str">
        <f t="shared" si="157"/>
        <v>22,5</v>
      </c>
      <c r="P177" s="67" t="str">
        <f t="shared" si="158"/>
        <v>1+2,63999815796623i</v>
      </c>
      <c r="Q177" s="67">
        <f t="shared" si="169"/>
        <v>2.8230462755798191</v>
      </c>
      <c r="R177" s="67">
        <f t="shared" si="170"/>
        <v>1.2087086879685023</v>
      </c>
      <c r="S177" s="67" t="str">
        <f t="shared" si="159"/>
        <v>1+0,0733332821657287i</v>
      </c>
      <c r="T177" s="67">
        <f t="shared" si="171"/>
        <v>1.0026852797728698</v>
      </c>
      <c r="U177" s="67">
        <f t="shared" si="172"/>
        <v>7.3202248193988365E-2</v>
      </c>
      <c r="V177" t="str">
        <f t="shared" si="160"/>
        <v>1-0,0152777671178601i</v>
      </c>
      <c r="W177" s="67">
        <f t="shared" si="173"/>
        <v>1.0001166982748102</v>
      </c>
      <c r="X177" s="67">
        <f t="shared" si="174"/>
        <v>-1.5276578622236076E-2</v>
      </c>
      <c r="Y177" t="str">
        <f t="shared" si="161"/>
        <v>0,99999031320801+0,0423703408068654i</v>
      </c>
      <c r="Z177" s="67">
        <f t="shared" si="175"/>
        <v>1.0008875422793233</v>
      </c>
      <c r="AA177" s="67">
        <f t="shared" si="176"/>
        <v>4.2345422725650637E-2</v>
      </c>
      <c r="AB177" s="92" t="str">
        <f t="shared" si="177"/>
        <v>2,94463150215217-7,4226097663105i</v>
      </c>
      <c r="AC177" s="37">
        <f t="shared" si="178"/>
        <v>18.045891096258394</v>
      </c>
      <c r="AD177" s="60">
        <f t="shared" si="179"/>
        <v>-68.361224093336745</v>
      </c>
      <c r="AE177" t="str">
        <f t="shared" si="180"/>
        <v>34,4450883806789</v>
      </c>
      <c r="AF177" t="str">
        <f t="shared" si="162"/>
        <v>1+1,31999907898312i</v>
      </c>
      <c r="AG177">
        <f t="shared" si="181"/>
        <v>1.656018589423526</v>
      </c>
      <c r="AH177">
        <f t="shared" si="182"/>
        <v>0.92246400186410893</v>
      </c>
      <c r="AI177" t="str">
        <f t="shared" si="163"/>
        <v>1+0,0733332821657287i</v>
      </c>
      <c r="AJ177">
        <f t="shared" si="183"/>
        <v>1.0026852797728698</v>
      </c>
      <c r="AK177">
        <f t="shared" si="184"/>
        <v>7.3202248193988365E-2</v>
      </c>
      <c r="AL177" t="str">
        <f t="shared" si="164"/>
        <v>1-0,00498969784637713i</v>
      </c>
      <c r="AM177">
        <f t="shared" si="185"/>
        <v>1.000012448464817</v>
      </c>
      <c r="AN177">
        <f t="shared" si="186"/>
        <v>-4.9896564373525737E-3</v>
      </c>
      <c r="AO177" s="58" t="str">
        <f t="shared" si="187"/>
        <v>13,6979056343143-15,7271220191602i</v>
      </c>
      <c r="AP177">
        <f t="shared" si="188"/>
        <v>26.384642825787935</v>
      </c>
      <c r="AQ177" s="60">
        <f t="shared" si="189"/>
        <v>-48.945000442257587</v>
      </c>
      <c r="AR177" t="str">
        <f t="shared" si="165"/>
        <v>-1,36472945891784</v>
      </c>
      <c r="AS177" t="str">
        <f t="shared" si="166"/>
        <v>1+0,0549339616703474i</v>
      </c>
      <c r="AT177">
        <f t="shared" si="190"/>
        <v>1.001507733442333</v>
      </c>
      <c r="AU177">
        <f t="shared" si="191"/>
        <v>5.4878802702066944E-2</v>
      </c>
      <c r="AV177" t="str">
        <f t="shared" si="167"/>
        <v>1+0,0549339616703474i</v>
      </c>
      <c r="AW177">
        <f t="shared" si="192"/>
        <v>1.001507733442333</v>
      </c>
      <c r="AX177">
        <f t="shared" si="193"/>
        <v>5.4878802702066944E-2</v>
      </c>
      <c r="AY177" t="str">
        <f t="shared" si="168"/>
        <v>1-0,273055129175161i</v>
      </c>
      <c r="AZ177">
        <f t="shared" si="194"/>
        <v>1.0366094267219761</v>
      </c>
      <c r="BA177">
        <f t="shared" si="195"/>
        <v>-0.2665571824405103</v>
      </c>
      <c r="BB177" s="58" t="str">
        <f t="shared" si="196"/>
        <v>-1,34021409914446+0,446269648646419i</v>
      </c>
      <c r="BC177">
        <f t="shared" si="197"/>
        <v>3.0001482604343654</v>
      </c>
      <c r="BD177" s="60">
        <f t="shared" si="198"/>
        <v>161.58307466770052</v>
      </c>
      <c r="BE177" s="58" t="str">
        <f t="shared" si="199"/>
        <v>-0,633951203518404+11,2619859271153i</v>
      </c>
      <c r="BF177" s="37">
        <f t="shared" si="200"/>
        <v>21.046039356692742</v>
      </c>
      <c r="BG177" s="60">
        <f t="shared" si="201"/>
        <v>93.221850574363771</v>
      </c>
      <c r="BH177" s="58" t="str">
        <f t="shared" si="202"/>
        <v>-11,3395890421484+27,190670203661i</v>
      </c>
      <c r="BI177" s="37">
        <f t="shared" si="203"/>
        <v>29.38479108622229</v>
      </c>
      <c r="BJ177" s="60">
        <f t="shared" si="204"/>
        <v>112.63807422544299</v>
      </c>
      <c r="BK177">
        <f t="shared" si="205"/>
        <v>21.046039356692742</v>
      </c>
      <c r="BL177" s="60">
        <f t="shared" si="206"/>
        <v>93.221850574363771</v>
      </c>
      <c r="BN177">
        <f t="shared" si="207"/>
        <v>0</v>
      </c>
      <c r="BO177">
        <f t="shared" si="208"/>
        <v>0</v>
      </c>
    </row>
    <row r="178" spans="13:67" x14ac:dyDescent="0.25">
      <c r="M178" s="66">
        <v>60</v>
      </c>
      <c r="N178" s="36">
        <f t="shared" si="156"/>
        <v>398.10717055349761</v>
      </c>
      <c r="O178" s="91" t="str">
        <f t="shared" si="157"/>
        <v>22,5</v>
      </c>
      <c r="P178" s="67" t="str">
        <f t="shared" si="158"/>
        <v>1+2,70149161468094i</v>
      </c>
      <c r="Q178" s="67">
        <f t="shared" si="169"/>
        <v>2.8806348161805295</v>
      </c>
      <c r="R178" s="67">
        <f t="shared" si="170"/>
        <v>1.2162705168076415</v>
      </c>
      <c r="S178" s="67" t="str">
        <f t="shared" si="159"/>
        <v>1+0,0750414337411372i</v>
      </c>
      <c r="T178" s="67">
        <f t="shared" si="171"/>
        <v>1.002811655685117</v>
      </c>
      <c r="U178" s="67">
        <f t="shared" si="172"/>
        <v>7.4901049563423402E-2</v>
      </c>
      <c r="V178" t="str">
        <f t="shared" si="160"/>
        <v>1-0,0156336320294036i</v>
      </c>
      <c r="W178" s="67">
        <f t="shared" si="173"/>
        <v>1.0001221977590693</v>
      </c>
      <c r="X178" s="67">
        <f t="shared" si="174"/>
        <v>-1.5632358541801866E-2</v>
      </c>
      <c r="Y178" t="str">
        <f t="shared" si="161"/>
        <v>0,999989856683568+0,0433572728282125i</v>
      </c>
      <c r="Z178" s="67">
        <f t="shared" si="175"/>
        <v>1.0009293514415103</v>
      </c>
      <c r="AA178" s="67">
        <f t="shared" si="176"/>
        <v>4.3330573961844386E-2</v>
      </c>
      <c r="AB178" s="92" t="str">
        <f t="shared" si="177"/>
        <v>2,83354027727685-7,29547459237136i</v>
      </c>
      <c r="AC178" s="37">
        <f t="shared" si="178"/>
        <v>17.871266552830338</v>
      </c>
      <c r="AD178" s="60">
        <f t="shared" si="179"/>
        <v>-68.773980518362677</v>
      </c>
      <c r="AE178" t="str">
        <f t="shared" si="180"/>
        <v>34,4450883806789</v>
      </c>
      <c r="AF178" t="str">
        <f t="shared" si="162"/>
        <v>1+1,35074580734047i</v>
      </c>
      <c r="AG178">
        <f t="shared" si="181"/>
        <v>1.680629119124103</v>
      </c>
      <c r="AH178">
        <f t="shared" si="182"/>
        <v>0.93351167086141573</v>
      </c>
      <c r="AI178" t="str">
        <f t="shared" si="163"/>
        <v>1+0,0750414337411372i</v>
      </c>
      <c r="AJ178">
        <f t="shared" si="183"/>
        <v>1.002811655685117</v>
      </c>
      <c r="AK178">
        <f t="shared" si="184"/>
        <v>7.4901049563423402E-2</v>
      </c>
      <c r="AL178" t="str">
        <f t="shared" si="164"/>
        <v>1-0,00510592283979607i</v>
      </c>
      <c r="AM178">
        <f t="shared" si="185"/>
        <v>1.0000130351390655</v>
      </c>
      <c r="AN178">
        <f t="shared" si="186"/>
        <v>-5.1058784692580832E-3</v>
      </c>
      <c r="AO178" s="58" t="str">
        <f t="shared" si="187"/>
        <v>13,3517276662575-15,6258553120044i</v>
      </c>
      <c r="AP178">
        <f t="shared" si="188"/>
        <v>26.257609071927575</v>
      </c>
      <c r="AQ178" s="60">
        <f t="shared" si="189"/>
        <v>-49.487310132475514</v>
      </c>
      <c r="AR178" t="str">
        <f t="shared" si="165"/>
        <v>-1,36472945891784</v>
      </c>
      <c r="AS178" t="str">
        <f t="shared" si="166"/>
        <v>1+0,0562135380154859i</v>
      </c>
      <c r="AT178">
        <f t="shared" si="190"/>
        <v>1.0015787347264411</v>
      </c>
      <c r="AU178">
        <f t="shared" si="191"/>
        <v>5.6154439146544471E-2</v>
      </c>
      <c r="AV178" t="str">
        <f t="shared" si="167"/>
        <v>1+0,0562135380154859i</v>
      </c>
      <c r="AW178">
        <f t="shared" si="192"/>
        <v>1.0015787347264411</v>
      </c>
      <c r="AX178">
        <f t="shared" si="193"/>
        <v>5.6154439146544471E-2</v>
      </c>
      <c r="AY178" t="str">
        <f t="shared" si="168"/>
        <v>1-0,266839635602865i</v>
      </c>
      <c r="AZ178">
        <f t="shared" si="194"/>
        <v>1.0349895608790796</v>
      </c>
      <c r="BA178">
        <f t="shared" si="195"/>
        <v>-0.26076387031356424</v>
      </c>
      <c r="BB178" s="58" t="str">
        <f t="shared" si="196"/>
        <v>-1,34002409201689+0,43949140675239i</v>
      </c>
      <c r="BC178">
        <f t="shared" si="197"/>
        <v>2.9859488117805748</v>
      </c>
      <c r="BD178" s="60">
        <f t="shared" si="198"/>
        <v>161.84191841751485</v>
      </c>
      <c r="BE178" s="58" t="str">
        <f t="shared" si="199"/>
        <v>-0,590713845723589+11,0214283190247i</v>
      </c>
      <c r="BF178" s="37">
        <f t="shared" si="200"/>
        <v>20.857215364610923</v>
      </c>
      <c r="BG178" s="60">
        <f t="shared" si="201"/>
        <v>93.067937899152184</v>
      </c>
      <c r="BH178" s="58" t="str">
        <f t="shared" si="202"/>
        <v>-11,0242076100514+26,8069921510743i</v>
      </c>
      <c r="BI178" s="37">
        <f t="shared" si="203"/>
        <v>29.243557883708146</v>
      </c>
      <c r="BJ178" s="60">
        <f t="shared" si="204"/>
        <v>112.3546082850394</v>
      </c>
      <c r="BK178">
        <f t="shared" si="205"/>
        <v>20.857215364610923</v>
      </c>
      <c r="BL178" s="60">
        <f t="shared" si="206"/>
        <v>93.067937899152184</v>
      </c>
      <c r="BN178">
        <f t="shared" si="207"/>
        <v>0</v>
      </c>
      <c r="BO178">
        <f t="shared" si="208"/>
        <v>0</v>
      </c>
    </row>
    <row r="179" spans="13:67" x14ac:dyDescent="0.25">
      <c r="M179" s="66">
        <v>61</v>
      </c>
      <c r="N179" s="36">
        <f t="shared" si="156"/>
        <v>407.38027780411272</v>
      </c>
      <c r="O179" s="91" t="str">
        <f t="shared" si="157"/>
        <v>22,5</v>
      </c>
      <c r="P179" s="67" t="str">
        <f t="shared" si="158"/>
        <v>1+2,76441743800822i</v>
      </c>
      <c r="Q179" s="67">
        <f t="shared" si="169"/>
        <v>2.9397285200446537</v>
      </c>
      <c r="R179" s="67">
        <f t="shared" si="170"/>
        <v>1.2237013493133777</v>
      </c>
      <c r="S179" s="67" t="str">
        <f t="shared" si="159"/>
        <v>1+0,0767893732780063i</v>
      </c>
      <c r="T179" s="67">
        <f t="shared" si="171"/>
        <v>1.0029439704432292</v>
      </c>
      <c r="U179" s="67">
        <f t="shared" si="172"/>
        <v>7.6638972758508464E-2</v>
      </c>
      <c r="V179" t="str">
        <f t="shared" si="160"/>
        <v>1-0,0159977860995846i</v>
      </c>
      <c r="W179" s="67">
        <f t="shared" si="173"/>
        <v>1.0001279563936247</v>
      </c>
      <c r="X179" s="67">
        <f t="shared" si="174"/>
        <v>-1.5996421542463203E-2</v>
      </c>
      <c r="Y179" t="str">
        <f t="shared" si="161"/>
        <v>0,999989378643792+0,0443671934495147i</v>
      </c>
      <c r="Z179" s="67">
        <f t="shared" si="175"/>
        <v>1.0009731291373329</v>
      </c>
      <c r="AA179" s="67">
        <f t="shared" si="176"/>
        <v>4.4338586600639267E-2</v>
      </c>
      <c r="AB179" s="92" t="str">
        <f t="shared" si="177"/>
        <v>2,72626208277711-7,16893421355731i</v>
      </c>
      <c r="AC179" s="37">
        <f t="shared" si="178"/>
        <v>17.695702244797836</v>
      </c>
      <c r="AD179" s="60">
        <f t="shared" si="179"/>
        <v>-69.178774338327258</v>
      </c>
      <c r="AE179" t="str">
        <f t="shared" si="180"/>
        <v>34,4450883806789</v>
      </c>
      <c r="AF179" t="str">
        <f t="shared" si="162"/>
        <v>1+1,38220871900411i</v>
      </c>
      <c r="AG179">
        <f t="shared" si="181"/>
        <v>1.7060190335664436</v>
      </c>
      <c r="AH179">
        <f t="shared" si="182"/>
        <v>0.94448534023610797</v>
      </c>
      <c r="AI179" t="str">
        <f t="shared" si="163"/>
        <v>1+0,0767893732780063i</v>
      </c>
      <c r="AJ179">
        <f t="shared" si="183"/>
        <v>1.0029439704432292</v>
      </c>
      <c r="AK179">
        <f t="shared" si="184"/>
        <v>7.6638972758508464E-2</v>
      </c>
      <c r="AL179" t="str">
        <f t="shared" si="164"/>
        <v>1-0,00522485506108957i</v>
      </c>
      <c r="AM179">
        <f t="shared" si="185"/>
        <v>1.0000136494620508</v>
      </c>
      <c r="AN179">
        <f t="shared" si="186"/>
        <v>-5.2248075172365814E-3</v>
      </c>
      <c r="AO179" s="58" t="str">
        <f t="shared" si="187"/>
        <v>13,0101715274723-15,5177263661088i</v>
      </c>
      <c r="AP179">
        <f t="shared" si="188"/>
        <v>26.128520618114752</v>
      </c>
      <c r="AQ179" s="60">
        <f t="shared" si="189"/>
        <v>-50.023293541731782</v>
      </c>
      <c r="AR179" t="str">
        <f t="shared" si="165"/>
        <v>-1,36472945891784</v>
      </c>
      <c r="AS179" t="str">
        <f t="shared" si="166"/>
        <v>1+0,0575229195225545i</v>
      </c>
      <c r="AT179">
        <f t="shared" si="190"/>
        <v>1.0016530768037395</v>
      </c>
      <c r="AU179">
        <f t="shared" si="191"/>
        <v>5.7459599586628864E-2</v>
      </c>
      <c r="AV179" t="str">
        <f t="shared" si="167"/>
        <v>1+0,0575229195225545i</v>
      </c>
      <c r="AW179">
        <f t="shared" si="192"/>
        <v>1.0016530768037395</v>
      </c>
      <c r="AX179">
        <f t="shared" si="193"/>
        <v>5.7459599586628864E-2</v>
      </c>
      <c r="AY179" t="str">
        <f t="shared" si="168"/>
        <v>1-0,260765623937404i</v>
      </c>
      <c r="AZ179">
        <f t="shared" si="194"/>
        <v>1.0334402307958905</v>
      </c>
      <c r="BA179">
        <f t="shared" si="195"/>
        <v>-0.25508506967763034</v>
      </c>
      <c r="BB179" s="58" t="str">
        <f t="shared" si="196"/>
        <v>-1,33982518786521+0,432945185316328i</v>
      </c>
      <c r="BC179">
        <f t="shared" si="197"/>
        <v>2.972292021630901</v>
      </c>
      <c r="BD179" s="60">
        <f t="shared" si="198"/>
        <v>162.09250954184577</v>
      </c>
      <c r="BE179" s="58" t="str">
        <f t="shared" si="199"/>
        <v>-0,548959055617507+10,7854406721216i</v>
      </c>
      <c r="BF179" s="37">
        <f t="shared" si="200"/>
        <v>20.667994266428764</v>
      </c>
      <c r="BG179" s="60">
        <f t="shared" si="201"/>
        <v>92.913735203518499</v>
      </c>
      <c r="BH179" s="58" t="str">
        <f t="shared" si="202"/>
        <v>-10,7130305936911+26,4237317666714i</v>
      </c>
      <c r="BI179" s="37">
        <f t="shared" si="203"/>
        <v>29.100812639745655</v>
      </c>
      <c r="BJ179" s="60">
        <f t="shared" si="204"/>
        <v>112.06921600011387</v>
      </c>
      <c r="BK179">
        <f t="shared" si="205"/>
        <v>20.667994266428764</v>
      </c>
      <c r="BL179" s="60">
        <f t="shared" si="206"/>
        <v>92.913735203518499</v>
      </c>
      <c r="BN179">
        <f t="shared" si="207"/>
        <v>0</v>
      </c>
      <c r="BO179">
        <f t="shared" si="208"/>
        <v>0</v>
      </c>
    </row>
    <row r="180" spans="13:67" x14ac:dyDescent="0.25">
      <c r="M180" s="66">
        <v>62</v>
      </c>
      <c r="N180" s="36">
        <f t="shared" si="156"/>
        <v>416.86938347033572</v>
      </c>
      <c r="O180" s="91" t="str">
        <f t="shared" si="157"/>
        <v>22,5</v>
      </c>
      <c r="P180" s="67" t="str">
        <f t="shared" si="158"/>
        <v>1+2,82880899205254i</v>
      </c>
      <c r="Q180" s="67">
        <f t="shared" si="169"/>
        <v>3.0003600306492064</v>
      </c>
      <c r="R180" s="67">
        <f t="shared" si="170"/>
        <v>1.2310018419501063</v>
      </c>
      <c r="S180" s="67" t="str">
        <f t="shared" si="159"/>
        <v>1+0,078578027557015i</v>
      </c>
      <c r="T180" s="67">
        <f t="shared" si="171"/>
        <v>1.0030825022971694</v>
      </c>
      <c r="U180" s="67">
        <f t="shared" si="172"/>
        <v>7.841689723216852E-2</v>
      </c>
      <c r="V180" t="str">
        <f t="shared" si="160"/>
        <v>1-0,0163704224077114i</v>
      </c>
      <c r="W180" s="67">
        <f t="shared" si="173"/>
        <v>1.0001339863887273</v>
      </c>
      <c r="X180" s="67">
        <f t="shared" si="174"/>
        <v>-1.6368960268991876E-2</v>
      </c>
      <c r="Y180" t="str">
        <f t="shared" si="161"/>
        <v>0,999988878074696+0,045400638144053i</v>
      </c>
      <c r="Z180" s="67">
        <f t="shared" si="175"/>
        <v>1.0010189679606361</v>
      </c>
      <c r="AA180" s="67">
        <f t="shared" si="176"/>
        <v>4.5369987038126697E-2</v>
      </c>
      <c r="AB180" s="92" t="str">
        <f t="shared" si="177"/>
        <v>2,62271158338504-7,04308972809963i</v>
      </c>
      <c r="AC180" s="37">
        <f t="shared" si="178"/>
        <v>17.519233604345047</v>
      </c>
      <c r="AD180" s="60">
        <f t="shared" si="179"/>
        <v>-69.575633974935599</v>
      </c>
      <c r="AE180" t="str">
        <f t="shared" si="180"/>
        <v>34,4450883806789</v>
      </c>
      <c r="AF180" t="str">
        <f t="shared" si="162"/>
        <v>1+1,41440449602627i</v>
      </c>
      <c r="AG180">
        <f t="shared" si="181"/>
        <v>1.7322067077515104</v>
      </c>
      <c r="AH180">
        <f t="shared" si="182"/>
        <v>0.95538025694754292</v>
      </c>
      <c r="AI180" t="str">
        <f t="shared" si="163"/>
        <v>1+0,078578027557015i</v>
      </c>
      <c r="AJ180">
        <f t="shared" si="183"/>
        <v>1.0030825022971694</v>
      </c>
      <c r="AK180">
        <f t="shared" si="184"/>
        <v>7.841689723216852E-2</v>
      </c>
      <c r="AL180" t="str">
        <f t="shared" si="164"/>
        <v>1-0,0053465575696956i</v>
      </c>
      <c r="AM180">
        <f t="shared" si="185"/>
        <v>1.0000142927367819</v>
      </c>
      <c r="AN180">
        <f t="shared" si="186"/>
        <v>-5.3465066255786028E-3</v>
      </c>
      <c r="AO180" s="58" t="str">
        <f t="shared" si="187"/>
        <v>12,6734999675213-15,4029908784906i</v>
      </c>
      <c r="AP180">
        <f t="shared" si="188"/>
        <v>25.997408985790052</v>
      </c>
      <c r="AQ180" s="60">
        <f t="shared" si="189"/>
        <v>-50.552631564088273</v>
      </c>
      <c r="AR180" t="str">
        <f t="shared" si="165"/>
        <v>-1,36472945891784</v>
      </c>
      <c r="AS180" t="str">
        <f t="shared" si="166"/>
        <v>1+0,0588628004429599i</v>
      </c>
      <c r="AT180">
        <f t="shared" si="190"/>
        <v>1.0017309166018527</v>
      </c>
      <c r="AU180">
        <f t="shared" si="191"/>
        <v>5.8794958239455263E-2</v>
      </c>
      <c r="AV180" t="str">
        <f t="shared" si="167"/>
        <v>1+0,0588628004429599i</v>
      </c>
      <c r="AW180">
        <f t="shared" si="192"/>
        <v>1.0017309166018527</v>
      </c>
      <c r="AX180">
        <f t="shared" si="193"/>
        <v>5.8794958239455263E-2</v>
      </c>
      <c r="AY180" t="str">
        <f t="shared" si="168"/>
        <v>1-0,254829873657397i</v>
      </c>
      <c r="AZ180">
        <f t="shared" si="194"/>
        <v>1.0319584606505463</v>
      </c>
      <c r="BA180">
        <f t="shared" si="195"/>
        <v>-0.24951923523770897</v>
      </c>
      <c r="BB180" s="58" t="str">
        <f t="shared" si="196"/>
        <v>-1,33961697292766+0,426627442140004i</v>
      </c>
      <c r="BC180">
        <f t="shared" si="197"/>
        <v>2.9591540923643973</v>
      </c>
      <c r="BD180" s="60">
        <f t="shared" si="198"/>
        <v>162.33489794977856</v>
      </c>
      <c r="BE180" s="58" t="str">
        <f t="shared" si="199"/>
        <v>-0,508653596734896+10,5539632759052i</v>
      </c>
      <c r="BF180" s="37">
        <f t="shared" si="200"/>
        <v>20.478387696709419</v>
      </c>
      <c r="BG180" s="60">
        <f t="shared" si="201"/>
        <v>92.759263974842966</v>
      </c>
      <c r="BH180" s="58" t="str">
        <f t="shared" si="202"/>
        <v>-10,4062970630934+26,040970888781i</v>
      </c>
      <c r="BI180" s="37">
        <f t="shared" si="203"/>
        <v>28.956563078154453</v>
      </c>
      <c r="BJ180" s="60">
        <f t="shared" si="204"/>
        <v>111.78226638569022</v>
      </c>
      <c r="BK180">
        <f t="shared" si="205"/>
        <v>20.478387696709419</v>
      </c>
      <c r="BL180" s="60">
        <f t="shared" si="206"/>
        <v>92.759263974842966</v>
      </c>
      <c r="BN180">
        <f t="shared" si="207"/>
        <v>0</v>
      </c>
      <c r="BO180">
        <f t="shared" si="208"/>
        <v>0</v>
      </c>
    </row>
    <row r="181" spans="13:67" x14ac:dyDescent="0.25">
      <c r="M181" s="66">
        <v>63</v>
      </c>
      <c r="N181" s="36">
        <f t="shared" si="156"/>
        <v>426.57951880159294</v>
      </c>
      <c r="O181" s="91" t="str">
        <f t="shared" si="157"/>
        <v>22,5</v>
      </c>
      <c r="P181" s="67" t="str">
        <f t="shared" si="158"/>
        <v>1+2,89470041806814i</v>
      </c>
      <c r="Q181" s="67">
        <f t="shared" si="169"/>
        <v>3.0625627357433611</v>
      </c>
      <c r="R181" s="67">
        <f t="shared" si="170"/>
        <v>1.2381727518112926</v>
      </c>
      <c r="S181" s="67" t="str">
        <f t="shared" si="159"/>
        <v>1+0,0804083449463374i</v>
      </c>
      <c r="T181" s="67">
        <f t="shared" si="171"/>
        <v>1.0032275424533605</v>
      </c>
      <c r="U181" s="67">
        <f t="shared" si="172"/>
        <v>8.0235720678000638E-2</v>
      </c>
      <c r="V181" t="str">
        <f t="shared" si="160"/>
        <v>1-0,0167517385304869i</v>
      </c>
      <c r="W181" s="67">
        <f t="shared" si="173"/>
        <v>1.0001403005297775</v>
      </c>
      <c r="X181" s="67">
        <f t="shared" si="174"/>
        <v>-1.6750171832491792E-2</v>
      </c>
      <c r="Y181" t="str">
        <f t="shared" si="161"/>
        <v>0,999988353914505+0,0464581548578838i</v>
      </c>
      <c r="Z181" s="67">
        <f t="shared" si="175"/>
        <v>1.0010669648517228</v>
      </c>
      <c r="AA181" s="67">
        <f t="shared" si="176"/>
        <v>4.642531349639905E-2</v>
      </c>
      <c r="AB181" s="92" t="str">
        <f t="shared" si="177"/>
        <v>2,52280163446004-6,918035876893i</v>
      </c>
      <c r="AC181" s="37">
        <f t="shared" si="178"/>
        <v>17.341895370043613</v>
      </c>
      <c r="AD181" s="60">
        <f t="shared" si="179"/>
        <v>-69.964593503882284</v>
      </c>
      <c r="AE181" t="str">
        <f t="shared" si="180"/>
        <v>34,4450883806789</v>
      </c>
      <c r="AF181" t="str">
        <f t="shared" si="162"/>
        <v>1+1,44735020903407i</v>
      </c>
      <c r="AG181">
        <f t="shared" si="181"/>
        <v>1.7592107968037731</v>
      </c>
      <c r="AH181">
        <f t="shared" si="182"/>
        <v>0.96619185207873237</v>
      </c>
      <c r="AI181" t="str">
        <f t="shared" si="163"/>
        <v>1+0,0804083449463374i</v>
      </c>
      <c r="AJ181">
        <f t="shared" si="183"/>
        <v>1.0032275424533605</v>
      </c>
      <c r="AK181">
        <f t="shared" si="184"/>
        <v>8.0235720678000638E-2</v>
      </c>
      <c r="AL181" t="str">
        <f t="shared" si="164"/>
        <v>1-0,00547109489389513i</v>
      </c>
      <c r="AM181">
        <f t="shared" si="185"/>
        <v>1.0000149663276736</v>
      </c>
      <c r="AN181">
        <f t="shared" si="186"/>
        <v>-5.4710403063344022E-3</v>
      </c>
      <c r="AO181" s="58" t="str">
        <f t="shared" si="187"/>
        <v>12,3419580750954-15,2819153988177i</v>
      </c>
      <c r="AP181">
        <f t="shared" si="188"/>
        <v>25.864307362263929</v>
      </c>
      <c r="AQ181" s="60">
        <f t="shared" si="189"/>
        <v>-51.075014682098718</v>
      </c>
      <c r="AR181" t="str">
        <f t="shared" si="165"/>
        <v>-1,36472945891784</v>
      </c>
      <c r="AS181" t="str">
        <f t="shared" si="166"/>
        <v>1+0,0602338911993013i</v>
      </c>
      <c r="AT181">
        <f t="shared" si="190"/>
        <v>1.0018124183942867</v>
      </c>
      <c r="AU181">
        <f t="shared" si="191"/>
        <v>6.0161204069574835E-2</v>
      </c>
      <c r="AV181" t="str">
        <f t="shared" si="167"/>
        <v>1+0,0602338911993013i</v>
      </c>
      <c r="AW181">
        <f t="shared" si="192"/>
        <v>1.0018124183942867</v>
      </c>
      <c r="AX181">
        <f t="shared" si="193"/>
        <v>6.0161204069574835E-2</v>
      </c>
      <c r="AY181" t="str">
        <f t="shared" si="168"/>
        <v>1-0,249029237549475i</v>
      </c>
      <c r="AZ181">
        <f t="shared" si="194"/>
        <v>1.0305413922567461</v>
      </c>
      <c r="BA181">
        <f t="shared" si="195"/>
        <v>-0.24406479586353635</v>
      </c>
      <c r="BB181" s="58" t="str">
        <f t="shared" si="196"/>
        <v>-1,339399014473+0,420534751125835i</v>
      </c>
      <c r="BC181">
        <f t="shared" si="197"/>
        <v>2.9465119111938658</v>
      </c>
      <c r="BD181" s="60">
        <f t="shared" si="198"/>
        <v>162.56913418568547</v>
      </c>
      <c r="BE181" s="58" t="str">
        <f t="shared" si="199"/>
        <v>-0,469763527137856+10,3269361930868i</v>
      </c>
      <c r="BF181" s="37">
        <f t="shared" si="200"/>
        <v>20.288407281237447</v>
      </c>
      <c r="BG181" s="60">
        <f t="shared" si="201"/>
        <v>92.604540681803201</v>
      </c>
      <c r="BH181" s="58" t="str">
        <f t="shared" si="202"/>
        <v>-10,104229993482+25,6588046919519i</v>
      </c>
      <c r="BI181" s="37">
        <f t="shared" si="203"/>
        <v>28.810819273457788</v>
      </c>
      <c r="BJ181" s="60">
        <f t="shared" si="204"/>
        <v>111.49411950358677</v>
      </c>
      <c r="BK181">
        <f t="shared" si="205"/>
        <v>20.288407281237447</v>
      </c>
      <c r="BL181" s="60">
        <f t="shared" si="206"/>
        <v>92.604540681803201</v>
      </c>
      <c r="BN181">
        <f t="shared" si="207"/>
        <v>0</v>
      </c>
      <c r="BO181">
        <f t="shared" si="208"/>
        <v>0</v>
      </c>
    </row>
    <row r="182" spans="13:67" x14ac:dyDescent="0.25">
      <c r="M182" s="66">
        <v>64</v>
      </c>
      <c r="N182" s="36">
        <f t="shared" si="156"/>
        <v>436.51583224016622</v>
      </c>
      <c r="O182" s="91" t="str">
        <f t="shared" si="157"/>
        <v>22,5</v>
      </c>
      <c r="P182" s="67" t="str">
        <f t="shared" si="158"/>
        <v>1+2,96212665256129i</v>
      </c>
      <c r="Q182" s="67">
        <f t="shared" si="169"/>
        <v>3.1263707882805507</v>
      </c>
      <c r="R182" s="67">
        <f t="shared" si="170"/>
        <v>1.2452149301352224</v>
      </c>
      <c r="S182" s="67" t="str">
        <f t="shared" si="159"/>
        <v>1+0,0822812959044805i</v>
      </c>
      <c r="T182" s="67">
        <f t="shared" si="171"/>
        <v>1.0033793956703121</v>
      </c>
      <c r="U182" s="67">
        <f t="shared" si="172"/>
        <v>8.2096359298342803E-2</v>
      </c>
      <c r="V182" t="str">
        <f t="shared" si="160"/>
        <v>1-0,0171419366467667i</v>
      </c>
      <c r="W182" s="67">
        <f t="shared" si="173"/>
        <v>1.0001469122044029</v>
      </c>
      <c r="X182" s="67">
        <f t="shared" si="174"/>
        <v>-1.7140257912937353E-2</v>
      </c>
      <c r="Y182" t="str">
        <f t="shared" si="161"/>
        <v>0,999987805051405+0,0475403043003664i</v>
      </c>
      <c r="Z182" s="67">
        <f t="shared" si="175"/>
        <v>1.0011172213005319</v>
      </c>
      <c r="AA182" s="67">
        <f t="shared" si="176"/>
        <v>4.7505116268114406E-2</v>
      </c>
      <c r="AB182" s="92" t="str">
        <f t="shared" si="177"/>
        <v>2,42644365570356-6,79386117516742i</v>
      </c>
      <c r="AC182" s="37">
        <f t="shared" si="178"/>
        <v>17.163721575804999</v>
      </c>
      <c r="AD182" s="60">
        <f t="shared" si="179"/>
        <v>-70.345692287859549</v>
      </c>
      <c r="AE182" t="str">
        <f t="shared" si="180"/>
        <v>34,4450883806789</v>
      </c>
      <c r="AF182" t="str">
        <f t="shared" si="162"/>
        <v>1+1,48106332628065i</v>
      </c>
      <c r="AG182">
        <f t="shared" si="181"/>
        <v>1.7870502445240601</v>
      </c>
      <c r="AH182">
        <f t="shared" si="182"/>
        <v>0.97691574799285785</v>
      </c>
      <c r="AI182" t="str">
        <f t="shared" si="163"/>
        <v>1+0,0822812959044805i</v>
      </c>
      <c r="AJ182">
        <f t="shared" si="183"/>
        <v>1.0033793956703121</v>
      </c>
      <c r="AK182">
        <f t="shared" si="184"/>
        <v>8.2096359298342803E-2</v>
      </c>
      <c r="AL182" t="str">
        <f t="shared" si="164"/>
        <v>1-0,00559853306502589i</v>
      </c>
      <c r="AM182">
        <f t="shared" si="185"/>
        <v>1.0000156716634396</v>
      </c>
      <c r="AN182">
        <f t="shared" si="186"/>
        <v>-5.5984745734502517E-3</v>
      </c>
      <c r="AO182" s="58" t="str">
        <f t="shared" si="187"/>
        <v>12,0157728257579-15,15477592587i</v>
      </c>
      <c r="AP182">
        <f t="shared" si="188"/>
        <v>25.729250496045086</v>
      </c>
      <c r="AQ182" s="60">
        <f t="shared" si="189"/>
        <v>-51.590143363442074</v>
      </c>
      <c r="AR182" t="str">
        <f t="shared" si="165"/>
        <v>-1,36472945891784</v>
      </c>
      <c r="AS182" t="str">
        <f t="shared" si="166"/>
        <v>1+0,0616369187620463i</v>
      </c>
      <c r="AT182">
        <f t="shared" si="190"/>
        <v>1.0018977541418481</v>
      </c>
      <c r="AU182">
        <f t="shared" si="191"/>
        <v>6.1559041064902474E-2</v>
      </c>
      <c r="AV182" t="str">
        <f t="shared" si="167"/>
        <v>1+0,0616369187620463i</v>
      </c>
      <c r="AW182">
        <f t="shared" si="192"/>
        <v>1.0018977541418481</v>
      </c>
      <c r="AX182">
        <f t="shared" si="193"/>
        <v>6.1559041064902474E-2</v>
      </c>
      <c r="AY182" t="str">
        <f t="shared" si="168"/>
        <v>1-0,243360640039593i</v>
      </c>
      <c r="AZ182">
        <f t="shared" si="194"/>
        <v>1.0291862810592067</v>
      </c>
      <c r="BA182">
        <f t="shared" si="195"/>
        <v>-0.2387201582879436</v>
      </c>
      <c r="BB182" s="58" t="str">
        <f t="shared" si="196"/>
        <v>-1,3391708599571+0,414663800106808i</v>
      </c>
      <c r="BC182">
        <f t="shared" si="197"/>
        <v>2.9343430335572069</v>
      </c>
      <c r="BD182" s="60">
        <f t="shared" si="198"/>
        <v>162.79526920151449</v>
      </c>
      <c r="BE182" s="58" t="str">
        <f t="shared" si="199"/>
        <v>-0,432254344752959+10,1042992593972i</v>
      </c>
      <c r="BF182" s="37">
        <f t="shared" si="200"/>
        <v>20.098064609362204</v>
      </c>
      <c r="BG182" s="60">
        <f t="shared" si="201"/>
        <v>92.449576913654951</v>
      </c>
      <c r="BH182" s="58" t="str">
        <f t="shared" si="202"/>
        <v>-9,80703585293093+25,2773403302534i</v>
      </c>
      <c r="BI182" s="37">
        <f t="shared" si="203"/>
        <v>28.663593529602295</v>
      </c>
      <c r="BJ182" s="60">
        <f t="shared" si="204"/>
        <v>111.20512583807239</v>
      </c>
      <c r="BK182">
        <f t="shared" si="205"/>
        <v>20.098064609362204</v>
      </c>
      <c r="BL182" s="60">
        <f t="shared" si="206"/>
        <v>92.449576913654951</v>
      </c>
      <c r="BN182">
        <f t="shared" si="207"/>
        <v>0</v>
      </c>
      <c r="BO182">
        <f t="shared" si="208"/>
        <v>0</v>
      </c>
    </row>
    <row r="183" spans="13:67" x14ac:dyDescent="0.25">
      <c r="M183" s="66">
        <v>65</v>
      </c>
      <c r="N183" s="36">
        <f t="shared" si="156"/>
        <v>446.68359215096331</v>
      </c>
      <c r="O183" s="91" t="str">
        <f t="shared" si="157"/>
        <v>22,5</v>
      </c>
      <c r="P183" s="67" t="str">
        <f t="shared" si="158"/>
        <v>1+3,03112344581402i</v>
      </c>
      <c r="Q183" s="67">
        <f t="shared" si="169"/>
        <v>3.1918191276705294</v>
      </c>
      <c r="R183" s="67">
        <f t="shared" si="170"/>
        <v>1.2521293159650082</v>
      </c>
      <c r="S183" s="67" t="str">
        <f t="shared" si="159"/>
        <v>1+0,084197873494834i</v>
      </c>
      <c r="T183" s="67">
        <f t="shared" si="171"/>
        <v>1.0035383808808969</v>
      </c>
      <c r="U183" s="67">
        <f t="shared" si="172"/>
        <v>8.3999748067816737E-2</v>
      </c>
      <c r="V183" t="str">
        <f t="shared" si="160"/>
        <v>1-0,0175412236447571i</v>
      </c>
      <c r="W183" s="67">
        <f t="shared" si="173"/>
        <v>1.0001538354308077</v>
      </c>
      <c r="X183" s="67">
        <f t="shared" si="174"/>
        <v>-1.7539424863993226E-2</v>
      </c>
      <c r="Y183" t="str">
        <f t="shared" si="161"/>
        <v>0,999987230321184+0,0486476602414596i</v>
      </c>
      <c r="Z183" s="67">
        <f t="shared" si="175"/>
        <v>1.001169843559224</v>
      </c>
      <c r="AA183" s="67">
        <f t="shared" si="176"/>
        <v>4.8609957964579148E-2</v>
      </c>
      <c r="AB183" s="92" t="str">
        <f t="shared" si="177"/>
        <v>2,33354798174716-6,67064806073053i</v>
      </c>
      <c r="AC183" s="37">
        <f t="shared" si="178"/>
        <v>16.984745543213513</v>
      </c>
      <c r="AD183" s="60">
        <f t="shared" si="179"/>
        <v>-70.718974618421925</v>
      </c>
      <c r="AE183" t="str">
        <f t="shared" si="180"/>
        <v>34,4450883806789</v>
      </c>
      <c r="AF183" t="str">
        <f t="shared" si="162"/>
        <v>1+1,51556172290701i</v>
      </c>
      <c r="AG183">
        <f t="shared" si="181"/>
        <v>1.8157442925535701</v>
      </c>
      <c r="AH183">
        <f t="shared" si="182"/>
        <v>0.98754776449703729</v>
      </c>
      <c r="AI183" t="str">
        <f t="shared" si="163"/>
        <v>1+0,084197873494834i</v>
      </c>
      <c r="AJ183">
        <f t="shared" si="183"/>
        <v>1.0035383808808969</v>
      </c>
      <c r="AK183">
        <f t="shared" si="184"/>
        <v>8.3999748067816737E-2</v>
      </c>
      <c r="AL183" t="str">
        <f t="shared" si="164"/>
        <v>1-0,00572893965249309i</v>
      </c>
      <c r="AM183">
        <f t="shared" si="185"/>
        <v>1.000016410240123</v>
      </c>
      <c r="AN183">
        <f t="shared" si="186"/>
        <v>-5.7288769776961471E-3</v>
      </c>
      <c r="AO183" s="58" t="str">
        <f t="shared" si="187"/>
        <v>11,6951527549558-15,0218564976244i</v>
      </c>
      <c r="AP183">
        <f t="shared" si="188"/>
        <v>25.59227458999235</v>
      </c>
      <c r="AQ183" s="60">
        <f t="shared" si="189"/>
        <v>-52.097728400983165</v>
      </c>
      <c r="AR183" t="str">
        <f t="shared" si="165"/>
        <v>-1,36472945891784</v>
      </c>
      <c r="AS183" t="str">
        <f t="shared" si="166"/>
        <v>1+0,0630726270349801i</v>
      </c>
      <c r="AT183">
        <f t="shared" si="190"/>
        <v>1.0019871038496921</v>
      </c>
      <c r="AU183">
        <f t="shared" si="191"/>
        <v>6.2989188514367009E-2</v>
      </c>
      <c r="AV183" t="str">
        <f t="shared" si="167"/>
        <v>1+0,0630726270349801i</v>
      </c>
      <c r="AW183">
        <f t="shared" si="192"/>
        <v>1.0019871038496921</v>
      </c>
      <c r="AX183">
        <f t="shared" si="193"/>
        <v>6.2989188514367009E-2</v>
      </c>
      <c r="AY183" t="str">
        <f t="shared" si="168"/>
        <v>1-0,23782107556232i</v>
      </c>
      <c r="AZ183">
        <f t="shared" si="194"/>
        <v>1.0278904922128713</v>
      </c>
      <c r="BA183">
        <f t="shared" si="195"/>
        <v>-0.23348371060346965</v>
      </c>
      <c r="BB183" s="58" t="str">
        <f t="shared" si="196"/>
        <v>-1,33893203614453+0,409011388712354i</v>
      </c>
      <c r="BC183">
        <f t="shared" si="197"/>
        <v>2.9226256656090306</v>
      </c>
      <c r="BD183" s="60">
        <f t="shared" si="198"/>
        <v>163.01335414054017</v>
      </c>
      <c r="BE183" s="58" t="str">
        <f t="shared" si="199"/>
        <v>-0,396091123710919+9,88599209099881i</v>
      </c>
      <c r="BF183" s="37">
        <f t="shared" si="200"/>
        <v>19.907371208822546</v>
      </c>
      <c r="BG183" s="60">
        <f t="shared" si="201"/>
        <v>92.294379522118248</v>
      </c>
      <c r="BH183" s="58" t="str">
        <f t="shared" si="202"/>
        <v>-9,51490430408322+24,8966955765428i</v>
      </c>
      <c r="BI183" s="37">
        <f t="shared" si="203"/>
        <v>28.51490025560139</v>
      </c>
      <c r="BJ183" s="60">
        <f t="shared" si="204"/>
        <v>110.91562573955696</v>
      </c>
      <c r="BK183">
        <f t="shared" si="205"/>
        <v>19.907371208822546</v>
      </c>
      <c r="BL183" s="60">
        <f t="shared" si="206"/>
        <v>92.294379522118248</v>
      </c>
      <c r="BN183">
        <f t="shared" si="207"/>
        <v>0</v>
      </c>
      <c r="BO183">
        <f t="shared" si="208"/>
        <v>0</v>
      </c>
    </row>
    <row r="184" spans="13:67" x14ac:dyDescent="0.25">
      <c r="M184" s="66">
        <v>66</v>
      </c>
      <c r="N184" s="36">
        <f t="shared" ref="N184:N218" si="209">10^(2+(M184/100))</f>
        <v>457.0881896148756</v>
      </c>
      <c r="O184" s="91" t="str">
        <f t="shared" si="157"/>
        <v>22,5</v>
      </c>
      <c r="P184" s="67" t="str">
        <f t="shared" si="158"/>
        <v>1+3,10172738083938i</v>
      </c>
      <c r="Q184" s="67">
        <f t="shared" si="169"/>
        <v>3.2589435013587948</v>
      </c>
      <c r="R184" s="67">
        <f t="shared" si="170"/>
        <v>1.2589169299687064</v>
      </c>
      <c r="S184" s="67" t="str">
        <f t="shared" si="159"/>
        <v>1+0,0861590939122051i</v>
      </c>
      <c r="T184" s="67">
        <f t="shared" si="171"/>
        <v>1.0037048318423958</v>
      </c>
      <c r="U184" s="67">
        <f t="shared" si="172"/>
        <v>8.5946840991522416E-2</v>
      </c>
      <c r="V184" t="str">
        <f t="shared" si="160"/>
        <v>1-0,0179498112317094i</v>
      </c>
      <c r="W184" s="67">
        <f t="shared" si="173"/>
        <v>1.0001610848874565</v>
      </c>
      <c r="X184" s="67">
        <f t="shared" si="174"/>
        <v>-1.794788382016058E-2</v>
      </c>
      <c r="Y184" t="str">
        <f t="shared" si="161"/>
        <v>0,999986628504762+0,0497808098159407i</v>
      </c>
      <c r="Z184" s="67">
        <f t="shared" si="175"/>
        <v>1.0012249428646152</v>
      </c>
      <c r="AA184" s="67">
        <f t="shared" si="176"/>
        <v>4.9740413767273228E-2</v>
      </c>
      <c r="AB184" s="92" t="str">
        <f t="shared" si="177"/>
        <v>2,24402418962097-6,54847305640762i</v>
      </c>
      <c r="AC184" s="37">
        <f t="shared" si="178"/>
        <v>16.804999877036813</v>
      </c>
      <c r="AD184" s="60">
        <f t="shared" si="179"/>
        <v>-71.084489367662755</v>
      </c>
      <c r="AE184" t="str">
        <f t="shared" si="180"/>
        <v>34,4450883806789</v>
      </c>
      <c r="AF184" t="str">
        <f t="shared" si="162"/>
        <v>1+1,55086369041969i</v>
      </c>
      <c r="AG184">
        <f t="shared" si="181"/>
        <v>1.8453124901387785</v>
      </c>
      <c r="AH184">
        <f t="shared" si="182"/>
        <v>0.99808392401321755</v>
      </c>
      <c r="AI184" t="str">
        <f t="shared" si="163"/>
        <v>1+0,0861590939122051i</v>
      </c>
      <c r="AJ184">
        <f t="shared" si="183"/>
        <v>1.0037048318423958</v>
      </c>
      <c r="AK184">
        <f t="shared" si="184"/>
        <v>8.5946840991522416E-2</v>
      </c>
      <c r="AL184" t="str">
        <f t="shared" si="164"/>
        <v>1-0,00586238379959552i</v>
      </c>
      <c r="AM184">
        <f t="shared" si="185"/>
        <v>1.0000171836242684</v>
      </c>
      <c r="AN184">
        <f t="shared" si="186"/>
        <v>-5.8623166424029687E-3</v>
      </c>
      <c r="AO184" s="58" t="str">
        <f t="shared" si="187"/>
        <v>11,3802877535831-14,8834477870533i</v>
      </c>
      <c r="AP184">
        <f t="shared" si="188"/>
        <v>25.453417193057206</v>
      </c>
      <c r="AQ184" s="60">
        <f t="shared" si="189"/>
        <v>-52.597491196296112</v>
      </c>
      <c r="AR184" t="str">
        <f t="shared" si="165"/>
        <v>-1,36472945891784</v>
      </c>
      <c r="AS184" t="str">
        <f t="shared" si="166"/>
        <v>1+0,0645417772496328i</v>
      </c>
      <c r="AT184">
        <f t="shared" si="190"/>
        <v>1.0020806559406989</v>
      </c>
      <c r="AU184">
        <f t="shared" si="191"/>
        <v>6.4452381286978791E-2</v>
      </c>
      <c r="AV184" t="str">
        <f t="shared" si="167"/>
        <v>1+0,0645417772496328i</v>
      </c>
      <c r="AW184">
        <f t="shared" si="192"/>
        <v>1.0020806559406989</v>
      </c>
      <c r="AX184">
        <f t="shared" si="193"/>
        <v>6.4452381286978791E-2</v>
      </c>
      <c r="AY184" t="str">
        <f t="shared" si="168"/>
        <v>1-0,232407606967243i</v>
      </c>
      <c r="AZ184">
        <f t="shared" si="194"/>
        <v>1.0266514967486486</v>
      </c>
      <c r="BA184">
        <f t="shared" si="195"/>
        <v>-0.22835382556181308</v>
      </c>
      <c r="BB184" s="58" t="str">
        <f t="shared" si="196"/>
        <v>-1,33868204819404+0,403574426267418i</v>
      </c>
      <c r="BC184">
        <f t="shared" si="197"/>
        <v>2.9113386459240282</v>
      </c>
      <c r="BD184" s="60">
        <f t="shared" si="198"/>
        <v>163.22344013232961</v>
      </c>
      <c r="BE184" s="58" t="str">
        <f t="shared" si="199"/>
        <v>-0,361238641691421+9,67195409855173i</v>
      </c>
      <c r="BF184" s="37">
        <f t="shared" si="200"/>
        <v>19.716338522960843</v>
      </c>
      <c r="BG184" s="60">
        <f t="shared" si="201"/>
        <v>92.138950764666873</v>
      </c>
      <c r="BH184" s="58" t="str">
        <f t="shared" si="202"/>
        <v>-9,22800801746307+24,516997468672i</v>
      </c>
      <c r="BI184" s="37">
        <f t="shared" si="203"/>
        <v>28.364755838981239</v>
      </c>
      <c r="BJ184" s="60">
        <f t="shared" si="204"/>
        <v>110.6259489360335</v>
      </c>
      <c r="BK184">
        <f t="shared" si="205"/>
        <v>19.716338522960843</v>
      </c>
      <c r="BL184" s="60">
        <f t="shared" si="206"/>
        <v>92.138950764666873</v>
      </c>
      <c r="BN184">
        <f t="shared" si="207"/>
        <v>0</v>
      </c>
      <c r="BO184">
        <f t="shared" si="208"/>
        <v>0</v>
      </c>
    </row>
    <row r="185" spans="13:67" x14ac:dyDescent="0.25">
      <c r="M185" s="66">
        <v>67</v>
      </c>
      <c r="N185" s="36">
        <f t="shared" si="209"/>
        <v>467.7351412871983</v>
      </c>
      <c r="O185" s="91" t="str">
        <f t="shared" si="157"/>
        <v>22,5</v>
      </c>
      <c r="P185" s="67" t="str">
        <f t="shared" si="158"/>
        <v>1+3,17397589277827i</v>
      </c>
      <c r="Q185" s="67">
        <f t="shared" si="169"/>
        <v>3.3277804867415179</v>
      </c>
      <c r="R185" s="67">
        <f t="shared" si="170"/>
        <v>1.2655788684330016</v>
      </c>
      <c r="S185" s="67" t="str">
        <f t="shared" si="159"/>
        <v>1+0,0881659970216188i</v>
      </c>
      <c r="T185" s="67">
        <f t="shared" si="171"/>
        <v>1.003879097815477</v>
      </c>
      <c r="U185" s="67">
        <f t="shared" si="172"/>
        <v>8.7938611356998861E-2</v>
      </c>
      <c r="V185" t="str">
        <f t="shared" si="160"/>
        <v>1-0,0183679160461706i</v>
      </c>
      <c r="W185" s="67">
        <f t="shared" si="173"/>
        <v>1.0001686759441526</v>
      </c>
      <c r="X185" s="67">
        <f t="shared" si="174"/>
        <v>-1.8365850806297771E-2</v>
      </c>
      <c r="Y185" t="str">
        <f t="shared" si="161"/>
        <v>0,999985998325607+0,050940353834713i</v>
      </c>
      <c r="Z185" s="67">
        <f t="shared" si="175"/>
        <v>1.0012826356709013</v>
      </c>
      <c r="AA185" s="67">
        <f t="shared" si="176"/>
        <v>5.0897071682740123E-2</v>
      </c>
      <c r="AB185" s="92" t="str">
        <f t="shared" si="177"/>
        <v>2,15778140329062-6,42740694444078i</v>
      </c>
      <c r="AC185" s="37">
        <f t="shared" si="178"/>
        <v>16.624516463713054</v>
      </c>
      <c r="AD185" s="60">
        <f t="shared" si="179"/>
        <v>-71.442289650519839</v>
      </c>
      <c r="AE185" t="str">
        <f t="shared" si="180"/>
        <v>34,4450883806789</v>
      </c>
      <c r="AF185" t="str">
        <f t="shared" si="162"/>
        <v>1+1,58698794638914i</v>
      </c>
      <c r="AG185">
        <f t="shared" si="181"/>
        <v>1.8757747044846351</v>
      </c>
      <c r="AH185">
        <f t="shared" si="182"/>
        <v>1.0085204557642304</v>
      </c>
      <c r="AI185" t="str">
        <f t="shared" si="163"/>
        <v>1+0,0881659970216188i</v>
      </c>
      <c r="AJ185">
        <f t="shared" si="183"/>
        <v>1.003879097815477</v>
      </c>
      <c r="AK185">
        <f t="shared" si="184"/>
        <v>8.7938611356998861E-2</v>
      </c>
      <c r="AL185" t="str">
        <f t="shared" si="164"/>
        <v>1-0,00599893626018631i</v>
      </c>
      <c r="AM185">
        <f t="shared" si="185"/>
        <v>1.0000179934562448</v>
      </c>
      <c r="AN185">
        <f t="shared" si="186"/>
        <v>-5.9988643000279361E-3</v>
      </c>
      <c r="AO185" s="58" t="str">
        <f t="shared" si="187"/>
        <v>11,0713489821613-14,7398457150494i</v>
      </c>
      <c r="AP185">
        <f t="shared" si="188"/>
        <v>25.31271709136378</v>
      </c>
      <c r="AQ185" s="60">
        <f t="shared" si="189"/>
        <v>-53.089163987166536</v>
      </c>
      <c r="AR185" t="str">
        <f t="shared" si="165"/>
        <v>-1,36472945891784</v>
      </c>
      <c r="AS185" t="str">
        <f t="shared" si="166"/>
        <v>1+0,0660451483688946i</v>
      </c>
      <c r="AT185">
        <f t="shared" si="190"/>
        <v>1.0021786076458972</v>
      </c>
      <c r="AU185">
        <f t="shared" si="191"/>
        <v>6.5949370112001804E-2</v>
      </c>
      <c r="AV185" t="str">
        <f t="shared" si="167"/>
        <v>1+0,0660451483688946i</v>
      </c>
      <c r="AW185">
        <f t="shared" si="192"/>
        <v>1.0021786076458972</v>
      </c>
      <c r="AX185">
        <f t="shared" si="193"/>
        <v>6.5949370112001804E-2</v>
      </c>
      <c r="AY185" t="str">
        <f t="shared" si="168"/>
        <v>1-0,227117363961659i</v>
      </c>
      <c r="AZ185">
        <f t="shared" si="194"/>
        <v>1.0254668678279628</v>
      </c>
      <c r="BA185">
        <f t="shared" si="195"/>
        <v>-0.22332886368122662</v>
      </c>
      <c r="BB185" s="58" t="str">
        <f t="shared" si="196"/>
        <v>-1,33842037870662+0,398349929721872i</v>
      </c>
      <c r="BC185">
        <f t="shared" si="197"/>
        <v>2.9004614265143198</v>
      </c>
      <c r="BD185" s="60">
        <f t="shared" si="198"/>
        <v>163.42557809864928</v>
      </c>
      <c r="BE185" s="58" t="str">
        <f t="shared" si="199"/>
        <v>-0,327661498346477+9,46212450703597i</v>
      </c>
      <c r="BF185" s="37">
        <f t="shared" si="200"/>
        <v>19.524977890227369</v>
      </c>
      <c r="BG185" s="60">
        <f t="shared" si="201"/>
        <v>91.983288448129443</v>
      </c>
      <c r="BH185" s="58" t="str">
        <f t="shared" si="202"/>
        <v>-8,94650259279631+24,1383809729838i</v>
      </c>
      <c r="BI185" s="37">
        <f t="shared" si="203"/>
        <v>28.213178517878085</v>
      </c>
      <c r="BJ185" s="60">
        <f t="shared" si="204"/>
        <v>110.3364141114828</v>
      </c>
      <c r="BK185">
        <f t="shared" si="205"/>
        <v>19.524977890227369</v>
      </c>
      <c r="BL185" s="60">
        <f t="shared" si="206"/>
        <v>91.983288448129443</v>
      </c>
      <c r="BN185">
        <f t="shared" si="207"/>
        <v>0</v>
      </c>
      <c r="BO185">
        <f t="shared" si="208"/>
        <v>0</v>
      </c>
    </row>
    <row r="186" spans="13:67" x14ac:dyDescent="0.25">
      <c r="M186" s="66">
        <v>68</v>
      </c>
      <c r="N186" s="36">
        <f t="shared" si="209"/>
        <v>478.63009232263886</v>
      </c>
      <c r="O186" s="91" t="str">
        <f t="shared" si="157"/>
        <v>22,5</v>
      </c>
      <c r="P186" s="67" t="str">
        <f t="shared" si="158"/>
        <v>1+3,24790728874806i</v>
      </c>
      <c r="Q186" s="67">
        <f t="shared" si="169"/>
        <v>3.3983675134250522</v>
      </c>
      <c r="R186" s="67">
        <f t="shared" si="170"/>
        <v>1.2721162974416773</v>
      </c>
      <c r="S186" s="67" t="str">
        <f t="shared" si="159"/>
        <v>1+0,0902196469096684i</v>
      </c>
      <c r="T186" s="67">
        <f t="shared" si="171"/>
        <v>1.0040615442733105</v>
      </c>
      <c r="U186" s="67">
        <f t="shared" si="172"/>
        <v>8.997605197899558E-2</v>
      </c>
      <c r="V186" t="str">
        <f t="shared" si="160"/>
        <v>1-0,0187957597728476i</v>
      </c>
      <c r="W186" s="67">
        <f t="shared" si="173"/>
        <v>1.0001766246945778</v>
      </c>
      <c r="X186" s="67">
        <f t="shared" si="174"/>
        <v>-1.8793546849559594E-2</v>
      </c>
      <c r="Y186" t="str">
        <f t="shared" si="161"/>
        <v>0,999985338447022+0,0521269071033639i</v>
      </c>
      <c r="Z186" s="67">
        <f t="shared" si="175"/>
        <v>1.0013430438931346</v>
      </c>
      <c r="AA186" s="67">
        <f t="shared" si="176"/>
        <v>5.20805328007432E-2</v>
      </c>
      <c r="AB186" s="92" t="str">
        <f t="shared" si="177"/>
        <v>2,07472857560713-6,30751495074793i</v>
      </c>
      <c r="AC186" s="37">
        <f t="shared" si="178"/>
        <v>16.443326472614874</v>
      </c>
      <c r="AD186" s="60">
        <f t="shared" si="179"/>
        <v>-71.792432498407209</v>
      </c>
      <c r="AE186" t="str">
        <f t="shared" si="180"/>
        <v>34,4450883806789</v>
      </c>
      <c r="AF186" t="str">
        <f t="shared" si="162"/>
        <v>1+1,62395364437403i</v>
      </c>
      <c r="AG186">
        <f t="shared" si="181"/>
        <v>1.907151131681937</v>
      </c>
      <c r="AH186">
        <f t="shared" si="182"/>
        <v>1.0188537989909139</v>
      </c>
      <c r="AI186" t="str">
        <f t="shared" si="163"/>
        <v>1+0,0902196469096684i</v>
      </c>
      <c r="AJ186">
        <f t="shared" si="183"/>
        <v>1.0040615442733105</v>
      </c>
      <c r="AK186">
        <f t="shared" si="184"/>
        <v>8.997605197899558E-2</v>
      </c>
      <c r="AL186" t="str">
        <f t="shared" si="164"/>
        <v>1-0,00613866943618757i</v>
      </c>
      <c r="AM186">
        <f t="shared" si="185"/>
        <v>1.0000188414537232</v>
      </c>
      <c r="AN186">
        <f t="shared" si="186"/>
        <v>-6.1385923295671271E-3</v>
      </c>
      <c r="AO186" s="58" t="str">
        <f t="shared" si="187"/>
        <v>10,7684888986103-14,5913500910915i</v>
      </c>
      <c r="AP186">
        <f t="shared" si="188"/>
        <v>25.170214199345935</v>
      </c>
      <c r="AQ186" s="60">
        <f t="shared" si="189"/>
        <v>-53.572490020038998</v>
      </c>
      <c r="AR186" t="str">
        <f t="shared" si="165"/>
        <v>-1,36472945891784</v>
      </c>
      <c r="AS186" t="str">
        <f t="shared" si="166"/>
        <v>1+0,0675835375000326i</v>
      </c>
      <c r="AT186">
        <f t="shared" si="190"/>
        <v>1.0022811654126891</v>
      </c>
      <c r="AU186">
        <f t="shared" si="191"/>
        <v>6.7480921859886162E-2</v>
      </c>
      <c r="AV186" t="str">
        <f t="shared" si="167"/>
        <v>1+0,0675835375000326i</v>
      </c>
      <c r="AW186">
        <f t="shared" si="192"/>
        <v>1.0022811654126891</v>
      </c>
      <c r="AX186">
        <f t="shared" si="193"/>
        <v>6.7480921859886162E-2</v>
      </c>
      <c r="AY186" t="str">
        <f t="shared" si="168"/>
        <v>1-0,221947541588701i</v>
      </c>
      <c r="AZ186">
        <f t="shared" si="194"/>
        <v>1.0243342770879378</v>
      </c>
      <c r="BA186">
        <f t="shared" si="195"/>
        <v>-0.21840717616732711</v>
      </c>
      <c r="BB186" s="58" t="str">
        <f t="shared" si="196"/>
        <v>-1,33814648673497+0,393335021607283i</v>
      </c>
      <c r="BC186">
        <f t="shared" si="197"/>
        <v>2.8899740532556035</v>
      </c>
      <c r="BD186" s="60">
        <f t="shared" si="198"/>
        <v>163.61981857001831</v>
      </c>
      <c r="BE186" s="58" t="str">
        <f t="shared" si="199"/>
        <v>-0,295324224936632+9,25644238048732i</v>
      </c>
      <c r="BF186" s="37">
        <f t="shared" si="200"/>
        <v>19.333300525870481</v>
      </c>
      <c r="BG186" s="60">
        <f t="shared" si="201"/>
        <v>91.827386071611116</v>
      </c>
      <c r="BH186" s="58" t="str">
        <f t="shared" si="202"/>
        <v>-8,67052658376099+23,7609876747267i</v>
      </c>
      <c r="BI186" s="37">
        <f t="shared" si="203"/>
        <v>28.06018825260152</v>
      </c>
      <c r="BJ186" s="60">
        <f t="shared" si="204"/>
        <v>110.04732854997934</v>
      </c>
      <c r="BK186">
        <f t="shared" si="205"/>
        <v>19.333300525870481</v>
      </c>
      <c r="BL186" s="60">
        <f t="shared" si="206"/>
        <v>91.827386071611116</v>
      </c>
      <c r="BN186">
        <f t="shared" si="207"/>
        <v>0</v>
      </c>
      <c r="BO186">
        <f t="shared" si="208"/>
        <v>0</v>
      </c>
    </row>
    <row r="187" spans="13:67" x14ac:dyDescent="0.25">
      <c r="M187" s="66">
        <v>69</v>
      </c>
      <c r="N187" s="36">
        <f t="shared" si="209"/>
        <v>489.77881936844625</v>
      </c>
      <c r="O187" s="91" t="str">
        <f t="shared" si="157"/>
        <v>22,5</v>
      </c>
      <c r="P187" s="67" t="str">
        <f t="shared" si="158"/>
        <v>1+3,32356076815348i</v>
      </c>
      <c r="Q187" s="67">
        <f t="shared" si="169"/>
        <v>3.4707428858399969</v>
      </c>
      <c r="R187" s="67">
        <f t="shared" si="170"/>
        <v>1.2785304472480024</v>
      </c>
      <c r="S187" s="67" t="str">
        <f t="shared" si="159"/>
        <v>1+0,0923211324487078i</v>
      </c>
      <c r="T187" s="67">
        <f t="shared" si="171"/>
        <v>1.0042525536420666</v>
      </c>
      <c r="U187" s="67">
        <f t="shared" si="172"/>
        <v>9.2060175436026723E-2</v>
      </c>
      <c r="V187" t="str">
        <f t="shared" si="160"/>
        <v>1-0,0192335692601474i</v>
      </c>
      <c r="W187" s="67">
        <f t="shared" si="173"/>
        <v>1.0001849479903628</v>
      </c>
      <c r="X187" s="67">
        <f t="shared" si="174"/>
        <v>-1.9231198093803699E-2</v>
      </c>
      <c r="Y187" t="str">
        <f t="shared" si="161"/>
        <v>0,999984647469318+0,0533410987481422i</v>
      </c>
      <c r="Z187" s="67">
        <f t="shared" si="175"/>
        <v>1.0014062951619565</v>
      </c>
      <c r="AA187" s="67">
        <f t="shared" si="176"/>
        <v>5.3291411555577081E-2</v>
      </c>
      <c r="AB187" s="92" t="str">
        <f t="shared" si="177"/>
        <v>1,99477474815071-6,18885693708788i</v>
      </c>
      <c r="AC187" s="37">
        <f t="shared" si="178"/>
        <v>16.261460359895999</v>
      </c>
      <c r="AD187" s="60">
        <f t="shared" si="179"/>
        <v>-72.134978544750027</v>
      </c>
      <c r="AE187" t="str">
        <f t="shared" si="180"/>
        <v>34,4450883806789</v>
      </c>
      <c r="AF187" t="str">
        <f t="shared" si="162"/>
        <v>1+1,66178038407674i</v>
      </c>
      <c r="AG187">
        <f t="shared" si="181"/>
        <v>1.9394623081932367</v>
      </c>
      <c r="AH187">
        <f t="shared" si="182"/>
        <v>1.0290806052233323</v>
      </c>
      <c r="AI187" t="str">
        <f t="shared" si="163"/>
        <v>1+0,0923211324487078i</v>
      </c>
      <c r="AJ187">
        <f t="shared" si="183"/>
        <v>1.0042525536420666</v>
      </c>
      <c r="AK187">
        <f t="shared" si="184"/>
        <v>9.2060175436026723E-2</v>
      </c>
      <c r="AL187" t="str">
        <f t="shared" si="164"/>
        <v>1-0,00628165741597879i</v>
      </c>
      <c r="AM187">
        <f t="shared" si="185"/>
        <v>1.000019729415321</v>
      </c>
      <c r="AN187">
        <f t="shared" si="186"/>
        <v>-6.2815747948344602E-3</v>
      </c>
      <c r="AO187" s="58" t="str">
        <f t="shared" si="187"/>
        <v>10,4718413936289-14,4382632913658i</v>
      </c>
      <c r="AP187">
        <f t="shared" si="188"/>
        <v>25.0259494516269</v>
      </c>
      <c r="AQ187" s="60">
        <f t="shared" si="189"/>
        <v>-54.047223668786913</v>
      </c>
      <c r="AR187" t="str">
        <f t="shared" si="165"/>
        <v>-1,36472945891784</v>
      </c>
      <c r="AS187" t="str">
        <f t="shared" si="166"/>
        <v>1+0,069157760317327i</v>
      </c>
      <c r="AT187">
        <f t="shared" si="190"/>
        <v>1.0023885453316539</v>
      </c>
      <c r="AU187">
        <f t="shared" si="191"/>
        <v>6.9047819823583059E-2</v>
      </c>
      <c r="AV187" t="str">
        <f t="shared" si="167"/>
        <v>1+0,069157760317327i</v>
      </c>
      <c r="AW187">
        <f t="shared" si="192"/>
        <v>1.0023885453316539</v>
      </c>
      <c r="AX187">
        <f t="shared" si="193"/>
        <v>6.9047819823583059E-2</v>
      </c>
      <c r="AY187" t="str">
        <f t="shared" si="168"/>
        <v>1-0,216895398740116i</v>
      </c>
      <c r="AZ187">
        <f t="shared" si="194"/>
        <v>1.0232514910786272</v>
      </c>
      <c r="BA187">
        <f t="shared" si="195"/>
        <v>-0.21358710765317843</v>
      </c>
      <c r="BB187" s="58" t="str">
        <f t="shared" si="196"/>
        <v>-1,33785980675314+0,388526928017987i</v>
      </c>
      <c r="BC187">
        <f t="shared" si="197"/>
        <v>2.8798571458088902</v>
      </c>
      <c r="BD187" s="60">
        <f t="shared" si="198"/>
        <v>163.80621151259541</v>
      </c>
      <c r="BE187" s="58" t="str">
        <f t="shared" si="199"/>
        <v>-0,26419138536739+9,05484665086207i</v>
      </c>
      <c r="BF187" s="37">
        <f t="shared" si="200"/>
        <v>19.14131750570489</v>
      </c>
      <c r="BG187" s="60">
        <f t="shared" si="201"/>
        <v>91.67123296784537</v>
      </c>
      <c r="BH187" s="58" t="str">
        <f t="shared" si="202"/>
        <v>-8,40020162072067+23,3849645041958i</v>
      </c>
      <c r="BI187" s="37">
        <f t="shared" si="203"/>
        <v>27.905806597435777</v>
      </c>
      <c r="BJ187" s="60">
        <f t="shared" si="204"/>
        <v>109.75898784380853</v>
      </c>
      <c r="BK187">
        <f t="shared" si="205"/>
        <v>19.14131750570489</v>
      </c>
      <c r="BL187" s="60">
        <f t="shared" si="206"/>
        <v>91.67123296784537</v>
      </c>
      <c r="BN187">
        <f t="shared" si="207"/>
        <v>0</v>
      </c>
      <c r="BO187">
        <f t="shared" si="208"/>
        <v>0</v>
      </c>
    </row>
    <row r="188" spans="13:67" x14ac:dyDescent="0.25">
      <c r="M188" s="66">
        <v>70</v>
      </c>
      <c r="N188" s="36">
        <f t="shared" si="209"/>
        <v>501.18723362727269</v>
      </c>
      <c r="O188" s="91" t="str">
        <f t="shared" si="157"/>
        <v>22,5</v>
      </c>
      <c r="P188" s="67" t="str">
        <f t="shared" si="158"/>
        <v>1+3,40097644347069i</v>
      </c>
      <c r="Q188" s="67">
        <f t="shared" si="169"/>
        <v>3.5449458062208148</v>
      </c>
      <c r="R188" s="67">
        <f t="shared" si="170"/>
        <v>1.284822606848248</v>
      </c>
      <c r="S188" s="67" t="str">
        <f t="shared" si="159"/>
        <v>1+0,0944715678741859i</v>
      </c>
      <c r="T188" s="67">
        <f t="shared" si="171"/>
        <v>1.0044525260740833</v>
      </c>
      <c r="U188" s="67">
        <f t="shared" si="172"/>
        <v>9.4192014297605375E-2</v>
      </c>
      <c r="V188" t="str">
        <f t="shared" si="160"/>
        <v>1-0,0196815766404554i</v>
      </c>
      <c r="W188" s="67">
        <f t="shared" si="173"/>
        <v>1.0001936634767559</v>
      </c>
      <c r="X188" s="67">
        <f t="shared" si="174"/>
        <v>-1.9679035916511402E-2</v>
      </c>
      <c r="Y188" t="str">
        <f t="shared" si="161"/>
        <v>0,999983923926838+0,0545835725495296i</v>
      </c>
      <c r="Z188" s="67">
        <f t="shared" si="175"/>
        <v>1.0014725230900676</v>
      </c>
      <c r="AA188" s="67">
        <f t="shared" si="176"/>
        <v>5.453033599041255E-2</v>
      </c>
      <c r="AB188" s="92" t="str">
        <f t="shared" si="177"/>
        <v>1,91782928956379-6,07148759932268i</v>
      </c>
      <c r="AC188" s="37">
        <f t="shared" si="178"/>
        <v>16.078947874729341</v>
      </c>
      <c r="AD188" s="60">
        <f t="shared" si="179"/>
        <v>-72.469991722895628</v>
      </c>
      <c r="AE188" t="str">
        <f t="shared" si="180"/>
        <v>34,4450883806789</v>
      </c>
      <c r="AF188" t="str">
        <f t="shared" si="162"/>
        <v>1+1,70048822173535i</v>
      </c>
      <c r="AG188">
        <f t="shared" si="181"/>
        <v>1.972729122880446</v>
      </c>
      <c r="AH188">
        <f t="shared" si="182"/>
        <v>1.0391977396356276</v>
      </c>
      <c r="AI188" t="str">
        <f t="shared" si="163"/>
        <v>1+0,0944715678741859i</v>
      </c>
      <c r="AJ188">
        <f t="shared" si="183"/>
        <v>1.0044525260740833</v>
      </c>
      <c r="AK188">
        <f t="shared" si="184"/>
        <v>9.4192014297605375E-2</v>
      </c>
      <c r="AL188" t="str">
        <f t="shared" si="164"/>
        <v>1-0,00642797601367952i</v>
      </c>
      <c r="AM188">
        <f t="shared" si="185"/>
        <v>1.0000206592244145</v>
      </c>
      <c r="AN188">
        <f t="shared" si="186"/>
        <v>-6.4278874836271281E-3</v>
      </c>
      <c r="AO188" s="58" t="str">
        <f t="shared" si="187"/>
        <v>10,1815220268938-14,2808889830844i</v>
      </c>
      <c r="AP188">
        <f t="shared" si="188"/>
        <v>24.879964696288699</v>
      </c>
      <c r="AQ188" s="60">
        <f t="shared" si="189"/>
        <v>-54.513130501564618</v>
      </c>
      <c r="AR188" t="str">
        <f t="shared" si="165"/>
        <v>-1,36472945891784</v>
      </c>
      <c r="AS188" t="str">
        <f t="shared" si="166"/>
        <v>1+0,0707686514945527i</v>
      </c>
      <c r="AT188">
        <f t="shared" si="190"/>
        <v>1.0025009735827479</v>
      </c>
      <c r="AU188">
        <f t="shared" si="191"/>
        <v>7.0650863999833016E-2</v>
      </c>
      <c r="AV188" t="str">
        <f t="shared" si="167"/>
        <v>1+0,0707686514945527i</v>
      </c>
      <c r="AW188">
        <f t="shared" si="192"/>
        <v>1.0025009735827479</v>
      </c>
      <c r="AX188">
        <f t="shared" si="193"/>
        <v>7.0650863999833016E-2</v>
      </c>
      <c r="AY188" t="str">
        <f t="shared" si="168"/>
        <v>1-0,211958256702894i</v>
      </c>
      <c r="AZ188">
        <f t="shared" si="194"/>
        <v>1.0222163677933014</v>
      </c>
      <c r="BA188">
        <f t="shared" si="195"/>
        <v>-0.20886699876473128</v>
      </c>
      <c r="BB188" s="58" t="str">
        <f t="shared" si="196"/>
        <v>-1,33755974758514+0,383922976613304i</v>
      </c>
      <c r="BC188">
        <f t="shared" si="197"/>
        <v>2.8700918771171935</v>
      </c>
      <c r="BD188" s="60">
        <f t="shared" si="198"/>
        <v>163.98480616507348</v>
      </c>
      <c r="BE188" s="58" t="str">
        <f t="shared" si="199"/>
        <v>-0,234227668857605+8,85727615030186i</v>
      </c>
      <c r="BF188" s="37">
        <f t="shared" si="200"/>
        <v>18.949039751846534</v>
      </c>
      <c r="BG188" s="60">
        <f t="shared" si="201"/>
        <v>91.514814442177865</v>
      </c>
      <c r="BH188" s="58" t="str">
        <f t="shared" si="202"/>
        <v>-8,13563262525471+23,0104625065248i</v>
      </c>
      <c r="BI188" s="37">
        <f t="shared" si="203"/>
        <v>27.750056573405899</v>
      </c>
      <c r="BJ188" s="60">
        <f t="shared" si="204"/>
        <v>109.47167566350885</v>
      </c>
      <c r="BK188">
        <f t="shared" si="205"/>
        <v>18.949039751846534</v>
      </c>
      <c r="BL188" s="60">
        <f t="shared" si="206"/>
        <v>91.514814442177865</v>
      </c>
      <c r="BN188">
        <f t="shared" si="207"/>
        <v>0</v>
      </c>
      <c r="BO188">
        <f t="shared" si="208"/>
        <v>0</v>
      </c>
    </row>
    <row r="189" spans="13:67" x14ac:dyDescent="0.25">
      <c r="M189" s="66">
        <v>71</v>
      </c>
      <c r="N189" s="36">
        <f t="shared" si="209"/>
        <v>512.86138399136519</v>
      </c>
      <c r="O189" s="91" t="str">
        <f t="shared" si="157"/>
        <v>22,5</v>
      </c>
      <c r="P189" s="67" t="str">
        <f t="shared" si="158"/>
        <v>1+3,48019536151548i</v>
      </c>
      <c r="Q189" s="67">
        <f t="shared" si="169"/>
        <v>3.6210163979625749</v>
      </c>
      <c r="R189" s="67">
        <f t="shared" si="170"/>
        <v>1.2909941187617413</v>
      </c>
      <c r="S189" s="67" t="str">
        <f t="shared" si="159"/>
        <v>1+0,09667209337543i</v>
      </c>
      <c r="T189" s="67">
        <f t="shared" si="171"/>
        <v>1.0046618802550378</v>
      </c>
      <c r="U189" s="67">
        <f t="shared" si="172"/>
        <v>9.6372621340973685E-2</v>
      </c>
      <c r="V189" t="str">
        <f t="shared" si="160"/>
        <v>1-0,0201400194532146i</v>
      </c>
      <c r="W189" s="67">
        <f t="shared" si="173"/>
        <v>1.000202789629971</v>
      </c>
      <c r="X189" s="67">
        <f t="shared" si="174"/>
        <v>-2.013729704826971E-2</v>
      </c>
      <c r="Y189" t="str">
        <f t="shared" si="161"/>
        <v>0,999983166284852+0,0558549872835817i</v>
      </c>
      <c r="Z189" s="67">
        <f t="shared" si="175"/>
        <v>1.0015418675509911</v>
      </c>
      <c r="AA189" s="67">
        <f t="shared" si="176"/>
        <v>5.5797948024530156E-2</v>
      </c>
      <c r="AB189" s="92" t="str">
        <f t="shared" si="177"/>
        <v>1,84380211306484-5,95545667011473i</v>
      </c>
      <c r="AC189" s="37">
        <f t="shared" si="178"/>
        <v>15.89581806775163</v>
      </c>
      <c r="AD189" s="60">
        <f t="shared" si="179"/>
        <v>-72.797538976771591</v>
      </c>
      <c r="AE189" t="str">
        <f t="shared" si="180"/>
        <v>34,4450883806789</v>
      </c>
      <c r="AF189" t="str">
        <f t="shared" si="162"/>
        <v>1+1,74009768075774i</v>
      </c>
      <c r="AG189">
        <f t="shared" si="181"/>
        <v>2.0069728295566098</v>
      </c>
      <c r="AH189">
        <f t="shared" si="182"/>
        <v>1.0492022815198856</v>
      </c>
      <c r="AI189" t="str">
        <f t="shared" si="163"/>
        <v>1+0,09667209337543i</v>
      </c>
      <c r="AJ189">
        <f t="shared" si="183"/>
        <v>1.0046618802550378</v>
      </c>
      <c r="AK189">
        <f t="shared" si="184"/>
        <v>9.6372621340973685E-2</v>
      </c>
      <c r="AL189" t="str">
        <f t="shared" si="164"/>
        <v>1-0,00657770280934703i</v>
      </c>
      <c r="AM189">
        <f t="shared" si="185"/>
        <v>1.0000216328531337</v>
      </c>
      <c r="AN189">
        <f t="shared" si="186"/>
        <v>-6.5776079477976286E-3</v>
      </c>
      <c r="AO189" s="58" t="str">
        <f t="shared" si="187"/>
        <v>9,89762835662374-14,1195309027109i</v>
      </c>
      <c r="AP189">
        <f t="shared" si="188"/>
        <v>24.732302590134218</v>
      </c>
      <c r="AQ189" s="60">
        <f t="shared" si="189"/>
        <v>-54.969987297836639</v>
      </c>
      <c r="AR189" t="str">
        <f t="shared" si="165"/>
        <v>-1,36472945891784</v>
      </c>
      <c r="AS189" t="str">
        <f t="shared" si="166"/>
        <v>1+0,0724170651475346i</v>
      </c>
      <c r="AT189">
        <f t="shared" si="190"/>
        <v>1.0026186869017464</v>
      </c>
      <c r="AU189">
        <f t="shared" si="191"/>
        <v>7.2290871369977708E-2</v>
      </c>
      <c r="AV189" t="str">
        <f t="shared" si="167"/>
        <v>1+0,0724170651475346i</v>
      </c>
      <c r="AW189">
        <f t="shared" si="192"/>
        <v>1.0026186869017464</v>
      </c>
      <c r="AX189">
        <f t="shared" si="193"/>
        <v>7.2290871369977708E-2</v>
      </c>
      <c r="AY189" t="str">
        <f t="shared" si="168"/>
        <v>1-0,207133497738974i</v>
      </c>
      <c r="AZ189">
        <f t="shared" si="194"/>
        <v>1.0212268532924413</v>
      </c>
      <c r="BA189">
        <f t="shared" si="195"/>
        <v>-0.20424518851790854</v>
      </c>
      <c r="BB189" s="58" t="str">
        <f t="shared" si="196"/>
        <v>-1,33724569129114+0,37952059463756i</v>
      </c>
      <c r="BC189">
        <f t="shared" si="197"/>
        <v>2.8606599525481755</v>
      </c>
      <c r="BD189" s="60">
        <f t="shared" si="198"/>
        <v>164.15565088524713</v>
      </c>
      <c r="BE189" s="58" t="str">
        <f t="shared" si="199"/>
        <v>-0,205397974509291+8,66366964612636i</v>
      </c>
      <c r="BF189" s="37">
        <f t="shared" si="200"/>
        <v>18.756478020299806</v>
      </c>
      <c r="BG189" s="60">
        <f t="shared" si="201"/>
        <v>91.35811190847555</v>
      </c>
      <c r="BH189" s="58" t="str">
        <f t="shared" si="202"/>
        <v>-7,87690810969586+22,6376356621097i</v>
      </c>
      <c r="BI189" s="37">
        <f t="shared" si="203"/>
        <v>27.5929625426824</v>
      </c>
      <c r="BJ189" s="60">
        <f t="shared" si="204"/>
        <v>109.18566358741047</v>
      </c>
      <c r="BK189">
        <f t="shared" si="205"/>
        <v>18.756478020299806</v>
      </c>
      <c r="BL189" s="60">
        <f t="shared" si="206"/>
        <v>91.35811190847555</v>
      </c>
      <c r="BN189">
        <f t="shared" si="207"/>
        <v>0</v>
      </c>
      <c r="BO189">
        <f t="shared" si="208"/>
        <v>0</v>
      </c>
    </row>
    <row r="190" spans="13:67" x14ac:dyDescent="0.25">
      <c r="M190" s="66">
        <v>72</v>
      </c>
      <c r="N190" s="36">
        <f t="shared" si="209"/>
        <v>524.80746024977248</v>
      </c>
      <c r="O190" s="91" t="str">
        <f t="shared" si="157"/>
        <v>22,5</v>
      </c>
      <c r="P190" s="67" t="str">
        <f t="shared" si="158"/>
        <v>1+3,56125952520678i</v>
      </c>
      <c r="Q190" s="67">
        <f t="shared" si="169"/>
        <v>3.698995729367097</v>
      </c>
      <c r="R190" s="67">
        <f t="shared" si="170"/>
        <v>1.2970463740212208</v>
      </c>
      <c r="S190" s="67" t="str">
        <f t="shared" si="159"/>
        <v>1+0,0989238757001884i</v>
      </c>
      <c r="T190" s="67">
        <f t="shared" si="171"/>
        <v>1.0048810542464945</v>
      </c>
      <c r="U190" s="67">
        <f t="shared" si="172"/>
        <v>9.8603069756055109E-2</v>
      </c>
      <c r="V190" t="str">
        <f t="shared" si="160"/>
        <v>1-0,0206091407708726i</v>
      </c>
      <c r="W190" s="67">
        <f t="shared" si="173"/>
        <v>1.0002123457962881</v>
      </c>
      <c r="X190" s="67">
        <f t="shared" si="174"/>
        <v>-2.0606223694864381E-2</v>
      </c>
      <c r="Y190" t="str">
        <f t="shared" si="161"/>
        <v>0,999982372936299+0,0571560170712199i</v>
      </c>
      <c r="Z190" s="67">
        <f t="shared" si="175"/>
        <v>1.001614474970663</v>
      </c>
      <c r="AA190" s="67">
        <f t="shared" si="176"/>
        <v>5.7094903723284594E-2</v>
      </c>
      <c r="AB190" s="92" t="str">
        <f t="shared" si="177"/>
        <v>1,77260387391261-5,84080912454127i</v>
      </c>
      <c r="AC190" s="37">
        <f t="shared" si="178"/>
        <v>15.712099301537076</v>
      </c>
      <c r="AD190" s="60">
        <f t="shared" si="179"/>
        <v>-73.117689984574952</v>
      </c>
      <c r="AE190" t="str">
        <f t="shared" si="180"/>
        <v>34,4450883806789</v>
      </c>
      <c r="AF190" t="str">
        <f t="shared" si="162"/>
        <v>1+1,78062976260339i</v>
      </c>
      <c r="AG190">
        <f t="shared" si="181"/>
        <v>2.0422150600436293</v>
      </c>
      <c r="AH190">
        <f t="shared" si="182"/>
        <v>1.059091523919417</v>
      </c>
      <c r="AI190" t="str">
        <f t="shared" si="163"/>
        <v>1+0,0989238757001884i</v>
      </c>
      <c r="AJ190">
        <f t="shared" si="183"/>
        <v>1.0048810542464945</v>
      </c>
      <c r="AK190">
        <f t="shared" si="184"/>
        <v>9.8603069756055109E-2</v>
      </c>
      <c r="AL190" t="str">
        <f t="shared" si="164"/>
        <v>1-0,00673091719011025i</v>
      </c>
      <c r="AM190">
        <f t="shared" si="185"/>
        <v>1.0000226523665452</v>
      </c>
      <c r="AN190">
        <f t="shared" si="186"/>
        <v>-6.7308155442530951E-3</v>
      </c>
      <c r="AO190" s="58" t="str">
        <f t="shared" si="187"/>
        <v>9,62024035454204-13,9544916947398i</v>
      </c>
      <c r="AP190">
        <f t="shared" si="188"/>
        <v>24.583006496497774</v>
      </c>
      <c r="AQ190" s="60">
        <f t="shared" si="189"/>
        <v>-55.417582017971938</v>
      </c>
      <c r="AR190" t="str">
        <f t="shared" si="165"/>
        <v>-1,36472945891784</v>
      </c>
      <c r="AS190" t="str">
        <f t="shared" si="166"/>
        <v>1+0,0741038752870111i</v>
      </c>
      <c r="AT190">
        <f t="shared" si="190"/>
        <v>1.0027419330678022</v>
      </c>
      <c r="AU190">
        <f t="shared" si="191"/>
        <v>7.3968676179807291E-2</v>
      </c>
      <c r="AV190" t="str">
        <f t="shared" si="167"/>
        <v>1+0,0741038752870111i</v>
      </c>
      <c r="AW190">
        <f t="shared" si="192"/>
        <v>1.0027419330678022</v>
      </c>
      <c r="AX190">
        <f t="shared" si="193"/>
        <v>7.3968676179807291E-2</v>
      </c>
      <c r="AY190" t="str">
        <f t="shared" si="168"/>
        <v>1-0,202418563697292i</v>
      </c>
      <c r="AZ190">
        <f t="shared" si="194"/>
        <v>1.0202809784217652</v>
      </c>
      <c r="BA190">
        <f t="shared" si="195"/>
        <v>-0.19972001655378213</v>
      </c>
      <c r="BB190" s="58" t="str">
        <f t="shared" si="196"/>
        <v>-1,33691699201022+0,375317306954544i</v>
      </c>
      <c r="BC190">
        <f t="shared" si="197"/>
        <v>2.8515435887488998</v>
      </c>
      <c r="BD190" s="60">
        <f t="shared" si="198"/>
        <v>164.31879300591245</v>
      </c>
      <c r="BE190" s="58" t="str">
        <f t="shared" si="199"/>
        <v>-0,177667488078552+8,47396587794163i</v>
      </c>
      <c r="BF190" s="37">
        <f t="shared" si="200"/>
        <v>18.563642890285973</v>
      </c>
      <c r="BG190" s="60">
        <f t="shared" si="201"/>
        <v>91.201103021337488</v>
      </c>
      <c r="BH190" s="58" t="str">
        <f t="shared" si="202"/>
        <v>-7,62410055442038+22,2666397636853i</v>
      </c>
      <c r="BI190" s="37">
        <f t="shared" si="203"/>
        <v>27.434550085246681</v>
      </c>
      <c r="BJ190" s="60">
        <f t="shared" si="204"/>
        <v>108.90121098794049</v>
      </c>
      <c r="BK190">
        <f t="shared" si="205"/>
        <v>18.563642890285973</v>
      </c>
      <c r="BL190" s="60">
        <f t="shared" si="206"/>
        <v>91.201103021337488</v>
      </c>
      <c r="BN190">
        <f t="shared" si="207"/>
        <v>0</v>
      </c>
      <c r="BO190">
        <f t="shared" si="208"/>
        <v>0</v>
      </c>
    </row>
    <row r="191" spans="13:67" x14ac:dyDescent="0.25">
      <c r="M191" s="66">
        <v>73</v>
      </c>
      <c r="N191" s="36">
        <f t="shared" si="209"/>
        <v>537.03179637025301</v>
      </c>
      <c r="O191" s="91" t="str">
        <f t="shared" si="157"/>
        <v>22,5</v>
      </c>
      <c r="P191" s="67" t="str">
        <f t="shared" si="158"/>
        <v>1+3,64421191583718i</v>
      </c>
      <c r="Q191" s="67">
        <f t="shared" si="169"/>
        <v>3.7789258377916988</v>
      </c>
      <c r="R191" s="67">
        <f t="shared" si="170"/>
        <v>1.3029808073757985</v>
      </c>
      <c r="S191" s="67" t="str">
        <f t="shared" si="159"/>
        <v>1+0,101228108773255i</v>
      </c>
      <c r="T191" s="67">
        <f t="shared" si="171"/>
        <v>1.0051105063652503</v>
      </c>
      <c r="U191" s="67">
        <f t="shared" si="172"/>
        <v>0.1008844533372688</v>
      </c>
      <c r="V191" t="str">
        <f t="shared" si="160"/>
        <v>1-0,0210891893277614i</v>
      </c>
      <c r="W191" s="67">
        <f t="shared" si="173"/>
        <v>1.0002223522329934</v>
      </c>
      <c r="X191" s="67">
        <f t="shared" si="174"/>
        <v>-2.1086063662030745E-2</v>
      </c>
      <c r="Y191" t="str">
        <f t="shared" si="161"/>
        <v>0,99998154219838+0,0584873517356584i</v>
      </c>
      <c r="Z191" s="67">
        <f t="shared" si="175"/>
        <v>1.0016904986324375</v>
      </c>
      <c r="AA191" s="67">
        <f t="shared" si="176"/>
        <v>5.8421873570619641E-2</v>
      </c>
      <c r="AB191" s="92" t="str">
        <f t="shared" si="177"/>
        <v>1,70414614765182-5,72758538724896i</v>
      </c>
      <c r="AC191" s="37">
        <f t="shared" si="178"/>
        <v>15.527819262928249</v>
      </c>
      <c r="AD191" s="60">
        <f t="shared" si="179"/>
        <v>-73.430516895693628</v>
      </c>
      <c r="AE191" t="str">
        <f t="shared" si="180"/>
        <v>34,4450883806789</v>
      </c>
      <c r="AF191" t="str">
        <f t="shared" si="162"/>
        <v>1+1,82210595791859i</v>
      </c>
      <c r="AG191">
        <f t="shared" si="181"/>
        <v>2.078477837717406</v>
      </c>
      <c r="AH191">
        <f t="shared" si="182"/>
        <v>1.0688629724661691</v>
      </c>
      <c r="AI191" t="str">
        <f t="shared" si="163"/>
        <v>1+0,101228108773255i</v>
      </c>
      <c r="AJ191">
        <f t="shared" si="183"/>
        <v>1.0051105063652503</v>
      </c>
      <c r="AK191">
        <f t="shared" si="184"/>
        <v>0.1008844533372688</v>
      </c>
      <c r="AL191" t="str">
        <f t="shared" si="164"/>
        <v>1-0,00688770039226188i</v>
      </c>
      <c r="AM191">
        <f t="shared" si="185"/>
        <v>1.0000237199270292</v>
      </c>
      <c r="AN191">
        <f t="shared" si="186"/>
        <v>-6.8875914769031673E-3</v>
      </c>
      <c r="AO191" s="58" t="str">
        <f t="shared" si="187"/>
        <v>9,34942089790177-13,7860718166027i</v>
      </c>
      <c r="AP191">
        <f t="shared" si="188"/>
        <v>24.432120386110633</v>
      </c>
      <c r="AQ191" s="60">
        <f t="shared" si="189"/>
        <v>-55.855713728046162</v>
      </c>
      <c r="AR191" t="str">
        <f t="shared" si="165"/>
        <v>-1,36472945891784</v>
      </c>
      <c r="AS191" t="str">
        <f t="shared" si="166"/>
        <v>1+0,0758299762820453i</v>
      </c>
      <c r="AT191">
        <f t="shared" si="190"/>
        <v>1.0028709714130406</v>
      </c>
      <c r="AU191">
        <f t="shared" si="191"/>
        <v>7.5685130217911595E-2</v>
      </c>
      <c r="AV191" t="str">
        <f t="shared" si="167"/>
        <v>1+0,0758299762820453i</v>
      </c>
      <c r="AW191">
        <f t="shared" si="192"/>
        <v>1.0028709714130406</v>
      </c>
      <c r="AX191">
        <f t="shared" si="193"/>
        <v>7.5685130217911595E-2</v>
      </c>
      <c r="AY191" t="str">
        <f t="shared" si="168"/>
        <v>1-0,197810954657408i</v>
      </c>
      <c r="AZ191">
        <f t="shared" si="194"/>
        <v>1.019376855624295</v>
      </c>
      <c r="BA191">
        <f t="shared" si="195"/>
        <v>-0.19528982521832955</v>
      </c>
      <c r="BB191" s="58" t="str">
        <f t="shared" si="196"/>
        <v>-1,33657297475832+0,371310734092772i</v>
      </c>
      <c r="BC191">
        <f t="shared" si="197"/>
        <v>2.8427254922700862</v>
      </c>
      <c r="BD191" s="60">
        <f t="shared" si="198"/>
        <v>164.47427869975786</v>
      </c>
      <c r="BE191" s="58" t="str">
        <f t="shared" si="199"/>
        <v>-0,151001751271479+8,28810359630359i</v>
      </c>
      <c r="BF191" s="37">
        <f t="shared" si="200"/>
        <v>18.370544755198331</v>
      </c>
      <c r="BG191" s="60">
        <f t="shared" si="201"/>
        <v>91.043761804064218</v>
      </c>
      <c r="BH191" s="58" t="str">
        <f t="shared" si="202"/>
        <v>-7,37726685529775+21,8976313550907i</v>
      </c>
      <c r="BI191" s="37">
        <f t="shared" si="203"/>
        <v>27.27484587838071</v>
      </c>
      <c r="BJ191" s="60">
        <f t="shared" si="204"/>
        <v>108.61856497171171</v>
      </c>
      <c r="BK191">
        <f t="shared" si="205"/>
        <v>18.370544755198331</v>
      </c>
      <c r="BL191" s="60">
        <f t="shared" si="206"/>
        <v>91.043761804064218</v>
      </c>
      <c r="BN191">
        <f t="shared" si="207"/>
        <v>0</v>
      </c>
      <c r="BO191">
        <f t="shared" si="208"/>
        <v>0</v>
      </c>
    </row>
    <row r="192" spans="13:67" x14ac:dyDescent="0.25">
      <c r="M192" s="66">
        <v>74</v>
      </c>
      <c r="N192" s="36">
        <f t="shared" si="209"/>
        <v>549.54087385762534</v>
      </c>
      <c r="O192" s="91" t="str">
        <f t="shared" si="157"/>
        <v>22,5</v>
      </c>
      <c r="P192" s="67" t="str">
        <f t="shared" si="158"/>
        <v>1+3,72909651586221i</v>
      </c>
      <c r="Q192" s="67">
        <f t="shared" si="169"/>
        <v>3.8608497542141773</v>
      </c>
      <c r="R192" s="67">
        <f t="shared" si="170"/>
        <v>1.3087988927074559</v>
      </c>
      <c r="S192" s="67" t="str">
        <f t="shared" si="159"/>
        <v>1+0,103586014329506i</v>
      </c>
      <c r="T192" s="67">
        <f t="shared" si="171"/>
        <v>1.0053507161009398</v>
      </c>
      <c r="U192" s="67">
        <f t="shared" si="172"/>
        <v>0.1032178866607507</v>
      </c>
      <c r="V192" t="str">
        <f t="shared" si="160"/>
        <v>1-0,0215804196519804i</v>
      </c>
      <c r="W192" s="67">
        <f t="shared" si="173"/>
        <v>1.0002328301512382</v>
      </c>
      <c r="X192" s="67">
        <f t="shared" si="174"/>
        <v>-2.1577070482913036E-2</v>
      </c>
      <c r="Y192" t="str">
        <f t="shared" si="161"/>
        <v>0,999980672308989+0,0598496971681589i</v>
      </c>
      <c r="Z192" s="67">
        <f t="shared" si="175"/>
        <v>1.0017700989961009</v>
      </c>
      <c r="AA192" s="67">
        <f t="shared" si="176"/>
        <v>5.9779542743937805E-2</v>
      </c>
      <c r="AB192" s="92" t="str">
        <f t="shared" si="177"/>
        <v>1,63834159001822-5,61582153990863i</v>
      </c>
      <c r="AC192" s="37">
        <f t="shared" si="178"/>
        <v>15.343004977060861</v>
      </c>
      <c r="AD192" s="60">
        <f t="shared" si="179"/>
        <v>-73.736094080988778</v>
      </c>
      <c r="AE192" t="str">
        <f t="shared" si="180"/>
        <v>34,4450883806789</v>
      </c>
      <c r="AF192" t="str">
        <f t="shared" si="162"/>
        <v>1+1,86454825793111i</v>
      </c>
      <c r="AG192">
        <f t="shared" si="181"/>
        <v>2.1157835915220478</v>
      </c>
      <c r="AH192">
        <f t="shared" si="182"/>
        <v>1.078514343470576</v>
      </c>
      <c r="AI192" t="str">
        <f t="shared" si="163"/>
        <v>1+0,103586014329506i</v>
      </c>
      <c r="AJ192">
        <f t="shared" si="183"/>
        <v>1.0053507161009398</v>
      </c>
      <c r="AK192">
        <f t="shared" si="184"/>
        <v>0.1032178866607507</v>
      </c>
      <c r="AL192" t="str">
        <f t="shared" si="164"/>
        <v>1-0,00704813554433099i</v>
      </c>
      <c r="AM192">
        <f t="shared" si="185"/>
        <v>1.0000248377988676</v>
      </c>
      <c r="AN192">
        <f t="shared" si="186"/>
        <v>-7.048018839578043E-3</v>
      </c>
      <c r="AO192" s="58" t="str">
        <f t="shared" si="187"/>
        <v>9,08521633000675-13,6145685142027i</v>
      </c>
      <c r="AP192">
        <f t="shared" si="188"/>
        <v>24.2796887414747</v>
      </c>
      <c r="AQ192" s="60">
        <f t="shared" si="189"/>
        <v>-56.284192482702593</v>
      </c>
      <c r="AR192" t="str">
        <f t="shared" si="165"/>
        <v>-1,36472945891784</v>
      </c>
      <c r="AS192" t="str">
        <f t="shared" si="166"/>
        <v>1+0,0775962833342329i</v>
      </c>
      <c r="AT192">
        <f t="shared" si="190"/>
        <v>1.0030060733551349</v>
      </c>
      <c r="AU192">
        <f t="shared" si="191"/>
        <v>7.7441103091962532E-2</v>
      </c>
      <c r="AV192" t="str">
        <f t="shared" si="167"/>
        <v>1+0,0775962833342329i</v>
      </c>
      <c r="AW192">
        <f t="shared" si="192"/>
        <v>1.0030060733551349</v>
      </c>
      <c r="AX192">
        <f t="shared" si="193"/>
        <v>7.7441103091962532E-2</v>
      </c>
      <c r="AY192" t="str">
        <f t="shared" si="168"/>
        <v>1-0,193308227604021i</v>
      </c>
      <c r="AZ192">
        <f t="shared" si="194"/>
        <v>1.0185126758462106</v>
      </c>
      <c r="BA192">
        <f t="shared" si="195"/>
        <v>-0.19095296149334756</v>
      </c>
      <c r="BB192" s="58" t="str">
        <f t="shared" si="196"/>
        <v>-1,33621293418015+0,367498590297912i</v>
      </c>
      <c r="BC192">
        <f t="shared" si="197"/>
        <v>2.8341888380117961</v>
      </c>
      <c r="BD192" s="60">
        <f t="shared" si="198"/>
        <v>164.62215285290006</v>
      </c>
      <c r="BE192" s="58" t="str">
        <f t="shared" si="199"/>
        <v>-0,125366723906548+8,10602160243153i</v>
      </c>
      <c r="BF192" s="37">
        <f t="shared" si="200"/>
        <v>18.177193815072656</v>
      </c>
      <c r="BG192" s="60">
        <f t="shared" si="201"/>
        <v>90.886058771911308</v>
      </c>
      <c r="BH192" s="58" t="str">
        <f t="shared" si="202"/>
        <v>-7,1364488334959+21,5307667357885i</v>
      </c>
      <c r="BI192" s="37">
        <f t="shared" si="203"/>
        <v>27.113877579486484</v>
      </c>
      <c r="BJ192" s="60">
        <f t="shared" si="204"/>
        <v>108.33796037019748</v>
      </c>
      <c r="BK192">
        <f t="shared" si="205"/>
        <v>18.177193815072656</v>
      </c>
      <c r="BL192" s="60">
        <f t="shared" si="206"/>
        <v>90.886058771911308</v>
      </c>
      <c r="BN192">
        <f t="shared" si="207"/>
        <v>0</v>
      </c>
      <c r="BO192">
        <f t="shared" si="208"/>
        <v>0</v>
      </c>
    </row>
    <row r="193" spans="13:67" x14ac:dyDescent="0.25">
      <c r="M193" s="66">
        <v>75</v>
      </c>
      <c r="N193" s="36">
        <f t="shared" si="209"/>
        <v>562.34132519034927</v>
      </c>
      <c r="O193" s="91" t="str">
        <f t="shared" si="157"/>
        <v>22,5</v>
      </c>
      <c r="P193" s="67" t="str">
        <f t="shared" si="158"/>
        <v>1+3,81595833222037i</v>
      </c>
      <c r="Q193" s="67">
        <f t="shared" si="169"/>
        <v>3.944811528228195</v>
      </c>
      <c r="R193" s="67">
        <f t="shared" si="170"/>
        <v>1.3145021386608051</v>
      </c>
      <c r="S193" s="67" t="str">
        <f t="shared" si="159"/>
        <v>1+0,105998842561677i</v>
      </c>
      <c r="T193" s="67">
        <f t="shared" si="171"/>
        <v>1.0056021850734094</v>
      </c>
      <c r="U193" s="67">
        <f t="shared" si="172"/>
        <v>0.10560450524541483</v>
      </c>
      <c r="V193" t="str">
        <f t="shared" si="160"/>
        <v>1-0,0220830922003494i</v>
      </c>
      <c r="W193" s="67">
        <f t="shared" si="173"/>
        <v>1.0002438017609152</v>
      </c>
      <c r="X193" s="67">
        <f t="shared" si="174"/>
        <v>-2.2079503548278073E-2</v>
      </c>
      <c r="Y193" t="str">
        <f t="shared" si="161"/>
        <v>0,999979761422975+0,0612437757023023i</v>
      </c>
      <c r="Z193" s="67">
        <f t="shared" si="175"/>
        <v>1.001853444031523</v>
      </c>
      <c r="AA193" s="67">
        <f t="shared" si="176"/>
        <v>6.1168611391099123E-2</v>
      </c>
      <c r="AB193" s="92" t="str">
        <f t="shared" si="177"/>
        <v>1,57510407941414-5,50554952786136i</v>
      </c>
      <c r="AC193" s="37">
        <f t="shared" si="178"/>
        <v>15.157682822926521</v>
      </c>
      <c r="AD193" s="60">
        <f t="shared" si="179"/>
        <v>-74.034497896501506</v>
      </c>
      <c r="AE193" t="str">
        <f t="shared" si="180"/>
        <v>34,4450883806789</v>
      </c>
      <c r="AF193" t="str">
        <f t="shared" si="162"/>
        <v>1+1,90797916611019i</v>
      </c>
      <c r="AG193">
        <f t="shared" si="181"/>
        <v>2.1541551704346964</v>
      </c>
      <c r="AH193">
        <f t="shared" si="182"/>
        <v>1.0880435613148873</v>
      </c>
      <c r="AI193" t="str">
        <f t="shared" si="163"/>
        <v>1+0,105998842561677i</v>
      </c>
      <c r="AJ193">
        <f t="shared" si="183"/>
        <v>1.0056021850734094</v>
      </c>
      <c r="AK193">
        <f t="shared" si="184"/>
        <v>0.10560450524541483</v>
      </c>
      <c r="AL193" t="str">
        <f t="shared" si="164"/>
        <v>1-0,00721230771115879i</v>
      </c>
      <c r="AM193">
        <f t="shared" si="185"/>
        <v>1.000026008353043</v>
      </c>
      <c r="AN193">
        <f t="shared" si="186"/>
        <v>-7.2121826599386473E-3</v>
      </c>
      <c r="AO193" s="58" t="str">
        <f t="shared" si="187"/>
        <v>8,82765708056528-13,4402748715365i</v>
      </c>
      <c r="AP193">
        <f t="shared" si="188"/>
        <v>24.12575646514679</v>
      </c>
      <c r="AQ193" s="60">
        <f t="shared" si="189"/>
        <v>-56.702839169089053</v>
      </c>
      <c r="AR193" t="str">
        <f t="shared" si="165"/>
        <v>-1,36472945891784</v>
      </c>
      <c r="AS193" t="str">
        <f t="shared" si="166"/>
        <v>1+0,0794037329629523i</v>
      </c>
      <c r="AT193">
        <f t="shared" si="190"/>
        <v>1.0031475229538533</v>
      </c>
      <c r="AU193">
        <f t="shared" si="191"/>
        <v>7.9237482502297743E-2</v>
      </c>
      <c r="AV193" t="str">
        <f t="shared" si="167"/>
        <v>1+0,0794037329629523i</v>
      </c>
      <c r="AW193">
        <f t="shared" si="192"/>
        <v>1.0031475229538533</v>
      </c>
      <c r="AX193">
        <f t="shared" si="193"/>
        <v>7.9237482502297743E-2</v>
      </c>
      <c r="AY193" t="str">
        <f t="shared" si="168"/>
        <v>1-0,188907995131647i</v>
      </c>
      <c r="AZ193">
        <f t="shared" si="194"/>
        <v>1.0176867055359711</v>
      </c>
      <c r="BA193">
        <f t="shared" si="195"/>
        <v>-0.18670777878504941</v>
      </c>
      <c r="BB193" s="58" t="str">
        <f t="shared" si="196"/>
        <v>-1,33583613325408+0,363878681588437i</v>
      </c>
      <c r="BC193">
        <f t="shared" si="197"/>
        <v>2.8259172475376633</v>
      </c>
      <c r="BD193" s="60">
        <f t="shared" si="198"/>
        <v>164.76245894673107</v>
      </c>
      <c r="BE193" s="58" t="str">
        <f t="shared" si="199"/>
        <v>-0,100728839299278+7,92765878851893i</v>
      </c>
      <c r="BF193" s="37">
        <f t="shared" si="200"/>
        <v>17.983600070464185</v>
      </c>
      <c r="BG193" s="60">
        <f t="shared" si="201"/>
        <v>90.727961050229538</v>
      </c>
      <c r="BH193" s="58" t="str">
        <f t="shared" si="202"/>
        <v>-6,90167379975442+21,1662010342562i</v>
      </c>
      <c r="BI193" s="37">
        <f t="shared" si="203"/>
        <v>26.951673712684446</v>
      </c>
      <c r="BJ193" s="60">
        <f t="shared" si="204"/>
        <v>108.05961977764201</v>
      </c>
      <c r="BK193">
        <f t="shared" si="205"/>
        <v>17.983600070464185</v>
      </c>
      <c r="BL193" s="60">
        <f t="shared" si="206"/>
        <v>90.727961050229538</v>
      </c>
      <c r="BN193">
        <f t="shared" si="207"/>
        <v>0</v>
      </c>
      <c r="BO193">
        <f t="shared" si="208"/>
        <v>0</v>
      </c>
    </row>
    <row r="194" spans="13:67" x14ac:dyDescent="0.25">
      <c r="M194" s="66">
        <v>76</v>
      </c>
      <c r="N194" s="36">
        <f t="shared" si="209"/>
        <v>575.43993733715706</v>
      </c>
      <c r="O194" s="91" t="str">
        <f t="shared" si="157"/>
        <v>22,5</v>
      </c>
      <c r="P194" s="67" t="str">
        <f t="shared" si="158"/>
        <v>1+3,90484342019646i</v>
      </c>
      <c r="Q194" s="67">
        <f t="shared" si="169"/>
        <v>4.0308562534840648</v>
      </c>
      <c r="R194" s="67">
        <f t="shared" si="170"/>
        <v>1.320092084484777</v>
      </c>
      <c r="S194" s="67" t="str">
        <f t="shared" si="159"/>
        <v>1+0,108467872783235i</v>
      </c>
      <c r="T194" s="67">
        <f t="shared" si="171"/>
        <v>1.0058654380314098</v>
      </c>
      <c r="U194" s="67">
        <f t="shared" si="172"/>
        <v>0.10804546569619962</v>
      </c>
      <c r="V194" t="str">
        <f t="shared" si="160"/>
        <v>1-0,0225974734965073i</v>
      </c>
      <c r="W194" s="67">
        <f t="shared" si="173"/>
        <v>1.0002552903176396</v>
      </c>
      <c r="X194" s="67">
        <f t="shared" si="174"/>
        <v>-2.259362823953651E-2</v>
      </c>
      <c r="Y194" t="str">
        <f t="shared" si="161"/>
        <v>0,999978807608225+0,0626703264969803i</v>
      </c>
      <c r="Z194" s="67">
        <f t="shared" si="175"/>
        <v>1.0019407095675898</v>
      </c>
      <c r="AA194" s="67">
        <f t="shared" si="176"/>
        <v>6.2589794909308466E-2</v>
      </c>
      <c r="AB194" s="92" t="str">
        <f t="shared" si="177"/>
        <v>1,51434884288654-5,39679736497269i</v>
      </c>
      <c r="AC194" s="37">
        <f t="shared" si="178"/>
        <v>14.971878550325947</v>
      </c>
      <c r="AD194" s="60">
        <f t="shared" si="179"/>
        <v>-74.325806460593071</v>
      </c>
      <c r="AE194" t="str">
        <f t="shared" si="180"/>
        <v>34,4450883806789</v>
      </c>
      <c r="AF194" t="str">
        <f t="shared" si="162"/>
        <v>1+1,95242171009823i</v>
      </c>
      <c r="AG194">
        <f t="shared" si="181"/>
        <v>2.1936158583632861</v>
      </c>
      <c r="AH194">
        <f t="shared" si="182"/>
        <v>1.0974487552031851</v>
      </c>
      <c r="AI194" t="str">
        <f t="shared" si="163"/>
        <v>1+0,108467872783235i</v>
      </c>
      <c r="AJ194">
        <f t="shared" si="183"/>
        <v>1.0058654380314098</v>
      </c>
      <c r="AK194">
        <f t="shared" si="184"/>
        <v>0.10804546569619962</v>
      </c>
      <c r="AL194" t="str">
        <f t="shared" si="164"/>
        <v>1-0,00738030393900124i</v>
      </c>
      <c r="AM194">
        <f t="shared" si="185"/>
        <v>1.0000272340722687</v>
      </c>
      <c r="AN194">
        <f t="shared" si="186"/>
        <v>-7.3801699444017979E-3</v>
      </c>
      <c r="AO194" s="58" t="str">
        <f t="shared" si="187"/>
        <v>8,57675833723417-13,2634789368544i</v>
      </c>
      <c r="AP194">
        <f t="shared" si="188"/>
        <v>23.970368792280901</v>
      </c>
      <c r="AQ194" s="60">
        <f t="shared" si="189"/>
        <v>-57.111485315014136</v>
      </c>
      <c r="AR194" t="str">
        <f t="shared" si="165"/>
        <v>-1,36472945891784</v>
      </c>
      <c r="AS194" t="str">
        <f t="shared" si="166"/>
        <v>1+0,0812532835019215i</v>
      </c>
      <c r="AT194">
        <f t="shared" si="190"/>
        <v>1.0032956174925931</v>
      </c>
      <c r="AU194">
        <f t="shared" si="191"/>
        <v>8.1075174512136361E-2</v>
      </c>
      <c r="AV194" t="str">
        <f t="shared" si="167"/>
        <v>1+0,0812532835019215i</v>
      </c>
      <c r="AW194">
        <f t="shared" si="192"/>
        <v>1.0032956174925931</v>
      </c>
      <c r="AX194">
        <f t="shared" si="193"/>
        <v>8.1075174512136361E-2</v>
      </c>
      <c r="AY194" t="str">
        <f t="shared" si="168"/>
        <v>1-0,184607924178785i</v>
      </c>
      <c r="AZ194">
        <f t="shared" si="194"/>
        <v>1.0168972837359731</v>
      </c>
      <c r="BA194">
        <f t="shared" si="195"/>
        <v>-0.18255263857686346</v>
      </c>
      <c r="BB194" s="58" t="str">
        <f t="shared" si="196"/>
        <v>-1,33544180194857+0,360448903810503i</v>
      </c>
      <c r="BC194">
        <f t="shared" si="197"/>
        <v>2.8178947672964143</v>
      </c>
      <c r="BD194" s="60">
        <f t="shared" si="198"/>
        <v>164.8952389477366</v>
      </c>
      <c r="BE194" s="58" t="str">
        <f t="shared" si="199"/>
        <v>-0,0770550532313159+7,75295417823558i</v>
      </c>
      <c r="BF194" s="37">
        <f t="shared" si="200"/>
        <v>17.789773317622362</v>
      </c>
      <c r="BG194" s="60">
        <f t="shared" si="201"/>
        <v>90.569432487143516</v>
      </c>
      <c r="BH194" s="58" t="str">
        <f t="shared" si="202"/>
        <v>-6,67295516525056+20,8040873524434i</v>
      </c>
      <c r="BI194" s="37">
        <f t="shared" si="203"/>
        <v>26.78826355957732</v>
      </c>
      <c r="BJ194" s="60">
        <f t="shared" si="204"/>
        <v>107.78375363272247</v>
      </c>
      <c r="BK194">
        <f t="shared" si="205"/>
        <v>17.789773317622362</v>
      </c>
      <c r="BL194" s="60">
        <f t="shared" si="206"/>
        <v>90.569432487143516</v>
      </c>
      <c r="BN194">
        <f t="shared" si="207"/>
        <v>0</v>
      </c>
      <c r="BO194">
        <f t="shared" si="208"/>
        <v>0</v>
      </c>
    </row>
    <row r="195" spans="13:67" x14ac:dyDescent="0.25">
      <c r="M195" s="66">
        <v>77</v>
      </c>
      <c r="N195" s="36">
        <f t="shared" si="209"/>
        <v>588.84365535558959</v>
      </c>
      <c r="O195" s="91" t="str">
        <f t="shared" si="157"/>
        <v>22,5</v>
      </c>
      <c r="P195" s="67" t="str">
        <f t="shared" si="158"/>
        <v>1+3,99579890784065i</v>
      </c>
      <c r="Q195" s="67">
        <f t="shared" si="169"/>
        <v>4.1190300935900597</v>
      </c>
      <c r="R195" s="67">
        <f t="shared" si="170"/>
        <v>1.3255702960839306</v>
      </c>
      <c r="S195" s="67" t="str">
        <f t="shared" si="159"/>
        <v>1+0,110994414106685i</v>
      </c>
      <c r="T195" s="67">
        <f t="shared" si="171"/>
        <v>1.0061410238942086</v>
      </c>
      <c r="U195" s="67">
        <f t="shared" si="172"/>
        <v>0.11054194582770986</v>
      </c>
      <c r="V195" t="str">
        <f t="shared" si="160"/>
        <v>1-0,023123836272226i</v>
      </c>
      <c r="W195" s="67">
        <f t="shared" si="173"/>
        <v>1.0002673201719352</v>
      </c>
      <c r="X195" s="67">
        <f t="shared" si="174"/>
        <v>-2.3119716064617015E-2</v>
      </c>
      <c r="Y195" t="str">
        <f t="shared" si="161"/>
        <v>0,999977808841571+0,0641301059283068i</v>
      </c>
      <c r="Z195" s="67">
        <f t="shared" si="175"/>
        <v>1.0020320796571163</v>
      </c>
      <c r="AA195" s="67">
        <f t="shared" si="176"/>
        <v>6.4043824225617454E-2</v>
      </c>
      <c r="AB195" s="92" t="str">
        <f t="shared" si="177"/>
        <v>1,45599256655047-5,28958933583002i</v>
      </c>
      <c r="AC195" s="37">
        <f t="shared" si="178"/>
        <v>14.785617298072857</v>
      </c>
      <c r="AD195" s="60">
        <f t="shared" si="179"/>
        <v>-74.610099444473462</v>
      </c>
      <c r="AE195" t="str">
        <f t="shared" si="180"/>
        <v>34,4450883806789</v>
      </c>
      <c r="AF195" t="str">
        <f t="shared" si="162"/>
        <v>1+1,99789945392033i</v>
      </c>
      <c r="AG195">
        <f t="shared" si="181"/>
        <v>2.2341893894598894</v>
      </c>
      <c r="AH195">
        <f t="shared" si="182"/>
        <v>1.106728255322595</v>
      </c>
      <c r="AI195" t="str">
        <f t="shared" si="163"/>
        <v>1+0,110994414106685i</v>
      </c>
      <c r="AJ195">
        <f t="shared" si="183"/>
        <v>1.0061410238942086</v>
      </c>
      <c r="AK195">
        <f t="shared" si="184"/>
        <v>0.11054194582770986</v>
      </c>
      <c r="AL195" t="str">
        <f t="shared" si="164"/>
        <v>1-0,00755221330168202i</v>
      </c>
      <c r="AM195">
        <f t="shared" si="185"/>
        <v>1.0000285175562516</v>
      </c>
      <c r="AN195">
        <f t="shared" si="186"/>
        <v>-7.5520697241030516E-3</v>
      </c>
      <c r="AO195" s="58" t="str">
        <f t="shared" si="187"/>
        <v>8,33252075984537-13,0844629268546i</v>
      </c>
      <c r="AP195">
        <f t="shared" si="188"/>
        <v>23.813571207724202</v>
      </c>
      <c r="AQ195" s="60">
        <f t="shared" si="189"/>
        <v>-57.509972864549724</v>
      </c>
      <c r="AR195" t="str">
        <f t="shared" si="165"/>
        <v>-1,36472945891784</v>
      </c>
      <c r="AS195" t="str">
        <f t="shared" si="166"/>
        <v>1+0,0831459156073177i</v>
      </c>
      <c r="AT195">
        <f t="shared" si="190"/>
        <v>1.0034506680859698</v>
      </c>
      <c r="AU195">
        <f t="shared" si="191"/>
        <v>8.2955103813689493E-2</v>
      </c>
      <c r="AV195" t="str">
        <f t="shared" si="167"/>
        <v>1+0,0831459156073177i</v>
      </c>
      <c r="AW195">
        <f t="shared" si="192"/>
        <v>1.0034506680859698</v>
      </c>
      <c r="AX195">
        <f t="shared" si="193"/>
        <v>8.2955103813689493E-2</v>
      </c>
      <c r="AY195" t="str">
        <f t="shared" si="168"/>
        <v>1-0,180405734790897i</v>
      </c>
      <c r="AZ195">
        <f t="shared" si="194"/>
        <v>1.0161428192657975</v>
      </c>
      <c r="BA195">
        <f t="shared" si="195"/>
        <v>-0.17848591195286687</v>
      </c>
      <c r="BB195" s="58" t="str">
        <f t="shared" si="196"/>
        <v>-1,33502913582929+0,357207240687828i</v>
      </c>
      <c r="BC195">
        <f t="shared" si="197"/>
        <v>2.8101058467873887</v>
      </c>
      <c r="BD195" s="60">
        <f t="shared" si="198"/>
        <v>165.02053320496316</v>
      </c>
      <c r="BE195" s="58" t="str">
        <f t="shared" si="199"/>
        <v>-0,0543128868721419+7,58184696706446i</v>
      </c>
      <c r="BF195" s="37">
        <f t="shared" si="200"/>
        <v>17.595723144860244</v>
      </c>
      <c r="BG195" s="60">
        <f t="shared" si="201"/>
        <v>90.410433760489695</v>
      </c>
      <c r="BH195" s="58" t="str">
        <f t="shared" si="202"/>
        <v>-6,45029309131207+20,4445759826275i</v>
      </c>
      <c r="BI195" s="37">
        <f t="shared" si="203"/>
        <v>26.623677054511596</v>
      </c>
      <c r="BJ195" s="60">
        <f t="shared" si="204"/>
        <v>107.51056034041342</v>
      </c>
      <c r="BK195">
        <f t="shared" si="205"/>
        <v>17.595723144860244</v>
      </c>
      <c r="BL195" s="60">
        <f t="shared" si="206"/>
        <v>90.410433760489695</v>
      </c>
      <c r="BN195">
        <f t="shared" si="207"/>
        <v>0</v>
      </c>
      <c r="BO195">
        <f t="shared" si="208"/>
        <v>0</v>
      </c>
    </row>
    <row r="196" spans="13:67" x14ac:dyDescent="0.25">
      <c r="M196" s="66">
        <v>78</v>
      </c>
      <c r="N196" s="36">
        <f t="shared" si="209"/>
        <v>602.55958607435832</v>
      </c>
      <c r="O196" s="91" t="str">
        <f t="shared" si="157"/>
        <v>22,5</v>
      </c>
      <c r="P196" s="67" t="str">
        <f t="shared" si="158"/>
        <v>1+4,08887302095643i</v>
      </c>
      <c r="Q196" s="67">
        <f t="shared" si="169"/>
        <v>4.2093803084902364</v>
      </c>
      <c r="R196" s="67">
        <f t="shared" si="170"/>
        <v>1.3309383622762643</v>
      </c>
      <c r="S196" s="67" t="str">
        <f t="shared" si="159"/>
        <v>1+0,113579806137679i</v>
      </c>
      <c r="T196" s="67">
        <f t="shared" si="171"/>
        <v>1.0064295168377528</v>
      </c>
      <c r="U196" s="67">
        <f t="shared" si="172"/>
        <v>0.11309514476636534</v>
      </c>
      <c r="V196" t="str">
        <f t="shared" si="160"/>
        <v>1-0,0236624596120164i</v>
      </c>
      <c r="W196" s="67">
        <f t="shared" si="173"/>
        <v>1.0002799168207319</v>
      </c>
      <c r="X196" s="67">
        <f t="shared" si="174"/>
        <v>-2.3658044796744545E-2</v>
      </c>
      <c r="Y196" t="str">
        <f t="shared" si="161"/>
        <v>0,999976763004495+0,0656238879906587i</v>
      </c>
      <c r="Z196" s="67">
        <f t="shared" si="175"/>
        <v>1.0021277469584198</v>
      </c>
      <c r="AA196" s="67">
        <f t="shared" si="176"/>
        <v>6.5531446078745934E-2</v>
      </c>
      <c r="AB196" s="92" t="str">
        <f t="shared" si="177"/>
        <v>1,39995349140148-5,18394619453035i</v>
      </c>
      <c r="AC196" s="37">
        <f t="shared" si="178"/>
        <v>14.598923613317394</v>
      </c>
      <c r="AD196" s="60">
        <f t="shared" si="179"/>
        <v>-74.887457876036095</v>
      </c>
      <c r="AE196" t="str">
        <f t="shared" si="180"/>
        <v>34,4450883806789</v>
      </c>
      <c r="AF196" t="str">
        <f t="shared" si="162"/>
        <v>1+2,04443651047822i</v>
      </c>
      <c r="AG196">
        <f t="shared" si="181"/>
        <v>2.2758999638332873</v>
      </c>
      <c r="AH196">
        <f t="shared" si="182"/>
        <v>1.1158805884709968</v>
      </c>
      <c r="AI196" t="str">
        <f t="shared" si="163"/>
        <v>1+0,113579806137679i</v>
      </c>
      <c r="AJ196">
        <f t="shared" si="183"/>
        <v>1.0064295168377528</v>
      </c>
      <c r="AK196">
        <f t="shared" si="184"/>
        <v>0.11309514476636534</v>
      </c>
      <c r="AL196" t="str">
        <f t="shared" si="164"/>
        <v>1-0,0077281269478207i</v>
      </c>
      <c r="AM196">
        <f t="shared" si="185"/>
        <v>1.0000298615272054</v>
      </c>
      <c r="AN196">
        <f t="shared" si="186"/>
        <v>-7.7279731019211486E-3</v>
      </c>
      <c r="AO196" s="58" t="str">
        <f t="shared" si="187"/>
        <v>8,0949312290375-12,9035025095167i</v>
      </c>
      <c r="AP196">
        <f t="shared" si="188"/>
        <v>23.655409367911375</v>
      </c>
      <c r="AQ196" s="60">
        <f t="shared" si="189"/>
        <v>-57.898153924359782</v>
      </c>
      <c r="AR196" t="str">
        <f t="shared" si="165"/>
        <v>-1,36472945891784</v>
      </c>
      <c r="AS196" t="str">
        <f t="shared" si="166"/>
        <v>1+0,0850826327777351i</v>
      </c>
      <c r="AT196">
        <f t="shared" si="190"/>
        <v>1.0036130003145589</v>
      </c>
      <c r="AU196">
        <f t="shared" si="191"/>
        <v>8.4878213989381904E-2</v>
      </c>
      <c r="AV196" t="str">
        <f t="shared" si="167"/>
        <v>1+0,0850826327777351i</v>
      </c>
      <c r="AW196">
        <f t="shared" si="192"/>
        <v>1.0036130003145589</v>
      </c>
      <c r="AX196">
        <f t="shared" si="193"/>
        <v>8.4878213989381904E-2</v>
      </c>
      <c r="AY196" t="str">
        <f t="shared" si="168"/>
        <v>1-0,176299198911547i</v>
      </c>
      <c r="AZ196">
        <f t="shared" si="194"/>
        <v>1.0154217879959309</v>
      </c>
      <c r="BA196">
        <f t="shared" si="195"/>
        <v>-0.17450598099819148</v>
      </c>
      <c r="BB196" s="58" t="str">
        <f t="shared" si="196"/>
        <v>-1,33459729461573+0,354151761862153i</v>
      </c>
      <c r="BC196">
        <f t="shared" si="197"/>
        <v>2.8025353166993932</v>
      </c>
      <c r="BD196" s="60">
        <f t="shared" si="198"/>
        <v>165.13838035481362</v>
      </c>
      <c r="BE196" s="58" t="str">
        <f t="shared" si="199"/>
        <v>-0,0324704640207341+7,41427656215862i</v>
      </c>
      <c r="BF196" s="37">
        <f t="shared" si="200"/>
        <v>17.401458930016787</v>
      </c>
      <c r="BG196" s="60">
        <f t="shared" si="201"/>
        <v>90.250922478777525</v>
      </c>
      <c r="BH196" s="58" t="str">
        <f t="shared" si="202"/>
        <v>-6,23367517043578+20,0878136971849i</v>
      </c>
      <c r="BI196" s="37">
        <f t="shared" si="203"/>
        <v>26.45794468461078</v>
      </c>
      <c r="BJ196" s="60">
        <f t="shared" si="204"/>
        <v>107.2402264304538</v>
      </c>
      <c r="BK196">
        <f t="shared" si="205"/>
        <v>17.401458930016787</v>
      </c>
      <c r="BL196" s="60">
        <f t="shared" si="206"/>
        <v>90.250922478777525</v>
      </c>
      <c r="BN196">
        <f t="shared" si="207"/>
        <v>0</v>
      </c>
      <c r="BO196">
        <f t="shared" si="208"/>
        <v>0</v>
      </c>
    </row>
    <row r="197" spans="13:67" x14ac:dyDescent="0.25">
      <c r="M197" s="66">
        <v>79</v>
      </c>
      <c r="N197" s="36">
        <f t="shared" si="209"/>
        <v>616.59500186148273</v>
      </c>
      <c r="O197" s="91" t="str">
        <f t="shared" si="157"/>
        <v>22,5</v>
      </c>
      <c r="P197" s="67" t="str">
        <f t="shared" si="158"/>
        <v>1+4,18411510867056i</v>
      </c>
      <c r="Q197" s="67">
        <f t="shared" si="169"/>
        <v>4.3019552813349016</v>
      </c>
      <c r="R197" s="67">
        <f t="shared" si="170"/>
        <v>1.3361978912536774</v>
      </c>
      <c r="S197" s="67" t="str">
        <f t="shared" si="159"/>
        <v>1+0,116225419685293i</v>
      </c>
      <c r="T197" s="67">
        <f t="shared" si="171"/>
        <v>1.0067315174270757</v>
      </c>
      <c r="U197" s="67">
        <f t="shared" si="172"/>
        <v>0.1157062830290338</v>
      </c>
      <c r="V197" t="str">
        <f t="shared" si="160"/>
        <v>1-0,0242136291011028i</v>
      </c>
      <c r="W197" s="67">
        <f t="shared" si="173"/>
        <v>1.0002931069612775</v>
      </c>
      <c r="X197" s="67">
        <f t="shared" si="174"/>
        <v>-2.420889861617136E-2</v>
      </c>
      <c r="Y197" t="str">
        <f t="shared" si="161"/>
        <v>0,999975667878635+0,0671524647070583i</v>
      </c>
      <c r="Z197" s="67">
        <f t="shared" si="175"/>
        <v>1.0022279131343106</v>
      </c>
      <c r="AA197" s="67">
        <f t="shared" si="176"/>
        <v>6.7053423301894843E-2</v>
      </c>
      <c r="AB197" s="92" t="str">
        <f t="shared" si="177"/>
        <v>1,34615149545386-5,07988535940957i</v>
      </c>
      <c r="AC197" s="37">
        <f t="shared" si="178"/>
        <v>14.411821471865577</v>
      </c>
      <c r="AD197" s="60">
        <f t="shared" si="179"/>
        <v>-75.157963956875932</v>
      </c>
      <c r="AE197" t="str">
        <f t="shared" si="180"/>
        <v>34,4450883806789</v>
      </c>
      <c r="AF197" t="str">
        <f t="shared" si="162"/>
        <v>1+2,09205755433528i</v>
      </c>
      <c r="AG197">
        <f t="shared" si="181"/>
        <v>2.3187722636454215</v>
      </c>
      <c r="AH197">
        <f t="shared" si="182"/>
        <v>1.1249044732066695</v>
      </c>
      <c r="AI197" t="str">
        <f t="shared" si="163"/>
        <v>1+0,116225419685293i</v>
      </c>
      <c r="AJ197">
        <f t="shared" si="183"/>
        <v>1.0067315174270757</v>
      </c>
      <c r="AK197">
        <f t="shared" si="184"/>
        <v>0.1157062830290338</v>
      </c>
      <c r="AL197" t="str">
        <f t="shared" si="164"/>
        <v>1-0,00790813814916099i</v>
      </c>
      <c r="AM197">
        <f t="shared" si="185"/>
        <v>1.0000312688356232</v>
      </c>
      <c r="AN197">
        <f t="shared" si="186"/>
        <v>-7.9079733005879751E-3</v>
      </c>
      <c r="AO197" s="58" t="str">
        <f t="shared" si="187"/>
        <v>7,8639636213292-12,7208661653526i</v>
      </c>
      <c r="AP197">
        <f t="shared" si="188"/>
        <v>23.495929027749828</v>
      </c>
      <c r="AQ197" s="60">
        <f t="shared" si="189"/>
        <v>-58.27589048404532</v>
      </c>
      <c r="AR197" t="str">
        <f t="shared" si="165"/>
        <v>-1,36472945891784</v>
      </c>
      <c r="AS197" t="str">
        <f t="shared" si="166"/>
        <v>1+0,0870644618862532i</v>
      </c>
      <c r="AT197">
        <f t="shared" si="190"/>
        <v>1.0037829548879293</v>
      </c>
      <c r="AU197">
        <f t="shared" si="191"/>
        <v>8.684546776733057E-2</v>
      </c>
      <c r="AV197" t="str">
        <f t="shared" si="167"/>
        <v>1+0,0870644618862532i</v>
      </c>
      <c r="AW197">
        <f t="shared" si="192"/>
        <v>1.0037829548879293</v>
      </c>
      <c r="AX197">
        <f t="shared" si="193"/>
        <v>8.684546776733057E-2</v>
      </c>
      <c r="AY197" t="str">
        <f t="shared" si="168"/>
        <v>1-0,172286139201056i</v>
      </c>
      <c r="AZ197">
        <f t="shared" si="194"/>
        <v>1.0147327302106726</v>
      </c>
      <c r="BA197">
        <f t="shared" si="195"/>
        <v>-0.17061124008261588</v>
      </c>
      <c r="BB197" s="58" t="str">
        <f t="shared" si="196"/>
        <v>-1,3341454006864+0,351280620919682i</v>
      </c>
      <c r="BC197">
        <f t="shared" si="197"/>
        <v>2.7951683670490941</v>
      </c>
      <c r="BD197" s="60">
        <f t="shared" si="198"/>
        <v>165.24881723286541</v>
      </c>
      <c r="BE197" s="58" t="str">
        <f t="shared" si="199"/>
        <v>-0,0114965430326912+7,25018262144545i</v>
      </c>
      <c r="BF197" s="37">
        <f t="shared" si="200"/>
        <v>17.206989838914673</v>
      </c>
      <c r="BG197" s="60">
        <f t="shared" si="201"/>
        <v>90.090853275989488</v>
      </c>
      <c r="BH197" s="58" t="str">
        <f t="shared" si="202"/>
        <v>-6,02307713136028+19,7339431110427i</v>
      </c>
      <c r="BI197" s="37">
        <f t="shared" si="203"/>
        <v>26.291097394798911</v>
      </c>
      <c r="BJ197" s="60">
        <f t="shared" si="204"/>
        <v>106.97292674882011</v>
      </c>
      <c r="BK197">
        <f t="shared" si="205"/>
        <v>17.206989838914673</v>
      </c>
      <c r="BL197" s="60">
        <f t="shared" si="206"/>
        <v>90.090853275989488</v>
      </c>
      <c r="BN197">
        <f t="shared" si="207"/>
        <v>0</v>
      </c>
      <c r="BO197">
        <f t="shared" si="208"/>
        <v>0</v>
      </c>
    </row>
    <row r="198" spans="13:67" x14ac:dyDescent="0.25">
      <c r="M198" s="66">
        <v>80</v>
      </c>
      <c r="N198" s="36">
        <f t="shared" si="209"/>
        <v>630.95734448019323</v>
      </c>
      <c r="O198" s="91" t="str">
        <f t="shared" si="157"/>
        <v>22,5</v>
      </c>
      <c r="P198" s="67" t="str">
        <f t="shared" si="158"/>
        <v>1+4,2815756695986i</v>
      </c>
      <c r="Q198" s="67">
        <f t="shared" si="169"/>
        <v>4.3968045458604017</v>
      </c>
      <c r="R198" s="67">
        <f t="shared" si="170"/>
        <v>1.3413505072406127</v>
      </c>
      <c r="S198" s="67" t="str">
        <f t="shared" si="159"/>
        <v>1+0,11893265748885i</v>
      </c>
      <c r="T198" s="67">
        <f t="shared" si="171"/>
        <v>1.0070476537966613</v>
      </c>
      <c r="U198" s="67">
        <f t="shared" si="172"/>
        <v>0.11837660257599894</v>
      </c>
      <c r="V198" t="str">
        <f t="shared" si="160"/>
        <v>1-0,0247776369768438i</v>
      </c>
      <c r="W198" s="67">
        <f t="shared" si="173"/>
        <v>1.0003069185475806</v>
      </c>
      <c r="X198" s="67">
        <f t="shared" si="174"/>
        <v>-2.4772568254909273E-2</v>
      </c>
      <c r="Y198" t="str">
        <f t="shared" si="161"/>
        <v>0,999974521141085+0,0687166465491133i</v>
      </c>
      <c r="Z198" s="67">
        <f t="shared" si="175"/>
        <v>1.0023327892692615</v>
      </c>
      <c r="AA198" s="67">
        <f t="shared" si="176"/>
        <v>6.8610535106190654E-2</v>
      </c>
      <c r="AB198" s="92" t="str">
        <f t="shared" si="177"/>
        <v>1,29450816312743-4,97742110316212i</v>
      </c>
      <c r="AC198" s="37">
        <f t="shared" si="178"/>
        <v>14.224334299380033</v>
      </c>
      <c r="AD198" s="60">
        <f t="shared" si="179"/>
        <v>-75.421700892342017</v>
      </c>
      <c r="AE198" t="str">
        <f t="shared" si="180"/>
        <v>34,4450883806789</v>
      </c>
      <c r="AF198" t="str">
        <f t="shared" si="162"/>
        <v>1+2,1407878347993i</v>
      </c>
      <c r="AG198">
        <f t="shared" si="181"/>
        <v>2.362831469577269</v>
      </c>
      <c r="AH198">
        <f t="shared" si="182"/>
        <v>1.1337988145748354</v>
      </c>
      <c r="AI198" t="str">
        <f t="shared" si="163"/>
        <v>1+0,11893265748885i</v>
      </c>
      <c r="AJ198">
        <f t="shared" si="183"/>
        <v>1.0070476537966613</v>
      </c>
      <c r="AK198">
        <f t="shared" si="184"/>
        <v>0.11837660257599894</v>
      </c>
      <c r="AL198" t="str">
        <f t="shared" si="164"/>
        <v>1-0,00809234235002452i</v>
      </c>
      <c r="AM198">
        <f t="shared" si="185"/>
        <v>1.0000327424663205</v>
      </c>
      <c r="AN198">
        <f t="shared" si="186"/>
        <v>-8.0921657119084472E-3</v>
      </c>
      <c r="AO198" s="58" t="str">
        <f t="shared" si="187"/>
        <v>7,63957960306019-12,536814626113i</v>
      </c>
      <c r="AP198">
        <f t="shared" si="188"/>
        <v>23.335175972643892</v>
      </c>
      <c r="AQ198" s="60">
        <f t="shared" si="189"/>
        <v>-58.643054113784551</v>
      </c>
      <c r="AR198" t="str">
        <f t="shared" si="165"/>
        <v>-1,36472945891784</v>
      </c>
      <c r="AS198" t="str">
        <f t="shared" si="166"/>
        <v>1+0,0890924537248976i</v>
      </c>
      <c r="AT198">
        <f t="shared" si="190"/>
        <v>1.0039608883371518</v>
      </c>
      <c r="AU198">
        <f t="shared" si="191"/>
        <v>8.8857847270163146E-2</v>
      </c>
      <c r="AV198" t="str">
        <f t="shared" si="167"/>
        <v>1+0,0890924537248976i</v>
      </c>
      <c r="AW198">
        <f t="shared" si="192"/>
        <v>1.0039608883371518</v>
      </c>
      <c r="AX198">
        <f t="shared" si="193"/>
        <v>8.8857847270163146E-2</v>
      </c>
      <c r="AY198" t="str">
        <f t="shared" si="168"/>
        <v>1-0,168364427882046i</v>
      </c>
      <c r="AZ198">
        <f t="shared" si="194"/>
        <v>1.0140742480588139</v>
      </c>
      <c r="BA198">
        <f t="shared" si="195"/>
        <v>-0.16680009703341681</v>
      </c>
      <c r="BB198" s="58" t="str">
        <f t="shared" si="196"/>
        <v>-1,33367253753155+0,348592053398673i</v>
      </c>
      <c r="BC198">
        <f t="shared" si="197"/>
        <v>2.7879905253393904</v>
      </c>
      <c r="BD198" s="60">
        <f t="shared" si="198"/>
        <v>165.35187879241417</v>
      </c>
      <c r="BE198" s="58" t="str">
        <f t="shared" si="199"/>
        <v>0,00863945620770656+7,08950509174325i</v>
      </c>
      <c r="BF198" s="37">
        <f t="shared" si="200"/>
        <v>17.012324824719428</v>
      </c>
      <c r="BG198" s="60">
        <f t="shared" si="201"/>
        <v>89.930177900072167</v>
      </c>
      <c r="BH198" s="58" t="str">
        <f t="shared" si="202"/>
        <v>-5,81846356129231+19,3831021159041i</v>
      </c>
      <c r="BI198" s="37">
        <f t="shared" si="203"/>
        <v>26.123166497983267</v>
      </c>
      <c r="BJ198" s="60">
        <f t="shared" si="204"/>
        <v>106.70882467862967</v>
      </c>
      <c r="BK198">
        <f t="shared" si="205"/>
        <v>17.012324824719428</v>
      </c>
      <c r="BL198" s="60">
        <f t="shared" si="206"/>
        <v>89.930177900072167</v>
      </c>
      <c r="BN198">
        <f t="shared" si="207"/>
        <v>0</v>
      </c>
      <c r="BO198">
        <f t="shared" si="208"/>
        <v>0</v>
      </c>
    </row>
    <row r="199" spans="13:67" x14ac:dyDescent="0.25">
      <c r="M199" s="66">
        <v>81</v>
      </c>
      <c r="N199" s="36">
        <f t="shared" si="209"/>
        <v>645.65422903465594</v>
      </c>
      <c r="O199" s="91" t="str">
        <f t="shared" si="157"/>
        <v>22,5</v>
      </c>
      <c r="P199" s="67" t="str">
        <f t="shared" si="158"/>
        <v>1+4,38130637862002i</v>
      </c>
      <c r="Q199" s="67">
        <f t="shared" si="169"/>
        <v>4.4939788142954651</v>
      </c>
      <c r="R199" s="67">
        <f t="shared" si="170"/>
        <v>1.3463978473459055</v>
      </c>
      <c r="S199" s="67" t="str">
        <f t="shared" si="159"/>
        <v>1+0,121702954961667i</v>
      </c>
      <c r="T199" s="67">
        <f t="shared" si="171"/>
        <v>1.0073785828805382</v>
      </c>
      <c r="U199" s="67">
        <f t="shared" si="172"/>
        <v>0.12110736683596951</v>
      </c>
      <c r="V199" t="str">
        <f t="shared" si="160"/>
        <v>1-0,0253547822836807i</v>
      </c>
      <c r="W199" s="67">
        <f t="shared" si="173"/>
        <v>1.0003213808495013</v>
      </c>
      <c r="X199" s="67">
        <f t="shared" si="174"/>
        <v>-2.5349351144512464E-2</v>
      </c>
      <c r="Y199" t="str">
        <f t="shared" si="161"/>
        <v>0,999973320359458+0,0703172628667411i</v>
      </c>
      <c r="Z199" s="67">
        <f t="shared" si="175"/>
        <v>1.0024425963055388</v>
      </c>
      <c r="AA199" s="67">
        <f t="shared" si="176"/>
        <v>7.0203577364374561E-2</v>
      </c>
      <c r="AB199" s="92" t="str">
        <f t="shared" si="177"/>
        <v>1,24494684278551-4,87656473788837i</v>
      </c>
      <c r="AC199" s="37">
        <f t="shared" si="178"/>
        <v>14.03648499335312</v>
      </c>
      <c r="AD199" s="60">
        <f t="shared" si="179"/>
        <v>-75.678752734450498</v>
      </c>
      <c r="AE199" t="str">
        <f t="shared" si="180"/>
        <v>34,4450883806789</v>
      </c>
      <c r="AF199" t="str">
        <f t="shared" si="162"/>
        <v>1+2,19065318931001i</v>
      </c>
      <c r="AG199">
        <f t="shared" si="181"/>
        <v>2.4081032776511311</v>
      </c>
      <c r="AH199">
        <f t="shared" si="182"/>
        <v>1.1425626984652018</v>
      </c>
      <c r="AI199" t="str">
        <f t="shared" si="163"/>
        <v>1+0,121702954961667i</v>
      </c>
      <c r="AJ199">
        <f t="shared" si="183"/>
        <v>1.0073785828805382</v>
      </c>
      <c r="AK199">
        <f t="shared" si="184"/>
        <v>0.12110736683596951</v>
      </c>
      <c r="AL199" t="str">
        <f t="shared" si="164"/>
        <v>1-0,00828083721791686i</v>
      </c>
      <c r="AM199">
        <f t="shared" si="185"/>
        <v>1.0000342855447655</v>
      </c>
      <c r="AN199">
        <f t="shared" si="186"/>
        <v>-8.2806479471159121E-3</v>
      </c>
      <c r="AO199" s="58" t="str">
        <f t="shared" si="187"/>
        <v>7,42172943606955-12,3516003893145i</v>
      </c>
      <c r="AP199">
        <f t="shared" si="188"/>
        <v>23.173195955756931</v>
      </c>
      <c r="AQ199" s="60">
        <f t="shared" si="189"/>
        <v>-58.999525642494284</v>
      </c>
      <c r="AR199" t="str">
        <f t="shared" si="165"/>
        <v>-1,36472945891784</v>
      </c>
      <c r="AS199" t="str">
        <f t="shared" si="166"/>
        <v>1+0,0911676835617851i</v>
      </c>
      <c r="AT199">
        <f t="shared" si="190"/>
        <v>1.0041471737380043</v>
      </c>
      <c r="AU199">
        <f t="shared" si="191"/>
        <v>9.0916354256191906E-2</v>
      </c>
      <c r="AV199" t="str">
        <f t="shared" si="167"/>
        <v>1+0,0911676835617851i</v>
      </c>
      <c r="AW199">
        <f t="shared" si="192"/>
        <v>1.0041471737380043</v>
      </c>
      <c r="AX199">
        <f t="shared" si="193"/>
        <v>9.0916354256191906E-2</v>
      </c>
      <c r="AY199" t="str">
        <f t="shared" si="168"/>
        <v>1-0,164531985611265i</v>
      </c>
      <c r="AZ199">
        <f t="shared" si="194"/>
        <v>1.0134450030905404</v>
      </c>
      <c r="BA199">
        <f t="shared" si="195"/>
        <v>-0.16307097420340144</v>
      </c>
      <c r="BB199" s="58" t="str">
        <f t="shared" si="196"/>
        <v>-1,33317774815284+0,346084374773152i</v>
      </c>
      <c r="BC199">
        <f t="shared" si="197"/>
        <v>2.7809876347567686</v>
      </c>
      <c r="BD199" s="60">
        <f t="shared" si="198"/>
        <v>165.44759802946226</v>
      </c>
      <c r="BE199" s="58" t="str">
        <f t="shared" si="199"/>
        <v>0,0279674299181227+6,93218424569079i</v>
      </c>
      <c r="BF199" s="37">
        <f t="shared" si="200"/>
        <v>16.817472628109883</v>
      </c>
      <c r="BG199" s="60">
        <f t="shared" si="201"/>
        <v>89.768845295011772</v>
      </c>
      <c r="BH199" s="58" t="str">
        <f t="shared" si="202"/>
        <v>-5,61978863879512+19,0354233847277i</v>
      </c>
      <c r="BI199" s="37">
        <f t="shared" si="203"/>
        <v>25.954183590513715</v>
      </c>
      <c r="BJ199" s="60">
        <f t="shared" si="204"/>
        <v>106.44807238696795</v>
      </c>
      <c r="BK199">
        <f t="shared" si="205"/>
        <v>16.817472628109883</v>
      </c>
      <c r="BL199" s="60">
        <f t="shared" si="206"/>
        <v>89.768845295011772</v>
      </c>
      <c r="BN199">
        <f t="shared" si="207"/>
        <v>0</v>
      </c>
      <c r="BO199">
        <f t="shared" si="208"/>
        <v>0</v>
      </c>
    </row>
    <row r="200" spans="13:67" x14ac:dyDescent="0.25">
      <c r="M200" s="66">
        <v>82</v>
      </c>
      <c r="N200" s="36">
        <f t="shared" si="209"/>
        <v>660.69344800759643</v>
      </c>
      <c r="O200" s="91" t="str">
        <f t="shared" si="157"/>
        <v>22,5</v>
      </c>
      <c r="P200" s="67" t="str">
        <f t="shared" si="158"/>
        <v>1+4,48336011427684i</v>
      </c>
      <c r="Q200" s="67">
        <f t="shared" si="169"/>
        <v>4.5935300058112647</v>
      </c>
      <c r="R200" s="67">
        <f t="shared" si="170"/>
        <v>1.3513415586024073</v>
      </c>
      <c r="S200" s="67" t="str">
        <f t="shared" si="159"/>
        <v>1+0,124537780952135i</v>
      </c>
      <c r="T200" s="67">
        <f t="shared" si="171"/>
        <v>1.0077249916939055</v>
      </c>
      <c r="U200" s="67">
        <f t="shared" si="172"/>
        <v>0.12389986070071501</v>
      </c>
      <c r="V200" t="str">
        <f t="shared" si="160"/>
        <v>1-0,0259453710316947i</v>
      </c>
      <c r="W200" s="67">
        <f t="shared" si="173"/>
        <v>1.0003365245146116</v>
      </c>
      <c r="X200" s="67">
        <f t="shared" si="174"/>
        <v>-2.5939551566958239E-2</v>
      </c>
      <c r="Y200" t="str">
        <f t="shared" si="161"/>
        <v>0,999972062986737+0,0719551623278999i</v>
      </c>
      <c r="Z200" s="67">
        <f t="shared" si="175"/>
        <v>1.0025575654991512</v>
      </c>
      <c r="AA200" s="67">
        <f t="shared" si="176"/>
        <v>7.1833362894301159E-2</v>
      </c>
      <c r="AB200" s="92" t="str">
        <f t="shared" si="177"/>
        <v>1,19739269330277-4,77732479469127i</v>
      </c>
      <c r="AC200" s="37">
        <f t="shared" si="178"/>
        <v>13.848295945754153</v>
      </c>
      <c r="AD200" s="60">
        <f t="shared" si="179"/>
        <v>-75.929204237462585</v>
      </c>
      <c r="AE200" t="str">
        <f t="shared" si="180"/>
        <v>34,4450883806789</v>
      </c>
      <c r="AF200" t="str">
        <f t="shared" si="162"/>
        <v>1+2,24168005713842i</v>
      </c>
      <c r="AG200">
        <f t="shared" si="181"/>
        <v>2.454613916397467</v>
      </c>
      <c r="AH200">
        <f t="shared" si="182"/>
        <v>1.1511953856532009</v>
      </c>
      <c r="AI200" t="str">
        <f t="shared" si="163"/>
        <v>1+0,124537780952135i</v>
      </c>
      <c r="AJ200">
        <f t="shared" si="183"/>
        <v>1.0077249916939055</v>
      </c>
      <c r="AK200">
        <f t="shared" si="184"/>
        <v>0.12389986070071501</v>
      </c>
      <c r="AL200" t="str">
        <f t="shared" si="164"/>
        <v>1-0,00847372269531198i</v>
      </c>
      <c r="AM200">
        <f t="shared" si="185"/>
        <v>1.0000359013437052</v>
      </c>
      <c r="AN200">
        <f t="shared" si="186"/>
        <v>-8.4735198883880702E-3</v>
      </c>
      <c r="AO200" s="58" t="str">
        <f t="shared" si="187"/>
        <v>7,21035278847266-12,165467306375i</v>
      </c>
      <c r="AP200">
        <f t="shared" si="188"/>
        <v>23.010034640571156</v>
      </c>
      <c r="AQ200" s="60">
        <f t="shared" si="189"/>
        <v>-59.345194819678518</v>
      </c>
      <c r="AR200" t="str">
        <f t="shared" si="165"/>
        <v>-1,36472945891784</v>
      </c>
      <c r="AS200" t="str">
        <f t="shared" si="166"/>
        <v>1+0,0932912517112441i</v>
      </c>
      <c r="AT200">
        <f t="shared" si="190"/>
        <v>1.0043422014661392</v>
      </c>
      <c r="AU200">
        <f t="shared" si="191"/>
        <v>9.3022010351877862E-2</v>
      </c>
      <c r="AV200" t="str">
        <f t="shared" si="167"/>
        <v>1+0,0932912517112441i</v>
      </c>
      <c r="AW200">
        <f t="shared" si="192"/>
        <v>1.0043422014661392</v>
      </c>
      <c r="AX200">
        <f t="shared" si="193"/>
        <v>9.3022010351877862E-2</v>
      </c>
      <c r="AY200" t="str">
        <f t="shared" si="168"/>
        <v>1-0,160786780377094i</v>
      </c>
      <c r="AZ200">
        <f t="shared" si="194"/>
        <v>1.0128437138789141</v>
      </c>
      <c r="BA200">
        <f t="shared" si="195"/>
        <v>-0.15942230943986657</v>
      </c>
      <c r="BB200" s="58" t="str">
        <f t="shared" si="196"/>
        <v>-1,33266003340899+0,343755978407446i</v>
      </c>
      <c r="BC200">
        <f t="shared" si="197"/>
        <v>2.7741458324198081</v>
      </c>
      <c r="BD200" s="60">
        <f t="shared" si="198"/>
        <v>165.53600591388221</v>
      </c>
      <c r="BE200" s="58" t="str">
        <f t="shared" si="199"/>
        <v>0,0465165723086984+6,77816071732309i</v>
      </c>
      <c r="BF200" s="37">
        <f t="shared" si="200"/>
        <v>16.622441778173965</v>
      </c>
      <c r="BG200" s="60">
        <f t="shared" si="201"/>
        <v>89.606801676419622</v>
      </c>
      <c r="BH200" s="58" t="str">
        <f t="shared" si="202"/>
        <v>-5,42699687128984+18,691033944414i</v>
      </c>
      <c r="BI200" s="37">
        <f t="shared" si="203"/>
        <v>25.784180472990982</v>
      </c>
      <c r="BJ200" s="60">
        <f t="shared" si="204"/>
        <v>106.19081109420362</v>
      </c>
      <c r="BK200">
        <f t="shared" si="205"/>
        <v>16.622441778173965</v>
      </c>
      <c r="BL200" s="60">
        <f t="shared" si="206"/>
        <v>89.606801676419622</v>
      </c>
      <c r="BN200">
        <f t="shared" si="207"/>
        <v>0</v>
      </c>
      <c r="BO200">
        <f t="shared" si="208"/>
        <v>0</v>
      </c>
    </row>
    <row r="201" spans="13:67" x14ac:dyDescent="0.25">
      <c r="M201" s="66">
        <v>83</v>
      </c>
      <c r="N201" s="36">
        <f t="shared" si="209"/>
        <v>676.08297539198213</v>
      </c>
      <c r="O201" s="91" t="str">
        <f t="shared" si="157"/>
        <v>22,5</v>
      </c>
      <c r="P201" s="67" t="str">
        <f t="shared" si="158"/>
        <v>1+4,58779098681053i</v>
      </c>
      <c r="Q201" s="67">
        <f t="shared" si="169"/>
        <v>4.6955112755332546</v>
      </c>
      <c r="R201" s="67">
        <f t="shared" si="170"/>
        <v>1.3561832951886237</v>
      </c>
      <c r="S201" s="67" t="str">
        <f t="shared" si="159"/>
        <v>1+0,127438638522515i</v>
      </c>
      <c r="T201" s="67">
        <f t="shared" si="171"/>
        <v>1.0080875986681277</v>
      </c>
      <c r="U201" s="67">
        <f t="shared" si="172"/>
        <v>0.12675539048673057</v>
      </c>
      <c r="V201" t="str">
        <f t="shared" si="160"/>
        <v>1-0,0265497163588573i</v>
      </c>
      <c r="W201" s="67">
        <f t="shared" si="173"/>
        <v>1.0003523816329603</v>
      </c>
      <c r="X201" s="67">
        <f t="shared" si="174"/>
        <v>-2.6543480808673737E-2</v>
      </c>
      <c r="Y201" t="str">
        <f t="shared" si="161"/>
        <v>0,999970746355865+0,0736312133685641i</v>
      </c>
      <c r="Z201" s="67">
        <f t="shared" si="175"/>
        <v>1.00267793889645</v>
      </c>
      <c r="AA201" s="67">
        <f t="shared" si="176"/>
        <v>7.3500721741787289E-2</v>
      </c>
      <c r="AB201" s="92" t="str">
        <f t="shared" si="177"/>
        <v>1,15177272051185-4,67970719751725i</v>
      </c>
      <c r="AC201" s="37">
        <f t="shared" si="178"/>
        <v>13.659789066256165</v>
      </c>
      <c r="AD201" s="60">
        <f t="shared" si="179"/>
        <v>-76.173140725923801</v>
      </c>
      <c r="AE201" t="str">
        <f t="shared" si="180"/>
        <v>34,4450883806789</v>
      </c>
      <c r="AF201" t="str">
        <f t="shared" si="162"/>
        <v>1+2,29389549340527i</v>
      </c>
      <c r="AG201">
        <f t="shared" si="181"/>
        <v>2.5023901643558717</v>
      </c>
      <c r="AH201">
        <f t="shared" si="182"/>
        <v>1.159696305575908</v>
      </c>
      <c r="AI201" t="str">
        <f t="shared" si="163"/>
        <v>1+0,127438638522515i</v>
      </c>
      <c r="AJ201">
        <f t="shared" si="183"/>
        <v>1.0080875986681277</v>
      </c>
      <c r="AK201">
        <f t="shared" si="184"/>
        <v>0.12675539048673057</v>
      </c>
      <c r="AL201" t="str">
        <f t="shared" si="164"/>
        <v>1-0,00867110105264314i</v>
      </c>
      <c r="AM201">
        <f t="shared" si="185"/>
        <v>1.0000375932901049</v>
      </c>
      <c r="AN201">
        <f t="shared" si="186"/>
        <v>-8.6708837415501398E-3</v>
      </c>
      <c r="AO201" s="58" t="str">
        <f t="shared" si="187"/>
        <v>7,00537954442257-11,9786502416391i</v>
      </c>
      <c r="AP201">
        <f t="shared" si="188"/>
        <v>22.845737548763058</v>
      </c>
      <c r="AQ201" s="60">
        <f t="shared" si="189"/>
        <v>-59.679959964030495</v>
      </c>
      <c r="AR201" t="str">
        <f t="shared" si="165"/>
        <v>-1,36472945891784</v>
      </c>
      <c r="AS201" t="str">
        <f t="shared" si="166"/>
        <v>1+0,0954642841172159i</v>
      </c>
      <c r="AT201">
        <f t="shared" si="190"/>
        <v>1.0045463799855199</v>
      </c>
      <c r="AU201">
        <f t="shared" si="191"/>
        <v>9.5175857274448022E-2</v>
      </c>
      <c r="AV201" t="str">
        <f t="shared" si="167"/>
        <v>1+0,0954642841172159i</v>
      </c>
      <c r="AW201">
        <f t="shared" si="192"/>
        <v>1.0045463799855199</v>
      </c>
      <c r="AX201">
        <f t="shared" si="193"/>
        <v>9.5175857274448022E-2</v>
      </c>
      <c r="AY201" t="str">
        <f t="shared" si="168"/>
        <v>1-0,157126826422144i</v>
      </c>
      <c r="AZ201">
        <f t="shared" si="194"/>
        <v>1.0122691537241935</v>
      </c>
      <c r="BA201">
        <f t="shared" si="195"/>
        <v>-0.15585255696004377</v>
      </c>
      <c r="BB201" s="58" t="str">
        <f t="shared" si="196"/>
        <v>-1,33211835030693+0,341605333476028i</v>
      </c>
      <c r="BC201">
        <f t="shared" si="197"/>
        <v>2.7674515276900715</v>
      </c>
      <c r="BD201" s="60">
        <f t="shared" si="198"/>
        <v>165.61713132650186</v>
      </c>
      <c r="BE201" s="58" t="str">
        <f t="shared" si="199"/>
        <v>0,0643153614012784+6,62737553615519i</v>
      </c>
      <c r="BF201" s="37">
        <f t="shared" si="200"/>
        <v>16.427240593946237</v>
      </c>
      <c r="BG201" s="60">
        <f t="shared" si="201"/>
        <v>89.443990600578061</v>
      </c>
      <c r="BH201" s="58" t="str">
        <f t="shared" si="202"/>
        <v>-5,24002383160228+18,3500548141946i</v>
      </c>
      <c r="BI201" s="37">
        <f t="shared" si="203"/>
        <v>25.613189076453125</v>
      </c>
      <c r="BJ201" s="60">
        <f t="shared" si="204"/>
        <v>105.93717136247137</v>
      </c>
      <c r="BK201">
        <f t="shared" si="205"/>
        <v>16.427240593946237</v>
      </c>
      <c r="BL201" s="60">
        <f t="shared" si="206"/>
        <v>89.443990600578061</v>
      </c>
      <c r="BN201">
        <f t="shared" si="207"/>
        <v>0</v>
      </c>
      <c r="BO201">
        <f t="shared" si="208"/>
        <v>0</v>
      </c>
    </row>
    <row r="202" spans="13:67" x14ac:dyDescent="0.25">
      <c r="M202" s="66">
        <v>84</v>
      </c>
      <c r="N202" s="36">
        <f t="shared" si="209"/>
        <v>691.83097091893671</v>
      </c>
      <c r="O202" s="91" t="str">
        <f t="shared" si="157"/>
        <v>22,5</v>
      </c>
      <c r="P202" s="67" t="str">
        <f t="shared" si="158"/>
        <v>1+4,69465436685202i</v>
      </c>
      <c r="Q202" s="67">
        <f t="shared" si="169"/>
        <v>4.7999770441328922</v>
      </c>
      <c r="R202" s="67">
        <f t="shared" si="170"/>
        <v>1.3609247158263242</v>
      </c>
      <c r="S202" s="67" t="str">
        <f t="shared" si="159"/>
        <v>1+0,13040706574589i</v>
      </c>
      <c r="T202" s="67">
        <f t="shared" si="171"/>
        <v>1.0084671550409825</v>
      </c>
      <c r="U202" s="67">
        <f t="shared" si="172"/>
        <v>0.12967528386122532</v>
      </c>
      <c r="V202" t="str">
        <f t="shared" si="160"/>
        <v>1-0,0271681386970603i</v>
      </c>
      <c r="W202" s="67">
        <f t="shared" si="173"/>
        <v>1.0003689858048692</v>
      </c>
      <c r="X202" s="67">
        <f t="shared" si="174"/>
        <v>-2.7161457317756141E-2</v>
      </c>
      <c r="Y202" t="str">
        <f t="shared" si="161"/>
        <v>0,999969367674091+0,0753463046531806i</v>
      </c>
      <c r="Z202" s="67">
        <f t="shared" si="175"/>
        <v>1.0028039698322955</v>
      </c>
      <c r="AA202" s="67">
        <f t="shared" si="176"/>
        <v>7.5206501462299721E-2</v>
      </c>
      <c r="AB202" s="92" t="str">
        <f t="shared" si="177"/>
        <v>1,10801580434665-4,58371543100595i</v>
      </c>
      <c r="AC202" s="37">
        <f t="shared" si="178"/>
        <v>13.47098580595681</v>
      </c>
      <c r="AD202" s="60">
        <f t="shared" si="179"/>
        <v>-76.410647974946556</v>
      </c>
      <c r="AE202" t="str">
        <f t="shared" si="180"/>
        <v>34,4450883806789</v>
      </c>
      <c r="AF202" t="str">
        <f t="shared" si="162"/>
        <v>1+2,34732718342601i</v>
      </c>
      <c r="AG202">
        <f t="shared" si="181"/>
        <v>2.5514593679011792</v>
      </c>
      <c r="AH202">
        <f t="shared" si="182"/>
        <v>1.168065049891535</v>
      </c>
      <c r="AI202" t="str">
        <f t="shared" si="163"/>
        <v>1+0,13040706574589i</v>
      </c>
      <c r="AJ202">
        <f t="shared" si="183"/>
        <v>1.0084671550409825</v>
      </c>
      <c r="AK202">
        <f t="shared" si="184"/>
        <v>0.12967528386122532</v>
      </c>
      <c r="AL202" t="str">
        <f t="shared" si="164"/>
        <v>1-0,00887307694252799i</v>
      </c>
      <c r="AM202">
        <f t="shared" si="185"/>
        <v>1.0000393649724135</v>
      </c>
      <c r="AN202">
        <f t="shared" si="186"/>
        <v>-8.8728440899916352E-3</v>
      </c>
      <c r="AO202" s="58" t="str">
        <f t="shared" si="187"/>
        <v>6,80673060728793-11,7913747991565i</v>
      </c>
      <c r="AP202">
        <f t="shared" si="188"/>
        <v>22.680350013376852</v>
      </c>
      <c r="AQ202" s="60">
        <f t="shared" si="189"/>
        <v>-60.003727601747777</v>
      </c>
      <c r="AR202" t="str">
        <f t="shared" si="165"/>
        <v>-1,36472945891784</v>
      </c>
      <c r="AS202" t="str">
        <f t="shared" si="166"/>
        <v>1+0,0976879329502459i</v>
      </c>
      <c r="AT202">
        <f t="shared" si="190"/>
        <v>1.0047601366714802</v>
      </c>
      <c r="AU202">
        <f t="shared" si="191"/>
        <v>9.737895704344203E-2</v>
      </c>
      <c r="AV202" t="str">
        <f t="shared" si="167"/>
        <v>1+0,0976879329502459i</v>
      </c>
      <c r="AW202">
        <f t="shared" si="192"/>
        <v>1.0047601366714802</v>
      </c>
      <c r="AX202">
        <f t="shared" si="193"/>
        <v>9.737895704344203E-2</v>
      </c>
      <c r="AY202" t="str">
        <f t="shared" si="168"/>
        <v>1-0,153550183190382i</v>
      </c>
      <c r="AZ202">
        <f t="shared" si="194"/>
        <v>1.0117201484391818</v>
      </c>
      <c r="BA202">
        <f t="shared" si="195"/>
        <v>-0.15236018813841914</v>
      </c>
      <c r="BB202" s="58" t="str">
        <f t="shared" si="196"/>
        <v>-1,33155161023806+0,339630982842873i</v>
      </c>
      <c r="BC202">
        <f t="shared" si="197"/>
        <v>2.7608913805530602</v>
      </c>
      <c r="BD202" s="60">
        <f t="shared" si="198"/>
        <v>165.69100100187444</v>
      </c>
      <c r="BE202" s="58" t="str">
        <f t="shared" si="199"/>
        <v>0,0813915484575931+6,4797701596647i</v>
      </c>
      <c r="BF202" s="37">
        <f t="shared" si="200"/>
        <v>16.231877186509863</v>
      </c>
      <c r="BG202" s="60">
        <f t="shared" si="201"/>
        <v>89.28035302692787</v>
      </c>
      <c r="BH202" s="58" t="str">
        <f t="shared" si="202"/>
        <v>-5,05879688848472+18,0126007068372i</v>
      </c>
      <c r="BI202" s="37">
        <f t="shared" si="203"/>
        <v>25.441241393929918</v>
      </c>
      <c r="BJ202" s="60">
        <f t="shared" si="204"/>
        <v>105.68727340012661</v>
      </c>
      <c r="BK202">
        <f t="shared" si="205"/>
        <v>16.231877186509863</v>
      </c>
      <c r="BL202" s="60">
        <f t="shared" si="206"/>
        <v>89.28035302692787</v>
      </c>
      <c r="BN202">
        <f t="shared" si="207"/>
        <v>0</v>
      </c>
      <c r="BO202">
        <f t="shared" si="208"/>
        <v>0</v>
      </c>
    </row>
    <row r="203" spans="13:67" x14ac:dyDescent="0.25">
      <c r="M203" s="66">
        <v>85</v>
      </c>
      <c r="N203" s="36">
        <f t="shared" si="209"/>
        <v>707.94578438413873</v>
      </c>
      <c r="O203" s="91" t="str">
        <f t="shared" si="157"/>
        <v>22,5</v>
      </c>
      <c r="P203" s="67" t="str">
        <f t="shared" si="158"/>
        <v>1+4,80400691477992i</v>
      </c>
      <c r="Q203" s="67">
        <f t="shared" si="169"/>
        <v>4.9069830280176516</v>
      </c>
      <c r="R203" s="67">
        <f t="shared" si="170"/>
        <v>1.3655674813478609</v>
      </c>
      <c r="S203" s="67" t="str">
        <f t="shared" si="159"/>
        <v>1+0,133444636521665i</v>
      </c>
      <c r="T203" s="67">
        <f t="shared" si="171"/>
        <v>1.0088644463040608</v>
      </c>
      <c r="U203" s="67">
        <f t="shared" si="172"/>
        <v>0.13266088972951184</v>
      </c>
      <c r="V203" t="str">
        <f t="shared" si="160"/>
        <v>1-0,0278009659420134i</v>
      </c>
      <c r="W203" s="67">
        <f t="shared" si="173"/>
        <v>1.0003863722119115</v>
      </c>
      <c r="X203" s="67">
        <f t="shared" si="174"/>
        <v>-2.7793806864432641E-2</v>
      </c>
      <c r="Y203" t="str">
        <f t="shared" si="161"/>
        <v>0,999967924017048+0,0771013455458506i</v>
      </c>
      <c r="Z203" s="67">
        <f t="shared" si="175"/>
        <v>1.0029359234507187</v>
      </c>
      <c r="AA203" s="67">
        <f t="shared" si="176"/>
        <v>7.6951567400932036E-2</v>
      </c>
      <c r="AB203" s="92" t="str">
        <f t="shared" si="177"/>
        <v>1,06605271746559-4,48935070217472i</v>
      </c>
      <c r="AC203" s="37">
        <f t="shared" si="178"/>
        <v>13.281907181513459</v>
      </c>
      <c r="AD203" s="60">
        <f t="shared" si="179"/>
        <v>-76.641812102514336</v>
      </c>
      <c r="AE203" t="str">
        <f t="shared" si="180"/>
        <v>34,4450883806789</v>
      </c>
      <c r="AF203" t="str">
        <f t="shared" si="162"/>
        <v>1+2,40200345738996i</v>
      </c>
      <c r="AG203">
        <f t="shared" si="181"/>
        <v>2.6018494593871724</v>
      </c>
      <c r="AH203">
        <f t="shared" si="182"/>
        <v>1.1763013658690735</v>
      </c>
      <c r="AI203" t="str">
        <f t="shared" si="163"/>
        <v>1+0,133444636521665i</v>
      </c>
      <c r="AJ203">
        <f t="shared" si="183"/>
        <v>1.0088644463040608</v>
      </c>
      <c r="AK203">
        <f t="shared" si="184"/>
        <v>0.13266088972951184</v>
      </c>
      <c r="AL203" t="str">
        <f t="shared" si="164"/>
        <v>1-0,00907975745525685i</v>
      </c>
      <c r="AM203">
        <f t="shared" si="185"/>
        <v>1.000041220148173</v>
      </c>
      <c r="AN203">
        <f t="shared" si="186"/>
        <v>-9.07950794982431E-3</v>
      </c>
      <c r="AO203" s="58" t="str">
        <f t="shared" si="187"/>
        <v>6,61431869123768-11,6038571137371i</v>
      </c>
      <c r="AP203">
        <f t="shared" si="188"/>
        <v>22.513917137246409</v>
      </c>
      <c r="AQ203" s="60">
        <f t="shared" si="189"/>
        <v>-60.316412097401049</v>
      </c>
      <c r="AR203" t="str">
        <f t="shared" si="165"/>
        <v>-1,36472945891784</v>
      </c>
      <c r="AS203" t="str">
        <f t="shared" si="166"/>
        <v>1+0,099963377218379i</v>
      </c>
      <c r="AT203">
        <f t="shared" si="190"/>
        <v>1.0049839186697984</v>
      </c>
      <c r="AU203">
        <f t="shared" si="191"/>
        <v>9.9632392179874602E-2</v>
      </c>
      <c r="AV203" t="str">
        <f t="shared" si="167"/>
        <v>1+0,099963377218379i</v>
      </c>
      <c r="AW203">
        <f t="shared" si="192"/>
        <v>1.0049839186697984</v>
      </c>
      <c r="AX203">
        <f t="shared" si="193"/>
        <v>9.9632392179874602E-2</v>
      </c>
      <c r="AY203" t="str">
        <f t="shared" si="168"/>
        <v>1-0,150054954298224i</v>
      </c>
      <c r="AZ203">
        <f t="shared" si="194"/>
        <v>1.0111955742137335</v>
      </c>
      <c r="BA203">
        <f t="shared" si="195"/>
        <v>-0.14894369221110756</v>
      </c>
      <c r="BB203" s="58" t="str">
        <f t="shared" si="196"/>
        <v>-1,33095867715916+0,337831540894292i</v>
      </c>
      <c r="BC203">
        <f t="shared" si="197"/>
        <v>2.7544522800728615</v>
      </c>
      <c r="BD203" s="60">
        <f t="shared" si="198"/>
        <v>165.75763947650896</v>
      </c>
      <c r="BE203" s="58" t="str">
        <f t="shared" si="199"/>
        <v>0,0977721507106282+6,33528650408596i</v>
      </c>
      <c r="BF203" s="37">
        <f t="shared" si="200"/>
        <v>16.036359461586322</v>
      </c>
      <c r="BG203" s="60">
        <f t="shared" si="201"/>
        <v>89.115827373994648</v>
      </c>
      <c r="BH203" s="58" t="str">
        <f t="shared" si="202"/>
        <v>-4,88323592654781+17,6787797894702i</v>
      </c>
      <c r="BI203" s="37">
        <f t="shared" si="203"/>
        <v>25.268369417319285</v>
      </c>
      <c r="BJ203" s="60">
        <f t="shared" si="204"/>
        <v>105.44122737910789</v>
      </c>
      <c r="BK203">
        <f t="shared" si="205"/>
        <v>16.036359461586322</v>
      </c>
      <c r="BL203" s="60">
        <f t="shared" si="206"/>
        <v>89.115827373994648</v>
      </c>
      <c r="BN203">
        <f t="shared" si="207"/>
        <v>0</v>
      </c>
      <c r="BO203">
        <f t="shared" si="208"/>
        <v>0</v>
      </c>
    </row>
    <row r="204" spans="13:67" x14ac:dyDescent="0.25">
      <c r="M204" s="66">
        <v>86</v>
      </c>
      <c r="N204" s="36">
        <f t="shared" si="209"/>
        <v>724.43596007499025</v>
      </c>
      <c r="O204" s="91" t="str">
        <f t="shared" si="157"/>
        <v>22,5</v>
      </c>
      <c r="P204" s="67" t="str">
        <f t="shared" si="158"/>
        <v>1+4,91590661076258i</v>
      </c>
      <c r="Q204" s="67">
        <f t="shared" si="169"/>
        <v>5.0165862701382142</v>
      </c>
      <c r="R204" s="67">
        <f t="shared" si="170"/>
        <v>1.3701132524267954</v>
      </c>
      <c r="S204" s="67" t="str">
        <f t="shared" si="159"/>
        <v>1+0,136552961410072i</v>
      </c>
      <c r="T204" s="67">
        <f t="shared" si="171"/>
        <v>1.0092802937092651</v>
      </c>
      <c r="U204" s="67">
        <f t="shared" si="172"/>
        <v>0.13571357808076159</v>
      </c>
      <c r="V204" t="str">
        <f t="shared" si="160"/>
        <v>1-0,0284485336270982i</v>
      </c>
      <c r="W204" s="67">
        <f t="shared" si="173"/>
        <v>1.0004045776912118</v>
      </c>
      <c r="X204" s="67">
        <f t="shared" si="174"/>
        <v>-2.8440862704804396E-2</v>
      </c>
      <c r="Y204" t="str">
        <f t="shared" si="161"/>
        <v>0,999966412322544+0,0788972665924858i</v>
      </c>
      <c r="Z204" s="67">
        <f t="shared" si="175"/>
        <v>1.0030740772490265</v>
      </c>
      <c r="AA204" s="67">
        <f t="shared" si="176"/>
        <v>7.8736802970072656E-2</v>
      </c>
      <c r="AB204" s="92" t="str">
        <f t="shared" si="177"/>
        <v>1,0258161361021-4,39661209581954i</v>
      </c>
      <c r="AC204" s="37">
        <f t="shared" si="178"/>
        <v>13.092573799619158</v>
      </c>
      <c r="AD204" s="60">
        <f t="shared" si="179"/>
        <v>-76.866719473585533</v>
      </c>
      <c r="AE204" t="str">
        <f t="shared" si="180"/>
        <v>34,4450883806789</v>
      </c>
      <c r="AF204" t="str">
        <f t="shared" si="162"/>
        <v>1+2,45795330538129i</v>
      </c>
      <c r="AG204">
        <f t="shared" si="181"/>
        <v>2.6535889756016866</v>
      </c>
      <c r="AH204">
        <f t="shared" si="182"/>
        <v>1.1844051496520771</v>
      </c>
      <c r="AI204" t="str">
        <f t="shared" si="163"/>
        <v>1+0,136552961410072i</v>
      </c>
      <c r="AJ204">
        <f t="shared" si="183"/>
        <v>1.0092802937092651</v>
      </c>
      <c r="AK204">
        <f t="shared" si="184"/>
        <v>0.13571357808076159</v>
      </c>
      <c r="AL204" t="str">
        <f t="shared" si="164"/>
        <v>1-0,00929125217557326i</v>
      </c>
      <c r="AM204">
        <f t="shared" si="185"/>
        <v>1.0000431627519835</v>
      </c>
      <c r="AN204">
        <f t="shared" si="186"/>
        <v>-9.2909848263087388E-3</v>
      </c>
      <c r="AO204" s="58" t="str">
        <f t="shared" si="187"/>
        <v>6,42804909678371-11,4163037025342i</v>
      </c>
      <c r="AP204">
        <f t="shared" si="188"/>
        <v>22.346483756583861</v>
      </c>
      <c r="AQ204" s="60">
        <f t="shared" si="189"/>
        <v>-60.617935280045536</v>
      </c>
      <c r="AR204" t="str">
        <f t="shared" si="165"/>
        <v>-1,36472945891784</v>
      </c>
      <c r="AS204" t="str">
        <f t="shared" si="166"/>
        <v>1+0,102291823392285i</v>
      </c>
      <c r="AT204">
        <f t="shared" si="190"/>
        <v>1.0052181937932274</v>
      </c>
      <c r="AU204">
        <f t="shared" si="191"/>
        <v>0.10193726589161069</v>
      </c>
      <c r="AV204" t="str">
        <f t="shared" si="167"/>
        <v>1+0,102291823392285i</v>
      </c>
      <c r="AW204">
        <f t="shared" si="192"/>
        <v>1.0052181937932274</v>
      </c>
      <c r="AX204">
        <f t="shared" si="193"/>
        <v>0.10193726589161069</v>
      </c>
      <c r="AY204" t="str">
        <f t="shared" si="168"/>
        <v>1-0,146639286529048i</v>
      </c>
      <c r="AZ204">
        <f t="shared" si="194"/>
        <v>1.0106943555564898</v>
      </c>
      <c r="BA204">
        <f t="shared" si="195"/>
        <v>-0.14560157690226611</v>
      </c>
      <c r="BB204" s="58" t="str">
        <f t="shared" si="196"/>
        <v>-1,33033836571797+0,336205691318889i</v>
      </c>
      <c r="BC204">
        <f t="shared" si="197"/>
        <v>2.7481213229232528</v>
      </c>
      <c r="BD204" s="60">
        <f t="shared" si="198"/>
        <v>165.81706904235853</v>
      </c>
      <c r="BE204" s="58" t="str">
        <f t="shared" si="199"/>
        <v>0,113483447106807+6,1938669734527i</v>
      </c>
      <c r="BF204" s="37">
        <f t="shared" si="200"/>
        <v>15.840695122542405</v>
      </c>
      <c r="BG204" s="60">
        <f t="shared" si="201"/>
        <v>88.950349568772992</v>
      </c>
      <c r="BH204" s="58" t="str">
        <f t="shared" si="202"/>
        <v>-4,71325405155321+17,3486935005853i</v>
      </c>
      <c r="BI204" s="37">
        <f t="shared" si="203"/>
        <v>25.094605079507126</v>
      </c>
      <c r="BJ204" s="60">
        <f t="shared" si="204"/>
        <v>105.19913376231297</v>
      </c>
      <c r="BK204">
        <f t="shared" si="205"/>
        <v>15.840695122542405</v>
      </c>
      <c r="BL204" s="60">
        <f t="shared" si="206"/>
        <v>88.950349568772992</v>
      </c>
      <c r="BN204">
        <f t="shared" si="207"/>
        <v>0</v>
      </c>
      <c r="BO204">
        <f t="shared" si="208"/>
        <v>0</v>
      </c>
    </row>
    <row r="205" spans="13:67" x14ac:dyDescent="0.25">
      <c r="M205" s="66">
        <v>87</v>
      </c>
      <c r="N205" s="36">
        <f t="shared" si="209"/>
        <v>741.31024130091828</v>
      </c>
      <c r="O205" s="91" t="str">
        <f t="shared" si="157"/>
        <v>22,5</v>
      </c>
      <c r="P205" s="67" t="str">
        <f t="shared" si="158"/>
        <v>1+5,03041278549997i</v>
      </c>
      <c r="Q205" s="67">
        <f t="shared" si="169"/>
        <v>5.1288451714320225</v>
      </c>
      <c r="R205" s="67">
        <f t="shared" si="170"/>
        <v>1.3745636874653373</v>
      </c>
      <c r="S205" s="67" t="str">
        <f t="shared" si="159"/>
        <v>1+0,139733688486111i</v>
      </c>
      <c r="T205" s="67">
        <f t="shared" si="171"/>
        <v>1.009715555836362</v>
      </c>
      <c r="U205" s="67">
        <f t="shared" si="172"/>
        <v>0.13883473978888275</v>
      </c>
      <c r="V205" t="str">
        <f t="shared" si="160"/>
        <v>1-0,029111185101273i</v>
      </c>
      <c r="W205" s="67">
        <f t="shared" si="173"/>
        <v>1.000423640813231</v>
      </c>
      <c r="X205" s="67">
        <f t="shared" si="174"/>
        <v>-2.9102965747921049E-2</v>
      </c>
      <c r="Y205" t="str">
        <f t="shared" si="161"/>
        <v>0,999964829384073+0,0807350200141971i</v>
      </c>
      <c r="Z205" s="67">
        <f t="shared" si="175"/>
        <v>1.003218721646387</v>
      </c>
      <c r="AA205" s="67">
        <f t="shared" si="176"/>
        <v>8.0563109924117055E-2</v>
      </c>
      <c r="AB205" s="92" t="str">
        <f t="shared" si="177"/>
        <v>0,987240643852477-4,30549672356291i</v>
      </c>
      <c r="AC205" s="37">
        <f t="shared" si="178"/>
        <v>12.90300588175047</v>
      </c>
      <c r="AD205" s="60">
        <f t="shared" si="179"/>
        <v>-77.085456615773467</v>
      </c>
      <c r="AE205" t="str">
        <f t="shared" si="180"/>
        <v>34,4450883806789</v>
      </c>
      <c r="AF205" t="str">
        <f t="shared" si="162"/>
        <v>1+2,51520639274999i</v>
      </c>
      <c r="AG205">
        <f t="shared" si="181"/>
        <v>2.7067070765286769</v>
      </c>
      <c r="AH205">
        <f t="shared" si="182"/>
        <v>1.1923764394379188</v>
      </c>
      <c r="AI205" t="str">
        <f t="shared" si="163"/>
        <v>1+0,139733688486111i</v>
      </c>
      <c r="AJ205">
        <f t="shared" si="183"/>
        <v>1.009715555836362</v>
      </c>
      <c r="AK205">
        <f t="shared" si="184"/>
        <v>0.13883473978888275</v>
      </c>
      <c r="AL205" t="str">
        <f t="shared" si="164"/>
        <v>1-0,00950767324077742i</v>
      </c>
      <c r="AM205">
        <f t="shared" si="185"/>
        <v>1.0000451969038466</v>
      </c>
      <c r="AN205">
        <f t="shared" si="186"/>
        <v>-9.5073867715784917E-3</v>
      </c>
      <c r="AO205" s="58" t="str">
        <f t="shared" si="187"/>
        <v>6,24782046638561-11,2289113732182i</v>
      </c>
      <c r="AP205">
        <f t="shared" si="188"/>
        <v>22.178094409630194</v>
      </c>
      <c r="AQ205" s="60">
        <f t="shared" si="189"/>
        <v>-60.908226067139204</v>
      </c>
      <c r="AR205" t="str">
        <f t="shared" si="165"/>
        <v>-1,36472945891784</v>
      </c>
      <c r="AS205" t="str">
        <f t="shared" si="166"/>
        <v>1+0,104674506044945i</v>
      </c>
      <c r="AT205">
        <f t="shared" si="190"/>
        <v>1.0054634514569654</v>
      </c>
      <c r="AU205">
        <f t="shared" si="191"/>
        <v>0.10429470224344964</v>
      </c>
      <c r="AV205" t="str">
        <f t="shared" si="167"/>
        <v>1+0,104674506044945i</v>
      </c>
      <c r="AW205">
        <f t="shared" si="192"/>
        <v>1.0054634514569654</v>
      </c>
      <c r="AX205">
        <f t="shared" si="193"/>
        <v>0.10429470224344964</v>
      </c>
      <c r="AY205" t="str">
        <f t="shared" si="168"/>
        <v>1-0,14330136885059i</v>
      </c>
      <c r="AZ205">
        <f t="shared" si="194"/>
        <v>1.0102154633118883</v>
      </c>
      <c r="BA205">
        <f t="shared" si="195"/>
        <v>-0.14233236897732887</v>
      </c>
      <c r="BB205" s="58" t="str">
        <f t="shared" si="196"/>
        <v>-1,3296894393235+0,334752184828018i</v>
      </c>
      <c r="BC205">
        <f t="shared" si="197"/>
        <v>2.7418857919948407</v>
      </c>
      <c r="BD205" s="60">
        <f t="shared" si="198"/>
        <v>165.86930970537705</v>
      </c>
      <c r="BE205" s="58" t="str">
        <f t="shared" si="199"/>
        <v>0,128550976780986+6,05545448684417i</v>
      </c>
      <c r="BF205" s="37">
        <f t="shared" si="200"/>
        <v>15.644891673745319</v>
      </c>
      <c r="BG205" s="60">
        <f t="shared" si="201"/>
        <v>88.783853089603582</v>
      </c>
      <c r="BH205" s="58" t="str">
        <f t="shared" si="202"/>
        <v>-4,5487582775172+17,0224364196036i</v>
      </c>
      <c r="BI205" s="37">
        <f t="shared" si="203"/>
        <v>24.919980201625052</v>
      </c>
      <c r="BJ205" s="60">
        <f t="shared" si="204"/>
        <v>104.96108363823781</v>
      </c>
      <c r="BK205">
        <f t="shared" si="205"/>
        <v>15.644891673745319</v>
      </c>
      <c r="BL205" s="60">
        <f t="shared" si="206"/>
        <v>88.783853089603582</v>
      </c>
      <c r="BN205">
        <f t="shared" si="207"/>
        <v>0</v>
      </c>
      <c r="BO205">
        <f t="shared" si="208"/>
        <v>0</v>
      </c>
    </row>
    <row r="206" spans="13:67" x14ac:dyDescent="0.25">
      <c r="M206" s="66">
        <v>88</v>
      </c>
      <c r="N206" s="36">
        <f t="shared" si="209"/>
        <v>758.57757502918378</v>
      </c>
      <c r="O206" s="91" t="str">
        <f t="shared" si="157"/>
        <v>22,5</v>
      </c>
      <c r="P206" s="67" t="str">
        <f t="shared" si="158"/>
        <v>1+5,14758615168163i</v>
      </c>
      <c r="Q206" s="67">
        <f t="shared" si="169"/>
        <v>5.2438195229226281</v>
      </c>
      <c r="R206" s="67">
        <f t="shared" si="170"/>
        <v>1.3789204406320446</v>
      </c>
      <c r="S206" s="67" t="str">
        <f t="shared" si="159"/>
        <v>1+0,142988504213379i</v>
      </c>
      <c r="T206" s="67">
        <f t="shared" si="171"/>
        <v>1.0101711302235772</v>
      </c>
      <c r="U206" s="67">
        <f t="shared" si="172"/>
        <v>0.14202578636511121</v>
      </c>
      <c r="V206" t="str">
        <f t="shared" si="160"/>
        <v>1-0,0297892717111206i</v>
      </c>
      <c r="W206" s="67">
        <f t="shared" si="173"/>
        <v>1.0004436019631886</v>
      </c>
      <c r="X206" s="67">
        <f t="shared" si="174"/>
        <v>-2.9780464726226901E-2</v>
      </c>
      <c r="Y206" t="str">
        <f t="shared" si="161"/>
        <v>0,99996317184401+0,0826155802121743i</v>
      </c>
      <c r="Z206" s="67">
        <f t="shared" si="175"/>
        <v>1.0033701605779031</v>
      </c>
      <c r="AA206" s="67">
        <f t="shared" si="176"/>
        <v>8.2431408630522424E-2</v>
      </c>
      <c r="AB206" s="92" t="str">
        <f t="shared" si="177"/>
        <v>0,950262729073311-4,21599986652403i</v>
      </c>
      <c r="AC206" s="37">
        <f t="shared" si="178"/>
        <v>12.713223289125072</v>
      </c>
      <c r="AD206" s="60">
        <f t="shared" si="179"/>
        <v>-77.298110146386634</v>
      </c>
      <c r="AE206" t="str">
        <f t="shared" si="180"/>
        <v>34,4450883806789</v>
      </c>
      <c r="AF206" t="str">
        <f t="shared" si="162"/>
        <v>1+2,57379307584082i</v>
      </c>
      <c r="AG206">
        <f t="shared" si="181"/>
        <v>2.7612335644139465</v>
      </c>
      <c r="AH206">
        <f t="shared" si="182"/>
        <v>1.2002154086109662</v>
      </c>
      <c r="AI206" t="str">
        <f t="shared" si="163"/>
        <v>1+0,142988504213379i</v>
      </c>
      <c r="AJ206">
        <f t="shared" si="183"/>
        <v>1.0101711302235772</v>
      </c>
      <c r="AK206">
        <f t="shared" si="184"/>
        <v>0.14202578636511121</v>
      </c>
      <c r="AL206" t="str">
        <f t="shared" si="164"/>
        <v>1-0,00972913540018278i</v>
      </c>
      <c r="AM206">
        <f t="shared" si="185"/>
        <v>1.0000473269178991</v>
      </c>
      <c r="AN206">
        <f t="shared" si="186"/>
        <v>-9.7288284436903346E-3</v>
      </c>
      <c r="AO206" s="58" t="str">
        <f t="shared" si="187"/>
        <v>6,0735255167637-11,0418671846649i</v>
      </c>
      <c r="AP206">
        <f t="shared" si="188"/>
        <v>22.008793310236577</v>
      </c>
      <c r="AQ206" s="60">
        <f t="shared" si="189"/>
        <v>-61.187220088660645</v>
      </c>
      <c r="AR206" t="str">
        <f t="shared" si="165"/>
        <v>-1,36472945891784</v>
      </c>
      <c r="AS206" t="str">
        <f t="shared" si="166"/>
        <v>1+0,107112688506242i</v>
      </c>
      <c r="AT206">
        <f t="shared" si="190"/>
        <v>1.0057202036545927</v>
      </c>
      <c r="AU206">
        <f t="shared" si="191"/>
        <v>0.10670584631031581</v>
      </c>
      <c r="AV206" t="str">
        <f t="shared" si="167"/>
        <v>1+0,107112688506242i</v>
      </c>
      <c r="AW206">
        <f t="shared" si="192"/>
        <v>1.0057202036545927</v>
      </c>
      <c r="AX206">
        <f t="shared" si="193"/>
        <v>0.10670584631031581</v>
      </c>
      <c r="AY206" t="str">
        <f t="shared" si="168"/>
        <v>1-0,140039431454714i</v>
      </c>
      <c r="AZ206">
        <f t="shared" si="194"/>
        <v>1.009757912750457</v>
      </c>
      <c r="BA206">
        <f t="shared" si="195"/>
        <v>-0.1391346147276602</v>
      </c>
      <c r="BB206" s="58" t="str">
        <f t="shared" si="196"/>
        <v>-1,3290106081614+0,333469836809837i</v>
      </c>
      <c r="BC206">
        <f t="shared" si="197"/>
        <v>2.7357331350759653</v>
      </c>
      <c r="BD206" s="60">
        <f t="shared" si="198"/>
        <v>165.91437914897361</v>
      </c>
      <c r="BE206" s="58" t="str">
        <f t="shared" si="199"/>
        <v>0,14299954000123+5,91999250380803i</v>
      </c>
      <c r="BF206" s="37">
        <f t="shared" si="200"/>
        <v>15.448956424201034</v>
      </c>
      <c r="BG206" s="60">
        <f t="shared" si="201"/>
        <v>88.616269002587003</v>
      </c>
      <c r="BH206" s="58" t="str">
        <f t="shared" si="202"/>
        <v>-4,38965019257181+16,7000961852645i</v>
      </c>
      <c r="BI206" s="37">
        <f t="shared" si="203"/>
        <v>24.744526445312552</v>
      </c>
      <c r="BJ206" s="60">
        <f t="shared" si="204"/>
        <v>104.72715906031296</v>
      </c>
      <c r="BK206">
        <f t="shared" si="205"/>
        <v>15.448956424201034</v>
      </c>
      <c r="BL206" s="60">
        <f t="shared" si="206"/>
        <v>88.616269002587003</v>
      </c>
      <c r="BN206">
        <f t="shared" si="207"/>
        <v>0</v>
      </c>
      <c r="BO206">
        <f t="shared" si="208"/>
        <v>0</v>
      </c>
    </row>
    <row r="207" spans="13:67" x14ac:dyDescent="0.25">
      <c r="M207" s="66">
        <v>89</v>
      </c>
      <c r="N207" s="36">
        <f t="shared" si="209"/>
        <v>776.24711662869231</v>
      </c>
      <c r="O207" s="91" t="str">
        <f t="shared" si="157"/>
        <v>22,5</v>
      </c>
      <c r="P207" s="67" t="str">
        <f t="shared" si="158"/>
        <v>1+5,26748883617727i</v>
      </c>
      <c r="Q207" s="67">
        <f t="shared" si="169"/>
        <v>5.3615705384944965</v>
      </c>
      <c r="R207" s="67">
        <f t="shared" si="170"/>
        <v>1.3831851600432314</v>
      </c>
      <c r="S207" s="67" t="str">
        <f t="shared" si="159"/>
        <v>1+0,146319134338258i</v>
      </c>
      <c r="T207" s="67">
        <f t="shared" si="171"/>
        <v>1.0106479550632343</v>
      </c>
      <c r="U207" s="67">
        <f t="shared" si="172"/>
        <v>0.14528814965872855</v>
      </c>
      <c r="V207" t="str">
        <f t="shared" si="160"/>
        <v>1-0,030483152987137i</v>
      </c>
      <c r="W207" s="67">
        <f t="shared" si="173"/>
        <v>1.000464503426302</v>
      </c>
      <c r="X207" s="67">
        <f t="shared" si="174"/>
        <v>-3.0473716369421776E-2</v>
      </c>
      <c r="Y207" t="str">
        <f t="shared" si="161"/>
        <v>0,999961436186491+0,0845399442843266i</v>
      </c>
      <c r="Z207" s="67">
        <f t="shared" si="175"/>
        <v>1.0035287121152772</v>
      </c>
      <c r="AA207" s="67">
        <f t="shared" si="176"/>
        <v>8.4342638336448422E-2</v>
      </c>
      <c r="AB207" s="92" t="str">
        <f t="shared" si="177"/>
        <v>0,914820776522707-4,12811511162466i</v>
      </c>
      <c r="AC207" s="37">
        <f t="shared" si="178"/>
        <v>12.523245547810536</v>
      </c>
      <c r="AD207" s="60">
        <f t="shared" si="179"/>
        <v>-77.504766710617645</v>
      </c>
      <c r="AE207" t="str">
        <f t="shared" si="180"/>
        <v>34,4450883806789</v>
      </c>
      <c r="AF207" t="str">
        <f t="shared" si="162"/>
        <v>1+2,63374441808864i</v>
      </c>
      <c r="AG207">
        <f t="shared" si="181"/>
        <v>2.8171989031328741</v>
      </c>
      <c r="AH207">
        <f t="shared" si="182"/>
        <v>1.2079223588652546</v>
      </c>
      <c r="AI207" t="str">
        <f t="shared" si="163"/>
        <v>1+0,146319134338258i</v>
      </c>
      <c r="AJ207">
        <f t="shared" si="183"/>
        <v>1.0106479550632343</v>
      </c>
      <c r="AK207">
        <f t="shared" si="184"/>
        <v>0.14528814965872855</v>
      </c>
      <c r="AL207" t="str">
        <f t="shared" si="164"/>
        <v>1-0,00995575607595765i</v>
      </c>
      <c r="AM207">
        <f t="shared" si="185"/>
        <v>1.0000495573115584</v>
      </c>
      <c r="AN207">
        <f t="shared" si="186"/>
        <v>-9.9554271670304149E-3</v>
      </c>
      <c r="AO207" s="58" t="str">
        <f t="shared" si="187"/>
        <v>5,9050517450874-10,8553484560156i</v>
      </c>
      <c r="AP207">
        <f t="shared" si="188"/>
        <v>21.838624326227642</v>
      </c>
      <c r="AQ207" s="60">
        <f t="shared" si="189"/>
        <v>-61.454859313676351</v>
      </c>
      <c r="AR207" t="str">
        <f t="shared" si="165"/>
        <v>-1,36472945891784</v>
      </c>
      <c r="AS207" t="str">
        <f t="shared" si="166"/>
        <v>1+0,109607663532789i</v>
      </c>
      <c r="AT207">
        <f t="shared" si="190"/>
        <v>1.0059889859760478</v>
      </c>
      <c r="AU207">
        <f t="shared" si="191"/>
        <v>0.10917186431182542</v>
      </c>
      <c r="AV207" t="str">
        <f t="shared" si="167"/>
        <v>1+0,109607663532789i</v>
      </c>
      <c r="AW207">
        <f t="shared" si="192"/>
        <v>1.0059889859760478</v>
      </c>
      <c r="AX207">
        <f t="shared" si="193"/>
        <v>0.10917186431182542</v>
      </c>
      <c r="AY207" t="str">
        <f t="shared" si="168"/>
        <v>1-0,136851744819036i</v>
      </c>
      <c r="AZ207">
        <f t="shared" si="194"/>
        <v>1.0093207617303899</v>
      </c>
      <c r="BA207">
        <f t="shared" si="195"/>
        <v>-0.13600688039100037</v>
      </c>
      <c r="BB207" s="58" t="str">
        <f t="shared" si="196"/>
        <v>-1,32830052715495+0,332357524909671i</v>
      </c>
      <c r="BC207">
        <f t="shared" si="197"/>
        <v>2.7296509436030254</v>
      </c>
      <c r="BD207" s="60">
        <f t="shared" si="198"/>
        <v>165.95229270221259</v>
      </c>
      <c r="BE207" s="58" t="str">
        <f t="shared" si="199"/>
        <v>0,15685320133437+5,78742504794838i</v>
      </c>
      <c r="BF207" s="37">
        <f t="shared" si="200"/>
        <v>15.252896491413557</v>
      </c>
      <c r="BG207" s="60">
        <f t="shared" si="201"/>
        <v>88.447525991594958</v>
      </c>
      <c r="BH207" s="58" t="str">
        <f t="shared" si="202"/>
        <v>-4,23582660100349+16,381753459037i</v>
      </c>
      <c r="BI207" s="37">
        <f t="shared" si="203"/>
        <v>24.568275269830679</v>
      </c>
      <c r="BJ207" s="60">
        <f t="shared" si="204"/>
        <v>104.49743338853625</v>
      </c>
      <c r="BK207">
        <f t="shared" si="205"/>
        <v>15.252896491413557</v>
      </c>
      <c r="BL207" s="60">
        <f t="shared" si="206"/>
        <v>88.447525991594958</v>
      </c>
      <c r="BN207">
        <f t="shared" si="207"/>
        <v>0</v>
      </c>
      <c r="BO207">
        <f t="shared" si="208"/>
        <v>0</v>
      </c>
    </row>
    <row r="208" spans="13:67" x14ac:dyDescent="0.25">
      <c r="M208" s="66">
        <v>90</v>
      </c>
      <c r="N208" s="36">
        <f t="shared" si="209"/>
        <v>794.32823472428208</v>
      </c>
      <c r="O208" s="91" t="str">
        <f t="shared" si="157"/>
        <v>22,5</v>
      </c>
      <c r="P208" s="67" t="str">
        <f t="shared" si="158"/>
        <v>1+5,39018441297731i</v>
      </c>
      <c r="Q208" s="67">
        <f t="shared" si="169"/>
        <v>5.4821608883635973</v>
      </c>
      <c r="R208" s="67">
        <f t="shared" si="170"/>
        <v>1.3873594860815734</v>
      </c>
      <c r="S208" s="67" t="str">
        <f t="shared" si="159"/>
        <v>1+0,149727344804925i</v>
      </c>
      <c r="T208" s="67">
        <f t="shared" si="171"/>
        <v>1.0111470109644458</v>
      </c>
      <c r="U208" s="67">
        <f t="shared" si="172"/>
        <v>0.14862328150211632</v>
      </c>
      <c r="V208" t="str">
        <f t="shared" si="160"/>
        <v>1-0,0311931968343594i</v>
      </c>
      <c r="W208" s="67">
        <f t="shared" si="173"/>
        <v>1.000486389477012</v>
      </c>
      <c r="X208" s="67">
        <f t="shared" si="174"/>
        <v>-3.1183085581776401E-2</v>
      </c>
      <c r="Y208" t="str">
        <f t="shared" si="161"/>
        <v>0,999959618729953+0,0865091325539568i</v>
      </c>
      <c r="Z208" s="67">
        <f t="shared" si="175"/>
        <v>1.0036947091151727</v>
      </c>
      <c r="AA208" s="67">
        <f t="shared" si="176"/>
        <v>8.6297757430166405E-2</v>
      </c>
      <c r="AB208" s="92" t="str">
        <f t="shared" si="177"/>
        <v>0,880855053841294-4,04183448157772i</v>
      </c>
      <c r="AC208" s="37">
        <f t="shared" si="178"/>
        <v>12.333091873929911</v>
      </c>
      <c r="AD208" s="60">
        <f t="shared" si="179"/>
        <v>-77.705512930680328</v>
      </c>
      <c r="AE208" t="str">
        <f t="shared" si="180"/>
        <v>34,4450883806789</v>
      </c>
      <c r="AF208" t="str">
        <f t="shared" si="162"/>
        <v>1+2,69509220648866i</v>
      </c>
      <c r="AG208">
        <f t="shared" si="181"/>
        <v>2.8746342378598211</v>
      </c>
      <c r="AH208">
        <f t="shared" si="182"/>
        <v>1.2154977133492999</v>
      </c>
      <c r="AI208" t="str">
        <f t="shared" si="163"/>
        <v>1+0,149727344804925i</v>
      </c>
      <c r="AJ208">
        <f t="shared" si="183"/>
        <v>1.0111470109644458</v>
      </c>
      <c r="AK208">
        <f t="shared" si="184"/>
        <v>0.14862328150211632</v>
      </c>
      <c r="AL208" t="str">
        <f t="shared" si="164"/>
        <v>1-0,010187655425384i</v>
      </c>
      <c r="AM208">
        <f t="shared" si="185"/>
        <v>1.000051892815101</v>
      </c>
      <c r="AN208">
        <f t="shared" si="186"/>
        <v>-1.0187302994106497E-2</v>
      </c>
      <c r="AO208" s="58" t="str">
        <f t="shared" si="187"/>
        <v>5,74228210670382-10,669522819946i</v>
      </c>
      <c r="AP208">
        <f t="shared" si="188"/>
        <v>21.667630962380102</v>
      </c>
      <c r="AQ208" s="60">
        <f t="shared" si="189"/>
        <v>-61.711091681444543</v>
      </c>
      <c r="AR208" t="str">
        <f t="shared" si="165"/>
        <v>-1,36472945891784</v>
      </c>
      <c r="AS208" t="str">
        <f t="shared" si="166"/>
        <v>1+0,11216075399337i</v>
      </c>
      <c r="AT208">
        <f t="shared" si="190"/>
        <v>1.0062703586692601</v>
      </c>
      <c r="AU208">
        <f t="shared" si="191"/>
        <v>0.11169394372641879</v>
      </c>
      <c r="AV208" t="str">
        <f t="shared" si="167"/>
        <v>1+0,11216075399337i</v>
      </c>
      <c r="AW208">
        <f t="shared" si="192"/>
        <v>1.0062703586692601</v>
      </c>
      <c r="AX208">
        <f t="shared" si="193"/>
        <v>0.11169394372641879</v>
      </c>
      <c r="AY208" t="str">
        <f t="shared" si="168"/>
        <v>1-0,133736618789909i</v>
      </c>
      <c r="AZ208">
        <f t="shared" si="194"/>
        <v>1.0089031089283833</v>
      </c>
      <c r="BA208">
        <f t="shared" si="195"/>
        <v>-0.13294775251189506</v>
      </c>
      <c r="BB208" s="58" t="str">
        <f t="shared" si="196"/>
        <v>-1,32755779387263+0,331414186529183i</v>
      </c>
      <c r="BC208">
        <f t="shared" si="197"/>
        <v>2.7236269314751373</v>
      </c>
      <c r="BD208" s="60">
        <f t="shared" si="198"/>
        <v>165.9830633126231</v>
      </c>
      <c r="BE208" s="58" t="str">
        <f t="shared" si="199"/>
        <v>0,170135294798577+5,65769672868057i</v>
      </c>
      <c r="BF208" s="37">
        <f t="shared" si="200"/>
        <v>15.05671880540504</v>
      </c>
      <c r="BG208" s="60">
        <f t="shared" si="201"/>
        <v>88.277550381942802</v>
      </c>
      <c r="BH208" s="58" t="str">
        <f t="shared" si="202"/>
        <v>-4,08718013934304+16,0674819297355i</v>
      </c>
      <c r="BI208" s="37">
        <f t="shared" si="203"/>
        <v>24.391257893855226</v>
      </c>
      <c r="BJ208" s="60">
        <f t="shared" si="204"/>
        <v>104.27197163117857</v>
      </c>
      <c r="BK208">
        <f t="shared" si="205"/>
        <v>15.05671880540504</v>
      </c>
      <c r="BL208" s="60">
        <f t="shared" si="206"/>
        <v>88.277550381942802</v>
      </c>
      <c r="BN208">
        <f t="shared" si="207"/>
        <v>0</v>
      </c>
      <c r="BO208">
        <f t="shared" si="208"/>
        <v>0</v>
      </c>
    </row>
    <row r="209" spans="13:67" x14ac:dyDescent="0.25">
      <c r="M209" s="66">
        <v>91</v>
      </c>
      <c r="N209" s="36">
        <f t="shared" si="209"/>
        <v>812.83051616409978</v>
      </c>
      <c r="O209" s="91" t="str">
        <f t="shared" si="157"/>
        <v>22,5</v>
      </c>
      <c r="P209" s="67" t="str">
        <f t="shared" si="158"/>
        <v>1+5,51573793690063i</v>
      </c>
      <c r="Q209" s="67">
        <f t="shared" si="169"/>
        <v>5.6056547332639752</v>
      </c>
      <c r="R209" s="67">
        <f t="shared" si="170"/>
        <v>1.3914450498454478</v>
      </c>
      <c r="S209" s="67" t="str">
        <f t="shared" si="159"/>
        <v>1+0,153214942691684i</v>
      </c>
      <c r="T209" s="67">
        <f t="shared" si="171"/>
        <v>1.0116693227848792</v>
      </c>
      <c r="U209" s="67">
        <f t="shared" si="172"/>
        <v>0.15203265329618851</v>
      </c>
      <c r="V209" t="str">
        <f t="shared" si="160"/>
        <v>1-0,0319197797274342i</v>
      </c>
      <c r="W209" s="67">
        <f t="shared" si="173"/>
        <v>1.0005093064723825</v>
      </c>
      <c r="X209" s="67">
        <f t="shared" si="174"/>
        <v>-3.190894562294018E-2</v>
      </c>
      <c r="Y209" t="str">
        <f t="shared" si="161"/>
        <v>0,999957715619328+0,0885241891107508i</v>
      </c>
      <c r="Z209" s="67">
        <f t="shared" si="175"/>
        <v>1.003868499896446</v>
      </c>
      <c r="AA209" s="67">
        <f t="shared" si="176"/>
        <v>8.8297743696356554E-2</v>
      </c>
      <c r="AB209" s="92" t="str">
        <f t="shared" si="177"/>
        <v>0,848307693431824-3,95714855863532i</v>
      </c>
      <c r="AC209" s="37">
        <f t="shared" si="178"/>
        <v>12.14278119891407</v>
      </c>
      <c r="AD209" s="60">
        <f t="shared" si="179"/>
        <v>-77.900435365703345</v>
      </c>
      <c r="AE209" t="str">
        <f t="shared" si="180"/>
        <v>34,4450883806789</v>
      </c>
      <c r="AF209" t="str">
        <f t="shared" si="162"/>
        <v>1+2,75786896845032i</v>
      </c>
      <c r="AG209">
        <f t="shared" si="181"/>
        <v>2.9335714150402463</v>
      </c>
      <c r="AH209">
        <f t="shared" si="182"/>
        <v>1.2229420098627555</v>
      </c>
      <c r="AI209" t="str">
        <f t="shared" si="163"/>
        <v>1+0,153214942691684i</v>
      </c>
      <c r="AJ209">
        <f t="shared" si="183"/>
        <v>1.0116693227848792</v>
      </c>
      <c r="AK209">
        <f t="shared" si="184"/>
        <v>0.15203265329618851</v>
      </c>
      <c r="AL209" t="str">
        <f t="shared" si="164"/>
        <v>1-0,0104249564045665i</v>
      </c>
      <c r="AM209">
        <f t="shared" si="185"/>
        <v>1.0000543383816887</v>
      </c>
      <c r="AN209">
        <f t="shared" si="186"/>
        <v>-1.042457876875709E-2</v>
      </c>
      <c r="AO209" s="58" t="str">
        <f t="shared" si="187"/>
        <v>5,58509566253974-10,4845483160091i</v>
      </c>
      <c r="AP209">
        <f t="shared" si="188"/>
        <v>21.495856347835041</v>
      </c>
      <c r="AQ209" s="60">
        <f t="shared" si="189"/>
        <v>-61.955870738986249</v>
      </c>
      <c r="AR209" t="str">
        <f t="shared" si="165"/>
        <v>-1,36472945891784</v>
      </c>
      <c r="AS209" t="str">
        <f t="shared" si="166"/>
        <v>1+0,114773313570341i</v>
      </c>
      <c r="AT209">
        <f t="shared" si="190"/>
        <v>1.006564907747094</v>
      </c>
      <c r="AU209">
        <f t="shared" si="191"/>
        <v>0.11427329338308966</v>
      </c>
      <c r="AV209" t="str">
        <f t="shared" si="167"/>
        <v>1+0,114773313570341i</v>
      </c>
      <c r="AW209">
        <f t="shared" si="192"/>
        <v>1.006564907747094</v>
      </c>
      <c r="AX209">
        <f t="shared" si="193"/>
        <v>0.11427329338308966</v>
      </c>
      <c r="AY209" t="str">
        <f t="shared" si="168"/>
        <v>1-0,130692401686277i</v>
      </c>
      <c r="AZ209">
        <f t="shared" si="194"/>
        <v>1.0085040921377202</v>
      </c>
      <c r="BA209">
        <f t="shared" si="195"/>
        <v>-0.12995583824609341</v>
      </c>
      <c r="BB209" s="58" t="str">
        <f t="shared" si="196"/>
        <v>-1,32678094638341+0,330638816236403i</v>
      </c>
      <c r="BC209">
        <f t="shared" si="197"/>
        <v>2.7176489139255016</v>
      </c>
      <c r="BD209" s="60">
        <f t="shared" si="198"/>
        <v>166.00670152350273</v>
      </c>
      <c r="BE209" s="58" t="str">
        <f t="shared" si="199"/>
        <v>0,182868430782968+5,53075276116645i</v>
      </c>
      <c r="BF209" s="37">
        <f t="shared" si="200"/>
        <v>14.860430112839575</v>
      </c>
      <c r="BG209" s="60">
        <f t="shared" si="201"/>
        <v>88.106266157799382</v>
      </c>
      <c r="BH209" s="58" t="str">
        <f t="shared" si="202"/>
        <v>-3,94359986480773+15,7573483555464i</v>
      </c>
      <c r="BI209" s="37">
        <f t="shared" si="203"/>
        <v>24.213505261760567</v>
      </c>
      <c r="BJ209" s="60">
        <f t="shared" si="204"/>
        <v>104.05083078451644</v>
      </c>
      <c r="BK209">
        <f t="shared" si="205"/>
        <v>14.860430112839575</v>
      </c>
      <c r="BL209" s="60">
        <f t="shared" si="206"/>
        <v>88.106266157799382</v>
      </c>
      <c r="BN209">
        <f t="shared" si="207"/>
        <v>0</v>
      </c>
      <c r="BO209">
        <f t="shared" si="208"/>
        <v>0</v>
      </c>
    </row>
    <row r="210" spans="13:67" x14ac:dyDescent="0.25">
      <c r="M210" s="66">
        <v>92</v>
      </c>
      <c r="N210" s="36">
        <f t="shared" si="209"/>
        <v>831.7637711026714</v>
      </c>
      <c r="O210" s="91" t="str">
        <f t="shared" si="157"/>
        <v>22,5</v>
      </c>
      <c r="P210" s="67" t="str">
        <f t="shared" si="158"/>
        <v>1+5,64421597808752i</v>
      </c>
      <c r="Q210" s="67">
        <f t="shared" si="169"/>
        <v>5.732117759371179</v>
      </c>
      <c r="R210" s="67">
        <f t="shared" si="170"/>
        <v>1.3954434717226567</v>
      </c>
      <c r="S210" s="67" t="str">
        <f t="shared" si="159"/>
        <v>1+0,156783777169098i</v>
      </c>
      <c r="T210" s="67">
        <f t="shared" si="171"/>
        <v>1.0122159615336095</v>
      </c>
      <c r="U210" s="67">
        <f t="shared" si="172"/>
        <v>0.15551775553201658</v>
      </c>
      <c r="V210" t="str">
        <f t="shared" si="160"/>
        <v>1-0,0326632869102287i</v>
      </c>
      <c r="W210" s="67">
        <f t="shared" si="173"/>
        <v>1.0005333029498718</v>
      </c>
      <c r="X210" s="67">
        <f t="shared" si="174"/>
        <v>-3.2651678292277865E-2</v>
      </c>
      <c r="Y210" t="str">
        <f t="shared" si="161"/>
        <v>0,999955722817861+0,0905861823643675i</v>
      </c>
      <c r="Z210" s="67">
        <f t="shared" si="175"/>
        <v>1.0040504489474327</v>
      </c>
      <c r="AA210" s="67">
        <f t="shared" si="176"/>
        <v>9.0343594564343432E-2</v>
      </c>
      <c r="AB210" s="92" t="str">
        <f t="shared" si="177"/>
        <v>0,817122670259135-3,87404660219791i</v>
      </c>
      <c r="AC210" s="37">
        <f t="shared" si="178"/>
        <v>11.952332194754021</v>
      </c>
      <c r="AD210" s="60">
        <f t="shared" si="179"/>
        <v>-78.089620482203969</v>
      </c>
      <c r="AE210" t="str">
        <f t="shared" si="180"/>
        <v>34,4450883806789</v>
      </c>
      <c r="AF210" t="str">
        <f t="shared" si="162"/>
        <v>1+2,82210798904376i</v>
      </c>
      <c r="AG210">
        <f t="shared" si="181"/>
        <v>2.9940430026679006</v>
      </c>
      <c r="AH210">
        <f t="shared" si="182"/>
        <v>1.230255894131737</v>
      </c>
      <c r="AI210" t="str">
        <f t="shared" si="163"/>
        <v>1+0,156783777169098i</v>
      </c>
      <c r="AJ210">
        <f t="shared" si="183"/>
        <v>1.0122159615336095</v>
      </c>
      <c r="AK210">
        <f t="shared" si="184"/>
        <v>0.15551775553201658</v>
      </c>
      <c r="AL210" t="str">
        <f t="shared" si="164"/>
        <v>1-0,0106677848336252i</v>
      </c>
      <c r="AM210">
        <f t="shared" si="185"/>
        <v>1.0000568991978689</v>
      </c>
      <c r="AN210">
        <f t="shared" si="186"/>
        <v>-1.0667380190808482E-2</v>
      </c>
      <c r="AO210" s="58" t="str">
        <f t="shared" si="187"/>
        <v>5,43336819474895-10,3005735199913i</v>
      </c>
      <c r="AP210">
        <f t="shared" si="188"/>
        <v>21.323343227753142</v>
      </c>
      <c r="AQ210" s="60">
        <f t="shared" si="189"/>
        <v>-62.189155286904814</v>
      </c>
      <c r="AR210" t="str">
        <f t="shared" si="165"/>
        <v>-1,36472945891784</v>
      </c>
      <c r="AS210" t="str">
        <f t="shared" si="166"/>
        <v>1+0,117446727477371i</v>
      </c>
      <c r="AT210">
        <f t="shared" si="190"/>
        <v>1.0068732461413124</v>
      </c>
      <c r="AU210">
        <f t="shared" si="191"/>
        <v>0.11691114352864097</v>
      </c>
      <c r="AV210" t="str">
        <f t="shared" si="167"/>
        <v>1+0,117446727477371i</v>
      </c>
      <c r="AW210">
        <f t="shared" si="192"/>
        <v>1.0068732461413124</v>
      </c>
      <c r="AX210">
        <f t="shared" si="193"/>
        <v>0.11691114352864097</v>
      </c>
      <c r="AY210" t="str">
        <f t="shared" si="168"/>
        <v>1-0,127717479423938i</v>
      </c>
      <c r="AZ210">
        <f t="shared" si="194"/>
        <v>1.0081228866315872</v>
      </c>
      <c r="BA210">
        <f t="shared" si="195"/>
        <v>-0.1270297656127285</v>
      </c>
      <c r="BB210" s="58" t="str">
        <f t="shared" si="196"/>
        <v>-1,32596846106143+0,330030463078452i</v>
      </c>
      <c r="BC210">
        <f t="shared" si="197"/>
        <v>2.7117047864420467</v>
      </c>
      <c r="BD210" s="60">
        <f t="shared" si="198"/>
        <v>166.0232154556152</v>
      </c>
      <c r="BE210" s="58" t="str">
        <f t="shared" si="199"/>
        <v>0,195074504528968+5,40653898445415i</v>
      </c>
      <c r="BF210" s="37">
        <f t="shared" si="200"/>
        <v>14.66403698119607</v>
      </c>
      <c r="BG210" s="60">
        <f t="shared" si="201"/>
        <v>87.933594973411275</v>
      </c>
      <c r="BH210" s="58" t="str">
        <f t="shared" si="202"/>
        <v>-3,80497181479502+15,4514126397417i</v>
      </c>
      <c r="BI210" s="37">
        <f t="shared" si="203"/>
        <v>24.035048014195187</v>
      </c>
      <c r="BJ210" s="60">
        <f t="shared" si="204"/>
        <v>103.83406016871042</v>
      </c>
      <c r="BK210">
        <f t="shared" si="205"/>
        <v>14.66403698119607</v>
      </c>
      <c r="BL210" s="60">
        <f t="shared" si="206"/>
        <v>87.933594973411275</v>
      </c>
      <c r="BN210">
        <f t="shared" si="207"/>
        <v>0</v>
      </c>
      <c r="BO210">
        <f t="shared" si="208"/>
        <v>0</v>
      </c>
    </row>
    <row r="211" spans="13:67" x14ac:dyDescent="0.25">
      <c r="M211" s="66">
        <v>93</v>
      </c>
      <c r="N211" s="36">
        <f t="shared" si="209"/>
        <v>851.13803820237763</v>
      </c>
      <c r="O211" s="91" t="str">
        <f t="shared" ref="O211:O274" si="210">COMPLEX(adc,0)</f>
        <v>22,5</v>
      </c>
      <c r="P211" s="67" t="str">
        <f t="shared" ref="P211:P274" si="211">IMSUM(COMPLEX(1,0),IMDIV(COMPLEX(0,2*PI()*N211),COMPLEX(wp_lf,0)))</f>
        <v>1+5,77568665729603i</v>
      </c>
      <c r="Q211" s="67">
        <f t="shared" si="169"/>
        <v>5.8616172139834752</v>
      </c>
      <c r="R211" s="67">
        <f t="shared" si="170"/>
        <v>1.3993563600822818</v>
      </c>
      <c r="S211" s="67" t="str">
        <f t="shared" ref="S211:S274" si="212">IMSUM(COMPLEX(1,0),IMDIV(COMPLEX(0,2*PI()*N211),COMPLEX(wz_esr,0)))</f>
        <v>1+0,160435740480445i</v>
      </c>
      <c r="T211" s="67">
        <f t="shared" si="171"/>
        <v>1.0127880463470669</v>
      </c>
      <c r="U211" s="67">
        <f t="shared" si="172"/>
        <v>0.15908009724429631</v>
      </c>
      <c r="V211" t="str">
        <f t="shared" ref="V211:V274" si="213">IMSUB(COMPLEX(1,0),IMDIV(COMPLEX(0,2*PI()*N211),COMPLEX(wz_rhp,0)))</f>
        <v>1-0,0334241126000928i</v>
      </c>
      <c r="W211" s="67">
        <f t="shared" si="173"/>
        <v>1.0005584297296704</v>
      </c>
      <c r="X211" s="67">
        <f t="shared" si="174"/>
        <v>-3.341167411676936E-2</v>
      </c>
      <c r="Y211" t="str">
        <f t="shared" ref="Y211:Y274" si="214">IMSUM(COMPLEX(1,0),IMDIV(COMPLEX(0,2*PI()*N211),COMPLEX(Q*(wsl/2),0)),IMDIV(IMPOWER(COMPLEX(0,2*PI()*N211),2),IMPOWER(COMPLEX(wsl/2,0),2)))</f>
        <v>0,999953636098555+0,0926962056109239i</v>
      </c>
      <c r="Z211" s="67">
        <f t="shared" si="175"/>
        <v>1.0042409376645547</v>
      </c>
      <c r="AA211" s="67">
        <f t="shared" si="176"/>
        <v>9.2436327348248234E-2</v>
      </c>
      <c r="AB211" s="92" t="str">
        <f t="shared" si="177"/>
        <v>0,787245776056494-3,79251666040702i</v>
      </c>
      <c r="AC211" s="37">
        <f t="shared" si="178"/>
        <v>11.761763299208265</v>
      </c>
      <c r="AD211" s="60">
        <f t="shared" si="179"/>
        <v>-78.273154634976706</v>
      </c>
      <c r="AE211" t="str">
        <f t="shared" si="180"/>
        <v>34,4450883806789</v>
      </c>
      <c r="AF211" t="str">
        <f t="shared" ref="AF211:AF274" si="215">IMSUM(COMPLEX(1,0),IMDIV(COMPLEX(0,2*PI()*N211),COMPLEX(wp_lf_DCM,0)))</f>
        <v>1+2,88784332864802i</v>
      </c>
      <c r="AG211">
        <f t="shared" si="181"/>
        <v>3.0560823108707127</v>
      </c>
      <c r="AH211">
        <f t="shared" si="182"/>
        <v>1.2374401131868027</v>
      </c>
      <c r="AI211" t="str">
        <f t="shared" ref="AI211:AI274" si="216">IMSUM(COMPLEX(1,0),IMDIV(COMPLEX(0,2*PI()*N211),COMPLEX(wz1_dcm,0)))</f>
        <v>1+0,160435740480445i</v>
      </c>
      <c r="AJ211">
        <f t="shared" si="183"/>
        <v>1.0127880463470669</v>
      </c>
      <c r="AK211">
        <f t="shared" si="184"/>
        <v>0.15908009724429631</v>
      </c>
      <c r="AL211" t="str">
        <f t="shared" ref="AL211:AL274" si="217">IMSUB(COMPLEX(1,0),IMDIV(COMPLEX(0,2*PI()*N211),COMPLEX(wz2_dcm,0)))</f>
        <v>1-0,0109162694634076i</v>
      </c>
      <c r="AM211">
        <f t="shared" si="185"/>
        <v>1.0000595806945694</v>
      </c>
      <c r="AN211">
        <f t="shared" si="186"/>
        <v>-1.0915835882212887E-2</v>
      </c>
      <c r="AO211" s="58" t="str">
        <f t="shared" si="187"/>
        <v>5,28697278958105-10,117737705321i</v>
      </c>
      <c r="AP211">
        <f t="shared" si="188"/>
        <v>21.150133959009171</v>
      </c>
      <c r="AQ211" s="60">
        <f t="shared" si="189"/>
        <v>-62.410909035073956</v>
      </c>
      <c r="AR211" t="str">
        <f t="shared" ref="AR211:AR274" si="218">COMPLEX(adc_ea,0)</f>
        <v>-1,36472945891784</v>
      </c>
      <c r="AS211" t="str">
        <f t="shared" ref="AS211:AS274" si="219">IMSUM(COMPLEX(1,0), IMDIV(COMPLEX(0,2*PI()*N211), COMPLEX(wp0_ea,0)))</f>
        <v>1+0,120182413193902i</v>
      </c>
      <c r="AT211">
        <f t="shared" si="190"/>
        <v>1.0071960149052963</v>
      </c>
      <c r="AU211">
        <f t="shared" si="191"/>
        <v>0.11960874586825396</v>
      </c>
      <c r="AV211" t="str">
        <f t="shared" ref="AV211:AV274" si="220">IMSUM(COMPLEX(1,0),IMDIV(COMPLEX(0,2*PI()*N211),COMPLEX(wp1_ea,0)))</f>
        <v>1+0,120182413193902i</v>
      </c>
      <c r="AW211">
        <f t="shared" si="192"/>
        <v>1.0071960149052963</v>
      </c>
      <c r="AX211">
        <f t="shared" si="193"/>
        <v>0.11960874586825396</v>
      </c>
      <c r="AY211" t="str">
        <f t="shared" ref="AY211:AY274" si="221">IMSUM(COMPLEX(1,0),IMDIV(COMPLEX(wz_ea,0),COMPLEX(0,2*PI()*N211)))</f>
        <v>1-0,12481027465973i</v>
      </c>
      <c r="AZ211">
        <f t="shared" si="194"/>
        <v>1.0077587035896229</v>
      </c>
      <c r="BA211">
        <f t="shared" si="195"/>
        <v>-0.12416818369786845</v>
      </c>
      <c r="BB211" s="58" t="str">
        <f t="shared" si="196"/>
        <v>-1,32511875034194+0,329588227788342i</v>
      </c>
      <c r="BC211">
        <f t="shared" si="197"/>
        <v>2.7057825037274288</v>
      </c>
      <c r="BD211" s="60">
        <f t="shared" si="198"/>
        <v>166.03261079320328</v>
      </c>
      <c r="BE211" s="58" t="str">
        <f t="shared" si="199"/>
        <v>0,206774705981359+5,28500187785386i</v>
      </c>
      <c r="BF211" s="37">
        <f t="shared" si="200"/>
        <v>14.4675458029357</v>
      </c>
      <c r="BG211" s="60">
        <f t="shared" si="201"/>
        <v>87.759456158226598</v>
      </c>
      <c r="BH211" s="58" t="str">
        <f t="shared" si="202"/>
        <v>-3,67117953649745+15,1497279364457i</v>
      </c>
      <c r="BI211" s="37">
        <f t="shared" si="203"/>
        <v>23.855916462736605</v>
      </c>
      <c r="BJ211" s="60">
        <f t="shared" si="204"/>
        <v>103.62170175812935</v>
      </c>
      <c r="BK211">
        <f t="shared" si="205"/>
        <v>14.4675458029357</v>
      </c>
      <c r="BL211" s="60">
        <f t="shared" si="206"/>
        <v>87.759456158226598</v>
      </c>
      <c r="BN211">
        <f t="shared" si="207"/>
        <v>0</v>
      </c>
      <c r="BO211">
        <f t="shared" si="208"/>
        <v>0</v>
      </c>
    </row>
    <row r="212" spans="13:67" x14ac:dyDescent="0.25">
      <c r="M212" s="66">
        <v>94</v>
      </c>
      <c r="N212" s="36">
        <f t="shared" si="209"/>
        <v>870.96358995608091</v>
      </c>
      <c r="O212" s="91" t="str">
        <f t="shared" si="210"/>
        <v>22,5</v>
      </c>
      <c r="P212" s="67" t="str">
        <f t="shared" si="211"/>
        <v>1+5,91021968202046i</v>
      </c>
      <c r="Q212" s="67">
        <f t="shared" ref="Q212:Q275" si="222">IMABS(P212)</f>
        <v>5.9942219419822971</v>
      </c>
      <c r="R212" s="67">
        <f t="shared" ref="R212:R275" si="223">IMARGUMENT(P212)</f>
        <v>1.4031853100785701</v>
      </c>
      <c r="S212" s="67" t="str">
        <f t="shared" si="212"/>
        <v>1+0,164172768945013i</v>
      </c>
      <c r="T212" s="67">
        <f t="shared" ref="T212:T275" si="224">IMABS(S212)</f>
        <v>1.0133867465400721</v>
      </c>
      <c r="U212" s="67">
        <f t="shared" ref="U212:U275" si="225">IMARGUMENT(S212)</f>
        <v>0.16272120539208551</v>
      </c>
      <c r="V212" t="str">
        <f t="shared" si="213"/>
        <v>1-0,0342026601968777i</v>
      </c>
      <c r="W212" s="67">
        <f t="shared" ref="W212:W275" si="226">IMABS(V212)</f>
        <v>1.0005847400218251</v>
      </c>
      <c r="X212" s="67">
        <f t="shared" ref="X212:X275" si="227">IMARGUMENT(V212)</f>
        <v>-3.4189332542502782E-2</v>
      </c>
      <c r="Y212" t="str">
        <f t="shared" si="214"/>
        <v>0,999951451035198+0,0948553776126741i</v>
      </c>
      <c r="Z212" s="67">
        <f t="shared" ref="Z212:Z275" si="228">IMABS(Y212)</f>
        <v>1.0044403651235057</v>
      </c>
      <c r="AA212" s="67">
        <f t="shared" ref="AA212:AA275" si="229">IMARGUMENT(Y212)</f>
        <v>9.4576979477961023E-2</v>
      </c>
      <c r="AB212" s="92" t="str">
        <f t="shared" ref="AB212:AB275" si="230">(IMDIV(IMPRODUCT(O212,S212,V212),IMPRODUCT(P212,Y212)))</f>
        <v>0,758624590389717-3,71254567586254i</v>
      </c>
      <c r="AC212" s="37">
        <f t="shared" ref="AC212:AC275" si="231">20*LOG(IMABS(AB212))</f>
        <v>11.571092740923854</v>
      </c>
      <c r="AD212" s="60">
        <f t="shared" ref="AD212:AD275" si="232">(180/PI())*IMARGUMENT(AB212)</f>
        <v>-78.45112405824716</v>
      </c>
      <c r="AE212" t="str">
        <f t="shared" ref="AE212:AE275" si="233">COMPLEX($B$67,0)</f>
        <v>34,4450883806789</v>
      </c>
      <c r="AF212" t="str">
        <f t="shared" si="215"/>
        <v>1+2,95510984101024i</v>
      </c>
      <c r="AG212">
        <f t="shared" ref="AG212:AG275" si="234">IMABS(AF212)</f>
        <v>3.119723412810111</v>
      </c>
      <c r="AH212">
        <f t="shared" ref="AH212:AH275" si="235">IMARGUMENT(AF212)</f>
        <v>1.244495508864822</v>
      </c>
      <c r="AI212" t="str">
        <f t="shared" si="216"/>
        <v>1+0,164172768945013i</v>
      </c>
      <c r="AJ212">
        <f t="shared" ref="AJ212:AJ275" si="236">IMABS(AI212)</f>
        <v>1.0133867465400721</v>
      </c>
      <c r="AK212">
        <f t="shared" ref="AK212:AK275" si="237">IMARGUMENT(AI212)</f>
        <v>0.16272120539208551</v>
      </c>
      <c r="AL212" t="str">
        <f t="shared" si="217"/>
        <v>1-0,0111705420437534i</v>
      </c>
      <c r="AM212">
        <f t="shared" ref="AM212:AM275" si="238">IMABS(AL212)</f>
        <v>1.0000623885586095</v>
      </c>
      <c r="AN212">
        <f t="shared" ref="AN212:AN275" si="239">IMARGUMENT(AL212)</f>
        <v>-1.1170077454698221E-2</v>
      </c>
      <c r="AO212" s="58" t="str">
        <f t="shared" ref="AO212:AO275" si="240">(IMDIV(IMPRODUCT(AE212,AI212,AL212),IMPRODUCT(AF212)))</f>
        <v>5,14578038681877-9,93617103271106i</v>
      </c>
      <c r="AP212">
        <f t="shared" ref="AP212:AP275" si="241">20*LOG(IMABS(AO212))</f>
        <v>20.976270509719424</v>
      </c>
      <c r="AQ212" s="60">
        <f t="shared" ref="AQ212:AQ275" si="242">(180/PI())*IMARGUMENT(AO212)</f>
        <v>-62.621100269680575</v>
      </c>
      <c r="AR212" t="str">
        <f t="shared" si="218"/>
        <v>-1,36472945891784</v>
      </c>
      <c r="AS212" t="str">
        <f t="shared" si="219"/>
        <v>1+0,122981821216709i</v>
      </c>
      <c r="AT212">
        <f t="shared" ref="AT212:AT275" si="243">IMABS(AS212)</f>
        <v>1.0075338844673059</v>
      </c>
      <c r="AU212">
        <f t="shared" ref="AU212:AU275" si="244">IMARGUMENT(AS212)</f>
        <v>0.12236737357701201</v>
      </c>
      <c r="AV212" t="str">
        <f t="shared" si="220"/>
        <v>1+0,122981821216709i</v>
      </c>
      <c r="AW212">
        <f t="shared" ref="AW212:AW275" si="245">IMABS(AV212)</f>
        <v>1.0075338844673059</v>
      </c>
      <c r="AX212">
        <f t="shared" ref="AX212:AX275" si="246">IMARGUMENT(AV212)</f>
        <v>0.12236737357701201</v>
      </c>
      <c r="AY212" t="str">
        <f t="shared" si="221"/>
        <v>1-0,121969245955206i</v>
      </c>
      <c r="AZ212">
        <f t="shared" ref="AZ212:AZ275" si="247">IMABS(AY212)</f>
        <v>1.0074107885857098</v>
      </c>
      <c r="BA212">
        <f t="shared" ref="BA212:BA275" si="248">IMARGUMENT(AY212)</f>
        <v>-0.1213697628128851</v>
      </c>
      <c r="BB212" s="58" t="str">
        <f t="shared" ref="BB212:BB275" si="249">IMDIV(IMPRODUCT(AR212,AY212), AS212)</f>
        <v>-1,324230160431+0,329311259876964i</v>
      </c>
      <c r="BC212">
        <f t="shared" ref="BC212:BC275" si="250">20*LOG(IMABS(BB212))</f>
        <v>2.6998700586890525</v>
      </c>
      <c r="BD212" s="60">
        <f t="shared" ref="BD212:BD275" si="251">(180/PI())*IMARGUMENT(BB212)</f>
        <v>166.03489077425439</v>
      </c>
      <c r="BE212" s="58" t="str">
        <f t="shared" ref="BE212:BE275" si="252">IMPRODUCT(AB212,BB212)</f>
        <v>0,217989530830391+5,16608857558975i</v>
      </c>
      <c r="BF212" s="37">
        <f t="shared" ref="BF212:BF275" si="253">20*LOG(IMABS(BE212))</f>
        <v>14.270962799612906</v>
      </c>
      <c r="BG212" s="60">
        <f t="shared" ref="BG212:BG275" si="254">(180/PI())*IMARGUMENT(BE212)</f>
        <v>87.583766716007233</v>
      </c>
      <c r="BH212" s="58" t="str">
        <f t="shared" ref="BH212:BH275" si="255">IMPRODUCT(AO212,BB212)</f>
        <v>-3,54210458604464+14,8523407829503i</v>
      </c>
      <c r="BI212" s="37">
        <f t="shared" ref="BI212:BI275" si="256">20*LOG(IMABS(BH212))</f>
        <v>23.676140568408485</v>
      </c>
      <c r="BJ212" s="60">
        <f t="shared" ref="BJ212:BJ275" si="257">(180/PI())*IMARGUMENT(BH212)</f>
        <v>103.4137905045738</v>
      </c>
      <c r="BK212">
        <f t="shared" ref="BK212:BK275" si="258">IF($B$19=0,BF212,BI212)</f>
        <v>14.270962799612906</v>
      </c>
      <c r="BL212" s="60">
        <f t="shared" ref="BL212:BL275" si="259">IF($B$19=0,BG212,BJ212)</f>
        <v>87.583766716007233</v>
      </c>
      <c r="BN212">
        <f t="shared" si="207"/>
        <v>0</v>
      </c>
      <c r="BO212">
        <f t="shared" si="208"/>
        <v>0</v>
      </c>
    </row>
    <row r="213" spans="13:67" x14ac:dyDescent="0.25">
      <c r="M213" s="66">
        <v>95</v>
      </c>
      <c r="N213" s="36">
        <f t="shared" si="209"/>
        <v>891.25093813374656</v>
      </c>
      <c r="O213" s="91" t="str">
        <f t="shared" si="210"/>
        <v>22,5</v>
      </c>
      <c r="P213" s="67" t="str">
        <f t="shared" si="211"/>
        <v>1+6,04788638345134i</v>
      </c>
      <c r="Q213" s="67">
        <f t="shared" si="222"/>
        <v>6.1300024230938224</v>
      </c>
      <c r="R213" s="67">
        <f t="shared" si="223"/>
        <v>1.4069319025609013</v>
      </c>
      <c r="S213" s="67" t="str">
        <f t="shared" si="212"/>
        <v>1+0,16799684398476i</v>
      </c>
      <c r="T213" s="67">
        <f t="shared" si="224"/>
        <v>1.0140132837339162</v>
      </c>
      <c r="U213" s="67">
        <f t="shared" si="225"/>
        <v>0.16644262416204061</v>
      </c>
      <c r="V213" t="str">
        <f t="shared" si="213"/>
        <v>1-0,0349993424968249i</v>
      </c>
      <c r="W213" s="67">
        <f t="shared" si="226"/>
        <v>1.0006122895383656</v>
      </c>
      <c r="X213" s="67">
        <f t="shared" si="227"/>
        <v>-3.4985062129791494E-2</v>
      </c>
      <c r="Y213" t="str">
        <f t="shared" si="214"/>
        <v>0,999949162992978+0,0970648431911943i</v>
      </c>
      <c r="Z213" s="67">
        <f t="shared" si="228"/>
        <v>1.0046491488843696</v>
      </c>
      <c r="AA213" s="67">
        <f t="shared" si="229"/>
        <v>9.6766608719757355E-2</v>
      </c>
      <c r="AB213" s="92" t="str">
        <f t="shared" si="230"/>
        <v>0,7312084489967-3,63411958561956i</v>
      </c>
      <c r="AC213" s="37">
        <f t="shared" si="231"/>
        <v>11.38033856443052</v>
      </c>
      <c r="AD213" s="60">
        <f t="shared" si="232"/>
        <v>-78.623614866959656</v>
      </c>
      <c r="AE213" t="str">
        <f t="shared" si="233"/>
        <v>34,4450883806789</v>
      </c>
      <c r="AF213" t="str">
        <f t="shared" si="215"/>
        <v>1+3,02394319172567i</v>
      </c>
      <c r="AG213">
        <f t="shared" si="234"/>
        <v>3.1850011658999491</v>
      </c>
      <c r="AH213">
        <f t="shared" si="235"/>
        <v>1.2514230114533662</v>
      </c>
      <c r="AI213" t="str">
        <f t="shared" si="216"/>
        <v>1+0,16799684398476i</v>
      </c>
      <c r="AJ213">
        <f t="shared" si="236"/>
        <v>1.0140132837339162</v>
      </c>
      <c r="AK213">
        <f t="shared" si="237"/>
        <v>0.16644262416204061</v>
      </c>
      <c r="AL213" t="str">
        <f t="shared" si="217"/>
        <v>1-0,0114307373933504i</v>
      </c>
      <c r="AM213">
        <f t="shared" si="238"/>
        <v>1.0000653287447554</v>
      </c>
      <c r="AN213">
        <f t="shared" si="239"/>
        <v>-1.1430239578965103E-2</v>
      </c>
      <c r="AO213" s="58" t="str">
        <f t="shared" si="240"/>
        <v>5,00966029546511-9,75599476437021i</v>
      </c>
      <c r="AP213">
        <f t="shared" si="241"/>
        <v>20.801794462386624</v>
      </c>
      <c r="AQ213" s="60">
        <f t="shared" si="242"/>
        <v>-62.819701532960508</v>
      </c>
      <c r="AR213" t="str">
        <f t="shared" si="218"/>
        <v>-1,36472945891784</v>
      </c>
      <c r="AS213" t="str">
        <f t="shared" si="219"/>
        <v>1+0,125846435828983i</v>
      </c>
      <c r="AT213">
        <f t="shared" si="243"/>
        <v>1.0078875559361067</v>
      </c>
      <c r="AU213">
        <f t="shared" si="244"/>
        <v>0.12518832127990739</v>
      </c>
      <c r="AV213" t="str">
        <f t="shared" si="220"/>
        <v>1+0,125846435828983i</v>
      </c>
      <c r="AW213">
        <f t="shared" si="245"/>
        <v>1.0078875559361067</v>
      </c>
      <c r="AX213">
        <f t="shared" si="246"/>
        <v>0.12518832127990739</v>
      </c>
      <c r="AY213" t="str">
        <f t="shared" si="221"/>
        <v>1-0,119192886959341i</v>
      </c>
      <c r="AZ213">
        <f t="shared" si="247"/>
        <v>1.0070784201350471</v>
      </c>
      <c r="BA213">
        <f t="shared" si="248"/>
        <v>-0.11863319461087499</v>
      </c>
      <c r="BB213" s="58" t="str">
        <f t="shared" si="249"/>
        <v>-1,32330096897196+0,329198754601038i</v>
      </c>
      <c r="BC213">
        <f t="shared" si="250"/>
        <v>2.6939554614493439</v>
      </c>
      <c r="BD213" s="60">
        <f t="shared" si="251"/>
        <v>166.03005618497622</v>
      </c>
      <c r="BE213" s="58" t="str">
        <f t="shared" si="252"/>
        <v>0,228738792579382+5,04974687977381i</v>
      </c>
      <c r="BF213" s="37">
        <f t="shared" si="253"/>
        <v>14.074294025879864</v>
      </c>
      <c r="BG213" s="60">
        <f t="shared" si="254"/>
        <v>87.406441318016576</v>
      </c>
      <c r="BH213" s="58" t="str">
        <f t="shared" si="255"/>
        <v>-3,41762699688442+14,5592912552178i</v>
      </c>
      <c r="BI213" s="37">
        <f t="shared" si="256"/>
        <v>23.495749923835941</v>
      </c>
      <c r="BJ213" s="60">
        <f t="shared" si="257"/>
        <v>103.21035465201577</v>
      </c>
      <c r="BK213">
        <f t="shared" si="258"/>
        <v>14.074294025879864</v>
      </c>
      <c r="BL213" s="60">
        <f t="shared" si="259"/>
        <v>87.406441318016576</v>
      </c>
      <c r="BN213">
        <f t="shared" ref="BN213:BN276" si="260">SUM((BK214&lt;0)*(BK213&gt;0))*N213</f>
        <v>0</v>
      </c>
      <c r="BO213">
        <f t="shared" ref="BO213:BO276" si="261">IF(BN213&gt;0,BL213,0)</f>
        <v>0</v>
      </c>
    </row>
    <row r="214" spans="13:67" x14ac:dyDescent="0.25">
      <c r="M214" s="66">
        <v>96</v>
      </c>
      <c r="N214" s="36">
        <f t="shared" si="209"/>
        <v>912.01083935590987</v>
      </c>
      <c r="O214" s="91" t="str">
        <f t="shared" si="210"/>
        <v>22,5</v>
      </c>
      <c r="P214" s="67" t="str">
        <f t="shared" si="211"/>
        <v>1+6,18875975429594i</v>
      </c>
      <c r="Q214" s="67">
        <f t="shared" si="222"/>
        <v>6.2690308099731933</v>
      </c>
      <c r="R214" s="67">
        <f t="shared" si="223"/>
        <v>1.410597703084038</v>
      </c>
      <c r="S214" s="67" t="str">
        <f t="shared" si="212"/>
        <v>1+0,171909993174887i</v>
      </c>
      <c r="T214" s="67">
        <f t="shared" si="224"/>
        <v>1.0146689340634165</v>
      </c>
      <c r="U214" s="67">
        <f t="shared" si="225"/>
        <v>0.17024591418918764</v>
      </c>
      <c r="V214" t="str">
        <f t="shared" si="213"/>
        <v>1-0,0358145819114348i</v>
      </c>
      <c r="W214" s="67">
        <f t="shared" si="226"/>
        <v>1.0006411366106687</v>
      </c>
      <c r="X214" s="67">
        <f t="shared" si="227"/>
        <v>-3.5799280751936127E-2</v>
      </c>
      <c r="Y214" t="str">
        <f t="shared" si="214"/>
        <v>0,999946767118649+0,0993257738343792i</v>
      </c>
      <c r="Z214" s="67">
        <f t="shared" si="228"/>
        <v>1.00486772583203</v>
      </c>
      <c r="AA214" s="67">
        <f t="shared" si="229"/>
        <v>9.9006293385287603E-2</v>
      </c>
      <c r="AB214" s="92" t="str">
        <f t="shared" si="230"/>
        <v>0,704948409788399-3,55722341563217i</v>
      </c>
      <c r="AC214" s="37">
        <f t="shared" si="231"/>
        <v>11.189518654969968</v>
      </c>
      <c r="AD214" s="60">
        <f t="shared" si="232"/>
        <v>-78.790713068077451</v>
      </c>
      <c r="AE214" t="str">
        <f t="shared" si="233"/>
        <v>34,4450883806789</v>
      </c>
      <c r="AF214" t="str">
        <f t="shared" si="215"/>
        <v>1+3,09437987714797i</v>
      </c>
      <c r="AG214">
        <f t="shared" si="234"/>
        <v>3.2519512333517984</v>
      </c>
      <c r="AH214">
        <f t="shared" si="235"/>
        <v>1.2582236334936678</v>
      </c>
      <c r="AI214" t="str">
        <f t="shared" si="216"/>
        <v>1+0,171909993174887i</v>
      </c>
      <c r="AJ214">
        <f t="shared" si="236"/>
        <v>1.0146689340634165</v>
      </c>
      <c r="AK214">
        <f t="shared" si="237"/>
        <v>0.17024591418918764</v>
      </c>
      <c r="AL214" t="str">
        <f t="shared" si="217"/>
        <v>1-0,011696993471217i</v>
      </c>
      <c r="AM214">
        <f t="shared" si="238"/>
        <v>1.0000684074883406</v>
      </c>
      <c r="AN214">
        <f t="shared" si="239"/>
        <v>-1.1696460055463348E-2</v>
      </c>
      <c r="AO214" s="58" t="str">
        <f t="shared" si="240"/>
        <v>4,87848067566382-9,57732149930276i</v>
      </c>
      <c r="AP214">
        <f t="shared" si="241"/>
        <v>20.626747020447553</v>
      </c>
      <c r="AQ214" s="60">
        <f t="shared" si="242"/>
        <v>-63.006689316837075</v>
      </c>
      <c r="AR214" t="str">
        <f t="shared" si="218"/>
        <v>-1,36472945891784</v>
      </c>
      <c r="AS214" t="str">
        <f t="shared" si="219"/>
        <v>1+0,128777775887308i</v>
      </c>
      <c r="AT214">
        <f t="shared" si="243"/>
        <v>1.0082577624608113</v>
      </c>
      <c r="AU214">
        <f t="shared" si="244"/>
        <v>0.12807290499764834</v>
      </c>
      <c r="AV214" t="str">
        <f t="shared" si="220"/>
        <v>1+0,128777775887308i</v>
      </c>
      <c r="AW214">
        <f t="shared" si="245"/>
        <v>1.0082577624608113</v>
      </c>
      <c r="AX214">
        <f t="shared" si="246"/>
        <v>0.12807290499764834</v>
      </c>
      <c r="AY214" t="str">
        <f t="shared" si="221"/>
        <v>1-0,116479725609847i</v>
      </c>
      <c r="AZ214">
        <f t="shared" si="247"/>
        <v>1.0067609082985618</v>
      </c>
      <c r="BA214">
        <f t="shared" si="248"/>
        <v>-0.11595719216421696</v>
      </c>
      <c r="BB214" s="58" t="str">
        <f t="shared" si="249"/>
        <v>-1,32232938267193+0,329249949797353i</v>
      </c>
      <c r="BC214">
        <f t="shared" si="250"/>
        <v>2.6880267183639344</v>
      </c>
      <c r="BD214" s="60">
        <f t="shared" si="251"/>
        <v>166.01810535845772</v>
      </c>
      <c r="BE214" s="58" t="str">
        <f t="shared" si="252"/>
        <v>0,239041635483808+4,93592527175158i</v>
      </c>
      <c r="BF214" s="37">
        <f t="shared" si="253"/>
        <v>13.877545373333909</v>
      </c>
      <c r="BG214" s="60">
        <f t="shared" si="254"/>
        <v>87.22739229038028</v>
      </c>
      <c r="BH214" s="58" t="str">
        <f t="shared" si="255"/>
        <v>-3,29762571738894+14,2706131433733i</v>
      </c>
      <c r="BI214" s="37">
        <f t="shared" si="256"/>
        <v>23.314773738811489</v>
      </c>
      <c r="BJ214" s="60">
        <f t="shared" si="257"/>
        <v>103.01141604162065</v>
      </c>
      <c r="BK214">
        <f t="shared" si="258"/>
        <v>13.877545373333909</v>
      </c>
      <c r="BL214" s="60">
        <f t="shared" si="259"/>
        <v>87.22739229038028</v>
      </c>
      <c r="BN214">
        <f t="shared" si="260"/>
        <v>0</v>
      </c>
      <c r="BO214">
        <f t="shared" si="261"/>
        <v>0</v>
      </c>
    </row>
    <row r="215" spans="13:67" x14ac:dyDescent="0.25">
      <c r="M215" s="66">
        <v>97</v>
      </c>
      <c r="N215" s="36">
        <f t="shared" si="209"/>
        <v>933.25430079699106</v>
      </c>
      <c r="O215" s="91" t="str">
        <f t="shared" si="210"/>
        <v>22,5</v>
      </c>
      <c r="P215" s="67" t="str">
        <f t="shared" si="211"/>
        <v>1+6,33291448748019i</v>
      </c>
      <c r="Q215" s="67">
        <f t="shared" si="222"/>
        <v>6.4113809671346527</v>
      </c>
      <c r="R215" s="67">
        <f t="shared" si="223"/>
        <v>1.4141842610130766</v>
      </c>
      <c r="S215" s="67" t="str">
        <f t="shared" si="212"/>
        <v>1+0,175914291318894i</v>
      </c>
      <c r="T215" s="67">
        <f t="shared" si="224"/>
        <v>1.0153550304648264</v>
      </c>
      <c r="U215" s="67">
        <f t="shared" si="225"/>
        <v>0.17413265169007536</v>
      </c>
      <c r="V215" t="str">
        <f t="shared" si="213"/>
        <v>1-0,0366488106914363i</v>
      </c>
      <c r="W215" s="67">
        <f t="shared" si="226"/>
        <v>1.0006713423122982</v>
      </c>
      <c r="X215" s="67">
        <f t="shared" si="227"/>
        <v>-3.6632415797658691E-2</v>
      </c>
      <c r="Y215" t="str">
        <f t="shared" si="214"/>
        <v>0,999944258330243+0,101639368317583i</v>
      </c>
      <c r="Z215" s="67">
        <f t="shared" si="228"/>
        <v>1.005096553053296</v>
      </c>
      <c r="AA215" s="67">
        <f t="shared" si="229"/>
        <v>0.10129713252759455</v>
      </c>
      <c r="AB215" s="92" t="str">
        <f t="shared" si="230"/>
        <v>0,679797216866092-3,4818413698199i</v>
      </c>
      <c r="AC215" s="37">
        <f t="shared" si="231"/>
        <v>10.998650763120963</v>
      </c>
      <c r="AD215" s="60">
        <f t="shared" si="232"/>
        <v>-78.952504581796276</v>
      </c>
      <c r="AE215" t="str">
        <f t="shared" si="233"/>
        <v>34,4450883806789</v>
      </c>
      <c r="AF215" t="str">
        <f t="shared" si="215"/>
        <v>1+3,1664572437401i</v>
      </c>
      <c r="AG215">
        <f t="shared" si="234"/>
        <v>3.3206101060549322</v>
      </c>
      <c r="AH215">
        <f t="shared" si="235"/>
        <v>1.2648984637558736</v>
      </c>
      <c r="AI215" t="str">
        <f t="shared" si="216"/>
        <v>1+0,175914291318894i</v>
      </c>
      <c r="AJ215">
        <f t="shared" si="236"/>
        <v>1.0153550304648264</v>
      </c>
      <c r="AK215">
        <f t="shared" si="237"/>
        <v>0.17413265169007536</v>
      </c>
      <c r="AL215" t="str">
        <f t="shared" si="217"/>
        <v>1-0,0119694514498501i</v>
      </c>
      <c r="AM215">
        <f t="shared" si="238"/>
        <v>1.0000716313184823</v>
      </c>
      <c r="AN215">
        <f t="shared" si="239"/>
        <v>-1.1968879886783393E-2</v>
      </c>
      <c r="AO215" s="58" t="str">
        <f t="shared" si="240"/>
        <v>4,75210898710146-9,40025542640438i</v>
      </c>
      <c r="AP215">
        <f t="shared" si="241"/>
        <v>20.45116901800305</v>
      </c>
      <c r="AQ215" s="60">
        <f t="shared" si="242"/>
        <v>-63.182043771541885</v>
      </c>
      <c r="AR215" t="str">
        <f t="shared" si="218"/>
        <v>-1,36472945891784</v>
      </c>
      <c r="AS215" t="str">
        <f t="shared" si="219"/>
        <v>1+0,131777395626984i</v>
      </c>
      <c r="AT215">
        <f t="shared" si="243"/>
        <v>1.0086452706468367</v>
      </c>
      <c r="AU215">
        <f t="shared" si="244"/>
        <v>0.13102246205549636</v>
      </c>
      <c r="AV215" t="str">
        <f t="shared" si="220"/>
        <v>1+0,131777395626984i</v>
      </c>
      <c r="AW215">
        <f t="shared" si="245"/>
        <v>1.0086452706468367</v>
      </c>
      <c r="AX215">
        <f t="shared" si="246"/>
        <v>0.13102246205549636</v>
      </c>
      <c r="AY215" t="str">
        <f t="shared" si="221"/>
        <v>1-0,113828323352662i</v>
      </c>
      <c r="AZ215">
        <f t="shared" si="247"/>
        <v>1.0064575933427491</v>
      </c>
      <c r="BA215">
        <f t="shared" si="248"/>
        <v>-0.11334049000616467</v>
      </c>
      <c r="BB215" s="58" t="str">
        <f t="shared" si="249"/>
        <v>-1,32131353489258+0,329464122573432i</v>
      </c>
      <c r="BC215">
        <f t="shared" si="250"/>
        <v>2.6820718110386621</v>
      </c>
      <c r="BD215" s="60">
        <f t="shared" si="251"/>
        <v>165.99903417750912</v>
      </c>
      <c r="BE215" s="58" t="str">
        <f t="shared" si="252"/>
        <v>0,248916548220116+4,8245729218746i</v>
      </c>
      <c r="BF215" s="37">
        <f t="shared" si="253"/>
        <v>13.680722574159621</v>
      </c>
      <c r="BG215" s="60">
        <f t="shared" si="254"/>
        <v>87.046529595712869</v>
      </c>
      <c r="BH215" s="58" t="str">
        <f t="shared" si="255"/>
        <v>-3,18197901791537+13,9863341441642i</v>
      </c>
      <c r="BI215" s="37">
        <f t="shared" si="256"/>
        <v>23.133240829041689</v>
      </c>
      <c r="BJ215" s="60">
        <f t="shared" si="257"/>
        <v>102.81699040596729</v>
      </c>
      <c r="BK215">
        <f t="shared" si="258"/>
        <v>13.680722574159621</v>
      </c>
      <c r="BL215" s="60">
        <f t="shared" si="259"/>
        <v>87.046529595712869</v>
      </c>
      <c r="BN215">
        <f t="shared" si="260"/>
        <v>0</v>
      </c>
      <c r="BO215">
        <f t="shared" si="261"/>
        <v>0</v>
      </c>
    </row>
    <row r="216" spans="13:67" x14ac:dyDescent="0.25">
      <c r="M216" s="66">
        <v>98</v>
      </c>
      <c r="N216" s="36">
        <f t="shared" si="209"/>
        <v>954.99258602143675</v>
      </c>
      <c r="O216" s="91" t="str">
        <f t="shared" si="210"/>
        <v>22,5</v>
      </c>
      <c r="P216" s="67" t="str">
        <f t="shared" si="211"/>
        <v>1+6,48042701575176i</v>
      </c>
      <c r="Q216" s="67">
        <f t="shared" si="222"/>
        <v>6.5571285107495996</v>
      </c>
      <c r="R216" s="67">
        <f t="shared" si="223"/>
        <v>1.4176931087176545</v>
      </c>
      <c r="S216" s="67" t="str">
        <f t="shared" si="212"/>
        <v>1+0,18001186154866i</v>
      </c>
      <c r="T216" s="67">
        <f t="shared" si="224"/>
        <v>1.0160729650464153</v>
      </c>
      <c r="U216" s="67">
        <f t="shared" si="225"/>
        <v>0.17810442750292263</v>
      </c>
      <c r="V216" t="str">
        <f t="shared" si="213"/>
        <v>1-0,0375024711559708i</v>
      </c>
      <c r="W216" s="67">
        <f t="shared" si="226"/>
        <v>1.0007029705875787</v>
      </c>
      <c r="X216" s="67">
        <f t="shared" si="227"/>
        <v>-3.7484904377220789E-2</v>
      </c>
      <c r="Y216" t="str">
        <f t="shared" si="214"/>
        <v>0,999941631306281+0,104006853339226i</v>
      </c>
      <c r="Z216" s="67">
        <f t="shared" si="228"/>
        <v>1.0053361087521893</v>
      </c>
      <c r="AA216" s="67">
        <f t="shared" si="229"/>
        <v>0.10364024612270292</v>
      </c>
      <c r="AB216" s="92" t="str">
        <f t="shared" si="230"/>
        <v>0,655709262881-3,40795691394083i</v>
      </c>
      <c r="AC216" s="37">
        <f t="shared" si="231"/>
        <v>10.807752529184606</v>
      </c>
      <c r="AD216" s="60">
        <f t="shared" si="232"/>
        <v>-79.109075272585969</v>
      </c>
      <c r="AE216" t="str">
        <f t="shared" si="233"/>
        <v>34,4450883806789</v>
      </c>
      <c r="AF216" t="str">
        <f t="shared" si="215"/>
        <v>1+3,24021350787588i</v>
      </c>
      <c r="AG216">
        <f t="shared" si="234"/>
        <v>3.3910151247998455</v>
      </c>
      <c r="AH216">
        <f t="shared" si="235"/>
        <v>1.2714486613980214</v>
      </c>
      <c r="AI216" t="str">
        <f t="shared" si="216"/>
        <v>1+0,18001186154866i</v>
      </c>
      <c r="AJ216">
        <f t="shared" si="236"/>
        <v>1.0160729650464153</v>
      </c>
      <c r="AK216">
        <f t="shared" si="237"/>
        <v>0.17810442750292263</v>
      </c>
      <c r="AL216" t="str">
        <f t="shared" si="217"/>
        <v>1-0,0122482557900763i</v>
      </c>
      <c r="AM216">
        <f t="shared" si="238"/>
        <v>1.0000750070719191</v>
      </c>
      <c r="AN216">
        <f t="shared" si="239"/>
        <v>-1.2247643351696976E-2</v>
      </c>
      <c r="AO216" s="58" t="str">
        <f t="shared" si="240"/>
        <v>4,63041240437308-9,22489259226989i</v>
      </c>
      <c r="AP216">
        <f t="shared" si="241"/>
        <v>20.275100932512856</v>
      </c>
      <c r="AQ216" s="60">
        <f t="shared" si="242"/>
        <v>-63.345748430187179</v>
      </c>
      <c r="AR216" t="str">
        <f t="shared" si="218"/>
        <v>-1,36472945891784</v>
      </c>
      <c r="AS216" t="str">
        <f t="shared" si="219"/>
        <v>1+0,134846885486101i</v>
      </c>
      <c r="AT216">
        <f t="shared" si="243"/>
        <v>1.0090508820298913</v>
      </c>
      <c r="AU216">
        <f t="shared" si="244"/>
        <v>0.13403835095214403</v>
      </c>
      <c r="AV216" t="str">
        <f t="shared" si="220"/>
        <v>1+0,134846885486101i</v>
      </c>
      <c r="AW216">
        <f t="shared" si="245"/>
        <v>1.0090508820298913</v>
      </c>
      <c r="AX216">
        <f t="shared" si="246"/>
        <v>0.13403835095214403</v>
      </c>
      <c r="AY216" t="str">
        <f t="shared" si="221"/>
        <v>1-0,111237274379215i</v>
      </c>
      <c r="AZ216">
        <f t="shared" si="247"/>
        <v>1.0061678444530597</v>
      </c>
      <c r="BA216">
        <f t="shared" si="248"/>
        <v>-0.11078184413923645</v>
      </c>
      <c r="BB216" s="58" t="str">
        <f t="shared" si="249"/>
        <v>-1,32025148320983+0,329840585844291i</v>
      </c>
      <c r="BC216">
        <f t="shared" si="250"/>
        <v>2.6760786753336072</v>
      </c>
      <c r="BD216" s="60">
        <f t="shared" si="251"/>
        <v>165.97283608169454</v>
      </c>
      <c r="BE216" s="58" t="str">
        <f t="shared" si="252"/>
        <v>0,258381378153281+4,71563969775777i</v>
      </c>
      <c r="BF216" s="37">
        <f t="shared" si="253"/>
        <v>13.483831204518207</v>
      </c>
      <c r="BG216" s="60">
        <f t="shared" si="254"/>
        <v>86.863760809108584</v>
      </c>
      <c r="BH216" s="58" t="str">
        <f t="shared" si="255"/>
        <v>-3,07056486776179+13,7064760675548i</v>
      </c>
      <c r="BI216" s="37">
        <f t="shared" si="256"/>
        <v>22.95117960784647</v>
      </c>
      <c r="BJ216" s="60">
        <f t="shared" si="257"/>
        <v>102.62708765150734</v>
      </c>
      <c r="BK216">
        <f t="shared" si="258"/>
        <v>13.483831204518207</v>
      </c>
      <c r="BL216" s="60">
        <f t="shared" si="259"/>
        <v>86.863760809108584</v>
      </c>
      <c r="BN216">
        <f t="shared" si="260"/>
        <v>0</v>
      </c>
      <c r="BO216">
        <f t="shared" si="261"/>
        <v>0</v>
      </c>
    </row>
    <row r="217" spans="13:67" x14ac:dyDescent="0.25">
      <c r="M217" s="66">
        <v>99</v>
      </c>
      <c r="N217" s="36">
        <f t="shared" si="209"/>
        <v>977.23722095581138</v>
      </c>
      <c r="O217" s="91" t="str">
        <f t="shared" si="210"/>
        <v>22,5</v>
      </c>
      <c r="P217" s="67" t="str">
        <f t="shared" si="211"/>
        <v>1+6,63137555220565i</v>
      </c>
      <c r="Q217" s="67">
        <f t="shared" si="222"/>
        <v>6.7063508493360828</v>
      </c>
      <c r="R217" s="67">
        <f t="shared" si="223"/>
        <v>1.4211257608502046</v>
      </c>
      <c r="S217" s="67" t="str">
        <f t="shared" si="212"/>
        <v>1+0,184204876450157i</v>
      </c>
      <c r="T217" s="67">
        <f t="shared" si="224"/>
        <v>1.0168241915434633</v>
      </c>
      <c r="U217" s="67">
        <f t="shared" si="225"/>
        <v>0.18216284602923666</v>
      </c>
      <c r="V217" t="str">
        <f t="shared" si="213"/>
        <v>1-0,0383760159271161i</v>
      </c>
      <c r="W217" s="67">
        <f t="shared" si="226"/>
        <v>1.0007360883861629</v>
      </c>
      <c r="X217" s="67">
        <f t="shared" si="227"/>
        <v>-3.8357193532243504E-2</v>
      </c>
      <c r="Y217" t="str">
        <f t="shared" si="214"/>
        <v>0,999938880474495+0,106429484171202i</v>
      </c>
      <c r="Z217" s="67">
        <f t="shared" si="228"/>
        <v>1.0055868932049257</v>
      </c>
      <c r="AA217" s="67">
        <f t="shared" si="229"/>
        <v>0.10603677523522495</v>
      </c>
      <c r="AB217" s="92" t="str">
        <f t="shared" si="230"/>
        <v>0,632640550034616-3,33555285445874i</v>
      </c>
      <c r="AC217" s="37">
        <f t="shared" si="231"/>
        <v>10.616841507290316</v>
      </c>
      <c r="AD217" s="60">
        <f t="shared" si="232"/>
        <v>-79.260510989987722</v>
      </c>
      <c r="AE217" t="str">
        <f t="shared" si="233"/>
        <v>34,4450883806789</v>
      </c>
      <c r="AF217" t="str">
        <f t="shared" si="215"/>
        <v>1+3,31568777610283i</v>
      </c>
      <c r="AG217">
        <f t="shared" si="234"/>
        <v>3.4632045028553726</v>
      </c>
      <c r="AH217">
        <f t="shared" si="235"/>
        <v>1.2778754503180945</v>
      </c>
      <c r="AI217" t="str">
        <f t="shared" si="216"/>
        <v>1+0,184204876450157i</v>
      </c>
      <c r="AJ217">
        <f t="shared" si="236"/>
        <v>1.0168241915434633</v>
      </c>
      <c r="AK217">
        <f t="shared" si="237"/>
        <v>0.18216284602923666</v>
      </c>
      <c r="AL217" t="str">
        <f t="shared" si="217"/>
        <v>1-0,0125335543176473i</v>
      </c>
      <c r="AM217">
        <f t="shared" si="238"/>
        <v>1.0000785419075011</v>
      </c>
      <c r="AN217">
        <f t="shared" si="239"/>
        <v>-1.2532898080884078E-2</v>
      </c>
      <c r="AO217" s="58" t="str">
        <f t="shared" si="240"/>
        <v>4,51325819999478-9,05132118083626i</v>
      </c>
      <c r="AP217">
        <f t="shared" si="241"/>
        <v>20.098582900236316</v>
      </c>
      <c r="AQ217" s="60">
        <f t="shared" si="242"/>
        <v>-63.4977899501419</v>
      </c>
      <c r="AR217" t="str">
        <f t="shared" si="218"/>
        <v>-1,36472945891784</v>
      </c>
      <c r="AS217" t="str">
        <f t="shared" si="219"/>
        <v>1+0,137987872948813i</v>
      </c>
      <c r="AT217">
        <f t="shared" si="243"/>
        <v>1.0094754346099453</v>
      </c>
      <c r="AU217">
        <f t="shared" si="244"/>
        <v>0.13712195118550924</v>
      </c>
      <c r="AV217" t="str">
        <f t="shared" si="220"/>
        <v>1+0,137987872948813i</v>
      </c>
      <c r="AW217">
        <f t="shared" si="245"/>
        <v>1.0094754346099453</v>
      </c>
      <c r="AX217">
        <f t="shared" si="246"/>
        <v>0.13712195118550924</v>
      </c>
      <c r="AY217" t="str">
        <f t="shared" si="221"/>
        <v>1-0,108705204881043i</v>
      </c>
      <c r="AZ217">
        <f t="shared" si="247"/>
        <v>1.0058910584989955</v>
      </c>
      <c r="BA217">
        <f t="shared" si="248"/>
        <v>-0.10828003201297497</v>
      </c>
      <c r="BB217" s="58" t="str">
        <f t="shared" si="249"/>
        <v>-1,31914120694781+0,330378684704717i</v>
      </c>
      <c r="BC217">
        <f t="shared" si="250"/>
        <v>2.6700351803432953</v>
      </c>
      <c r="BD217" s="60">
        <f t="shared" si="251"/>
        <v>165.93950207858651</v>
      </c>
      <c r="BE217" s="58" t="str">
        <f t="shared" si="252"/>
        <v>0,267453346082353+4,60907617108022i</v>
      </c>
      <c r="BF217" s="37">
        <f t="shared" si="253"/>
        <v>13.286876687633608</v>
      </c>
      <c r="BG217" s="60">
        <f t="shared" si="254"/>
        <v>86.678991088598792</v>
      </c>
      <c r="BH217" s="58" t="str">
        <f t="shared" si="255"/>
        <v>-2,96326128264359+13,4310550548077i</v>
      </c>
      <c r="BI217" s="37">
        <f t="shared" si="256"/>
        <v>22.768618080579628</v>
      </c>
      <c r="BJ217" s="60">
        <f t="shared" si="257"/>
        <v>102.44171212844462</v>
      </c>
      <c r="BK217">
        <f t="shared" si="258"/>
        <v>13.286876687633608</v>
      </c>
      <c r="BL217" s="60">
        <f t="shared" si="259"/>
        <v>86.678991088598792</v>
      </c>
      <c r="BN217">
        <f t="shared" si="260"/>
        <v>0</v>
      </c>
      <c r="BO217">
        <f t="shared" si="261"/>
        <v>0</v>
      </c>
    </row>
    <row r="218" spans="13:67" x14ac:dyDescent="0.25">
      <c r="M218" s="66">
        <v>100</v>
      </c>
      <c r="N218" s="36">
        <f t="shared" si="209"/>
        <v>1000</v>
      </c>
      <c r="O218" s="91" t="str">
        <f t="shared" si="210"/>
        <v>22,5</v>
      </c>
      <c r="P218" s="67" t="str">
        <f t="shared" si="211"/>
        <v>1+6,78584013175396i</v>
      </c>
      <c r="Q218" s="67">
        <f t="shared" si="222"/>
        <v>6.859127225363487</v>
      </c>
      <c r="R218" s="67">
        <f t="shared" si="223"/>
        <v>1.4244837137032231</v>
      </c>
      <c r="S218" s="67" t="str">
        <f t="shared" si="212"/>
        <v>1+0,188495559215388i</v>
      </c>
      <c r="T218" s="67">
        <f t="shared" si="224"/>
        <v>1.0176102278593322</v>
      </c>
      <c r="U218" s="67">
        <f t="shared" si="225"/>
        <v>0.18630952407116516</v>
      </c>
      <c r="V218" t="str">
        <f t="shared" si="213"/>
        <v>1-0,0392699081698724i</v>
      </c>
      <c r="W218" s="67">
        <f t="shared" si="226"/>
        <v>1.0007707658038729</v>
      </c>
      <c r="X218" s="67">
        <f t="shared" si="227"/>
        <v>-3.924974044923514E-2</v>
      </c>
      <c r="Y218" t="str">
        <f t="shared" si="214"/>
        <v>0,999936+0,108908545324446i</v>
      </c>
      <c r="Z218" s="67">
        <f t="shared" si="228"/>
        <v>1.0058494297561076</v>
      </c>
      <c r="AA218" s="67">
        <f t="shared" si="229"/>
        <v>0.10848788216634249</v>
      </c>
      <c r="AB218" s="92" t="str">
        <f t="shared" si="230"/>
        <v>0,610548649991859-3,26461141259635i</v>
      </c>
      <c r="AC218" s="37">
        <f t="shared" si="231"/>
        <v>10.425935189186262</v>
      </c>
      <c r="AD218" s="60">
        <f t="shared" si="232"/>
        <v>-79.406897619116876</v>
      </c>
      <c r="AE218" t="str">
        <f t="shared" si="233"/>
        <v>34,4450883806789</v>
      </c>
      <c r="AF218" t="str">
        <f t="shared" si="215"/>
        <v>1+3,39292006587698i</v>
      </c>
      <c r="AG218">
        <f t="shared" si="234"/>
        <v>3.537217348910108</v>
      </c>
      <c r="AH218">
        <f t="shared" si="235"/>
        <v>1.2841801137065425</v>
      </c>
      <c r="AI218" t="str">
        <f t="shared" si="216"/>
        <v>1+0,188495559215388i</v>
      </c>
      <c r="AJ218">
        <f t="shared" si="236"/>
        <v>1.0176102278593322</v>
      </c>
      <c r="AK218">
        <f t="shared" si="237"/>
        <v>0.18630952407116516</v>
      </c>
      <c r="AL218" t="str">
        <f t="shared" si="217"/>
        <v>1-0,0128254983016186i</v>
      </c>
      <c r="AM218">
        <f t="shared" si="238"/>
        <v>1.0000822433213605</v>
      </c>
      <c r="AN218">
        <f t="shared" si="239"/>
        <v>-1.2824795134381098E-2</v>
      </c>
      <c r="AO218" s="58" t="str">
        <f t="shared" si="240"/>
        <v>4,40051409591738-8,87962180219854i</v>
      </c>
      <c r="AP218">
        <f t="shared" si="241"/>
        <v>19.92165473420232</v>
      </c>
      <c r="AQ218" s="60">
        <f t="shared" si="242"/>
        <v>-63.638157871966229</v>
      </c>
      <c r="AR218" t="str">
        <f t="shared" si="218"/>
        <v>-1,36472945891784</v>
      </c>
      <c r="AS218" t="str">
        <f t="shared" si="219"/>
        <v>1+0,141202023408247i</v>
      </c>
      <c r="AT218">
        <f t="shared" si="243"/>
        <v>1.0099198044471567</v>
      </c>
      <c r="AU218">
        <f t="shared" si="244"/>
        <v>0.14027466303212111</v>
      </c>
      <c r="AV218" t="str">
        <f t="shared" si="220"/>
        <v>1+0,141202023408247i</v>
      </c>
      <c r="AW218">
        <f t="shared" si="245"/>
        <v>1.0099198044471567</v>
      </c>
      <c r="AX218">
        <f t="shared" si="246"/>
        <v>0.14027466303212111</v>
      </c>
      <c r="AY218" t="str">
        <f t="shared" si="221"/>
        <v>1-0,106230772321383i</v>
      </c>
      <c r="AZ218">
        <f t="shared" si="247"/>
        <v>1.0056266588490967</v>
      </c>
      <c r="BA218">
        <f t="shared" si="248"/>
        <v>-0.10583385247353747</v>
      </c>
      <c r="BB218" s="58" t="str">
        <f t="shared" si="249"/>
        <v>-1,31798060469349+0,331077792626131i</v>
      </c>
      <c r="BC218">
        <f t="shared" si="250"/>
        <v>2.663929107344138</v>
      </c>
      <c r="BD218" s="60">
        <f t="shared" si="251"/>
        <v>165.89902075929575</v>
      </c>
      <c r="BE218" s="58" t="str">
        <f t="shared" si="252"/>
        <v>0,276149061353411+4,50483362299317i</v>
      </c>
      <c r="BF218" s="37">
        <f t="shared" si="253"/>
        <v>13.08986429653039</v>
      </c>
      <c r="BG218" s="60">
        <f t="shared" si="254"/>
        <v>86.49212314017889</v>
      </c>
      <c r="BH218" s="58" t="str">
        <f t="shared" si="255"/>
        <v>-2,85994664347266+13,1600818056076i</v>
      </c>
      <c r="BI218" s="37">
        <f t="shared" si="256"/>
        <v>22.585583841546438</v>
      </c>
      <c r="BJ218" s="60">
        <f t="shared" si="257"/>
        <v>102.26086288732959</v>
      </c>
      <c r="BK218">
        <f t="shared" si="258"/>
        <v>13.08986429653039</v>
      </c>
      <c r="BL218" s="60">
        <f t="shared" si="259"/>
        <v>86.49212314017889</v>
      </c>
      <c r="BN218">
        <f t="shared" si="260"/>
        <v>0</v>
      </c>
      <c r="BO218">
        <f t="shared" si="261"/>
        <v>0</v>
      </c>
    </row>
    <row r="219" spans="13:67" x14ac:dyDescent="0.25">
      <c r="M219" s="66">
        <v>1</v>
      </c>
      <c r="N219" s="36">
        <f>10^(3+(M219/100))</f>
        <v>1023.2929922807547</v>
      </c>
      <c r="O219" s="91" t="str">
        <f t="shared" si="210"/>
        <v>22,5</v>
      </c>
      <c r="P219" s="67" t="str">
        <f t="shared" si="211"/>
        <v>1+6,94390265356133i</v>
      </c>
      <c r="Q219" s="67">
        <f t="shared" si="222"/>
        <v>7.0155387577958734</v>
      </c>
      <c r="R219" s="67">
        <f t="shared" si="223"/>
        <v>1.4277684446407202</v>
      </c>
      <c r="S219" s="67" t="str">
        <f t="shared" si="212"/>
        <v>1+0,192886184821148i</v>
      </c>
      <c r="T219" s="67">
        <f t="shared" si="224"/>
        <v>1.0184326586941612</v>
      </c>
      <c r="U219" s="67">
        <f t="shared" si="225"/>
        <v>0.19054608955867008</v>
      </c>
      <c r="V219" t="str">
        <f t="shared" si="213"/>
        <v>1-0,0401846218377392i</v>
      </c>
      <c r="W219" s="67">
        <f t="shared" si="226"/>
        <v>1.0008070762301005</v>
      </c>
      <c r="X219" s="67">
        <f t="shared" si="227"/>
        <v>-4.0163012676831783E-2</v>
      </c>
      <c r="Y219" t="str">
        <f t="shared" si="214"/>
        <v>0,999932983772925+0,111445351229997i</v>
      </c>
      <c r="Z219" s="67">
        <f t="shared" si="228"/>
        <v>1.0061242658577529</v>
      </c>
      <c r="AA219" s="67">
        <f t="shared" si="229"/>
        <v>0.11099475058237519</v>
      </c>
      <c r="AB219" s="92" t="str">
        <f t="shared" si="230"/>
        <v>0,589392662954792-3,19511429376677i</v>
      </c>
      <c r="AC219" s="37">
        <f t="shared" si="231"/>
        <v>10.235051027673343</v>
      </c>
      <c r="AD219" s="60">
        <f t="shared" si="232"/>
        <v>-79.548321140827795</v>
      </c>
      <c r="AE219" t="str">
        <f t="shared" si="233"/>
        <v>34,4450883806789</v>
      </c>
      <c r="AF219" t="str">
        <f t="shared" si="215"/>
        <v>1+3,47195132678067i</v>
      </c>
      <c r="AG219">
        <f t="shared" si="234"/>
        <v>3.6130936903897264</v>
      </c>
      <c r="AH219">
        <f t="shared" si="235"/>
        <v>1.2903639888048573</v>
      </c>
      <c r="AI219" t="str">
        <f t="shared" si="216"/>
        <v>1+0,192886184821148i</v>
      </c>
      <c r="AJ219">
        <f t="shared" si="236"/>
        <v>1.0184326586941612</v>
      </c>
      <c r="AK219">
        <f t="shared" si="237"/>
        <v>0.19054608955867008</v>
      </c>
      <c r="AL219" t="str">
        <f t="shared" si="217"/>
        <v>1-0,0131242425345551i</v>
      </c>
      <c r="AM219">
        <f t="shared" si="238"/>
        <v>1.0000861191627979</v>
      </c>
      <c r="AN219">
        <f t="shared" si="239"/>
        <v>-1.3123489080789441E-2</v>
      </c>
      <c r="AO219" s="58" t="str">
        <f t="shared" si="240"/>
        <v>4,29204858453808-8,70986778814989i</v>
      </c>
      <c r="AP219">
        <f t="shared" si="241"/>
        <v>19.744355944493847</v>
      </c>
      <c r="AQ219" s="60">
        <f t="shared" si="242"/>
        <v>-63.766844396566192</v>
      </c>
      <c r="AR219" t="str">
        <f t="shared" si="218"/>
        <v>-1,36472945891784</v>
      </c>
      <c r="AS219" t="str">
        <f t="shared" si="219"/>
        <v>1+0,144491041049522i</v>
      </c>
      <c r="AT219">
        <f t="shared" si="243"/>
        <v>1.0103849073217466</v>
      </c>
      <c r="AU219">
        <f t="shared" si="244"/>
        <v>0.14349790727662365</v>
      </c>
      <c r="AV219" t="str">
        <f t="shared" si="220"/>
        <v>1+0,144491041049522i</v>
      </c>
      <c r="AW219">
        <f t="shared" si="245"/>
        <v>1.0103849073217466</v>
      </c>
      <c r="AX219">
        <f t="shared" si="246"/>
        <v>0.14349790727662365</v>
      </c>
      <c r="AY219" t="str">
        <f t="shared" si="221"/>
        <v>1-0,103812664723337i</v>
      </c>
      <c r="AZ219">
        <f t="shared" si="247"/>
        <v>1.0053740942340617</v>
      </c>
      <c r="BA219">
        <f t="shared" si="248"/>
        <v>-0.10344212568740078</v>
      </c>
      <c r="BB219" s="58" t="str">
        <f t="shared" si="249"/>
        <v>-1,31676749179878+0,331937307466872i</v>
      </c>
      <c r="BC219">
        <f t="shared" si="250"/>
        <v>2.6577481286981133</v>
      </c>
      <c r="BD219" s="60">
        <f t="shared" si="251"/>
        <v>165.85137831834001</v>
      </c>
      <c r="BE219" s="58" t="str">
        <f t="shared" si="252"/>
        <v>0,284484537238273+4,40286404819564i</v>
      </c>
      <c r="BF219" s="37">
        <f t="shared" si="253"/>
        <v>12.892799156371451</v>
      </c>
      <c r="BG219" s="60">
        <f t="shared" si="254"/>
        <v>86.303057177512216</v>
      </c>
      <c r="BH219" s="58" t="str">
        <f t="shared" si="255"/>
        <v>-2,7604999873498+12,8935618119697i</v>
      </c>
      <c r="BI219" s="37">
        <f t="shared" si="256"/>
        <v>22.402104073191968</v>
      </c>
      <c r="BJ219" s="60">
        <f t="shared" si="257"/>
        <v>102.08453392177383</v>
      </c>
      <c r="BK219">
        <f t="shared" si="258"/>
        <v>12.892799156371451</v>
      </c>
      <c r="BL219" s="60">
        <f t="shared" si="259"/>
        <v>86.303057177512216</v>
      </c>
      <c r="BN219">
        <f t="shared" si="260"/>
        <v>0</v>
      </c>
      <c r="BO219">
        <f t="shared" si="261"/>
        <v>0</v>
      </c>
    </row>
    <row r="220" spans="13:67" x14ac:dyDescent="0.25">
      <c r="M220" s="66">
        <v>2</v>
      </c>
      <c r="N220" s="36">
        <f t="shared" ref="N220:N283" si="262">10^(3+(M220/100))</f>
        <v>1047.1285480509</v>
      </c>
      <c r="O220" s="91" t="str">
        <f t="shared" si="210"/>
        <v>22,5</v>
      </c>
      <c r="P220" s="67" t="str">
        <f t="shared" si="211"/>
        <v>1+7,10564692446905i</v>
      </c>
      <c r="Q220" s="67">
        <f t="shared" si="222"/>
        <v>7.1756684855988491</v>
      </c>
      <c r="R220" s="67">
        <f t="shared" si="223"/>
        <v>1.430981411599227</v>
      </c>
      <c r="S220" s="67" t="str">
        <f t="shared" si="212"/>
        <v>1+0,197379081235251i</v>
      </c>
      <c r="T220" s="67">
        <f t="shared" si="224"/>
        <v>1.0192931382626256</v>
      </c>
      <c r="U220" s="67">
        <f t="shared" si="225"/>
        <v>0.19487418016047944</v>
      </c>
      <c r="V220" t="str">
        <f t="shared" si="213"/>
        <v>1-0,0411206419240107i</v>
      </c>
      <c r="W220" s="67">
        <f t="shared" si="226"/>
        <v>1.0008450965020723</v>
      </c>
      <c r="X220" s="67">
        <f t="shared" si="227"/>
        <v>-4.1097488346745738E-2</v>
      </c>
      <c r="Y220" t="str">
        <f t="shared" si="214"/>
        <v>0,999929825395447+0,114041246935923i</v>
      </c>
      <c r="Z220" s="67">
        <f t="shared" si="228"/>
        <v>1.0064119741527668</v>
      </c>
      <c r="AA220" s="67">
        <f t="shared" si="229"/>
        <v>0.11355858562205602</v>
      </c>
      <c r="AB220" s="92" t="str">
        <f t="shared" si="230"/>
        <v>0,569133176121554-3,12704275257689i</v>
      </c>
      <c r="AC220" s="37">
        <f t="shared" si="231"/>
        <v>10.044206459643959</v>
      </c>
      <c r="AD220" s="60">
        <f t="shared" si="232"/>
        <v>-79.684867701516495</v>
      </c>
      <c r="AE220" t="str">
        <f t="shared" si="233"/>
        <v>34,4450883806789</v>
      </c>
      <c r="AF220" t="str">
        <f t="shared" si="215"/>
        <v>1+3,55282346223453i</v>
      </c>
      <c r="AG220">
        <f t="shared" si="234"/>
        <v>3.6908744971624481</v>
      </c>
      <c r="AH220">
        <f t="shared" si="235"/>
        <v>1.2964284618741411</v>
      </c>
      <c r="AI220" t="str">
        <f t="shared" si="216"/>
        <v>1+0,197379081235251i</v>
      </c>
      <c r="AJ220">
        <f t="shared" si="236"/>
        <v>1.0192931382626256</v>
      </c>
      <c r="AK220">
        <f t="shared" si="237"/>
        <v>0.19487418016047944</v>
      </c>
      <c r="AL220" t="str">
        <f t="shared" si="217"/>
        <v>1-0,0134299454146032i</v>
      </c>
      <c r="AM220">
        <f t="shared" si="238"/>
        <v>1.0000901776509152</v>
      </c>
      <c r="AN220">
        <f t="shared" si="239"/>
        <v>-1.3429138078279352E-2</v>
      </c>
      <c r="AO220" s="58" t="str">
        <f t="shared" si="240"/>
        <v>4,18773122032416-8,54212549220799i</v>
      </c>
      <c r="AP220">
        <f t="shared" si="241"/>
        <v>19.566725760635521</v>
      </c>
      <c r="AQ220" s="60">
        <f t="shared" si="242"/>
        <v>-63.883844181141562</v>
      </c>
      <c r="AR220" t="str">
        <f t="shared" si="218"/>
        <v>-1,36472945891784</v>
      </c>
      <c r="AS220" t="str">
        <f t="shared" si="219"/>
        <v>1+0,147856669753327i</v>
      </c>
      <c r="AT220">
        <f t="shared" si="243"/>
        <v>1.0108717004598282</v>
      </c>
      <c r="AU220">
        <f t="shared" si="244"/>
        <v>0.14679312488770013</v>
      </c>
      <c r="AV220" t="str">
        <f t="shared" si="220"/>
        <v>1+0,147856669753327i</v>
      </c>
      <c r="AW220">
        <f t="shared" si="245"/>
        <v>1.0108717004598282</v>
      </c>
      <c r="AX220">
        <f t="shared" si="246"/>
        <v>0.14679312488770013</v>
      </c>
      <c r="AY220" t="str">
        <f t="shared" si="221"/>
        <v>1-0,101449599974251i</v>
      </c>
      <c r="AZ220">
        <f t="shared" si="247"/>
        <v>1.0051328376562649</v>
      </c>
      <c r="BA220">
        <f t="shared" si="248"/>
        <v>-0.10110369304136269</v>
      </c>
      <c r="BB220" s="58" t="str">
        <f t="shared" si="249"/>
        <v>-1,31549959787814+0,332956647284393i</v>
      </c>
      <c r="BC220">
        <f t="shared" si="250"/>
        <v>2.6514797867044599</v>
      </c>
      <c r="BD220" s="60">
        <f t="shared" si="251"/>
        <v>165.79655857794174</v>
      </c>
      <c r="BE220" s="58" t="str">
        <f t="shared" si="252"/>
        <v>0,292475206485948+4,3031201577424i</v>
      </c>
      <c r="BF220" s="37">
        <f t="shared" si="253"/>
        <v>12.695686246348414</v>
      </c>
      <c r="BG220" s="60">
        <f t="shared" si="254"/>
        <v>86.111690876425257</v>
      </c>
      <c r="BH220" s="58" t="str">
        <f t="shared" si="255"/>
        <v>-2,66480127179005+12,6314955968715i</v>
      </c>
      <c r="BI220" s="37">
        <f t="shared" si="256"/>
        <v>22.218205547339956</v>
      </c>
      <c r="BJ220" s="60">
        <f t="shared" si="257"/>
        <v>101.91271439680021</v>
      </c>
      <c r="BK220">
        <f t="shared" si="258"/>
        <v>12.695686246348414</v>
      </c>
      <c r="BL220" s="60">
        <f t="shared" si="259"/>
        <v>86.111690876425257</v>
      </c>
      <c r="BN220">
        <f t="shared" si="260"/>
        <v>0</v>
      </c>
      <c r="BO220">
        <f t="shared" si="261"/>
        <v>0</v>
      </c>
    </row>
    <row r="221" spans="13:67" x14ac:dyDescent="0.25">
      <c r="M221" s="66">
        <v>3</v>
      </c>
      <c r="N221" s="36">
        <f t="shared" si="262"/>
        <v>1071.5193052376069</v>
      </c>
      <c r="O221" s="91" t="str">
        <f t="shared" si="210"/>
        <v>22,5</v>
      </c>
      <c r="P221" s="67" t="str">
        <f t="shared" si="211"/>
        <v>1+7,27115870343047i</v>
      </c>
      <c r="Q221" s="67">
        <f t="shared" si="222"/>
        <v>7.339601412234364</v>
      </c>
      <c r="R221" s="67">
        <f t="shared" si="223"/>
        <v>1.4341240526539303</v>
      </c>
      <c r="S221" s="67" t="str">
        <f t="shared" si="212"/>
        <v>1+0,201976630650847i</v>
      </c>
      <c r="T221" s="67">
        <f t="shared" si="224"/>
        <v>1.0201933931020475</v>
      </c>
      <c r="U221" s="67">
        <f t="shared" si="225"/>
        <v>0.1992954417726002</v>
      </c>
      <c r="V221" t="str">
        <f t="shared" si="213"/>
        <v>1-0,0420784647189263i</v>
      </c>
      <c r="W221" s="67">
        <f t="shared" si="226"/>
        <v>1.0008849070662931</v>
      </c>
      <c r="X221" s="67">
        <f t="shared" si="227"/>
        <v>-4.2053656398416496E-2</v>
      </c>
      <c r="Y221" t="str">
        <f t="shared" si="214"/>
        <v>0,999926518168224+0,116697608820489i</v>
      </c>
      <c r="Z221" s="67">
        <f t="shared" si="228"/>
        <v>1.0067131536045644</v>
      </c>
      <c r="AA221" s="67">
        <f t="shared" si="229"/>
        <v>0.11618061398051263</v>
      </c>
      <c r="AB221" s="92" t="str">
        <f t="shared" si="230"/>
        <v>0,549732221733455-3,06037765359413i</v>
      </c>
      <c r="AC221" s="37">
        <f t="shared" si="231"/>
        <v>9.8534189286815774</v>
      </c>
      <c r="AD221" s="60">
        <f t="shared" si="232"/>
        <v>-79.816623692546983</v>
      </c>
      <c r="AE221" t="str">
        <f t="shared" si="233"/>
        <v>34,4450883806789</v>
      </c>
      <c r="AF221" t="str">
        <f t="shared" si="215"/>
        <v>1+3,63557935171524i</v>
      </c>
      <c r="AG221">
        <f t="shared" si="234"/>
        <v>3.7706017056456922</v>
      </c>
      <c r="AH221">
        <f t="shared" si="235"/>
        <v>1.302374963376103</v>
      </c>
      <c r="AI221" t="str">
        <f t="shared" si="216"/>
        <v>1+0,201976630650847i</v>
      </c>
      <c r="AJ221">
        <f t="shared" si="236"/>
        <v>1.0201933931020475</v>
      </c>
      <c r="AK221">
        <f t="shared" si="237"/>
        <v>0.1992954417726002</v>
      </c>
      <c r="AL221" t="str">
        <f t="shared" si="217"/>
        <v>1-0,0137427690294765i</v>
      </c>
      <c r="AM221">
        <f t="shared" si="238"/>
        <v>1.0000944273920327</v>
      </c>
      <c r="AN221">
        <f t="shared" si="239"/>
        <v>-1.374190395743102E-2</v>
      </c>
      <c r="AO221" s="58" t="str">
        <f t="shared" si="240"/>
        <v>4,08743288325421-8,37645459209632i</v>
      </c>
      <c r="AP221">
        <f t="shared" si="241"/>
        <v>19.38880315587468</v>
      </c>
      <c r="AQ221" s="60">
        <f t="shared" si="242"/>
        <v>-63.989154154425549</v>
      </c>
      <c r="AR221" t="str">
        <f t="shared" si="218"/>
        <v>-1,36472945891784</v>
      </c>
      <c r="AS221" t="str">
        <f t="shared" si="219"/>
        <v>1+0,151300694020549i</v>
      </c>
      <c r="AT221">
        <f t="shared" si="243"/>
        <v>1.0113811843272049</v>
      </c>
      <c r="AU221">
        <f t="shared" si="244"/>
        <v>0.15016177663656344</v>
      </c>
      <c r="AV221" t="str">
        <f t="shared" si="220"/>
        <v>1+0,151300694020549i</v>
      </c>
      <c r="AW221">
        <f t="shared" si="245"/>
        <v>1.0113811843272049</v>
      </c>
      <c r="AX221">
        <f t="shared" si="246"/>
        <v>0.15016177663656344</v>
      </c>
      <c r="AY221" t="str">
        <f t="shared" si="221"/>
        <v>1-0,0991403251459162i</v>
      </c>
      <c r="AZ221">
        <f t="shared" si="247"/>
        <v>1.0049023853439885</v>
      </c>
      <c r="BA221">
        <f t="shared" si="248"/>
        <v>-9.8817417020849146E-2</v>
      </c>
      <c r="BB221" s="58" t="str">
        <f t="shared" si="249"/>
        <v>-1,31417456431074+0,334135245937693i</v>
      </c>
      <c r="BC221">
        <f t="shared" si="250"/>
        <v>2.6451114723923053</v>
      </c>
      <c r="BD221" s="60">
        <f t="shared" si="251"/>
        <v>165.73454301685985</v>
      </c>
      <c r="BE221" s="58" t="str">
        <f t="shared" si="252"/>
        <v>0,300135936961756+4,20555538064717i</v>
      </c>
      <c r="BF221" s="37">
        <f t="shared" si="253"/>
        <v>12.498530401073877</v>
      </c>
      <c r="BG221" s="60">
        <f t="shared" si="254"/>
        <v>85.917919324312862</v>
      </c>
      <c r="BH221" s="58" t="str">
        <f t="shared" si="255"/>
        <v>-2,57273161328397+12,3738789557368i</v>
      </c>
      <c r="BI221" s="37">
        <f t="shared" si="256"/>
        <v>22.03391462826696</v>
      </c>
      <c r="BJ221" s="60">
        <f t="shared" si="257"/>
        <v>101.74538886243433</v>
      </c>
      <c r="BK221">
        <f t="shared" si="258"/>
        <v>12.498530401073877</v>
      </c>
      <c r="BL221" s="60">
        <f t="shared" si="259"/>
        <v>85.917919324312862</v>
      </c>
      <c r="BN221">
        <f t="shared" si="260"/>
        <v>0</v>
      </c>
      <c r="BO221">
        <f t="shared" si="261"/>
        <v>0</v>
      </c>
    </row>
    <row r="222" spans="13:67" x14ac:dyDescent="0.25">
      <c r="M222" s="66">
        <v>4</v>
      </c>
      <c r="N222" s="36">
        <f t="shared" si="262"/>
        <v>1096.4781961431863</v>
      </c>
      <c r="O222" s="91" t="str">
        <f t="shared" si="210"/>
        <v>22,5</v>
      </c>
      <c r="P222" s="67" t="str">
        <f t="shared" si="211"/>
        <v>1+7,44052574698161i</v>
      </c>
      <c r="Q222" s="67">
        <f t="shared" si="222"/>
        <v>7.5074245511690796</v>
      </c>
      <c r="R222" s="67">
        <f t="shared" si="223"/>
        <v>1.4371977856457072</v>
      </c>
      <c r="S222" s="67" t="str">
        <f t="shared" si="212"/>
        <v>1+0,206681270749489i</v>
      </c>
      <c r="T222" s="67">
        <f t="shared" si="224"/>
        <v>1.0211352249720032</v>
      </c>
      <c r="U222" s="67">
        <f t="shared" si="225"/>
        <v>0.20381152687807094</v>
      </c>
      <c r="V222" t="str">
        <f t="shared" si="213"/>
        <v>1-0,0430585980728103i</v>
      </c>
      <c r="W222" s="67">
        <f t="shared" si="226"/>
        <v>1.0009265921474941</v>
      </c>
      <c r="X222" s="67">
        <f t="shared" si="227"/>
        <v>-4.3032016807346488E-2</v>
      </c>
      <c r="Y222" t="str">
        <f t="shared" si="214"/>
        <v>0,999923055076185+0,119415845321927i</v>
      </c>
      <c r="Z222" s="67">
        <f t="shared" si="228"/>
        <v>1.0070284306745474</v>
      </c>
      <c r="AA222" s="67">
        <f t="shared" si="229"/>
        <v>0.11886208396779638</v>
      </c>
      <c r="AB222" s="92" t="str">
        <f t="shared" si="230"/>
        <v>0,531153234893264-2,99509952806687i</v>
      </c>
      <c r="AC222" s="37">
        <f t="shared" si="231"/>
        <v>9.6627059071773562</v>
      </c>
      <c r="AD222" s="60">
        <f t="shared" si="232"/>
        <v>-79.943675839297313</v>
      </c>
      <c r="AE222" t="str">
        <f t="shared" si="233"/>
        <v>34,4450883806789</v>
      </c>
      <c r="AF222" t="str">
        <f t="shared" si="215"/>
        <v>1+3,72026287349081i</v>
      </c>
      <c r="AG222">
        <f t="shared" si="234"/>
        <v>3.8523182433275291</v>
      </c>
      <c r="AH222">
        <f t="shared" si="235"/>
        <v>1.3082049633675552</v>
      </c>
      <c r="AI222" t="str">
        <f t="shared" si="216"/>
        <v>1+0,206681270749489i</v>
      </c>
      <c r="AJ222">
        <f t="shared" si="236"/>
        <v>1.0211352249720032</v>
      </c>
      <c r="AK222">
        <f t="shared" si="237"/>
        <v>0.20381152687807094</v>
      </c>
      <c r="AL222" t="str">
        <f t="shared" si="217"/>
        <v>1-0,0140628792423963i</v>
      </c>
      <c r="AM222">
        <f t="shared" si="238"/>
        <v>1.0000988773979231</v>
      </c>
      <c r="AN222">
        <f t="shared" si="239"/>
        <v>-1.4061952305948693E-2</v>
      </c>
      <c r="AO222" s="58" t="str">
        <f t="shared" si="240"/>
        <v>3,99102601535367-8,21290839285021i</v>
      </c>
      <c r="AP222">
        <f t="shared" si="241"/>
        <v>19.210626873151046</v>
      </c>
      <c r="AQ222" s="60">
        <f t="shared" si="242"/>
        <v>-64.082773351641904</v>
      </c>
      <c r="AR222" t="str">
        <f t="shared" si="218"/>
        <v>-1,36472945891784</v>
      </c>
      <c r="AS222" t="str">
        <f t="shared" si="219"/>
        <v>1+0,154824939918443i</v>
      </c>
      <c r="AT222">
        <f t="shared" si="243"/>
        <v>1.0119144044931614</v>
      </c>
      <c r="AU222">
        <f t="shared" si="244"/>
        <v>0.15360534265395318</v>
      </c>
      <c r="AV222" t="str">
        <f t="shared" si="220"/>
        <v>1+0,154824939918443i</v>
      </c>
      <c r="AW222">
        <f t="shared" si="245"/>
        <v>1.0119144044931614</v>
      </c>
      <c r="AX222">
        <f t="shared" si="246"/>
        <v>0.15360534265395318</v>
      </c>
      <c r="AY222" t="str">
        <f t="shared" si="221"/>
        <v>1-0,0968836158302506i</v>
      </c>
      <c r="AZ222">
        <f t="shared" si="247"/>
        <v>1.0046822557487236</v>
      </c>
      <c r="BA222">
        <f t="shared" si="248"/>
        <v>-9.6582181068454023E-2</v>
      </c>
      <c r="BB222" s="58" t="str">
        <f t="shared" si="249"/>
        <v>-1,31278994175698+0,335472548468083i</v>
      </c>
      <c r="BC222">
        <f t="shared" si="250"/>
        <v>2.6386304042465603</v>
      </c>
      <c r="BD222" s="60">
        <f t="shared" si="251"/>
        <v>165.66531080387688</v>
      </c>
      <c r="BE222" s="58" t="str">
        <f t="shared" si="252"/>
        <v>0,307481047296586+4,11012386434397i</v>
      </c>
      <c r="BF222" s="37">
        <f t="shared" si="253"/>
        <v>12.30133631142391</v>
      </c>
      <c r="BG222" s="60">
        <f t="shared" si="254"/>
        <v>85.72163496457955</v>
      </c>
      <c r="BH222" s="58" t="str">
        <f t="shared" si="255"/>
        <v>-2,48417350136237+12,1207031990784i</v>
      </c>
      <c r="BI222" s="37">
        <f t="shared" si="256"/>
        <v>21.849257277397637</v>
      </c>
      <c r="BJ222" s="60">
        <f t="shared" si="257"/>
        <v>101.58253745223494</v>
      </c>
      <c r="BK222">
        <f t="shared" si="258"/>
        <v>12.30133631142391</v>
      </c>
      <c r="BL222" s="60">
        <f t="shared" si="259"/>
        <v>85.72163496457955</v>
      </c>
      <c r="BN222">
        <f t="shared" si="260"/>
        <v>0</v>
      </c>
      <c r="BO222">
        <f t="shared" si="261"/>
        <v>0</v>
      </c>
    </row>
    <row r="223" spans="13:67" x14ac:dyDescent="0.25">
      <c r="M223" s="66">
        <v>5</v>
      </c>
      <c r="N223" s="36">
        <f t="shared" si="262"/>
        <v>1122.0184543019636</v>
      </c>
      <c r="O223" s="91" t="str">
        <f t="shared" si="210"/>
        <v>22,5</v>
      </c>
      <c r="P223" s="67" t="str">
        <f t="shared" si="211"/>
        <v>1+7,61383785577081i</v>
      </c>
      <c r="Q223" s="67">
        <f t="shared" si="222"/>
        <v>7.6792269724216817</v>
      </c>
      <c r="R223" s="67">
        <f t="shared" si="223"/>
        <v>1.4402040078650267</v>
      </c>
      <c r="S223" s="67" t="str">
        <f t="shared" si="212"/>
        <v>1+0,211495495993634i</v>
      </c>
      <c r="T223" s="67">
        <f t="shared" si="224"/>
        <v>1.0221205138463827</v>
      </c>
      <c r="U223" s="67">
        <f t="shared" si="225"/>
        <v>0.20842409277154059</v>
      </c>
      <c r="V223" t="str">
        <f t="shared" si="213"/>
        <v>1-0,0440615616653403i</v>
      </c>
      <c r="W223" s="67">
        <f t="shared" si="226"/>
        <v>1.0009702399254379</v>
      </c>
      <c r="X223" s="67">
        <f t="shared" si="227"/>
        <v>-4.4033080817099002E-2</v>
      </c>
      <c r="Y223" t="str">
        <f t="shared" si="214"/>
        <v>0,999919428773645+0,12219739768521i</v>
      </c>
      <c r="Z223" s="67">
        <f t="shared" si="228"/>
        <v>1.0073584605491979</v>
      </c>
      <c r="AA223" s="67">
        <f t="shared" si="229"/>
        <v>0.12160426553969769</v>
      </c>
      <c r="AB223" s="92" t="str">
        <f t="shared" si="230"/>
        <v>0,513361011318915-2,93118862678542i</v>
      </c>
      <c r="AC223" s="37">
        <f t="shared" si="231"/>
        <v>9.4720849179156694</v>
      </c>
      <c r="AD223" s="60">
        <f t="shared" si="232"/>
        <v>-80.066111299830737</v>
      </c>
      <c r="AE223" t="str">
        <f t="shared" si="233"/>
        <v>34,4450883806789</v>
      </c>
      <c r="AF223" t="str">
        <f t="shared" si="215"/>
        <v>1+3,80691892788541i</v>
      </c>
      <c r="AG223">
        <f t="shared" si="234"/>
        <v>3.9360680537170851</v>
      </c>
      <c r="AH223">
        <f t="shared" si="235"/>
        <v>1.3139199671082533</v>
      </c>
      <c r="AI223" t="str">
        <f t="shared" si="216"/>
        <v>1+0,211495495993634i</v>
      </c>
      <c r="AJ223">
        <f t="shared" si="236"/>
        <v>1.0221205138463827</v>
      </c>
      <c r="AK223">
        <f t="shared" si="237"/>
        <v>0.20842409277154059</v>
      </c>
      <c r="AL223" t="str">
        <f t="shared" si="217"/>
        <v>1-0,0143904457800346i</v>
      </c>
      <c r="AM223">
        <f t="shared" si="238"/>
        <v>1.0001035371049081</v>
      </c>
      <c r="AN223">
        <f t="shared" si="239"/>
        <v>-1.4389452555289671E-2</v>
      </c>
      <c r="AO223" s="58" t="str">
        <f t="shared" si="240"/>
        <v>3,8983848316513-8,05153412890912i</v>
      </c>
      <c r="AP223">
        <f t="shared" si="241"/>
        <v>19.03223545255188</v>
      </c>
      <c r="AQ223" s="60">
        <f t="shared" si="242"/>
        <v>-64.164702769540284</v>
      </c>
      <c r="AR223" t="str">
        <f t="shared" si="218"/>
        <v>-1,36472945891784</v>
      </c>
      <c r="AS223" t="str">
        <f t="shared" si="219"/>
        <v>1+0,158431276048831i</v>
      </c>
      <c r="AT223">
        <f t="shared" si="243"/>
        <v>1.0124724535662493</v>
      </c>
      <c r="AU223">
        <f t="shared" si="244"/>
        <v>0.15712532192136719</v>
      </c>
      <c r="AV223" t="str">
        <f t="shared" si="220"/>
        <v>1+0,158431276048831i</v>
      </c>
      <c r="AW223">
        <f t="shared" si="245"/>
        <v>1.0124724535662493</v>
      </c>
      <c r="AX223">
        <f t="shared" si="246"/>
        <v>0.15712532192136719</v>
      </c>
      <c r="AY223" t="str">
        <f t="shared" si="221"/>
        <v>1-0,0946782754901045i</v>
      </c>
      <c r="AZ223">
        <f t="shared" si="247"/>
        <v>1.0044719885839426</v>
      </c>
      <c r="BA223">
        <f t="shared" si="248"/>
        <v>-9.4396889424496075E-2</v>
      </c>
      <c r="BB223" s="58" t="str">
        <f t="shared" si="249"/>
        <v>-1,31134318770062+0,336968006246236i</v>
      </c>
      <c r="BC223">
        <f t="shared" si="250"/>
        <v>2.6320236068626617</v>
      </c>
      <c r="BD223" s="60">
        <f t="shared" si="251"/>
        <v>165.58883883608451</v>
      </c>
      <c r="BE223" s="58" t="str">
        <f t="shared" si="252"/>
        <v>0,314524322475365+4,01678047406928i</v>
      </c>
      <c r="BF223" s="37">
        <f t="shared" si="253"/>
        <v>12.104108524778328</v>
      </c>
      <c r="BG223" s="60">
        <f t="shared" si="254"/>
        <v>85.522727536253782</v>
      </c>
      <c r="BH223" s="58" t="str">
        <f t="shared" si="255"/>
        <v>-2,39901098937933+11,8719553947861i</v>
      </c>
      <c r="BI223" s="37">
        <f t="shared" si="256"/>
        <v>21.664259059414526</v>
      </c>
      <c r="BJ223" s="60">
        <f t="shared" si="257"/>
        <v>101.42413606654425</v>
      </c>
      <c r="BK223">
        <f t="shared" si="258"/>
        <v>12.104108524778328</v>
      </c>
      <c r="BL223" s="60">
        <f t="shared" si="259"/>
        <v>85.522727536253782</v>
      </c>
      <c r="BN223">
        <f t="shared" si="260"/>
        <v>0</v>
      </c>
      <c r="BO223">
        <f t="shared" si="261"/>
        <v>0</v>
      </c>
    </row>
    <row r="224" spans="13:67" x14ac:dyDescent="0.25">
      <c r="M224" s="66">
        <v>6</v>
      </c>
      <c r="N224" s="36">
        <f t="shared" si="262"/>
        <v>1148.1536214968839</v>
      </c>
      <c r="O224" s="91" t="str">
        <f t="shared" si="210"/>
        <v>22,5</v>
      </c>
      <c r="P224" s="67" t="str">
        <f t="shared" si="211"/>
        <v>1+7,79118692217219i</v>
      </c>
      <c r="Q224" s="67">
        <f t="shared" si="222"/>
        <v>7.8550998501754874</v>
      </c>
      <c r="R224" s="67">
        <f t="shared" si="223"/>
        <v>1.4431440957888757</v>
      </c>
      <c r="S224" s="67" t="str">
        <f t="shared" si="212"/>
        <v>1+0,216421858949228i</v>
      </c>
      <c r="T224" s="67">
        <f t="shared" si="224"/>
        <v>1.0231512209986555</v>
      </c>
      <c r="U224" s="67">
        <f t="shared" si="225"/>
        <v>0.21313479964213777</v>
      </c>
      <c r="V224" t="str">
        <f t="shared" si="213"/>
        <v>1-0,0450878872810891i</v>
      </c>
      <c r="W224" s="67">
        <f t="shared" si="226"/>
        <v>1.001015942719931</v>
      </c>
      <c r="X224" s="67">
        <f t="shared" si="227"/>
        <v>-4.5057371174929021E-2</v>
      </c>
      <c r="Y224" t="str">
        <f t="shared" si="214"/>
        <v>0,999915631568732+0,12504374072622i</v>
      </c>
      <c r="Z224" s="67">
        <f t="shared" si="228"/>
        <v>1.0077039284186116</v>
      </c>
      <c r="AA224" s="67">
        <f t="shared" si="229"/>
        <v>0.12440845029842225</v>
      </c>
      <c r="AB224" s="92" t="str">
        <f t="shared" si="230"/>
        <v>0,496321665179402-2,86862496926703i</v>
      </c>
      <c r="AC224" s="37">
        <f t="shared" si="231"/>
        <v>9.2815735550781717</v>
      </c>
      <c r="AD224" s="60">
        <f t="shared" si="232"/>
        <v>-80.184017773205568</v>
      </c>
      <c r="AE224" t="str">
        <f t="shared" si="233"/>
        <v>34,4450883806789</v>
      </c>
      <c r="AF224" t="str">
        <f t="shared" si="215"/>
        <v>1+3,8955934610861i</v>
      </c>
      <c r="AG224">
        <f t="shared" si="234"/>
        <v>4.0218961217386981</v>
      </c>
      <c r="AH224">
        <f t="shared" si="235"/>
        <v>1.3195215108808445</v>
      </c>
      <c r="AI224" t="str">
        <f t="shared" si="216"/>
        <v>1+0,216421858949228i</v>
      </c>
      <c r="AJ224">
        <f t="shared" si="236"/>
        <v>1.0231512209986555</v>
      </c>
      <c r="AK224">
        <f t="shared" si="237"/>
        <v>0.21313479964213777</v>
      </c>
      <c r="AL224" t="str">
        <f t="shared" si="217"/>
        <v>1-0,0147256423225056i</v>
      </c>
      <c r="AM224">
        <f t="shared" si="238"/>
        <v>1.0001084163938478</v>
      </c>
      <c r="AN224">
        <f t="shared" si="239"/>
        <v>-1.4724578069247912E-2</v>
      </c>
      <c r="AO224" s="58" t="str">
        <f t="shared" si="240"/>
        <v>3,80938550691598-7,89237326374205i</v>
      </c>
      <c r="AP224">
        <f t="shared" si="241"/>
        <v>18.853667260054159</v>
      </c>
      <c r="AQ224" s="60">
        <f t="shared" si="242"/>
        <v>-64.234945241816035</v>
      </c>
      <c r="AR224" t="str">
        <f t="shared" si="218"/>
        <v>-1,36472945891784</v>
      </c>
      <c r="AS224" t="str">
        <f t="shared" si="219"/>
        <v>1+0,162121614538867i</v>
      </c>
      <c r="AT224">
        <f t="shared" si="243"/>
        <v>1.0130564732040801</v>
      </c>
      <c r="AU224">
        <f t="shared" si="244"/>
        <v>0.16072323169209471</v>
      </c>
      <c r="AV224" t="str">
        <f t="shared" si="220"/>
        <v>1+0,162121614538867i</v>
      </c>
      <c r="AW224">
        <f t="shared" si="245"/>
        <v>1.0130564732040801</v>
      </c>
      <c r="AX224">
        <f t="shared" si="246"/>
        <v>0.16072323169209471</v>
      </c>
      <c r="AY224" t="str">
        <f t="shared" si="221"/>
        <v>1-0,0925231348248384i</v>
      </c>
      <c r="AZ224">
        <f t="shared" si="247"/>
        <v>1.0042711439037841</v>
      </c>
      <c r="BA224">
        <f t="shared" si="248"/>
        <v>-9.2260466951262499E-2</v>
      </c>
      <c r="BB224" s="58" t="str">
        <f t="shared" si="249"/>
        <v>-1,30983166402885+0,338621071873371i</v>
      </c>
      <c r="BC224">
        <f t="shared" si="250"/>
        <v>2.6252778895264495</v>
      </c>
      <c r="BD224" s="60">
        <f t="shared" si="251"/>
        <v>165.50510178212622</v>
      </c>
      <c r="BE224" s="58" t="str">
        <f t="shared" si="252"/>
        <v>0,321279029300412+3,92548079122677i</v>
      </c>
      <c r="BF224" s="37">
        <f t="shared" si="253"/>
        <v>11.906851444604625</v>
      </c>
      <c r="BG224" s="60">
        <f t="shared" si="254"/>
        <v>85.321084008920621</v>
      </c>
      <c r="BH224" s="58" t="str">
        <f t="shared" si="255"/>
        <v>-2,31712986325808+11,6276186087148i</v>
      </c>
      <c r="BI224" s="37">
        <f t="shared" si="256"/>
        <v>21.478945149580593</v>
      </c>
      <c r="BJ224" s="60">
        <f t="shared" si="257"/>
        <v>101.27015654031021</v>
      </c>
      <c r="BK224">
        <f t="shared" si="258"/>
        <v>11.906851444604625</v>
      </c>
      <c r="BL224" s="60">
        <f t="shared" si="259"/>
        <v>85.321084008920621</v>
      </c>
      <c r="BN224">
        <f t="shared" si="260"/>
        <v>0</v>
      </c>
      <c r="BO224">
        <f t="shared" si="261"/>
        <v>0</v>
      </c>
    </row>
    <row r="225" spans="13:67" x14ac:dyDescent="0.25">
      <c r="M225" s="66">
        <v>7</v>
      </c>
      <c r="N225" s="36">
        <f t="shared" si="262"/>
        <v>1174.8975549395295</v>
      </c>
      <c r="O225" s="91" t="str">
        <f t="shared" si="210"/>
        <v>22,5</v>
      </c>
      <c r="P225" s="67" t="str">
        <f t="shared" si="211"/>
        <v>1+7,97266697900825i</v>
      </c>
      <c r="Q225" s="67">
        <f t="shared" si="222"/>
        <v>8.0351365114830831</v>
      </c>
      <c r="R225" s="67">
        <f t="shared" si="223"/>
        <v>1.446019404867066</v>
      </c>
      <c r="S225" s="67" t="str">
        <f t="shared" si="212"/>
        <v>1+0,221462971639118i</v>
      </c>
      <c r="T225" s="67">
        <f t="shared" si="224"/>
        <v>1.0242293921808869</v>
      </c>
      <c r="U225" s="67">
        <f t="shared" si="225"/>
        <v>0.2179453085081258</v>
      </c>
      <c r="V225" t="str">
        <f t="shared" si="213"/>
        <v>1-0,0461381190914829i</v>
      </c>
      <c r="W225" s="67">
        <f t="shared" si="226"/>
        <v>1.0010637971844252</v>
      </c>
      <c r="X225" s="67">
        <f t="shared" si="227"/>
        <v>-4.6105422371004311E-2</v>
      </c>
      <c r="Y225" t="str">
        <f t="shared" si="214"/>
        <v>0,999911655407065+0,127956383613713i</v>
      </c>
      <c r="Z225" s="67">
        <f t="shared" si="228"/>
        <v>1.0080655508082779</v>
      </c>
      <c r="AA225" s="67">
        <f t="shared" si="229"/>
        <v>0.12727595146056248</v>
      </c>
      <c r="AB225" s="92" t="str">
        <f t="shared" si="230"/>
        <v>0,480002587143794-2,80738838944394i</v>
      </c>
      <c r="AC225" s="37">
        <f t="shared" si="231"/>
        <v>9.0911895046117621</v>
      </c>
      <c r="AD225" s="60">
        <f t="shared" si="232"/>
        <v>-80.297483617438402</v>
      </c>
      <c r="AE225" t="str">
        <f t="shared" si="233"/>
        <v>34,4450883806789</v>
      </c>
      <c r="AF225" t="str">
        <f t="shared" si="215"/>
        <v>1+3,98633348950413i</v>
      </c>
      <c r="AG225">
        <f t="shared" si="234"/>
        <v>4.1098484995851337</v>
      </c>
      <c r="AH225">
        <f t="shared" si="235"/>
        <v>1.32501115802072</v>
      </c>
      <c r="AI225" t="str">
        <f t="shared" si="216"/>
        <v>1+0,221462971639118i</v>
      </c>
      <c r="AJ225">
        <f t="shared" si="236"/>
        <v>1.0242293921808869</v>
      </c>
      <c r="AK225">
        <f t="shared" si="237"/>
        <v>0.2179453085081258</v>
      </c>
      <c r="AL225" t="str">
        <f t="shared" si="217"/>
        <v>1-0,0150686465954528i</v>
      </c>
      <c r="AM225">
        <f t="shared" si="238"/>
        <v>1.0001135256110771</v>
      </c>
      <c r="AN225">
        <f t="shared" si="239"/>
        <v>-1.5067506234532659E-2</v>
      </c>
      <c r="AO225" s="58" t="str">
        <f t="shared" si="240"/>
        <v>3,72390633955016-7,73546178572592i</v>
      </c>
      <c r="AP225">
        <f t="shared" si="241"/>
        <v>18.67496051735699</v>
      </c>
      <c r="AQ225" s="60">
        <f t="shared" si="242"/>
        <v>-64.29350533516255</v>
      </c>
      <c r="AR225" t="str">
        <f t="shared" si="218"/>
        <v>-1,36472945891784</v>
      </c>
      <c r="AS225" t="str">
        <f t="shared" si="219"/>
        <v>1+0,165897912054864i</v>
      </c>
      <c r="AT225">
        <f t="shared" si="243"/>
        <v>1.0136676561990934</v>
      </c>
      <c r="AU225">
        <f t="shared" si="244"/>
        <v>0.1644006068373646</v>
      </c>
      <c r="AV225" t="str">
        <f t="shared" si="220"/>
        <v>1+0,165897912054864i</v>
      </c>
      <c r="AW225">
        <f t="shared" si="245"/>
        <v>1.0136676561990934</v>
      </c>
      <c r="AX225">
        <f t="shared" si="246"/>
        <v>0.1644006068373646</v>
      </c>
      <c r="AY225" t="str">
        <f t="shared" si="221"/>
        <v>1-0,0904170511503449i</v>
      </c>
      <c r="AZ225">
        <f t="shared" si="247"/>
        <v>1.0040793012201397</v>
      </c>
      <c r="BA225">
        <f t="shared" si="248"/>
        <v>-9.0171858942515781E-2</v>
      </c>
      <c r="BB225" s="58" t="str">
        <f t="shared" si="249"/>
        <v>-1,30825263466403+0,340431193824394i</v>
      </c>
      <c r="BC225">
        <f t="shared" si="250"/>
        <v>2.6183798247179624</v>
      </c>
      <c r="BD225" s="60">
        <f t="shared" si="251"/>
        <v>165.41407213057431</v>
      </c>
      <c r="BE225" s="58" t="str">
        <f t="shared" si="252"/>
        <v>0,327757931670724+3,8361811107954i</v>
      </c>
      <c r="BF225" s="37">
        <f t="shared" si="253"/>
        <v>11.709569329329721</v>
      </c>
      <c r="BG225" s="60">
        <f t="shared" si="254"/>
        <v>85.116588513135895</v>
      </c>
      <c r="BH225" s="58" t="str">
        <f t="shared" si="255"/>
        <v>-2,23841778946093+11,3876721423821i</v>
      </c>
      <c r="BI225" s="37">
        <f t="shared" si="256"/>
        <v>21.293340342074917</v>
      </c>
      <c r="BJ225" s="60">
        <f t="shared" si="257"/>
        <v>101.1205667954118</v>
      </c>
      <c r="BK225">
        <f t="shared" si="258"/>
        <v>11.709569329329721</v>
      </c>
      <c r="BL225" s="60">
        <f t="shared" si="259"/>
        <v>85.116588513135895</v>
      </c>
      <c r="BN225">
        <f t="shared" si="260"/>
        <v>0</v>
      </c>
      <c r="BO225">
        <f t="shared" si="261"/>
        <v>0</v>
      </c>
    </row>
    <row r="226" spans="13:67" x14ac:dyDescent="0.25">
      <c r="M226" s="66">
        <v>8</v>
      </c>
      <c r="N226" s="36">
        <f t="shared" si="262"/>
        <v>1202.2644346174138</v>
      </c>
      <c r="O226" s="91" t="str">
        <f t="shared" si="210"/>
        <v>22,5</v>
      </c>
      <c r="P226" s="67" t="str">
        <f t="shared" si="211"/>
        <v>1+8,15837424940733i</v>
      </c>
      <c r="Q226" s="67">
        <f t="shared" si="222"/>
        <v>8.2194324860900601</v>
      </c>
      <c r="R226" s="67">
        <f t="shared" si="223"/>
        <v>1.4488312693544505</v>
      </c>
      <c r="S226" s="67" t="str">
        <f t="shared" si="212"/>
        <v>1+0,226621506927982i</v>
      </c>
      <c r="T226" s="67">
        <f t="shared" si="224"/>
        <v>1.0253571608967822</v>
      </c>
      <c r="U226" s="67">
        <f t="shared" si="225"/>
        <v>0.22285727899676594</v>
      </c>
      <c r="V226" t="str">
        <f t="shared" si="213"/>
        <v>1-0,0472128139433294i</v>
      </c>
      <c r="W226" s="67">
        <f t="shared" si="226"/>
        <v>1.0011139045085966</v>
      </c>
      <c r="X226" s="67">
        <f t="shared" si="227"/>
        <v>-4.7177780881171402E-2</v>
      </c>
      <c r="Y226" t="str">
        <f t="shared" si="214"/>
        <v>0,999907491854672+0,1309368706695i</v>
      </c>
      <c r="Z226" s="67">
        <f t="shared" si="228"/>
        <v>1.0084440769660072</v>
      </c>
      <c r="AA226" s="67">
        <f t="shared" si="229"/>
        <v>0.13020810378964581</v>
      </c>
      <c r="AB226" s="92" t="str">
        <f t="shared" si="230"/>
        <v>0,464372402759238-2,74745857802878i</v>
      </c>
      <c r="AC226" s="37">
        <f t="shared" si="231"/>
        <v>8.9009505639019864</v>
      </c>
      <c r="AD226" s="60">
        <f t="shared" si="232"/>
        <v>-80.40659797713981</v>
      </c>
      <c r="AE226" t="str">
        <f t="shared" si="233"/>
        <v>34,4450883806789</v>
      </c>
      <c r="AF226" t="str">
        <f t="shared" si="215"/>
        <v>1+4,07918712470367i</v>
      </c>
      <c r="AG226">
        <f t="shared" si="234"/>
        <v>4.1999723330455643</v>
      </c>
      <c r="AH226">
        <f t="shared" si="235"/>
        <v>1.330390495152723</v>
      </c>
      <c r="AI226" t="str">
        <f t="shared" si="216"/>
        <v>1+0,226621506927982i</v>
      </c>
      <c r="AJ226">
        <f t="shared" si="236"/>
        <v>1.0253571608967822</v>
      </c>
      <c r="AK226">
        <f t="shared" si="237"/>
        <v>0.22285727899676594</v>
      </c>
      <c r="AL226" t="str">
        <f t="shared" si="217"/>
        <v>1-0,0154196404642821i</v>
      </c>
      <c r="AM226">
        <f t="shared" si="238"/>
        <v>1.000118875590321</v>
      </c>
      <c r="AN226">
        <f t="shared" si="239"/>
        <v>-1.5418418553385296E-2</v>
      </c>
      <c r="AO226" s="58" t="str">
        <f t="shared" si="240"/>
        <v>3,64182789401886-7,58083049916193i</v>
      </c>
      <c r="AP226">
        <f t="shared" si="241"/>
        <v>18.496153332610934</v>
      </c>
      <c r="AQ226" s="60">
        <f t="shared" si="242"/>
        <v>-64.340389266161864</v>
      </c>
      <c r="AR226" t="str">
        <f t="shared" si="218"/>
        <v>-1,36472945891784</v>
      </c>
      <c r="AS226" t="str">
        <f t="shared" si="219"/>
        <v>1+0,169762170839751i</v>
      </c>
      <c r="AT226">
        <f t="shared" si="243"/>
        <v>1.0143072486422566</v>
      </c>
      <c r="AU226">
        <f t="shared" si="244"/>
        <v>0.16815899911278059</v>
      </c>
      <c r="AV226" t="str">
        <f t="shared" si="220"/>
        <v>1+0,169762170839751i</v>
      </c>
      <c r="AW226">
        <f t="shared" si="245"/>
        <v>1.0143072486422566</v>
      </c>
      <c r="AX226">
        <f t="shared" si="246"/>
        <v>0.16815899911278059</v>
      </c>
      <c r="AY226" t="str">
        <f t="shared" si="221"/>
        <v>1-0,0883589077931823i</v>
      </c>
      <c r="AZ226">
        <f t="shared" si="247"/>
        <v>1.0038960586566739</v>
      </c>
      <c r="BA226">
        <f t="shared" si="248"/>
        <v>-8.8130030919727681E-2</v>
      </c>
      <c r="BB226" s="58" t="str">
        <f t="shared" si="249"/>
        <v>-1,30660326326212+0,34239781082084i</v>
      </c>
      <c r="BC226">
        <f t="shared" si="250"/>
        <v>2.6113157265392344</v>
      </c>
      <c r="BD226" s="60">
        <f t="shared" si="251"/>
        <v>165.31572024363575</v>
      </c>
      <c r="BE226" s="58" t="str">
        <f t="shared" si="252"/>
        <v>0,3339733056239+3,74883843784028i</v>
      </c>
      <c r="BF226" s="37">
        <f t="shared" si="253"/>
        <v>11.512266290441211</v>
      </c>
      <c r="BG226" s="60">
        <f t="shared" si="254"/>
        <v>84.909122266495942</v>
      </c>
      <c r="BH226" s="58" t="str">
        <f t="shared" si="255"/>
        <v>-2,16276444344716+11,1520917667403i</v>
      </c>
      <c r="BI226" s="37">
        <f t="shared" si="256"/>
        <v>21.107469059150162</v>
      </c>
      <c r="BJ226" s="60">
        <f t="shared" si="257"/>
        <v>100.97533097747392</v>
      </c>
      <c r="BK226">
        <f t="shared" si="258"/>
        <v>11.512266290441211</v>
      </c>
      <c r="BL226" s="60">
        <f t="shared" si="259"/>
        <v>84.909122266495942</v>
      </c>
      <c r="BN226">
        <f t="shared" si="260"/>
        <v>0</v>
      </c>
      <c r="BO226">
        <f t="shared" si="261"/>
        <v>0</v>
      </c>
    </row>
    <row r="227" spans="13:67" x14ac:dyDescent="0.25">
      <c r="M227" s="66">
        <v>9</v>
      </c>
      <c r="N227" s="36">
        <f t="shared" si="262"/>
        <v>1230.2687708123824</v>
      </c>
      <c r="O227" s="91" t="str">
        <f t="shared" si="210"/>
        <v>22,5</v>
      </c>
      <c r="P227" s="67" t="str">
        <f t="shared" si="211"/>
        <v>1+8,34840719782227i</v>
      </c>
      <c r="Q227" s="67">
        <f t="shared" si="222"/>
        <v>8.4080855574054851</v>
      </c>
      <c r="R227" s="67">
        <f t="shared" si="223"/>
        <v>1.4515810021857616</v>
      </c>
      <c r="S227" s="67" t="str">
        <f t="shared" si="212"/>
        <v>1+0,231900199939508i</v>
      </c>
      <c r="T227" s="67">
        <f t="shared" si="224"/>
        <v>1.0265367517687731</v>
      </c>
      <c r="U227" s="67">
        <f t="shared" si="225"/>
        <v>0.22787236696286597</v>
      </c>
      <c r="V227" t="str">
        <f t="shared" si="213"/>
        <v>1-0,0483125416540641i</v>
      </c>
      <c r="W227" s="67">
        <f t="shared" si="226"/>
        <v>1.0011663706303142</v>
      </c>
      <c r="X227" s="67">
        <f t="shared" si="227"/>
        <v>-4.8275005413202524E-2</v>
      </c>
      <c r="Y227" t="str">
        <f t="shared" si="214"/>
        <v>0,9999031320801+0,133986782187271i</v>
      </c>
      <c r="Z227" s="67">
        <f t="shared" si="228"/>
        <v>1.0088402903059002</v>
      </c>
      <c r="AA227" s="67">
        <f t="shared" si="229"/>
        <v>0.133206263490384</v>
      </c>
      <c r="AB227" s="92" t="str">
        <f t="shared" si="230"/>
        <v>0,449400931260299-2,68881512172662i</v>
      </c>
      <c r="AC227" s="37">
        <f t="shared" si="231"/>
        <v>8.7108746606895338</v>
      </c>
      <c r="AD227" s="60">
        <f t="shared" si="232"/>
        <v>-80.511450920840204</v>
      </c>
      <c r="AE227" t="str">
        <f t="shared" si="233"/>
        <v>34,4450883806789</v>
      </c>
      <c r="AF227" t="str">
        <f t="shared" si="215"/>
        <v>1+4,17420359891114i</v>
      </c>
      <c r="AG227">
        <f t="shared" si="234"/>
        <v>4.292315888324473</v>
      </c>
      <c r="AH227">
        <f t="shared" si="235"/>
        <v>1.3356611286309299</v>
      </c>
      <c r="AI227" t="str">
        <f t="shared" si="216"/>
        <v>1+0,231900199939508i</v>
      </c>
      <c r="AJ227">
        <f t="shared" si="236"/>
        <v>1.0265367517687731</v>
      </c>
      <c r="AK227">
        <f t="shared" si="237"/>
        <v>0.22787236696286597</v>
      </c>
      <c r="AL227" t="str">
        <f t="shared" si="217"/>
        <v>1-0,0157788100305887i</v>
      </c>
      <c r="AM227">
        <f t="shared" si="238"/>
        <v>1.0001244776756448</v>
      </c>
      <c r="AN227">
        <f t="shared" si="239"/>
        <v>-1.5777500738274539E-2</v>
      </c>
      <c r="AO227" s="58" t="str">
        <f t="shared" si="240"/>
        <v>3,56303312318452-7,42850530946851i</v>
      </c>
      <c r="AP227">
        <f t="shared" si="241"/>
        <v>18.317283731853504</v>
      </c>
      <c r="AQ227" s="60">
        <f t="shared" si="242"/>
        <v>-64.37560483917153</v>
      </c>
      <c r="AR227" t="str">
        <f t="shared" si="218"/>
        <v>-1,36472945891784</v>
      </c>
      <c r="AS227" t="str">
        <f t="shared" si="219"/>
        <v>1+0,173716439774685i</v>
      </c>
      <c r="AT227">
        <f t="shared" si="243"/>
        <v>1.0149765521665965</v>
      </c>
      <c r="AU227">
        <f t="shared" si="244"/>
        <v>0.17199997633996203</v>
      </c>
      <c r="AV227" t="str">
        <f t="shared" si="220"/>
        <v>1+0,173716439774685i</v>
      </c>
      <c r="AW227">
        <f t="shared" si="245"/>
        <v>1.0149765521665965</v>
      </c>
      <c r="AX227">
        <f t="shared" si="246"/>
        <v>0.17199997633996203</v>
      </c>
      <c r="AY227" t="str">
        <f t="shared" si="221"/>
        <v>1-0,0863476134985003i</v>
      </c>
      <c r="AZ227">
        <f t="shared" si="247"/>
        <v>1.0037210321383558</v>
      </c>
      <c r="BA227">
        <f t="shared" si="248"/>
        <v>-8.613396841641259E-2</v>
      </c>
      <c r="BB227" s="58" t="str">
        <f t="shared" si="249"/>
        <v>-1,30488061099439+0,344520345921617i</v>
      </c>
      <c r="BC227">
        <f t="shared" si="250"/>
        <v>2.6040716290691441</v>
      </c>
      <c r="BD227" s="60">
        <f t="shared" si="251"/>
        <v>165.21001441639655</v>
      </c>
      <c r="BE227" s="58" t="str">
        <f t="shared" si="252"/>
        <v>0,339936954092143+3,66341048318488i</v>
      </c>
      <c r="BF227" s="37">
        <f t="shared" si="253"/>
        <v>11.314946289758673</v>
      </c>
      <c r="BG227" s="60">
        <f t="shared" si="254"/>
        <v>84.698563495556343</v>
      </c>
      <c r="BH227" s="58" t="str">
        <f t="shared" si="255"/>
        <v>-2,09006161987561+10,9208499511241i</v>
      </c>
      <c r="BI227" s="37">
        <f t="shared" si="256"/>
        <v>20.921355360922686</v>
      </c>
      <c r="BJ227" s="60">
        <f t="shared" si="257"/>
        <v>100.83440957722497</v>
      </c>
      <c r="BK227">
        <f t="shared" si="258"/>
        <v>11.314946289758673</v>
      </c>
      <c r="BL227" s="60">
        <f t="shared" si="259"/>
        <v>84.698563495556343</v>
      </c>
      <c r="BN227">
        <f t="shared" si="260"/>
        <v>0</v>
      </c>
      <c r="BO227">
        <f t="shared" si="261"/>
        <v>0</v>
      </c>
    </row>
    <row r="228" spans="13:67" x14ac:dyDescent="0.25">
      <c r="M228" s="66">
        <v>10</v>
      </c>
      <c r="N228" s="36">
        <f t="shared" si="262"/>
        <v>1258.925411794168</v>
      </c>
      <c r="O228" s="91" t="str">
        <f t="shared" si="210"/>
        <v>22,5</v>
      </c>
      <c r="P228" s="67" t="str">
        <f t="shared" si="211"/>
        <v>1+8,54286658223774i</v>
      </c>
      <c r="Q228" s="67">
        <f t="shared" si="222"/>
        <v>8.6011958146477721</v>
      </c>
      <c r="R228" s="67">
        <f t="shared" si="223"/>
        <v>1.4542698948899691</v>
      </c>
      <c r="S228" s="67" t="str">
        <f t="shared" si="212"/>
        <v>1+0,237301849506604i</v>
      </c>
      <c r="T228" s="67">
        <f t="shared" si="224"/>
        <v>1.027770483998862</v>
      </c>
      <c r="U228" s="67">
        <f t="shared" si="225"/>
        <v>0.23299222193960489</v>
      </c>
      <c r="V228" t="str">
        <f t="shared" si="213"/>
        <v>1-0,0494378853138758i</v>
      </c>
      <c r="W228" s="67">
        <f t="shared" si="226"/>
        <v>1.0012213064574225</v>
      </c>
      <c r="X228" s="67">
        <f t="shared" si="227"/>
        <v>-4.9397667156456916E-2</v>
      </c>
      <c r="Y228" t="str">
        <f t="shared" si="214"/>
        <v>0,999898566835682+0,137107735270482i</v>
      </c>
      <c r="Z228" s="67">
        <f t="shared" si="228"/>
        <v>1.0092550099112965</v>
      </c>
      <c r="AA228" s="67">
        <f t="shared" si="229"/>
        <v>0.13627180806156053</v>
      </c>
      <c r="AB228" s="92" t="str">
        <f t="shared" si="230"/>
        <v>0,4350591448995-2,63143753945708i</v>
      </c>
      <c r="AC228" s="37">
        <f t="shared" si="231"/>
        <v>8.5209798711617104</v>
      </c>
      <c r="AD228" s="60">
        <f t="shared" si="232"/>
        <v>-80.61213358801561</v>
      </c>
      <c r="AE228" t="str">
        <f t="shared" si="233"/>
        <v>34,4450883806789</v>
      </c>
      <c r="AF228" t="str">
        <f t="shared" si="215"/>
        <v>1+4,27143329111887i</v>
      </c>
      <c r="AG228">
        <f t="shared" si="234"/>
        <v>4.3869285793683241</v>
      </c>
      <c r="AH228">
        <f t="shared" si="235"/>
        <v>1.3408246811771098</v>
      </c>
      <c r="AI228" t="str">
        <f t="shared" si="216"/>
        <v>1+0,237301849506604i</v>
      </c>
      <c r="AJ228">
        <f t="shared" si="236"/>
        <v>1.027770483998862</v>
      </c>
      <c r="AK228">
        <f t="shared" si="237"/>
        <v>0.23299222193960489</v>
      </c>
      <c r="AL228" t="str">
        <f t="shared" si="217"/>
        <v>1-0,0161463457308306i</v>
      </c>
      <c r="AM228">
        <f t="shared" si="238"/>
        <v>1.0001303437454838</v>
      </c>
      <c r="AN228">
        <f t="shared" si="239"/>
        <v>-1.6144942808714553E-2</v>
      </c>
      <c r="AO228" s="58" t="str">
        <f t="shared" si="240"/>
        <v>3,48740747189798-7,27850750173163i</v>
      </c>
      <c r="AP228">
        <f t="shared" si="241"/>
        <v>18.138389690961009</v>
      </c>
      <c r="AQ228" s="60">
        <f t="shared" si="242"/>
        <v>-64.399161405327234</v>
      </c>
      <c r="AR228" t="str">
        <f t="shared" si="218"/>
        <v>-1,36472945891784</v>
      </c>
      <c r="AS228" t="str">
        <f t="shared" si="219"/>
        <v>1+0,177762815465397i</v>
      </c>
      <c r="AT228">
        <f t="shared" si="243"/>
        <v>1.015676926272417</v>
      </c>
      <c r="AU228">
        <f t="shared" si="244"/>
        <v>0.17592512149815084</v>
      </c>
      <c r="AV228" t="str">
        <f t="shared" si="220"/>
        <v>1+0,177762815465397i</v>
      </c>
      <c r="AW228">
        <f t="shared" si="245"/>
        <v>1.015676926272417</v>
      </c>
      <c r="AX228">
        <f t="shared" si="246"/>
        <v>0.17592512149815084</v>
      </c>
      <c r="AY228" t="str">
        <f t="shared" si="221"/>
        <v>1-0,0843821018514408i</v>
      </c>
      <c r="AZ228">
        <f t="shared" si="247"/>
        <v>1.0035538546151208</v>
      </c>
      <c r="BA228">
        <f t="shared" si="248"/>
        <v>-8.418267675183666E-2</v>
      </c>
      <c r="BB228" s="58" t="str">
        <f t="shared" si="249"/>
        <v>-1,30308163443067+0,346798200319715i</v>
      </c>
      <c r="BC228">
        <f t="shared" si="250"/>
        <v>2.5966332646513548</v>
      </c>
      <c r="BD228" s="60">
        <f t="shared" si="251"/>
        <v>165.09692094183535</v>
      </c>
      <c r="BE228" s="58" t="str">
        <f t="shared" si="252"/>
        <v>0,345660221327804+3,57985565830173i</v>
      </c>
      <c r="BF228" s="37">
        <f t="shared" si="253"/>
        <v>11.117613135813059</v>
      </c>
      <c r="BG228" s="60">
        <f t="shared" si="254"/>
        <v>84.484787353819755</v>
      </c>
      <c r="BH228" s="58" t="str">
        <f t="shared" si="255"/>
        <v>-2,02020332579248+10,6939160866081i</v>
      </c>
      <c r="BI228" s="37">
        <f t="shared" si="256"/>
        <v>20.735022955612372</v>
      </c>
      <c r="BJ228" s="60">
        <f t="shared" si="257"/>
        <v>100.69775953650813</v>
      </c>
      <c r="BK228">
        <f t="shared" si="258"/>
        <v>11.117613135813059</v>
      </c>
      <c r="BL228" s="60">
        <f t="shared" si="259"/>
        <v>84.484787353819755</v>
      </c>
      <c r="BN228">
        <f t="shared" si="260"/>
        <v>0</v>
      </c>
      <c r="BO228">
        <f t="shared" si="261"/>
        <v>0</v>
      </c>
    </row>
    <row r="229" spans="13:67" x14ac:dyDescent="0.25">
      <c r="M229" s="66">
        <v>11</v>
      </c>
      <c r="N229" s="36">
        <f t="shared" si="262"/>
        <v>1288.2495516931347</v>
      </c>
      <c r="O229" s="91" t="str">
        <f t="shared" si="210"/>
        <v>22,5</v>
      </c>
      <c r="P229" s="67" t="str">
        <f t="shared" si="211"/>
        <v>1+8,74185550759331i</v>
      </c>
      <c r="Q229" s="67">
        <f t="shared" si="222"/>
        <v>8.7988657061941513</v>
      </c>
      <c r="R229" s="67">
        <f t="shared" si="223"/>
        <v>1.4568992175412012</v>
      </c>
      <c r="S229" s="67" t="str">
        <f t="shared" si="212"/>
        <v>1+0,24282931965537i</v>
      </c>
      <c r="T229" s="67">
        <f t="shared" si="224"/>
        <v>1.029060774922594</v>
      </c>
      <c r="U229" s="67">
        <f t="shared" si="225"/>
        <v>0.2382184844152897</v>
      </c>
      <c r="V229" t="str">
        <f t="shared" si="213"/>
        <v>1-0,0505894415948687i</v>
      </c>
      <c r="W229" s="67">
        <f t="shared" si="226"/>
        <v>1.001278828099786</v>
      </c>
      <c r="X229" s="67">
        <f t="shared" si="227"/>
        <v>-5.0546350034871332E-2</v>
      </c>
      <c r="Y229" t="str">
        <f t="shared" si="214"/>
        <v>0,999893786437924+0,140301384689769i</v>
      </c>
      <c r="Z229" s="67">
        <f t="shared" si="228"/>
        <v>1.0096890920986694</v>
      </c>
      <c r="AA229" s="67">
        <f t="shared" si="229"/>
        <v>0.13940613610435909</v>
      </c>
      <c r="AB229" s="92" t="str">
        <f t="shared" si="230"/>
        <v>0,421319128877345-2,5753053157447i</v>
      </c>
      <c r="AC229" s="37">
        <f t="shared" si="231"/>
        <v>8.3312844371470423</v>
      </c>
      <c r="AD229" s="60">
        <f t="shared" si="232"/>
        <v>-80.708738345818929</v>
      </c>
      <c r="AE229" t="str">
        <f t="shared" si="233"/>
        <v>34,4450883806789</v>
      </c>
      <c r="AF229" t="str">
        <f t="shared" si="215"/>
        <v>1+4,37092775379666i</v>
      </c>
      <c r="AG229">
        <f t="shared" si="234"/>
        <v>4.4838609957167401</v>
      </c>
      <c r="AH229">
        <f t="shared" si="235"/>
        <v>1.3458827887129097</v>
      </c>
      <c r="AI229" t="str">
        <f t="shared" si="216"/>
        <v>1+0,24282931965537i</v>
      </c>
      <c r="AJ229">
        <f t="shared" si="236"/>
        <v>1.029060774922594</v>
      </c>
      <c r="AK229">
        <f t="shared" si="237"/>
        <v>0.2382184844152897</v>
      </c>
      <c r="AL229" t="str">
        <f t="shared" si="217"/>
        <v>1-0,0165224424373013i</v>
      </c>
      <c r="AM229">
        <f t="shared" si="238"/>
        <v>1.0001364862378004</v>
      </c>
      <c r="AN229">
        <f t="shared" si="239"/>
        <v>-1.65209391902497E-2</v>
      </c>
      <c r="AO229" s="58" t="str">
        <f t="shared" si="240"/>
        <v>3,41483896316821-7,13085401192632i</v>
      </c>
      <c r="AP229">
        <f t="shared" si="241"/>
        <v>17.959509167929603</v>
      </c>
      <c r="AQ229" s="60">
        <f t="shared" si="242"/>
        <v>-64.411069842741782</v>
      </c>
      <c r="AR229" t="str">
        <f t="shared" si="218"/>
        <v>-1,36472945891784</v>
      </c>
      <c r="AS229" t="str">
        <f t="shared" si="219"/>
        <v>1+0,181903443353838i</v>
      </c>
      <c r="AT229">
        <f t="shared" si="243"/>
        <v>1.0164097907359919</v>
      </c>
      <c r="AU229">
        <f t="shared" si="244"/>
        <v>0.17993603172032946</v>
      </c>
      <c r="AV229" t="str">
        <f t="shared" si="220"/>
        <v>1+0,181903443353838i</v>
      </c>
      <c r="AW229">
        <f t="shared" si="245"/>
        <v>1.0164097907359919</v>
      </c>
      <c r="AX229">
        <f t="shared" si="246"/>
        <v>0.17993603172032946</v>
      </c>
      <c r="AY229" t="str">
        <f t="shared" si="221"/>
        <v>1-0,0824613307117123i</v>
      </c>
      <c r="AZ229">
        <f t="shared" si="247"/>
        <v>1.0033941753183273</v>
      </c>
      <c r="BA229">
        <f t="shared" si="248"/>
        <v>-8.2275180795300856E-2</v>
      </c>
      <c r="BB229" s="58" t="str">
        <f t="shared" si="249"/>
        <v>-1,30120318354381+0,349230746833434i</v>
      </c>
      <c r="BC229">
        <f t="shared" si="250"/>
        <v>2.5889860421228024</v>
      </c>
      <c r="BD229" s="60">
        <f t="shared" si="251"/>
        <v>164.97640418184653</v>
      </c>
      <c r="BE229" s="58" t="str">
        <f t="shared" si="252"/>
        <v>0,351154006958528+3,49813306947735i</v>
      </c>
      <c r="BF229" s="37">
        <f t="shared" si="253"/>
        <v>10.920270479269849</v>
      </c>
      <c r="BG229" s="60">
        <f t="shared" si="254"/>
        <v>84.267665836027618</v>
      </c>
      <c r="BH229" s="58" t="str">
        <f t="shared" si="255"/>
        <v>-1,9530858580187+10,4712567031278i</v>
      </c>
      <c r="BI229" s="37">
        <f t="shared" si="256"/>
        <v>20.548495210052383</v>
      </c>
      <c r="BJ229" s="60">
        <f t="shared" si="257"/>
        <v>100.56533433910478</v>
      </c>
      <c r="BK229">
        <f t="shared" si="258"/>
        <v>10.920270479269849</v>
      </c>
      <c r="BL229" s="60">
        <f t="shared" si="259"/>
        <v>84.267665836027618</v>
      </c>
      <c r="BN229">
        <f t="shared" si="260"/>
        <v>0</v>
      </c>
      <c r="BO229">
        <f t="shared" si="261"/>
        <v>0</v>
      </c>
    </row>
    <row r="230" spans="13:67" x14ac:dyDescent="0.25">
      <c r="M230" s="66">
        <v>12</v>
      </c>
      <c r="N230" s="36">
        <f t="shared" si="262"/>
        <v>1318.2567385564089</v>
      </c>
      <c r="O230" s="91" t="str">
        <f t="shared" si="210"/>
        <v>22,5</v>
      </c>
      <c r="P230" s="67" t="str">
        <f t="shared" si="211"/>
        <v>1+8,94547948045116i</v>
      </c>
      <c r="Q230" s="67">
        <f t="shared" si="222"/>
        <v>9.0012000941637087</v>
      </c>
      <c r="R230" s="67">
        <f t="shared" si="223"/>
        <v>1.4594702187434572</v>
      </c>
      <c r="S230" s="67" t="str">
        <f t="shared" si="212"/>
        <v>1+0,248485541123644i</v>
      </c>
      <c r="T230" s="67">
        <f t="shared" si="224"/>
        <v>1.0304101436551905</v>
      </c>
      <c r="U230" s="67">
        <f t="shared" si="225"/>
        <v>0.24355278292995125</v>
      </c>
      <c r="V230" t="str">
        <f t="shared" si="213"/>
        <v>1-0,0517678210674257i</v>
      </c>
      <c r="W230" s="67">
        <f t="shared" si="226"/>
        <v>1.0013390571120597</v>
      </c>
      <c r="X230" s="67">
        <f t="shared" si="227"/>
        <v>-5.1721650963184256E-2</v>
      </c>
      <c r="Y230" t="str">
        <f t="shared" si="214"/>
        <v>0,99988878074696+0,143569423760327i</v>
      </c>
      <c r="Z230" s="67">
        <f t="shared" si="228"/>
        <v>1.0101434320444374</v>
      </c>
      <c r="AA230" s="67">
        <f t="shared" si="229"/>
        <v>0.14261066708271927</v>
      </c>
      <c r="AB230" s="92" t="str">
        <f t="shared" si="230"/>
        <v>0,408154041939717-2,52039793142935i</v>
      </c>
      <c r="AC230" s="37">
        <f t="shared" si="231"/>
        <v>8.1418067823343865</v>
      </c>
      <c r="AD230" s="60">
        <f t="shared" si="232"/>
        <v>-80.801358955507368</v>
      </c>
      <c r="AE230" t="str">
        <f t="shared" si="233"/>
        <v>34,4450883806789</v>
      </c>
      <c r="AF230" t="str">
        <f t="shared" si="215"/>
        <v>1+4,47273974022558i</v>
      </c>
      <c r="AG230">
        <f t="shared" si="234"/>
        <v>4.5831649308958093</v>
      </c>
      <c r="AH230">
        <f t="shared" si="235"/>
        <v>1.350837097380402</v>
      </c>
      <c r="AI230" t="str">
        <f t="shared" si="216"/>
        <v>1+0,248485541123644i</v>
      </c>
      <c r="AJ230">
        <f t="shared" si="236"/>
        <v>1.0304101436551905</v>
      </c>
      <c r="AK230">
        <f t="shared" si="237"/>
        <v>0.24355278292995125</v>
      </c>
      <c r="AL230" t="str">
        <f t="shared" si="217"/>
        <v>1-0,0169072995614525i</v>
      </c>
      <c r="AM230">
        <f t="shared" si="238"/>
        <v>1.0001429181764279</v>
      </c>
      <c r="AN230">
        <f t="shared" si="239"/>
        <v>-1.6905688815647336E-2</v>
      </c>
      <c r="AO230" s="58" t="str">
        <f t="shared" si="240"/>
        <v>3,34521826819757-6,98555769024397i</v>
      </c>
      <c r="AP230">
        <f t="shared" si="241"/>
        <v>17.780680135298343</v>
      </c>
      <c r="AQ230" s="60">
        <f t="shared" si="242"/>
        <v>-64.411342557945645</v>
      </c>
      <c r="AR230" t="str">
        <f t="shared" si="218"/>
        <v>-1,36472945891784</v>
      </c>
      <c r="AS230" t="str">
        <f t="shared" si="219"/>
        <v>1+0,186140518855721i</v>
      </c>
      <c r="AT230">
        <f t="shared" si="243"/>
        <v>1.0171766281034367</v>
      </c>
      <c r="AU230">
        <f t="shared" si="244"/>
        <v>0.18403431718822266</v>
      </c>
      <c r="AV230" t="str">
        <f t="shared" si="220"/>
        <v>1+0,186140518855721i</v>
      </c>
      <c r="AW230">
        <f t="shared" si="245"/>
        <v>1.0171766281034367</v>
      </c>
      <c r="AX230">
        <f t="shared" si="246"/>
        <v>0.18403431718822266</v>
      </c>
      <c r="AY230" t="str">
        <f t="shared" si="221"/>
        <v>1-0,0805842816610316i</v>
      </c>
      <c r="AZ230">
        <f t="shared" si="247"/>
        <v>1.0032416590487181</v>
      </c>
      <c r="BA230">
        <f t="shared" si="248"/>
        <v>-8.0410524722102736E-2</v>
      </c>
      <c r="BB230" s="58" t="str">
        <f t="shared" si="249"/>
        <v>-1,2992419998571+0,351817323081086i</v>
      </c>
      <c r="BC230">
        <f t="shared" si="250"/>
        <v>2.5811150249950798</v>
      </c>
      <c r="BD230" s="60">
        <f t="shared" si="251"/>
        <v>164.84842664453419</v>
      </c>
      <c r="BE230" s="58" t="str">
        <f t="shared" si="252"/>
        <v>0,356428779635064+3,41820251130592i</v>
      </c>
      <c r="BF230" s="37">
        <f t="shared" si="253"/>
        <v>10.722921807329458</v>
      </c>
      <c r="BG230" s="60">
        <f t="shared" si="254"/>
        <v>84.047067689026804</v>
      </c>
      <c r="BH230" s="58" t="str">
        <f t="shared" si="255"/>
        <v>-1,88860786592139+10,2528356798289i</v>
      </c>
      <c r="BI230" s="37">
        <f t="shared" si="256"/>
        <v>20.361795160293394</v>
      </c>
      <c r="BJ230" s="60">
        <f t="shared" si="257"/>
        <v>100.43708408658857</v>
      </c>
      <c r="BK230">
        <f t="shared" si="258"/>
        <v>10.722921807329458</v>
      </c>
      <c r="BL230" s="60">
        <f t="shared" si="259"/>
        <v>84.047067689026804</v>
      </c>
      <c r="BN230">
        <f t="shared" si="260"/>
        <v>0</v>
      </c>
      <c r="BO230">
        <f t="shared" si="261"/>
        <v>0</v>
      </c>
    </row>
    <row r="231" spans="13:67" x14ac:dyDescent="0.25">
      <c r="M231" s="66">
        <v>13</v>
      </c>
      <c r="N231" s="36">
        <f t="shared" si="262"/>
        <v>1348.9628825916541</v>
      </c>
      <c r="O231" s="91" t="str">
        <f t="shared" si="210"/>
        <v>22,5</v>
      </c>
      <c r="P231" s="67" t="str">
        <f t="shared" si="211"/>
        <v>1+9,15384646493694i</v>
      </c>
      <c r="Q231" s="67">
        <f t="shared" si="222"/>
        <v>9.208306310263497</v>
      </c>
      <c r="R231" s="67">
        <f t="shared" si="223"/>
        <v>1.4619841256464821</v>
      </c>
      <c r="S231" s="67" t="str">
        <f t="shared" si="212"/>
        <v>1+0,254273512914915i</v>
      </c>
      <c r="T231" s="67">
        <f t="shared" si="224"/>
        <v>1.031821214828466</v>
      </c>
      <c r="U231" s="67">
        <f t="shared" si="225"/>
        <v>0.24899673098590627</v>
      </c>
      <c r="V231" t="str">
        <f t="shared" si="213"/>
        <v>1-0,0529736485239406i</v>
      </c>
      <c r="W231" s="67">
        <f t="shared" si="226"/>
        <v>1.0014021207476735</v>
      </c>
      <c r="X231" s="67">
        <f t="shared" si="227"/>
        <v>-5.2924180106283983E-2</v>
      </c>
      <c r="Y231" t="str">
        <f t="shared" si="214"/>
        <v>0,999883539145049+0,146913585239729i</v>
      </c>
      <c r="Z231" s="67">
        <f t="shared" si="228"/>
        <v>1.0106189654767121</v>
      </c>
      <c r="AA231" s="67">
        <f t="shared" si="229"/>
        <v>0.1458868410321498</v>
      </c>
      <c r="AB231" s="92" t="str">
        <f t="shared" si="230"/>
        <v>0,395538077701071-2,46669489184289i</v>
      </c>
      <c r="AC231" s="37">
        <f t="shared" si="231"/>
        <v>7.9525655274335341</v>
      </c>
      <c r="AD231" s="60">
        <f t="shared" si="232"/>
        <v>-80.890090748539009</v>
      </c>
      <c r="AE231" t="str">
        <f t="shared" si="233"/>
        <v>34,4450883806789</v>
      </c>
      <c r="AF231" t="str">
        <f t="shared" si="215"/>
        <v>1+4,57692323246848i</v>
      </c>
      <c r="AG231">
        <f t="shared" si="234"/>
        <v>4.684893411371247</v>
      </c>
      <c r="AH231">
        <f t="shared" si="235"/>
        <v>1.3556892607452509</v>
      </c>
      <c r="AI231" t="str">
        <f t="shared" si="216"/>
        <v>1+0,254273512914915i</v>
      </c>
      <c r="AJ231">
        <f t="shared" si="236"/>
        <v>1.031821214828466</v>
      </c>
      <c r="AK231">
        <f t="shared" si="237"/>
        <v>0.24899673098590627</v>
      </c>
      <c r="AL231" t="str">
        <f t="shared" si="217"/>
        <v>1-0,0173011211596258i</v>
      </c>
      <c r="AM231">
        <f t="shared" si="238"/>
        <v>1.0001496531986502</v>
      </c>
      <c r="AN231">
        <f t="shared" si="239"/>
        <v>-1.7299395228347478E-2</v>
      </c>
      <c r="AO231" s="58" t="str">
        <f t="shared" si="240"/>
        <v>3,2784387615282-6,84262755607179i</v>
      </c>
      <c r="AP231">
        <f t="shared" si="241"/>
        <v>17.601940612528409</v>
      </c>
      <c r="AQ231" s="60">
        <f t="shared" si="242"/>
        <v>-64.399993508579726</v>
      </c>
      <c r="AR231" t="str">
        <f t="shared" si="218"/>
        <v>-1,36472945891784</v>
      </c>
      <c r="AS231" t="str">
        <f t="shared" si="219"/>
        <v>1+0,190476288524563i</v>
      </c>
      <c r="AT231">
        <f t="shared" si="243"/>
        <v>1.0179789862713731</v>
      </c>
      <c r="AU231">
        <f t="shared" si="244"/>
        <v>0.18822159992037579</v>
      </c>
      <c r="AV231" t="str">
        <f t="shared" si="220"/>
        <v>1+0,190476288524563i</v>
      </c>
      <c r="AW231">
        <f t="shared" si="245"/>
        <v>1.0179789862713731</v>
      </c>
      <c r="AX231">
        <f t="shared" si="246"/>
        <v>0.18822159992037579</v>
      </c>
      <c r="AY231" t="str">
        <f t="shared" si="221"/>
        <v>1-0,0787499594631469i</v>
      </c>
      <c r="AZ231">
        <f t="shared" si="247"/>
        <v>1.0030959854946322</v>
      </c>
      <c r="BA231">
        <f t="shared" si="248"/>
        <v>-7.8587771762218275E-2</v>
      </c>
      <c r="BB231" s="58" t="str">
        <f t="shared" si="249"/>
        <v>-1,29719471475813+0,35455722432875i</v>
      </c>
      <c r="BC231">
        <f t="shared" si="250"/>
        <v>2.573004909603942</v>
      </c>
      <c r="BD231" s="60">
        <f t="shared" si="251"/>
        <v>164.71294906805008</v>
      </c>
      <c r="BE231" s="58" t="str">
        <f t="shared" si="252"/>
        <v>0,361494590238301+3,3400244595655i</v>
      </c>
      <c r="BF231" s="37">
        <f t="shared" si="253"/>
        <v>10.525570437037487</v>
      </c>
      <c r="BG231" s="60">
        <f t="shared" si="254"/>
        <v>83.822858319511084</v>
      </c>
      <c r="BH231" s="58" t="str">
        <f t="shared" si="255"/>
        <v>-1,82667040071634+10,0386144482139i</v>
      </c>
      <c r="BI231" s="37">
        <f t="shared" si="256"/>
        <v>20.174945522132361</v>
      </c>
      <c r="BJ231" s="60">
        <f t="shared" si="257"/>
        <v>100.31295555947032</v>
      </c>
      <c r="BK231">
        <f t="shared" si="258"/>
        <v>10.525570437037487</v>
      </c>
      <c r="BL231" s="60">
        <f t="shared" si="259"/>
        <v>83.822858319511084</v>
      </c>
      <c r="BN231">
        <f t="shared" si="260"/>
        <v>0</v>
      </c>
      <c r="BO231">
        <f t="shared" si="261"/>
        <v>0</v>
      </c>
    </row>
    <row r="232" spans="13:67" x14ac:dyDescent="0.25">
      <c r="M232" s="66">
        <v>14</v>
      </c>
      <c r="N232" s="36">
        <f t="shared" si="262"/>
        <v>1380.3842646028863</v>
      </c>
      <c r="O232" s="91" t="str">
        <f t="shared" si="210"/>
        <v>22,5</v>
      </c>
      <c r="P232" s="67" t="str">
        <f t="shared" si="211"/>
        <v>1+9,36706693998393i</v>
      </c>
      <c r="Q232" s="67">
        <f t="shared" si="222"/>
        <v>9.4202942129288036</v>
      </c>
      <c r="R232" s="67">
        <f t="shared" si="223"/>
        <v>1.4644421439903323</v>
      </c>
      <c r="S232" s="67" t="str">
        <f t="shared" si="212"/>
        <v>1+0,260196303888443i</v>
      </c>
      <c r="T232" s="67">
        <f t="shared" si="224"/>
        <v>1.0332967224167542</v>
      </c>
      <c r="U232" s="67">
        <f t="shared" si="225"/>
        <v>0.25455192376676561</v>
      </c>
      <c r="V232" t="str">
        <f t="shared" si="213"/>
        <v>1-0,0542075633100922i</v>
      </c>
      <c r="W232" s="67">
        <f t="shared" si="226"/>
        <v>1.0014681522245317</v>
      </c>
      <c r="X232" s="67">
        <f t="shared" si="227"/>
        <v>-5.4154561141556791E-2</v>
      </c>
      <c r="Y232" t="str">
        <f t="shared" si="214"/>
        <v>0,99987805051405+0,150335642246656i</v>
      </c>
      <c r="Z232" s="67">
        <f t="shared" si="228"/>
        <v>1.0111166704339769</v>
      </c>
      <c r="AA232" s="67">
        <f t="shared" si="229"/>
        <v>0.14923611821322927</v>
      </c>
      <c r="AB232" s="92" t="str">
        <f t="shared" si="230"/>
        <v>0,383446426743106-2,41417575259188i</v>
      </c>
      <c r="AC232" s="37">
        <f t="shared" si="231"/>
        <v>7.7635795041872733</v>
      </c>
      <c r="AD232" s="60">
        <f t="shared" si="232"/>
        <v>-80.975030812291976</v>
      </c>
      <c r="AE232" t="str">
        <f t="shared" si="233"/>
        <v>34,4450883806789</v>
      </c>
      <c r="AF232" t="str">
        <f t="shared" si="215"/>
        <v>1+4,68353346999197i</v>
      </c>
      <c r="AG232">
        <f t="shared" si="234"/>
        <v>4.7891007260794822</v>
      </c>
      <c r="AH232">
        <f t="shared" si="235"/>
        <v>1.3604409371764812</v>
      </c>
      <c r="AI232" t="str">
        <f t="shared" si="216"/>
        <v>1+0,260196303888443i</v>
      </c>
      <c r="AJ232">
        <f t="shared" si="236"/>
        <v>1.0332967224167542</v>
      </c>
      <c r="AK232">
        <f t="shared" si="237"/>
        <v>0.25455192376676561</v>
      </c>
      <c r="AL232" t="str">
        <f t="shared" si="217"/>
        <v>1-0,0177041160412454i</v>
      </c>
      <c r="AM232">
        <f t="shared" si="238"/>
        <v>1.0001567055840808</v>
      </c>
      <c r="AN232">
        <f t="shared" si="239"/>
        <v>-1.7702266688210472E-2</v>
      </c>
      <c r="AO232" s="58" t="str">
        <f t="shared" si="240"/>
        <v>3,21439656249909-6,70206904427072i</v>
      </c>
      <c r="AP232">
        <f t="shared" si="241"/>
        <v>17.42332869815128</v>
      </c>
      <c r="AQ232" s="60">
        <f t="shared" si="242"/>
        <v>-64.377038247312697</v>
      </c>
      <c r="AR232" t="str">
        <f t="shared" si="218"/>
        <v>-1,36472945891784</v>
      </c>
      <c r="AS232" t="str">
        <f t="shared" si="219"/>
        <v>1+0,194913051242833i</v>
      </c>
      <c r="AT232">
        <f t="shared" si="243"/>
        <v>1.0188184811558885</v>
      </c>
      <c r="AU232">
        <f t="shared" si="244"/>
        <v>0.19249951244732244</v>
      </c>
      <c r="AV232" t="str">
        <f t="shared" si="220"/>
        <v>1+0,194913051242833i</v>
      </c>
      <c r="AW232">
        <f t="shared" si="245"/>
        <v>1.0188184811558885</v>
      </c>
      <c r="AX232">
        <f t="shared" si="246"/>
        <v>0.19249951244732244</v>
      </c>
      <c r="AY232" t="str">
        <f t="shared" si="221"/>
        <v>1-0,0769573915361484i</v>
      </c>
      <c r="AZ232">
        <f t="shared" si="247"/>
        <v>1.0029568485792637</v>
      </c>
      <c r="BA232">
        <f t="shared" si="248"/>
        <v>-7.6806003942657505E-2</v>
      </c>
      <c r="BB232" s="58" t="str">
        <f t="shared" si="249"/>
        <v>-1,29505784800439+0,357449696001369i</v>
      </c>
      <c r="BC232">
        <f t="shared" si="250"/>
        <v>2.5646400032448939</v>
      </c>
      <c r="BD232" s="60">
        <f t="shared" si="251"/>
        <v>164.56993051126292</v>
      </c>
      <c r="BE232" s="58" t="str">
        <f t="shared" si="252"/>
        <v>0,366361084614944+3,26356006352815i</v>
      </c>
      <c r="BF232" s="37">
        <f t="shared" si="253"/>
        <v>10.328219507432159</v>
      </c>
      <c r="BG232" s="60">
        <f t="shared" si="254"/>
        <v>83.594899698970949</v>
      </c>
      <c r="BH232" s="58" t="str">
        <f t="shared" si="255"/>
        <v>-1,76717695240802+9,82855218774322i</v>
      </c>
      <c r="BI232" s="37">
        <f t="shared" si="256"/>
        <v>19.987968701396174</v>
      </c>
      <c r="BJ232" s="60">
        <f t="shared" si="257"/>
        <v>100.1928922639502</v>
      </c>
      <c r="BK232">
        <f t="shared" si="258"/>
        <v>10.328219507432159</v>
      </c>
      <c r="BL232" s="60">
        <f t="shared" si="259"/>
        <v>83.594899698970949</v>
      </c>
      <c r="BN232">
        <f t="shared" si="260"/>
        <v>0</v>
      </c>
      <c r="BO232">
        <f t="shared" si="261"/>
        <v>0</v>
      </c>
    </row>
    <row r="233" spans="13:67" x14ac:dyDescent="0.25">
      <c r="M233" s="66">
        <v>15</v>
      </c>
      <c r="N233" s="36">
        <f t="shared" si="262"/>
        <v>1412.5375446227545</v>
      </c>
      <c r="O233" s="91" t="str">
        <f t="shared" si="210"/>
        <v>22,5</v>
      </c>
      <c r="P233" s="67" t="str">
        <f t="shared" si="211"/>
        <v>1+9,58525395791028i</v>
      </c>
      <c r="Q233" s="67">
        <f t="shared" si="222"/>
        <v>9.6372762457882608</v>
      </c>
      <c r="R233" s="67">
        <f t="shared" si="223"/>
        <v>1.4668454581762991</v>
      </c>
      <c r="S233" s="67" t="str">
        <f t="shared" si="212"/>
        <v>1+0,266257054386397i</v>
      </c>
      <c r="T233" s="67">
        <f t="shared" si="224"/>
        <v>1.0348395136495903</v>
      </c>
      <c r="U233" s="67">
        <f t="shared" si="225"/>
        <v>0.2602199346597302</v>
      </c>
      <c r="V233" t="str">
        <f t="shared" si="213"/>
        <v>1-0,0554702196638326i</v>
      </c>
      <c r="W233" s="67">
        <f t="shared" si="226"/>
        <v>1.001537291002963</v>
      </c>
      <c r="X233" s="67">
        <f t="shared" si="227"/>
        <v>-5.5413431524090104E-2</v>
      </c>
      <c r="Y233" t="str">
        <f t="shared" si="214"/>
        <v>0,999872303211842+0,153837409201029i</v>
      </c>
      <c r="Z233" s="67">
        <f t="shared" si="228"/>
        <v>1.0116375690927251</v>
      </c>
      <c r="AA233" s="67">
        <f t="shared" si="229"/>
        <v>0.15265997870583839</v>
      </c>
      <c r="AB233" s="92" t="str">
        <f t="shared" si="230"/>
        <v>0,371855239530871-2,36282014308051i</v>
      </c>
      <c r="AC233" s="37">
        <f t="shared" si="231"/>
        <v>7.5748677681402494</v>
      </c>
      <c r="AD233" s="60">
        <f t="shared" si="232"/>
        <v>-81.056278185331976</v>
      </c>
      <c r="AE233" t="str">
        <f t="shared" si="233"/>
        <v>34,4450883806789</v>
      </c>
      <c r="AF233" t="str">
        <f t="shared" si="215"/>
        <v>1+4,79262697895514i</v>
      </c>
      <c r="AG233">
        <f t="shared" si="234"/>
        <v>4.8958424565552221</v>
      </c>
      <c r="AH233">
        <f t="shared" si="235"/>
        <v>1.3650937873966116</v>
      </c>
      <c r="AI233" t="str">
        <f t="shared" si="216"/>
        <v>1+0,266257054386397i</v>
      </c>
      <c r="AJ233">
        <f t="shared" si="236"/>
        <v>1.0348395136495903</v>
      </c>
      <c r="AK233">
        <f t="shared" si="237"/>
        <v>0.2602199346597302</v>
      </c>
      <c r="AL233" t="str">
        <f t="shared" si="217"/>
        <v>1-0,0181164978795317i</v>
      </c>
      <c r="AM233">
        <f t="shared" si="238"/>
        <v>1.0001640902848987</v>
      </c>
      <c r="AN233">
        <f t="shared" si="239"/>
        <v>-1.8114516279611029E-2</v>
      </c>
      <c r="AO233" s="58" t="str">
        <f t="shared" si="240"/>
        <v>3,15299056416339-6,56388424249063i</v>
      </c>
      <c r="AP233">
        <f t="shared" si="241"/>
        <v>17.244882601499288</v>
      </c>
      <c r="AQ233" s="60">
        <f t="shared" si="242"/>
        <v>-64.342493986924865</v>
      </c>
      <c r="AR233" t="str">
        <f t="shared" si="218"/>
        <v>-1,36472945891784</v>
      </c>
      <c r="AS233" t="str">
        <f t="shared" si="219"/>
        <v>1+0,19945315944085i</v>
      </c>
      <c r="AT233">
        <f t="shared" si="243"/>
        <v>1.019696799451159</v>
      </c>
      <c r="AU233">
        <f t="shared" si="244"/>
        <v>0.19686969636772714</v>
      </c>
      <c r="AV233" t="str">
        <f t="shared" si="220"/>
        <v>1+0,19945315944085i</v>
      </c>
      <c r="AW233">
        <f t="shared" si="245"/>
        <v>1.019696799451159</v>
      </c>
      <c r="AX233">
        <f t="shared" si="246"/>
        <v>0.19686969636772714</v>
      </c>
      <c r="AY233" t="str">
        <f t="shared" si="221"/>
        <v>1-0,075205627436794i</v>
      </c>
      <c r="AZ233">
        <f t="shared" si="247"/>
        <v>1.0028239558357996</v>
      </c>
      <c r="BA233">
        <f t="shared" si="248"/>
        <v>-7.5064321824394376E-2</v>
      </c>
      <c r="BB233" s="58" t="str">
        <f t="shared" si="249"/>
        <v>-1,29282780644813+0,360493925848456i</v>
      </c>
      <c r="BC233">
        <f t="shared" si="250"/>
        <v>2.5560042023184204</v>
      </c>
      <c r="BD233" s="60">
        <f t="shared" si="251"/>
        <v>164.4193284515577</v>
      </c>
      <c r="BE233" s="58" t="str">
        <f t="shared" si="252"/>
        <v>0,371037515813964+3,18877113775603i</v>
      </c>
      <c r="BF233" s="37">
        <f t="shared" si="253"/>
        <v>10.130871970458662</v>
      </c>
      <c r="BG233" s="60">
        <f t="shared" si="254"/>
        <v>83.363050266225684</v>
      </c>
      <c r="BH233" s="58" t="str">
        <f t="shared" si="255"/>
        <v>-1,71003347542874+9,62260601363701i</v>
      </c>
      <c r="BI233" s="37">
        <f t="shared" si="256"/>
        <v>19.800886803817711</v>
      </c>
      <c r="BJ233" s="60">
        <f t="shared" si="257"/>
        <v>100.0768344646328</v>
      </c>
      <c r="BK233">
        <f t="shared" si="258"/>
        <v>10.130871970458662</v>
      </c>
      <c r="BL233" s="60">
        <f t="shared" si="259"/>
        <v>83.363050266225684</v>
      </c>
      <c r="BN233">
        <f t="shared" si="260"/>
        <v>0</v>
      </c>
      <c r="BO233">
        <f t="shared" si="261"/>
        <v>0</v>
      </c>
    </row>
    <row r="234" spans="13:67" x14ac:dyDescent="0.25">
      <c r="M234" s="66">
        <v>16</v>
      </c>
      <c r="N234" s="36">
        <f t="shared" si="262"/>
        <v>1445.4397707459289</v>
      </c>
      <c r="O234" s="91" t="str">
        <f t="shared" si="210"/>
        <v>22,5</v>
      </c>
      <c r="P234" s="67" t="str">
        <f t="shared" si="211"/>
        <v>1+9,80852320436096i</v>
      </c>
      <c r="Q234" s="67">
        <f t="shared" si="222"/>
        <v>9.8593674974862058</v>
      </c>
      <c r="R234" s="67">
        <f t="shared" si="223"/>
        <v>1.4691952313620005</v>
      </c>
      <c r="S234" s="67" t="str">
        <f t="shared" si="212"/>
        <v>1+0,272458977898916i</v>
      </c>
      <c r="T234" s="67">
        <f t="shared" si="224"/>
        <v>1.0364525530084443</v>
      </c>
      <c r="U234" s="67">
        <f t="shared" si="225"/>
        <v>0.26600231157657805</v>
      </c>
      <c r="V234" t="str">
        <f t="shared" si="213"/>
        <v>1-0,0567622870622741i</v>
      </c>
      <c r="W234" s="67">
        <f t="shared" si="226"/>
        <v>1.0016096830764667</v>
      </c>
      <c r="X234" s="67">
        <f t="shared" si="227"/>
        <v>-5.670144275457624E-2</v>
      </c>
      <c r="Y234" t="str">
        <f t="shared" si="214"/>
        <v>0,999866285047625+0,15742074278604i</v>
      </c>
      <c r="Z234" s="67">
        <f t="shared" si="228"/>
        <v>1.0121827296660653</v>
      </c>
      <c r="AA234" s="67">
        <f t="shared" si="229"/>
        <v>0.1561599219399713</v>
      </c>
      <c r="AB234" s="92" t="str">
        <f t="shared" si="230"/>
        <v>0,360741590181233-2,31260778790141i</v>
      </c>
      <c r="AC234" s="37">
        <f t="shared" si="231"/>
        <v>7.3864496100622388</v>
      </c>
      <c r="AD234" s="60">
        <f t="shared" si="232"/>
        <v>-81.133934062119891</v>
      </c>
      <c r="AE234" t="str">
        <f t="shared" si="233"/>
        <v>34,4450883806789</v>
      </c>
      <c r="AF234" t="str">
        <f t="shared" si="215"/>
        <v>1+4,90426160218048i</v>
      </c>
      <c r="AG234">
        <f t="shared" si="234"/>
        <v>5.0051755076742159</v>
      </c>
      <c r="AH234">
        <f t="shared" si="235"/>
        <v>1.3696494721957611</v>
      </c>
      <c r="AI234" t="str">
        <f t="shared" si="216"/>
        <v>1+0,272458977898916i</v>
      </c>
      <c r="AJ234">
        <f t="shared" si="236"/>
        <v>1.0364525530084443</v>
      </c>
      <c r="AK234">
        <f t="shared" si="237"/>
        <v>0.26600231157657805</v>
      </c>
      <c r="AL234" t="str">
        <f t="shared" si="217"/>
        <v>1-0,0185384853247939i</v>
      </c>
      <c r="AM234">
        <f t="shared" si="238"/>
        <v>1.0001718229575045</v>
      </c>
      <c r="AN234">
        <f t="shared" si="239"/>
        <v>-1.853636202192413E-2</v>
      </c>
      <c r="AO234" s="58" t="str">
        <f t="shared" si="240"/>
        <v>3,09412245076346-6,42807211934265i</v>
      </c>
      <c r="AP234">
        <f t="shared" si="241"/>
        <v>17.066640673829887</v>
      </c>
      <c r="AQ234" s="60">
        <f t="shared" si="242"/>
        <v>-64.296379686458906</v>
      </c>
      <c r="AR234" t="str">
        <f t="shared" si="218"/>
        <v>-1,36472945891784</v>
      </c>
      <c r="AS234" t="str">
        <f t="shared" si="219"/>
        <v>1+0,204099020344078i</v>
      </c>
      <c r="AT234">
        <f t="shared" si="243"/>
        <v>1.0206157014789712</v>
      </c>
      <c r="AU234">
        <f t="shared" si="244"/>
        <v>0.20133380077924237</v>
      </c>
      <c r="AV234" t="str">
        <f t="shared" si="220"/>
        <v>1+0,204099020344078i</v>
      </c>
      <c r="AW234">
        <f t="shared" si="245"/>
        <v>1.0206157014789712</v>
      </c>
      <c r="AX234">
        <f t="shared" si="246"/>
        <v>0.20133380077924237</v>
      </c>
      <c r="AY234" t="str">
        <f t="shared" si="221"/>
        <v>1-0,0734937383565705i</v>
      </c>
      <c r="AZ234">
        <f t="shared" si="247"/>
        <v>1.0026970278093099</v>
      </c>
      <c r="BA234">
        <f t="shared" si="248"/>
        <v>-7.3361844234693066E-2</v>
      </c>
      <c r="BB234" s="58" t="str">
        <f t="shared" si="249"/>
        <v>-1,29050088301001+0,363689035756723i</v>
      </c>
      <c r="BC234">
        <f t="shared" si="250"/>
        <v>2.5470809705118875</v>
      </c>
      <c r="BD234" s="60">
        <f t="shared" si="251"/>
        <v>164.26109889007759</v>
      </c>
      <c r="BE234" s="58" t="str">
        <f t="shared" si="252"/>
        <v>0,375532755798036+3,11562015343296i</v>
      </c>
      <c r="BF234" s="37">
        <f t="shared" si="253"/>
        <v>9.9335305805741374</v>
      </c>
      <c r="BG234" s="60">
        <f t="shared" si="254"/>
        <v>83.127164827957714</v>
      </c>
      <c r="BH234" s="58" t="str">
        <f t="shared" si="255"/>
        <v>-1,65514840399294+9,42073115669511i</v>
      </c>
      <c r="BI234" s="37">
        <f t="shared" si="256"/>
        <v>19.613721644341776</v>
      </c>
      <c r="BJ234" s="60">
        <f t="shared" si="257"/>
        <v>99.964719203618699</v>
      </c>
      <c r="BK234">
        <f t="shared" si="258"/>
        <v>9.9335305805741374</v>
      </c>
      <c r="BL234" s="60">
        <f t="shared" si="259"/>
        <v>83.127164827957714</v>
      </c>
      <c r="BN234">
        <f t="shared" si="260"/>
        <v>0</v>
      </c>
      <c r="BO234">
        <f t="shared" si="261"/>
        <v>0</v>
      </c>
    </row>
    <row r="235" spans="13:67" x14ac:dyDescent="0.25">
      <c r="M235" s="66">
        <v>17</v>
      </c>
      <c r="N235" s="36">
        <f t="shared" si="262"/>
        <v>1479.1083881682086</v>
      </c>
      <c r="O235" s="91" t="str">
        <f t="shared" si="210"/>
        <v>22,5</v>
      </c>
      <c r="P235" s="67" t="str">
        <f t="shared" si="211"/>
        <v>1+10,0369930596457i</v>
      </c>
      <c r="Q235" s="67">
        <f t="shared" si="222"/>
        <v>10.086685762894371</v>
      </c>
      <c r="R235" s="67">
        <f t="shared" si="223"/>
        <v>1.4714926055785797</v>
      </c>
      <c r="S235" s="67" t="str">
        <f t="shared" si="212"/>
        <v>1+0,278805362767937i</v>
      </c>
      <c r="T235" s="67">
        <f t="shared" si="224"/>
        <v>1.0381389263042595</v>
      </c>
      <c r="U235" s="67">
        <f t="shared" si="225"/>
        <v>0.2719005730692563</v>
      </c>
      <c r="V235" t="str">
        <f t="shared" si="213"/>
        <v>1-0,0580844505766536i</v>
      </c>
      <c r="W235" s="67">
        <f t="shared" si="226"/>
        <v>1.0016854812758302</v>
      </c>
      <c r="X235" s="67">
        <f t="shared" si="227"/>
        <v>-5.8019260649733319E-2</v>
      </c>
      <c r="Y235" t="str">
        <f t="shared" si="214"/>
        <v>0,999859983256067+0,161087542932586i</v>
      </c>
      <c r="Z235" s="67">
        <f t="shared" si="228"/>
        <v>1.0127532683753138</v>
      </c>
      <c r="AA235" s="67">
        <f t="shared" si="229"/>
        <v>0.15973746615876558</v>
      </c>
      <c r="AB235" s="92" t="str">
        <f t="shared" si="230"/>
        <v>0,350083441112314-2,26351852621647i</v>
      </c>
      <c r="AC235" s="37">
        <f t="shared" si="231"/>
        <v>7.1983445659184557</v>
      </c>
      <c r="AD235" s="60">
        <f t="shared" si="232"/>
        <v>-81.208102007014688</v>
      </c>
      <c r="AE235" t="str">
        <f t="shared" si="233"/>
        <v>34,4450883806789</v>
      </c>
      <c r="AF235" t="str">
        <f t="shared" si="215"/>
        <v>1+5,01849652982287i</v>
      </c>
      <c r="AG235">
        <f t="shared" si="234"/>
        <v>5.1171581390303142</v>
      </c>
      <c r="AH235">
        <f t="shared" si="235"/>
        <v>1.374109650303236</v>
      </c>
      <c r="AI235" t="str">
        <f t="shared" si="216"/>
        <v>1+0,278805362767937i</v>
      </c>
      <c r="AJ235">
        <f t="shared" si="236"/>
        <v>1.0381389263042595</v>
      </c>
      <c r="AK235">
        <f t="shared" si="237"/>
        <v>0.2719005730692563</v>
      </c>
      <c r="AL235" t="str">
        <f t="shared" si="217"/>
        <v>1-0,0189703021203612i</v>
      </c>
      <c r="AM235">
        <f t="shared" si="238"/>
        <v>1.0001799199956665</v>
      </c>
      <c r="AN235">
        <f t="shared" si="239"/>
        <v>-1.8968026982449183E-2</v>
      </c>
      <c r="AO235" s="58" t="str">
        <f t="shared" si="240"/>
        <v>3,03769670480676-6,29462874332228i</v>
      </c>
      <c r="AP235">
        <f t="shared" si="241"/>
        <v>16.888641438653654</v>
      </c>
      <c r="AQ235" s="60">
        <f t="shared" si="242"/>
        <v>-64.238716158300619</v>
      </c>
      <c r="AR235" t="str">
        <f t="shared" si="218"/>
        <v>-1,36472945891784</v>
      </c>
      <c r="AS235" t="str">
        <f t="shared" si="219"/>
        <v>1+0,208853097249462i</v>
      </c>
      <c r="AT235">
        <f t="shared" si="243"/>
        <v>1.0215770241301891</v>
      </c>
      <c r="AU235">
        <f t="shared" si="244"/>
        <v>0.20589348057768736</v>
      </c>
      <c r="AV235" t="str">
        <f t="shared" si="220"/>
        <v>1+0,208853097249462i</v>
      </c>
      <c r="AW235">
        <f t="shared" si="245"/>
        <v>1.0215770241301891</v>
      </c>
      <c r="AX235">
        <f t="shared" si="246"/>
        <v>0.20589348057768736</v>
      </c>
      <c r="AY235" t="str">
        <f t="shared" si="221"/>
        <v>1-0,0718208166292285i</v>
      </c>
      <c r="AZ235">
        <f t="shared" si="247"/>
        <v>1.0025757974843046</v>
      </c>
      <c r="BA235">
        <f t="shared" si="248"/>
        <v>-7.1697707995603696E-2</v>
      </c>
      <c r="BB235" s="58" t="str">
        <f t="shared" si="249"/>
        <v>-1,28807325593324+0,367034073203302i</v>
      </c>
      <c r="BC235">
        <f t="shared" si="250"/>
        <v>2.5378533170501747</v>
      </c>
      <c r="BD235" s="60">
        <f t="shared" si="251"/>
        <v>164.09519646473018</v>
      </c>
      <c r="BE235" s="58" t="str">
        <f t="shared" si="252"/>
        <v>0,379855306606515+3,04407022928134i</v>
      </c>
      <c r="BF235" s="37">
        <f t="shared" si="253"/>
        <v>9.7361978829686375</v>
      </c>
      <c r="BG235" s="60">
        <f t="shared" si="254"/>
        <v>82.88709445771552</v>
      </c>
      <c r="BH235" s="58" t="str">
        <f t="shared" si="255"/>
        <v>-1,60243265813396+9,22288113502356i</v>
      </c>
      <c r="BI235" s="37">
        <f t="shared" si="256"/>
        <v>19.426494755703828</v>
      </c>
      <c r="BJ235" s="60">
        <f t="shared" si="257"/>
        <v>99.856480306429575</v>
      </c>
      <c r="BK235">
        <f t="shared" si="258"/>
        <v>9.7361978829686375</v>
      </c>
      <c r="BL235" s="60">
        <f t="shared" si="259"/>
        <v>82.88709445771552</v>
      </c>
      <c r="BN235">
        <f t="shared" si="260"/>
        <v>0</v>
      </c>
      <c r="BO235">
        <f t="shared" si="261"/>
        <v>0</v>
      </c>
    </row>
    <row r="236" spans="13:67" x14ac:dyDescent="0.25">
      <c r="M236" s="66">
        <v>18</v>
      </c>
      <c r="N236" s="36">
        <f t="shared" si="262"/>
        <v>1513.5612484362093</v>
      </c>
      <c r="O236" s="91" t="str">
        <f t="shared" si="210"/>
        <v>22,5</v>
      </c>
      <c r="P236" s="67" t="str">
        <f t="shared" si="211"/>
        <v>1+10,270784661506i</v>
      </c>
      <c r="Q236" s="67">
        <f t="shared" si="222"/>
        <v>10.319351605746695</v>
      </c>
      <c r="R236" s="67">
        <f t="shared" si="223"/>
        <v>1.4737387018680792</v>
      </c>
      <c r="S236" s="67" t="str">
        <f t="shared" si="212"/>
        <v>1+0,285299573930724i</v>
      </c>
      <c r="T236" s="67">
        <f t="shared" si="224"/>
        <v>1.0399018448320267</v>
      </c>
      <c r="U236" s="67">
        <f t="shared" si="225"/>
        <v>0.27791620423674346</v>
      </c>
      <c r="V236" t="str">
        <f t="shared" si="213"/>
        <v>1-0,0594374112355674i</v>
      </c>
      <c r="W236" s="67">
        <f t="shared" si="226"/>
        <v>1.0017648455872197</v>
      </c>
      <c r="X236" s="67">
        <f t="shared" si="227"/>
        <v>-5.9367565615049162E-2</v>
      </c>
      <c r="Y236" t="str">
        <f t="shared" si="214"/>
        <v>0,999853384470223+0,16483975382664i</v>
      </c>
      <c r="Z236" s="67">
        <f t="shared" si="228"/>
        <v>1.0133503514965525</v>
      </c>
      <c r="AA236" s="67">
        <f t="shared" si="229"/>
        <v>0.16339414780921485</v>
      </c>
      <c r="AB236" s="92" t="str">
        <f t="shared" si="230"/>
        <v>0,339859608596863-2,21553232924374i</v>
      </c>
      <c r="AC236" s="37">
        <f t="shared" si="231"/>
        <v>7.0105724252727892</v>
      </c>
      <c r="AD236" s="60">
        <f t="shared" si="232"/>
        <v>-81.278888177381489</v>
      </c>
      <c r="AE236" t="str">
        <f t="shared" si="233"/>
        <v>34,4450883806789</v>
      </c>
      <c r="AF236" t="str">
        <f t="shared" si="215"/>
        <v>1+5,13539233075303i</v>
      </c>
      <c r="AG236">
        <f t="shared" si="234"/>
        <v>5.2318499969663721</v>
      </c>
      <c r="AH236">
        <f t="shared" si="235"/>
        <v>1.3784759764100565</v>
      </c>
      <c r="AI236" t="str">
        <f t="shared" si="216"/>
        <v>1+0,285299573930724i</v>
      </c>
      <c r="AJ236">
        <f t="shared" si="236"/>
        <v>1.0399018448320267</v>
      </c>
      <c r="AK236">
        <f t="shared" si="237"/>
        <v>0.27791620423674346</v>
      </c>
      <c r="AL236" t="str">
        <f t="shared" si="217"/>
        <v>1-0,0194121772212144i</v>
      </c>
      <c r="AM236">
        <f t="shared" si="238"/>
        <v>1.0001883985652242</v>
      </c>
      <c r="AN236">
        <f t="shared" si="239"/>
        <v>-1.9409739391819888E-2</v>
      </c>
      <c r="AO236" s="58" t="str">
        <f t="shared" si="240"/>
        <v>2,98362060473042-6,1635474924416i</v>
      </c>
      <c r="AP236">
        <f t="shared" si="241"/>
        <v>16.710923621073594</v>
      </c>
      <c r="AQ236" s="60">
        <f t="shared" si="242"/>
        <v>-64.169526196010324</v>
      </c>
      <c r="AR236" t="str">
        <f t="shared" si="218"/>
        <v>-1,36472945891784</v>
      </c>
      <c r="AS236" t="str">
        <f t="shared" si="219"/>
        <v>1+0,213717910831505i</v>
      </c>
      <c r="AT236">
        <f t="shared" si="243"/>
        <v>1.0225826838990493</v>
      </c>
      <c r="AU236">
        <f t="shared" si="244"/>
        <v>0.21055039461810718</v>
      </c>
      <c r="AV236" t="str">
        <f t="shared" si="220"/>
        <v>1+0,213717910831505i</v>
      </c>
      <c r="AW236">
        <f t="shared" si="245"/>
        <v>1.0225826838990493</v>
      </c>
      <c r="AX236">
        <f t="shared" si="246"/>
        <v>0.21055039461810718</v>
      </c>
      <c r="AY236" t="str">
        <f t="shared" si="221"/>
        <v>1-0,0701859752495241i</v>
      </c>
      <c r="AZ236">
        <f t="shared" si="247"/>
        <v>1.0024600097369105</v>
      </c>
      <c r="BA236">
        <f t="shared" si="248"/>
        <v>-7.0071067649332547E-2</v>
      </c>
      <c r="BB236" s="58" t="str">
        <f t="shared" si="249"/>
        <v>-1,28554098835214+0,370528002344791i</v>
      </c>
      <c r="BC236">
        <f t="shared" si="250"/>
        <v>2.5283037750520694</v>
      </c>
      <c r="BD236" s="60">
        <f t="shared" si="251"/>
        <v>163.92157457128604</v>
      </c>
      <c r="BE236" s="58" t="str">
        <f t="shared" si="252"/>
        <v>0,384013310948402+2,97408512211319i</v>
      </c>
      <c r="BF236" s="37">
        <f t="shared" si="253"/>
        <v>9.5388762003248431</v>
      </c>
      <c r="BG236" s="60">
        <f t="shared" si="254"/>
        <v>82.642686393904526</v>
      </c>
      <c r="BH236" s="58" t="str">
        <f t="shared" si="255"/>
        <v>-1,55179964134132+9,02900791761425i</v>
      </c>
      <c r="BI236" s="37">
        <f t="shared" si="256"/>
        <v>19.239227396125663</v>
      </c>
      <c r="BJ236" s="60">
        <f t="shared" si="257"/>
        <v>99.752048375275706</v>
      </c>
      <c r="BK236">
        <f t="shared" si="258"/>
        <v>9.5388762003248431</v>
      </c>
      <c r="BL236" s="60">
        <f t="shared" si="259"/>
        <v>82.642686393904526</v>
      </c>
      <c r="BN236">
        <f t="shared" si="260"/>
        <v>0</v>
      </c>
      <c r="BO236">
        <f t="shared" si="261"/>
        <v>0</v>
      </c>
    </row>
    <row r="237" spans="13:67" x14ac:dyDescent="0.25">
      <c r="M237" s="66">
        <v>19</v>
      </c>
      <c r="N237" s="36">
        <f t="shared" si="262"/>
        <v>1548.8166189124822</v>
      </c>
      <c r="O237" s="91" t="str">
        <f t="shared" si="210"/>
        <v>22,5</v>
      </c>
      <c r="P237" s="67" t="str">
        <f t="shared" si="211"/>
        <v>1+10,5100219693438i</v>
      </c>
      <c r="Q237" s="67">
        <f t="shared" si="222"/>
        <v>10.557488422730536</v>
      </c>
      <c r="R237" s="67">
        <f t="shared" si="223"/>
        <v>1.4759346204391701</v>
      </c>
      <c r="S237" s="67" t="str">
        <f t="shared" si="212"/>
        <v>1+0,291945054703994i</v>
      </c>
      <c r="T237" s="67">
        <f t="shared" si="224"/>
        <v>1.041744649598028</v>
      </c>
      <c r="U237" s="67">
        <f t="shared" si="225"/>
        <v>0.28405065242059091</v>
      </c>
      <c r="V237" t="str">
        <f t="shared" si="213"/>
        <v>1-0,0608218863966654i</v>
      </c>
      <c r="W237" s="67">
        <f t="shared" si="226"/>
        <v>1.0018479434848628</v>
      </c>
      <c r="X237" s="67">
        <f t="shared" si="227"/>
        <v>-6.0747052919624081E-2</v>
      </c>
      <c r="Y237" t="str">
        <f t="shared" si="214"/>
        <v>0,999846474693183+0,168679364940085i</v>
      </c>
      <c r="Z237" s="67">
        <f t="shared" si="228"/>
        <v>1.0139751974841278</v>
      </c>
      <c r="AA237" s="67">
        <f t="shared" si="229"/>
        <v>0.16713152085580169</v>
      </c>
      <c r="AB237" s="92" t="str">
        <f t="shared" si="230"/>
        <v>0,330049729237567-2,16862931596081i</v>
      </c>
      <c r="AC237" s="37">
        <f t="shared" si="231"/>
        <v>6.8231532380036954</v>
      </c>
      <c r="AD237" s="60">
        <f t="shared" si="232"/>
        <v>-81.346401555562679</v>
      </c>
      <c r="AE237" t="str">
        <f t="shared" si="233"/>
        <v>34,4450883806789</v>
      </c>
      <c r="AF237" t="str">
        <f t="shared" si="215"/>
        <v>1+5,2550109846719i</v>
      </c>
      <c r="AG237">
        <f t="shared" si="234"/>
        <v>5.3493121472785949</v>
      </c>
      <c r="AH237">
        <f t="shared" si="235"/>
        <v>1.3827500993358657</v>
      </c>
      <c r="AI237" t="str">
        <f t="shared" si="216"/>
        <v>1+0,291945054703994i</v>
      </c>
      <c r="AJ237">
        <f t="shared" si="236"/>
        <v>1.041744649598028</v>
      </c>
      <c r="AK237">
        <f t="shared" si="237"/>
        <v>0.28405065242059091</v>
      </c>
      <c r="AL237" t="str">
        <f t="shared" si="217"/>
        <v>1-0,0198643449153807i</v>
      </c>
      <c r="AM237">
        <f t="shared" si="238"/>
        <v>1.0001972766404221</v>
      </c>
      <c r="AN237">
        <f t="shared" si="239"/>
        <v>-1.98617327619473E-2</v>
      </c>
      <c r="AO237" s="58" t="str">
        <f t="shared" si="240"/>
        <v>2,93180421408672-6,03481925458647i</v>
      </c>
      <c r="AP237">
        <f t="shared" si="241"/>
        <v>16.533526175941194</v>
      </c>
      <c r="AQ237" s="60">
        <f t="shared" si="242"/>
        <v>-64.088834722679422</v>
      </c>
      <c r="AR237" t="str">
        <f t="shared" si="218"/>
        <v>-1,36472945891784</v>
      </c>
      <c r="AS237" t="str">
        <f t="shared" si="219"/>
        <v>1+0,218696040478762i</v>
      </c>
      <c r="AT237">
        <f t="shared" si="243"/>
        <v>1.0236346800109346</v>
      </c>
      <c r="AU237">
        <f t="shared" si="244"/>
        <v>0.21530620373117035</v>
      </c>
      <c r="AV237" t="str">
        <f t="shared" si="220"/>
        <v>1+0,218696040478762i</v>
      </c>
      <c r="AW237">
        <f t="shared" si="245"/>
        <v>1.0236346800109346</v>
      </c>
      <c r="AX237">
        <f t="shared" si="246"/>
        <v>0.21530620373117035</v>
      </c>
      <c r="AY237" t="str">
        <f t="shared" si="221"/>
        <v>1-0,0685883474029183i</v>
      </c>
      <c r="AZ237">
        <f t="shared" si="247"/>
        <v>1.0023494208106589</v>
      </c>
      <c r="BA237">
        <f t="shared" si="248"/>
        <v>-6.8481095181149462E-2</v>
      </c>
      <c r="BB237" s="58" t="str">
        <f t="shared" si="249"/>
        <v>-1,28290002821124+0,374169694739144i</v>
      </c>
      <c r="BC237">
        <f t="shared" si="250"/>
        <v>2.518414380034371</v>
      </c>
      <c r="BD237" s="60">
        <f t="shared" si="251"/>
        <v>163.74018549290653</v>
      </c>
      <c r="BE237" s="58" t="str">
        <f t="shared" si="252"/>
        <v>0,388014562205428+2,9056292170634i</v>
      </c>
      <c r="BF237" s="37">
        <f t="shared" si="253"/>
        <v>9.3415676180380594</v>
      </c>
      <c r="BG237" s="60">
        <f t="shared" si="254"/>
        <v>82.393783937343855</v>
      </c>
      <c r="BH237" s="58" t="str">
        <f t="shared" si="255"/>
        <v>-1,50316523066716+8,83906207977848i</v>
      </c>
      <c r="BI237" s="37">
        <f t="shared" si="256"/>
        <v>19.051940555975563</v>
      </c>
      <c r="BJ237" s="60">
        <f t="shared" si="257"/>
        <v>99.651350770227126</v>
      </c>
      <c r="BK237">
        <f t="shared" si="258"/>
        <v>9.3415676180380594</v>
      </c>
      <c r="BL237" s="60">
        <f t="shared" si="259"/>
        <v>82.393783937343855</v>
      </c>
      <c r="BN237">
        <f t="shared" si="260"/>
        <v>0</v>
      </c>
      <c r="BO237">
        <f t="shared" si="261"/>
        <v>0</v>
      </c>
    </row>
    <row r="238" spans="13:67" x14ac:dyDescent="0.25">
      <c r="M238" s="66">
        <v>20</v>
      </c>
      <c r="N238" s="36">
        <f t="shared" si="262"/>
        <v>1584.8931924611156</v>
      </c>
      <c r="O238" s="91" t="str">
        <f t="shared" si="210"/>
        <v>22,5</v>
      </c>
      <c r="P238" s="67" t="str">
        <f t="shared" si="211"/>
        <v>1+10,7548318299463i</v>
      </c>
      <c r="Q238" s="67">
        <f t="shared" si="222"/>
        <v>10.801222509069335</v>
      </c>
      <c r="R238" s="67">
        <f t="shared" si="223"/>
        <v>1.4780814408395422</v>
      </c>
      <c r="S238" s="67" t="str">
        <f t="shared" si="212"/>
        <v>1+0,298745328609619i</v>
      </c>
      <c r="T238" s="67">
        <f t="shared" si="224"/>
        <v>1.0436708156148036</v>
      </c>
      <c r="U238" s="67">
        <f t="shared" si="225"/>
        <v>0.29030532268752124</v>
      </c>
      <c r="V238" t="str">
        <f t="shared" si="213"/>
        <v>1-0,0622386101270039i</v>
      </c>
      <c r="W238" s="67">
        <f t="shared" si="226"/>
        <v>1.0019349502789796</v>
      </c>
      <c r="X238" s="67">
        <f t="shared" si="227"/>
        <v>-6.2158432972869951E-2</v>
      </c>
      <c r="Y238" t="str">
        <f t="shared" si="214"/>
        <v>0,999839239268383+0,172608412085558i</v>
      </c>
      <c r="Z238" s="67">
        <f t="shared" si="228"/>
        <v>1.0146290791730133</v>
      </c>
      <c r="AA238" s="67">
        <f t="shared" si="229"/>
        <v>0.17095115601210004</v>
      </c>
      <c r="AB238" s="92" t="str">
        <f t="shared" si="230"/>
        <v>0,32063422737789-2,12278976712965i</v>
      </c>
      <c r="AC238" s="37">
        <f t="shared" si="231"/>
        <v>6.6361073192072686</v>
      </c>
      <c r="AD238" s="60">
        <f t="shared" si="232"/>
        <v>-81.410754189411108</v>
      </c>
      <c r="AE238" t="str">
        <f t="shared" si="233"/>
        <v>34,4450883806789</v>
      </c>
      <c r="AF238" t="str">
        <f t="shared" si="215"/>
        <v>1+5,37741591497315i</v>
      </c>
      <c r="AG238">
        <f t="shared" si="234"/>
        <v>5.4696071086145217</v>
      </c>
      <c r="AH238">
        <f t="shared" si="235"/>
        <v>1.386933660333703</v>
      </c>
      <c r="AI238" t="str">
        <f t="shared" si="216"/>
        <v>1+0,298745328609619i</v>
      </c>
      <c r="AJ238">
        <f t="shared" si="236"/>
        <v>1.0436708156148036</v>
      </c>
      <c r="AK238">
        <f t="shared" si="237"/>
        <v>0.29030532268752124</v>
      </c>
      <c r="AL238" t="str">
        <f t="shared" si="217"/>
        <v>1-0,020327044948157i</v>
      </c>
      <c r="AM238">
        <f t="shared" si="238"/>
        <v>1.0002065730419514</v>
      </c>
      <c r="AN238">
        <f t="shared" si="239"/>
        <v>-2.0324246006545001E-2</v>
      </c>
      <c r="AO238" s="58" t="str">
        <f t="shared" si="240"/>
        <v>2,88216036312634-5,90843261866439i</v>
      </c>
      <c r="AP238">
        <f t="shared" si="241"/>
        <v>16.356488314631438</v>
      </c>
      <c r="AQ238" s="60">
        <f t="shared" si="242"/>
        <v>-63.996668959534311</v>
      </c>
      <c r="AR238" t="str">
        <f t="shared" si="218"/>
        <v>-1,36472945891784</v>
      </c>
      <c r="AS238" t="str">
        <f t="shared" si="219"/>
        <v>1+0,223790125661466i</v>
      </c>
      <c r="AT238">
        <f t="shared" si="243"/>
        <v>1.0247350976440568</v>
      </c>
      <c r="AU238">
        <f t="shared" si="244"/>
        <v>0.22016256858835792</v>
      </c>
      <c r="AV238" t="str">
        <f t="shared" si="220"/>
        <v>1+0,223790125661466i</v>
      </c>
      <c r="AW238">
        <f t="shared" si="245"/>
        <v>1.0247350976440568</v>
      </c>
      <c r="AX238">
        <f t="shared" si="246"/>
        <v>0.22016256858835792</v>
      </c>
      <c r="AY238" t="str">
        <f t="shared" si="221"/>
        <v>1-0,0670270860059795i</v>
      </c>
      <c r="AZ238">
        <f t="shared" si="247"/>
        <v>1.0022437978149095</v>
      </c>
      <c r="BA238">
        <f t="shared" si="248"/>
        <v>-6.6926979740434087E-2</v>
      </c>
      <c r="BB238" s="58" t="str">
        <f t="shared" si="249"/>
        <v>-1,28014620857354+0,377957919699502i</v>
      </c>
      <c r="BC238">
        <f t="shared" si="250"/>
        <v>2.5081666486128453</v>
      </c>
      <c r="BD238" s="60">
        <f t="shared" si="251"/>
        <v>163.5509805384431</v>
      </c>
      <c r="BE238" s="58" t="str">
        <f t="shared" si="252"/>
        <v>0,391866513827001+2,83866751755393i</v>
      </c>
      <c r="BF238" s="37">
        <f t="shared" si="253"/>
        <v>9.1442739678201015</v>
      </c>
      <c r="BG238" s="60">
        <f t="shared" si="254"/>
        <v>82.140226349031991</v>
      </c>
      <c r="BH238" s="58" t="str">
        <f t="shared" si="255"/>
        <v>-1,45644776012205+8,65299295048304i</v>
      </c>
      <c r="BI238" s="37">
        <f t="shared" si="256"/>
        <v>18.864654963244281</v>
      </c>
      <c r="BJ238" s="60">
        <f t="shared" si="257"/>
        <v>99.554311578908838</v>
      </c>
      <c r="BK238">
        <f t="shared" si="258"/>
        <v>9.1442739678201015</v>
      </c>
      <c r="BL238" s="60">
        <f t="shared" si="259"/>
        <v>82.140226349031991</v>
      </c>
      <c r="BN238">
        <f t="shared" si="260"/>
        <v>0</v>
      </c>
      <c r="BO238">
        <f t="shared" si="261"/>
        <v>0</v>
      </c>
    </row>
    <row r="239" spans="13:67" x14ac:dyDescent="0.25">
      <c r="M239" s="66">
        <v>21</v>
      </c>
      <c r="N239" s="36">
        <f t="shared" si="262"/>
        <v>1621.8100973589308</v>
      </c>
      <c r="O239" s="91" t="str">
        <f t="shared" si="210"/>
        <v>22,5</v>
      </c>
      <c r="P239" s="67" t="str">
        <f t="shared" si="211"/>
        <v>1+11,005344044742i</v>
      </c>
      <c r="Q239" s="67">
        <f t="shared" si="222"/>
        <v>11.050683125632469</v>
      </c>
      <c r="R239" s="67">
        <f t="shared" si="223"/>
        <v>1.4801802221433618</v>
      </c>
      <c r="S239" s="67" t="str">
        <f t="shared" si="212"/>
        <v>1+0,305704001242833i</v>
      </c>
      <c r="T239" s="67">
        <f t="shared" si="224"/>
        <v>1.0456839562582367</v>
      </c>
      <c r="U239" s="67">
        <f t="shared" si="225"/>
        <v>0.29668157309843018</v>
      </c>
      <c r="V239" t="str">
        <f t="shared" si="213"/>
        <v>1-0,0636883335922569i</v>
      </c>
      <c r="W239" s="67">
        <f t="shared" si="226"/>
        <v>1.0020260494796323</v>
      </c>
      <c r="X239" s="67">
        <f t="shared" si="227"/>
        <v>-6.360243160279426E-2</v>
      </c>
      <c r="Y239" t="str">
        <f t="shared" si="214"/>
        <v>0,999831662848519+0,176628978495859i</v>
      </c>
      <c r="Z239" s="67">
        <f t="shared" si="228"/>
        <v>1.0153133260619231</v>
      </c>
      <c r="AA239" s="67">
        <f t="shared" si="229"/>
        <v>0.17485463988519212</v>
      </c>
      <c r="AB239" s="92" t="str">
        <f t="shared" si="230"/>
        <v>0,311594283458073-2,07799413774216i</v>
      </c>
      <c r="AC239" s="37">
        <f t="shared" si="231"/>
        <v>6.4494552521549862</v>
      </c>
      <c r="AD239" s="60">
        <f t="shared" si="232"/>
        <v>-81.472061441020188</v>
      </c>
      <c r="AE239" t="str">
        <f t="shared" si="233"/>
        <v>34,4450883806789</v>
      </c>
      <c r="AF239" t="str">
        <f t="shared" si="215"/>
        <v>1+5,502672022371i</v>
      </c>
      <c r="AG239">
        <f t="shared" si="234"/>
        <v>5.5927988865848333</v>
      </c>
      <c r="AH239">
        <f t="shared" si="235"/>
        <v>1.3910282915261731</v>
      </c>
      <c r="AI239" t="str">
        <f t="shared" si="216"/>
        <v>1+0,305704001242833i</v>
      </c>
      <c r="AJ239">
        <f t="shared" si="236"/>
        <v>1.0456839562582367</v>
      </c>
      <c r="AK239">
        <f t="shared" si="237"/>
        <v>0.29668157309843018</v>
      </c>
      <c r="AL239" t="str">
        <f t="shared" si="217"/>
        <v>1-0,0208005226492249i</v>
      </c>
      <c r="AM239">
        <f t="shared" si="238"/>
        <v>1.0002163074767783</v>
      </c>
      <c r="AN239">
        <f t="shared" si="239"/>
        <v>-2.0797523564282026E-2</v>
      </c>
      <c r="AO239" s="58" t="str">
        <f t="shared" si="240"/>
        <v>2,83460462360092-5,78437405665256i</v>
      </c>
      <c r="AP239">
        <f t="shared" si="241"/>
        <v>16.179849530236247</v>
      </c>
      <c r="AQ239" s="60">
        <f t="shared" si="242"/>
        <v>-63.893058614458369</v>
      </c>
      <c r="AR239" t="str">
        <f t="shared" si="218"/>
        <v>-1,36472945891784</v>
      </c>
      <c r="AS239" t="str">
        <f t="shared" si="219"/>
        <v>1+0,229002867331006i</v>
      </c>
      <c r="AT239">
        <f t="shared" si="243"/>
        <v>1.0258861112452113</v>
      </c>
      <c r="AU239">
        <f t="shared" si="244"/>
        <v>0.22512114740939751</v>
      </c>
      <c r="AV239" t="str">
        <f t="shared" si="220"/>
        <v>1+0,229002867331006i</v>
      </c>
      <c r="AW239">
        <f t="shared" si="245"/>
        <v>1.0258861112452113</v>
      </c>
      <c r="AX239">
        <f t="shared" si="246"/>
        <v>0.22512114740939751</v>
      </c>
      <c r="AY239" t="str">
        <f t="shared" si="221"/>
        <v>1-0,0655013632572497i</v>
      </c>
      <c r="AZ239">
        <f t="shared" si="247"/>
        <v>1.0021429182449768</v>
      </c>
      <c r="BA239">
        <f t="shared" si="248"/>
        <v>-6.5407927360424667E-2</v>
      </c>
      <c r="BB239" s="58" t="str">
        <f t="shared" si="249"/>
        <v>-1,27727524835852+0,381891334281471i</v>
      </c>
      <c r="BC239">
        <f t="shared" si="250"/>
        <v>2.4975415574530659</v>
      </c>
      <c r="BD239" s="60">
        <f t="shared" si="251"/>
        <v>163.35391018984845</v>
      </c>
      <c r="BE239" s="58" t="str">
        <f t="shared" si="252"/>
        <v>0,395576288100423+2,77316563503645i</v>
      </c>
      <c r="BF239" s="37">
        <f t="shared" si="253"/>
        <v>8.946996809608061</v>
      </c>
      <c r="BG239" s="60">
        <f t="shared" si="254"/>
        <v>81.881848748828304</v>
      </c>
      <c r="BH239" s="58" t="str">
        <f t="shared" si="255"/>
        <v>-1,4115679981299+8,47074875167686i</v>
      </c>
      <c r="BI239" s="37">
        <f t="shared" si="256"/>
        <v>18.677391087689312</v>
      </c>
      <c r="BJ239" s="60">
        <f t="shared" si="257"/>
        <v>99.46085157539008</v>
      </c>
      <c r="BK239">
        <f t="shared" si="258"/>
        <v>8.946996809608061</v>
      </c>
      <c r="BL239" s="60">
        <f t="shared" si="259"/>
        <v>81.881848748828304</v>
      </c>
      <c r="BN239">
        <f t="shared" si="260"/>
        <v>0</v>
      </c>
      <c r="BO239">
        <f t="shared" si="261"/>
        <v>0</v>
      </c>
    </row>
    <row r="240" spans="13:67" x14ac:dyDescent="0.25">
      <c r="M240" s="66">
        <v>22</v>
      </c>
      <c r="N240" s="36">
        <f t="shared" si="262"/>
        <v>1659.5869074375626</v>
      </c>
      <c r="O240" s="91" t="str">
        <f t="shared" si="210"/>
        <v>22,5</v>
      </c>
      <c r="P240" s="67" t="str">
        <f t="shared" si="211"/>
        <v>1+11,2616914386232i</v>
      </c>
      <c r="Q240" s="67">
        <f t="shared" si="222"/>
        <v>11.306002567608019</v>
      </c>
      <c r="R240" s="67">
        <f t="shared" si="223"/>
        <v>1.4822320031523111</v>
      </c>
      <c r="S240" s="67" t="str">
        <f t="shared" si="212"/>
        <v>1+0,312824762183979i</v>
      </c>
      <c r="T240" s="67">
        <f t="shared" si="224"/>
        <v>1.0477878276805199</v>
      </c>
      <c r="U240" s="67">
        <f t="shared" si="225"/>
        <v>0.30318070976438583</v>
      </c>
      <c r="V240" t="str">
        <f t="shared" si="213"/>
        <v>1-0,0651718254549956i</v>
      </c>
      <c r="W240" s="67">
        <f t="shared" si="226"/>
        <v>1.0021214331772055</v>
      </c>
      <c r="X240" s="67">
        <f t="shared" si="227"/>
        <v>-6.5079790335575288E-2</v>
      </c>
      <c r="Y240" t="str">
        <f t="shared" si="214"/>
        <v>0,999823729362986+0,180743195928521i</v>
      </c>
      <c r="Z240" s="67">
        <f t="shared" si="228"/>
        <v>1.0160293266789917</v>
      </c>
      <c r="AA240" s="67">
        <f t="shared" si="229"/>
        <v>0.17884357402757928</v>
      </c>
      <c r="AB240" s="92" t="str">
        <f t="shared" si="230"/>
        <v>0,302911803322648-2,03422306798088i</v>
      </c>
      <c r="AC240" s="37">
        <f t="shared" si="231"/>
        <v>6.2632178891700105</v>
      </c>
      <c r="AD240" s="60">
        <f t="shared" si="232"/>
        <v>-81.530442243209578</v>
      </c>
      <c r="AE240" t="str">
        <f t="shared" si="233"/>
        <v>34,4450883806789</v>
      </c>
      <c r="AF240" t="str">
        <f t="shared" si="215"/>
        <v>1+5,63084571931163i</v>
      </c>
      <c r="AG240">
        <f t="shared" si="234"/>
        <v>5.7189530086100646</v>
      </c>
      <c r="AH240">
        <f t="shared" si="235"/>
        <v>1.3950356144666514</v>
      </c>
      <c r="AI240" t="str">
        <f t="shared" si="216"/>
        <v>1+0,312824762183979i</v>
      </c>
      <c r="AJ240">
        <f t="shared" si="236"/>
        <v>1.0477878276805199</v>
      </c>
      <c r="AK240">
        <f t="shared" si="237"/>
        <v>0.30318070976438583</v>
      </c>
      <c r="AL240" t="str">
        <f t="shared" si="217"/>
        <v>1-0,021285029062729i</v>
      </c>
      <c r="AM240">
        <f t="shared" si="238"/>
        <v>1.0002265005798443</v>
      </c>
      <c r="AN240">
        <f t="shared" si="239"/>
        <v>-2.1281815524616294E-2</v>
      </c>
      <c r="AO240" s="58" t="str">
        <f t="shared" si="240"/>
        <v>2,78905527755308-5,66262809669225i</v>
      </c>
      <c r="AP240">
        <f t="shared" si="241"/>
        <v>16.003649620972023</v>
      </c>
      <c r="AQ240" s="60">
        <f t="shared" si="242"/>
        <v>-63.778036090035002</v>
      </c>
      <c r="AR240" t="str">
        <f t="shared" si="218"/>
        <v>-1,36472945891784</v>
      </c>
      <c r="AS240" t="str">
        <f t="shared" si="219"/>
        <v>1+0,234337029352019i</v>
      </c>
      <c r="AT240">
        <f t="shared" si="243"/>
        <v>1.0270899879394837</v>
      </c>
      <c r="AU240">
        <f t="shared" si="244"/>
        <v>0.23018359350547099</v>
      </c>
      <c r="AV240" t="str">
        <f t="shared" si="220"/>
        <v>1+0,234337029352019i</v>
      </c>
      <c r="AW240">
        <f t="shared" si="245"/>
        <v>1.0270899879394837</v>
      </c>
      <c r="AX240">
        <f t="shared" si="246"/>
        <v>0.23018359350547099</v>
      </c>
      <c r="AY240" t="str">
        <f t="shared" si="221"/>
        <v>1-0,0640103701983316i</v>
      </c>
      <c r="AZ240">
        <f t="shared" si="247"/>
        <v>1.0020465695230574</v>
      </c>
      <c r="BA240">
        <f t="shared" si="248"/>
        <v>-6.3923160677179638E-2</v>
      </c>
      <c r="BB240" s="58" t="str">
        <f t="shared" si="249"/>
        <v>-1,27428275355304+0,385968472908029i</v>
      </c>
      <c r="BC240">
        <f t="shared" si="250"/>
        <v>2.486519522532519</v>
      </c>
      <c r="BD240" s="60">
        <f t="shared" si="251"/>
        <v>163.14892425904259</v>
      </c>
      <c r="BE240" s="58" t="str">
        <f t="shared" si="252"/>
        <v>0,399150684281165+2,70908977856205i</v>
      </c>
      <c r="BF240" s="37">
        <f t="shared" si="253"/>
        <v>8.7497374117025348</v>
      </c>
      <c r="BG240" s="60">
        <f t="shared" si="254"/>
        <v>81.618482015833038</v>
      </c>
      <c r="BH240" s="58" t="str">
        <f t="shared" si="255"/>
        <v>-1,36844911976557+8,29227672973305i</v>
      </c>
      <c r="BI240" s="37">
        <f t="shared" si="256"/>
        <v>18.490169143504541</v>
      </c>
      <c r="BJ240" s="60">
        <f t="shared" si="257"/>
        <v>99.3708881690076</v>
      </c>
      <c r="BK240">
        <f t="shared" si="258"/>
        <v>8.7497374117025348</v>
      </c>
      <c r="BL240" s="60">
        <f t="shared" si="259"/>
        <v>81.618482015833038</v>
      </c>
      <c r="BN240">
        <f t="shared" si="260"/>
        <v>0</v>
      </c>
      <c r="BO240">
        <f t="shared" si="261"/>
        <v>0</v>
      </c>
    </row>
    <row r="241" spans="13:67" x14ac:dyDescent="0.25">
      <c r="M241" s="66">
        <v>23</v>
      </c>
      <c r="N241" s="36">
        <f t="shared" si="262"/>
        <v>1698.2436524617447</v>
      </c>
      <c r="O241" s="91" t="str">
        <f t="shared" si="210"/>
        <v>22,5</v>
      </c>
      <c r="P241" s="67" t="str">
        <f t="shared" si="211"/>
        <v>1+11,5240099303713i</v>
      </c>
      <c r="Q241" s="67">
        <f t="shared" si="222"/>
        <v>11.567316234775305</v>
      </c>
      <c r="R241" s="67">
        <f t="shared" si="223"/>
        <v>1.4842378026088074</v>
      </c>
      <c r="S241" s="67" t="str">
        <f t="shared" si="212"/>
        <v>1+0,320111386954758i</v>
      </c>
      <c r="T241" s="67">
        <f t="shared" si="224"/>
        <v>1.0499863332720569</v>
      </c>
      <c r="U241" s="67">
        <f t="shared" si="225"/>
        <v>0.30980398169142975</v>
      </c>
      <c r="V241" t="str">
        <f t="shared" si="213"/>
        <v>1-0,0666898722822413i</v>
      </c>
      <c r="W241" s="67">
        <f t="shared" si="226"/>
        <v>1.0022213024402453</v>
      </c>
      <c r="X241" s="67">
        <f t="shared" si="227"/>
        <v>-6.6591266676096397E-2</v>
      </c>
      <c r="Y241" t="str">
        <f t="shared" si="214"/>
        <v>0,9998154219838+0,184953245796082i</v>
      </c>
      <c r="Z241" s="67">
        <f t="shared" si="228"/>
        <v>1.0167785310317827</v>
      </c>
      <c r="AA241" s="67">
        <f t="shared" si="229"/>
        <v>0.18291957389100533</v>
      </c>
      <c r="AB241" s="92" t="str">
        <f t="shared" si="230"/>
        <v>0,294569388482868-1,99145739278414i</v>
      </c>
      <c r="AC241" s="37">
        <f t="shared" si="231"/>
        <v>6.0774163502806724</v>
      </c>
      <c r="AD241" s="60">
        <f t="shared" si="232"/>
        <v>-81.586019363245327</v>
      </c>
      <c r="AE241" t="str">
        <f t="shared" si="233"/>
        <v>34,4450883806789</v>
      </c>
      <c r="AF241" t="str">
        <f t="shared" si="215"/>
        <v>1+5,76200496518565i</v>
      </c>
      <c r="AG241">
        <f t="shared" si="234"/>
        <v>5.8481365595225352</v>
      </c>
      <c r="AH241">
        <f t="shared" si="235"/>
        <v>1.3989572388192488</v>
      </c>
      <c r="AI241" t="str">
        <f t="shared" si="216"/>
        <v>1+0,320111386954758i</v>
      </c>
      <c r="AJ241">
        <f t="shared" si="236"/>
        <v>1.0499863332720569</v>
      </c>
      <c r="AK241">
        <f t="shared" si="237"/>
        <v>0.30980398169142975</v>
      </c>
      <c r="AL241" t="str">
        <f t="shared" si="217"/>
        <v>1-0,0217808210803827i</v>
      </c>
      <c r="AM241">
        <f t="shared" si="238"/>
        <v>1.0002371739577247</v>
      </c>
      <c r="AN241">
        <f t="shared" si="239"/>
        <v>-2.1777377756352662E-2</v>
      </c>
      <c r="AO241" s="58" t="str">
        <f t="shared" si="240"/>
        <v>2,74543328080933-5,5431774874085i</v>
      </c>
      <c r="AP241">
        <f t="shared" si="241"/>
        <v>15.827928711595048</v>
      </c>
      <c r="AQ241" s="60">
        <f t="shared" si="242"/>
        <v>-63.651636710652085</v>
      </c>
      <c r="AR241" t="str">
        <f t="shared" si="218"/>
        <v>-1,36472945891784</v>
      </c>
      <c r="AS241" t="str">
        <f t="shared" si="219"/>
        <v>1+0,239795439967809i</v>
      </c>
      <c r="AT241">
        <f t="shared" si="243"/>
        <v>1.0283490910334658</v>
      </c>
      <c r="AU241">
        <f t="shared" si="244"/>
        <v>0.23535155265176697</v>
      </c>
      <c r="AV241" t="str">
        <f t="shared" si="220"/>
        <v>1+0,239795439967809i</v>
      </c>
      <c r="AW241">
        <f t="shared" si="245"/>
        <v>1.0283490910334658</v>
      </c>
      <c r="AX241">
        <f t="shared" si="246"/>
        <v>0.23535155265176697</v>
      </c>
      <c r="AY241" t="str">
        <f t="shared" si="221"/>
        <v>1-0,0625533162849704i</v>
      </c>
      <c r="AZ241">
        <f t="shared" si="247"/>
        <v>1.0019545485590888</v>
      </c>
      <c r="BA241">
        <f t="shared" si="248"/>
        <v>-6.2471918648232427E-2</v>
      </c>
      <c r="BB241" s="58" t="str">
        <f t="shared" si="249"/>
        <v>-1,27116421894039+0,390187736639251i</v>
      </c>
      <c r="BC241">
        <f t="shared" si="250"/>
        <v>2.475080378781179</v>
      </c>
      <c r="BD241" s="60">
        <f t="shared" si="251"/>
        <v>162.93597205457445</v>
      </c>
      <c r="BE241" s="58" t="str">
        <f t="shared" si="252"/>
        <v>0,402596186069374+2,64640674422686i</v>
      </c>
      <c r="BF241" s="37">
        <f t="shared" si="253"/>
        <v>8.5524967290618665</v>
      </c>
      <c r="BG241" s="60">
        <f t="shared" si="254"/>
        <v>81.34995269132915</v>
      </c>
      <c r="BH241" s="58" t="str">
        <f t="shared" si="255"/>
        <v>-1,32701667445137+8,11752327916265i</v>
      </c>
      <c r="BI241" s="37">
        <f t="shared" si="256"/>
        <v>18.303009090376232</v>
      </c>
      <c r="BJ241" s="60">
        <f t="shared" si="257"/>
        <v>99.284335343922351</v>
      </c>
      <c r="BK241">
        <f t="shared" si="258"/>
        <v>8.5524967290618665</v>
      </c>
      <c r="BL241" s="60">
        <f t="shared" si="259"/>
        <v>81.34995269132915</v>
      </c>
      <c r="BN241">
        <f t="shared" si="260"/>
        <v>0</v>
      </c>
      <c r="BO241">
        <f t="shared" si="261"/>
        <v>0</v>
      </c>
    </row>
    <row r="242" spans="13:67" x14ac:dyDescent="0.25">
      <c r="M242" s="66">
        <v>24</v>
      </c>
      <c r="N242" s="36">
        <f t="shared" si="262"/>
        <v>1737.8008287493772</v>
      </c>
      <c r="O242" s="91" t="str">
        <f t="shared" si="210"/>
        <v>22,5</v>
      </c>
      <c r="P242" s="67" t="str">
        <f t="shared" si="211"/>
        <v>1+11,7924386047228i</v>
      </c>
      <c r="Q242" s="67">
        <f t="shared" si="222"/>
        <v>11.834762703415587</v>
      </c>
      <c r="R242" s="67">
        <f t="shared" si="223"/>
        <v>1.48619861942012</v>
      </c>
      <c r="S242" s="67" t="str">
        <f t="shared" si="212"/>
        <v>1+0,327567739020078i</v>
      </c>
      <c r="T242" s="67">
        <f t="shared" si="224"/>
        <v>1.0522835281646892</v>
      </c>
      <c r="U242" s="67">
        <f t="shared" si="225"/>
        <v>0.31655257541753656</v>
      </c>
      <c r="V242" t="str">
        <f t="shared" si="213"/>
        <v>1-0,0682432789625163i</v>
      </c>
      <c r="W242" s="67">
        <f t="shared" si="226"/>
        <v>1.0023258677314257</v>
      </c>
      <c r="X242" s="67">
        <f t="shared" si="227"/>
        <v>-6.8137634389090471E-2</v>
      </c>
      <c r="Y242" t="str">
        <f t="shared" si="214"/>
        <v>0,999806723089894+0,189261360322712i</v>
      </c>
      <c r="Z242" s="67">
        <f t="shared" si="228"/>
        <v>1.017562453143273</v>
      </c>
      <c r="AA242" s="67">
        <f t="shared" si="229"/>
        <v>0.18708426767653252</v>
      </c>
      <c r="AB242" s="92" t="str">
        <f t="shared" si="230"/>
        <v>0,286550307334916-1,94967815009997i</v>
      </c>
      <c r="AC242" s="37">
        <f t="shared" si="231"/>
        <v>5.8920720195050453</v>
      </c>
      <c r="AD242" s="60">
        <f t="shared" si="232"/>
        <v>-81.638919673182428</v>
      </c>
      <c r="AE242" t="str">
        <f t="shared" si="233"/>
        <v>34,4450883806789</v>
      </c>
      <c r="AF242" t="str">
        <f t="shared" si="215"/>
        <v>1+5,89621930236141i</v>
      </c>
      <c r="AG242">
        <f t="shared" si="234"/>
        <v>5.9804182179459051</v>
      </c>
      <c r="AH242">
        <f t="shared" si="235"/>
        <v>1.4027947611514473</v>
      </c>
      <c r="AI242" t="str">
        <f t="shared" si="216"/>
        <v>1+0,327567739020078i</v>
      </c>
      <c r="AJ242">
        <f t="shared" si="236"/>
        <v>1.0522835281646892</v>
      </c>
      <c r="AK242">
        <f t="shared" si="237"/>
        <v>0.31655257541753656</v>
      </c>
      <c r="AL242" t="str">
        <f t="shared" si="217"/>
        <v>1-0,0222881615776766i</v>
      </c>
      <c r="AM242">
        <f t="shared" si="238"/>
        <v>1.0002483502343369</v>
      </c>
      <c r="AN242">
        <f t="shared" si="239"/>
        <v>-2.2284472038979031E-2</v>
      </c>
      <c r="AO242" s="58" t="str">
        <f t="shared" si="240"/>
        <v>2,70366222184008-5,42600335365903i</v>
      </c>
      <c r="AP242">
        <f t="shared" si="241"/>
        <v>15.6527272726132</v>
      </c>
      <c r="AQ242" s="60">
        <f t="shared" si="242"/>
        <v>-63.513898968129624</v>
      </c>
      <c r="AR242" t="str">
        <f t="shared" si="218"/>
        <v>-1,36472945891784</v>
      </c>
      <c r="AS242" t="str">
        <f t="shared" si="219"/>
        <v>1+0,245380993299941i</v>
      </c>
      <c r="AT242">
        <f t="shared" si="243"/>
        <v>1.0296658836112158</v>
      </c>
      <c r="AU242">
        <f t="shared" si="244"/>
        <v>0.24062666028321589</v>
      </c>
      <c r="AV242" t="str">
        <f t="shared" si="220"/>
        <v>1+0,245380993299941i</v>
      </c>
      <c r="AW242">
        <f t="shared" si="245"/>
        <v>1.0296658836112158</v>
      </c>
      <c r="AX242">
        <f t="shared" si="246"/>
        <v>0.24062666028321589</v>
      </c>
      <c r="AY242" t="str">
        <f t="shared" si="221"/>
        <v>1-0,0611294289678941i</v>
      </c>
      <c r="AZ242">
        <f t="shared" si="247"/>
        <v>1.0018666613307086</v>
      </c>
      <c r="BA242">
        <f t="shared" si="248"/>
        <v>-6.1053456271365401E-2</v>
      </c>
      <c r="BB242" s="58" t="str">
        <f t="shared" si="249"/>
        <v>-1,26791503039486+0,394547382097526i</v>
      </c>
      <c r="BC242">
        <f t="shared" si="250"/>
        <v>2.4632033601748655</v>
      </c>
      <c r="BD242" s="60">
        <f t="shared" si="251"/>
        <v>162.71500255840775</v>
      </c>
      <c r="BE242" s="58" t="str">
        <f t="shared" si="252"/>
        <v>0,405918968420484+2,58508390454243i</v>
      </c>
      <c r="BF242" s="37">
        <f t="shared" si="253"/>
        <v>8.3552753796799077</v>
      </c>
      <c r="BG242" s="60">
        <f t="shared" si="254"/>
        <v>81.076082885225318</v>
      </c>
      <c r="BH242" s="58" t="str">
        <f t="shared" si="255"/>
        <v>-1,28719854974323+7,94643405878019i</v>
      </c>
      <c r="BI242" s="37">
        <f t="shared" si="256"/>
        <v>18.115930632788068</v>
      </c>
      <c r="BJ242" s="60">
        <f t="shared" si="257"/>
        <v>99.201103590278095</v>
      </c>
      <c r="BK242">
        <f t="shared" si="258"/>
        <v>8.3552753796799077</v>
      </c>
      <c r="BL242" s="60">
        <f t="shared" si="259"/>
        <v>81.076082885225318</v>
      </c>
      <c r="BN242">
        <f t="shared" si="260"/>
        <v>0</v>
      </c>
      <c r="BO242">
        <f t="shared" si="261"/>
        <v>0</v>
      </c>
    </row>
    <row r="243" spans="13:67" x14ac:dyDescent="0.25">
      <c r="M243" s="66">
        <v>25</v>
      </c>
      <c r="N243" s="36">
        <f t="shared" si="262"/>
        <v>1778.2794100389244</v>
      </c>
      <c r="O243" s="91" t="str">
        <f t="shared" si="210"/>
        <v>22,5</v>
      </c>
      <c r="P243" s="67" t="str">
        <f t="shared" si="211"/>
        <v>1+12,0671197861139i</v>
      </c>
      <c r="Q243" s="67">
        <f t="shared" si="222"/>
        <v>12.108483799899208</v>
      </c>
      <c r="R243" s="67">
        <f t="shared" si="223"/>
        <v>1.4881154328921593</v>
      </c>
      <c r="S243" s="67" t="str">
        <f t="shared" si="212"/>
        <v>1+0,335197771836498i</v>
      </c>
      <c r="T243" s="67">
        <f t="shared" si="224"/>
        <v>1.0546836237678829</v>
      </c>
      <c r="U243" s="67">
        <f t="shared" si="225"/>
        <v>0.3234276094465604</v>
      </c>
      <c r="V243" t="str">
        <f t="shared" si="213"/>
        <v>1-0,0698328691326038i</v>
      </c>
      <c r="W243" s="67">
        <f t="shared" si="226"/>
        <v>1.0024353493424358</v>
      </c>
      <c r="X243" s="67">
        <f t="shared" si="227"/>
        <v>-6.9719683780493355E-2</v>
      </c>
      <c r="Y243" t="str">
        <f t="shared" si="214"/>
        <v>0,999797614229749+0,193669823727754i</v>
      </c>
      <c r="Z243" s="67">
        <f t="shared" si="228"/>
        <v>1.0183826736753907</v>
      </c>
      <c r="AA243" s="67">
        <f t="shared" si="229"/>
        <v>0.19133929507492509</v>
      </c>
      <c r="AB243" s="92" t="str">
        <f t="shared" si="230"/>
        <v>0,278838467332688-1,9088665879088i</v>
      </c>
      <c r="AC243" s="37">
        <f t="shared" si="231"/>
        <v>5.70720653861851</v>
      </c>
      <c r="AD243" s="60">
        <f t="shared" si="232"/>
        <v>-81.689274426121301</v>
      </c>
      <c r="AE243" t="str">
        <f t="shared" si="233"/>
        <v>34,4450883806789</v>
      </c>
      <c r="AF243" t="str">
        <f t="shared" si="215"/>
        <v>1+6,03355989305697i</v>
      </c>
      <c r="AG243">
        <f t="shared" si="234"/>
        <v>6.1158682934727793</v>
      </c>
      <c r="AH243">
        <f t="shared" si="235"/>
        <v>1.4065497638333979</v>
      </c>
      <c r="AI243" t="str">
        <f t="shared" si="216"/>
        <v>1+0,335197771836498i</v>
      </c>
      <c r="AJ243">
        <f t="shared" si="236"/>
        <v>1.0546836237678829</v>
      </c>
      <c r="AK243">
        <f t="shared" si="237"/>
        <v>0.3234276094465604</v>
      </c>
      <c r="AL243" t="str">
        <f t="shared" si="217"/>
        <v>1-0,0228073195532577i</v>
      </c>
      <c r="AM243">
        <f t="shared" si="238"/>
        <v>1.0002600530987951</v>
      </c>
      <c r="AN243">
        <f t="shared" si="239"/>
        <v>-2.2803366196825665E-2</v>
      </c>
      <c r="AO243" s="58" t="str">
        <f t="shared" si="240"/>
        <v>2,66366827660246-5,31108534394028i</v>
      </c>
      <c r="AP243">
        <f t="shared" si="241"/>
        <v>15.478086137082576</v>
      </c>
      <c r="AQ243" s="60">
        <f t="shared" si="242"/>
        <v>-63.364864785252287</v>
      </c>
      <c r="AR243" t="str">
        <f t="shared" si="218"/>
        <v>-1,36472945891784</v>
      </c>
      <c r="AS243" t="str">
        <f t="shared" si="219"/>
        <v>1+0,251096650882721i</v>
      </c>
      <c r="AT243">
        <f t="shared" si="243"/>
        <v>1.031042932221796</v>
      </c>
      <c r="AU243">
        <f t="shared" si="244"/>
        <v>0.24601053850731916</v>
      </c>
      <c r="AV243" t="str">
        <f t="shared" si="220"/>
        <v>1+0,251096650882721i</v>
      </c>
      <c r="AW243">
        <f t="shared" si="245"/>
        <v>1.031042932221796</v>
      </c>
      <c r="AX243">
        <f t="shared" si="246"/>
        <v>0.24601053850731916</v>
      </c>
      <c r="AY243" t="str">
        <f t="shared" si="221"/>
        <v>1-0,0597379532832002i</v>
      </c>
      <c r="AZ243">
        <f t="shared" si="247"/>
        <v>1.0017827224815099</v>
      </c>
      <c r="BA243">
        <f t="shared" si="248"/>
        <v>-5.9667044303911759E-2</v>
      </c>
      <c r="BB243" s="58" t="str">
        <f t="shared" si="249"/>
        <v>-1,26453046779133+0,399045510062605i</v>
      </c>
      <c r="BC243">
        <f t="shared" si="250"/>
        <v>2.4508670803633299</v>
      </c>
      <c r="BD243" s="60">
        <f t="shared" si="251"/>
        <v>162.48596461315572</v>
      </c>
      <c r="BE243" s="58" t="str">
        <f t="shared" si="252"/>
        <v>0,40912490367911+2,5250891977814i</v>
      </c>
      <c r="BF243" s="37">
        <f t="shared" si="253"/>
        <v>8.158073618981831</v>
      </c>
      <c r="BG243" s="60">
        <f t="shared" si="254"/>
        <v>80.796690187034415</v>
      </c>
      <c r="BH243" s="58" t="str">
        <f t="shared" si="255"/>
        <v>-1,24892493179436+7,77895410052689i</v>
      </c>
      <c r="BI243" s="37">
        <f t="shared" si="256"/>
        <v>17.928953217445908</v>
      </c>
      <c r="BJ243" s="60">
        <f t="shared" si="257"/>
        <v>99.121099827903436</v>
      </c>
      <c r="BK243">
        <f t="shared" si="258"/>
        <v>8.158073618981831</v>
      </c>
      <c r="BL243" s="60">
        <f t="shared" si="259"/>
        <v>80.796690187034415</v>
      </c>
      <c r="BN243">
        <f t="shared" si="260"/>
        <v>0</v>
      </c>
      <c r="BO243">
        <f t="shared" si="261"/>
        <v>0</v>
      </c>
    </row>
    <row r="244" spans="13:67" x14ac:dyDescent="0.25">
      <c r="M244" s="66">
        <v>26</v>
      </c>
      <c r="N244" s="36">
        <f t="shared" si="262"/>
        <v>1819.7008586099832</v>
      </c>
      <c r="O244" s="91" t="str">
        <f t="shared" si="210"/>
        <v>22,5</v>
      </c>
      <c r="P244" s="67" t="str">
        <f t="shared" si="211"/>
        <v>1+12,3481991141427i</v>
      </c>
      <c r="Q244" s="67">
        <f t="shared" si="222"/>
        <v>12.388624675988638</v>
      </c>
      <c r="R244" s="67">
        <f t="shared" si="223"/>
        <v>1.4899892029718194</v>
      </c>
      <c r="S244" s="67" t="str">
        <f t="shared" si="212"/>
        <v>1+0,343005530948409i</v>
      </c>
      <c r="T244" s="67">
        <f t="shared" si="224"/>
        <v>1.0571909923288223</v>
      </c>
      <c r="U244" s="67">
        <f t="shared" si="225"/>
        <v>0.33043012848585013</v>
      </c>
      <c r="V244" t="str">
        <f t="shared" si="213"/>
        <v>1-0,0714594856142519i</v>
      </c>
      <c r="W244" s="67">
        <f t="shared" si="226"/>
        <v>1.0025499778486124</v>
      </c>
      <c r="X244" s="67">
        <f t="shared" si="227"/>
        <v>-7.1338221978588759E-2</v>
      </c>
      <c r="Y244" t="str">
        <f t="shared" si="214"/>
        <v>0,999788076082251+0,198180973436859i</v>
      </c>
      <c r="Z244" s="67">
        <f t="shared" si="228"/>
        <v>1.0192408426415367</v>
      </c>
      <c r="AA244" s="67">
        <f t="shared" si="229"/>
        <v>0.19568630589134725</v>
      </c>
      <c r="AB244" s="92" t="str">
        <f t="shared" si="230"/>
        <v>0,271418388112174-1,86900417009048i</v>
      </c>
      <c r="AC244" s="37">
        <f t="shared" si="231"/>
        <v>5.5228417982534186</v>
      </c>
      <c r="AD244" s="60">
        <f t="shared" si="232"/>
        <v>-81.737219537562694</v>
      </c>
      <c r="AE244" t="str">
        <f t="shared" si="233"/>
        <v>34,4450883806789</v>
      </c>
      <c r="AF244" t="str">
        <f t="shared" si="215"/>
        <v>1+6,17409955707137i</v>
      </c>
      <c r="AG244">
        <f t="shared" si="234"/>
        <v>6.2545587646634901</v>
      </c>
      <c r="AH244">
        <f t="shared" si="235"/>
        <v>1.4102238140381134</v>
      </c>
      <c r="AI244" t="str">
        <f t="shared" si="216"/>
        <v>1+0,343005530948409i</v>
      </c>
      <c r="AJ244">
        <f t="shared" si="236"/>
        <v>1.0571909923288223</v>
      </c>
      <c r="AK244">
        <f t="shared" si="237"/>
        <v>0.33043012848585013</v>
      </c>
      <c r="AL244" t="str">
        <f t="shared" si="217"/>
        <v>1-0,0233385702715563i</v>
      </c>
      <c r="AM244">
        <f t="shared" si="238"/>
        <v>1.0002723073555122</v>
      </c>
      <c r="AN244">
        <f t="shared" si="239"/>
        <v>-2.3334334236099815E-2</v>
      </c>
      <c r="AO244" s="58" t="str">
        <f t="shared" si="240"/>
        <v>2,62538015993384-5,19840176969431i</v>
      </c>
      <c r="AP244">
        <f t="shared" si="241"/>
        <v>15.304046514772363</v>
      </c>
      <c r="AQ244" s="60">
        <f t="shared" si="242"/>
        <v>-63.204579796497185</v>
      </c>
      <c r="AR244" t="str">
        <f t="shared" si="218"/>
        <v>-1,36472945891784</v>
      </c>
      <c r="AS244" t="str">
        <f t="shared" si="219"/>
        <v>1+0,256945443233453i</v>
      </c>
      <c r="AT244">
        <f t="shared" si="243"/>
        <v>1.0324829106568474</v>
      </c>
      <c r="AU244">
        <f t="shared" si="244"/>
        <v>0.25150479292842254</v>
      </c>
      <c r="AV244" t="str">
        <f t="shared" si="220"/>
        <v>1+0,256945443233453i</v>
      </c>
      <c r="AW244">
        <f t="shared" si="245"/>
        <v>1.0324829106568474</v>
      </c>
      <c r="AX244">
        <f t="shared" si="246"/>
        <v>0.25150479292842254</v>
      </c>
      <c r="AY244" t="str">
        <f t="shared" si="221"/>
        <v>1-0,0583781514520631i</v>
      </c>
      <c r="AZ244">
        <f t="shared" si="247"/>
        <v>1.0017025549368237</v>
      </c>
      <c r="BA244">
        <f t="shared" si="248"/>
        <v>-5.8311968982941123E-2</v>
      </c>
      <c r="BB244" s="58" t="str">
        <f t="shared" si="249"/>
        <v>-1,26100570858123+0,403680053755116i</v>
      </c>
      <c r="BC244">
        <f t="shared" si="250"/>
        <v>2.4380495139227443</v>
      </c>
      <c r="BD244" s="60">
        <f t="shared" si="251"/>
        <v>162.24880712006939</v>
      </c>
      <c r="BE244" s="58" t="str">
        <f t="shared" si="252"/>
        <v>0,412219567027294+2,46639111734947i</v>
      </c>
      <c r="BF244" s="37">
        <f t="shared" si="253"/>
        <v>7.9608913121761669</v>
      </c>
      <c r="BG244" s="60">
        <f t="shared" si="254"/>
        <v>80.511587582506721</v>
      </c>
      <c r="BH244" s="58" t="str">
        <f t="shared" si="255"/>
        <v>-1,21212826304159+7,615027911173i</v>
      </c>
      <c r="BI244" s="37">
        <f t="shared" si="256"/>
        <v>17.742096028695109</v>
      </c>
      <c r="BJ244" s="60">
        <f t="shared" si="257"/>
        <v>99.04422732357223</v>
      </c>
      <c r="BK244">
        <f t="shared" si="258"/>
        <v>7.9608913121761669</v>
      </c>
      <c r="BL244" s="60">
        <f t="shared" si="259"/>
        <v>80.511587582506721</v>
      </c>
      <c r="BN244">
        <f t="shared" si="260"/>
        <v>0</v>
      </c>
      <c r="BO244">
        <f t="shared" si="261"/>
        <v>0</v>
      </c>
    </row>
    <row r="245" spans="13:67" x14ac:dyDescent="0.25">
      <c r="M245" s="66">
        <v>27</v>
      </c>
      <c r="N245" s="36">
        <f t="shared" si="262"/>
        <v>1862.0871366628687</v>
      </c>
      <c r="O245" s="91" t="str">
        <f t="shared" si="210"/>
        <v>22,5</v>
      </c>
      <c r="P245" s="67" t="str">
        <f t="shared" si="211"/>
        <v>1+12,6358256207897i</v>
      </c>
      <c r="Q245" s="67">
        <f t="shared" si="222"/>
        <v>12.675333885898445</v>
      </c>
      <c r="R245" s="67">
        <f t="shared" si="223"/>
        <v>1.4918208704968201</v>
      </c>
      <c r="S245" s="67" t="str">
        <f t="shared" si="212"/>
        <v>1+0,350995156133046i</v>
      </c>
      <c r="T245" s="67">
        <f t="shared" si="224"/>
        <v>1.0598101715066057</v>
      </c>
      <c r="U245" s="67">
        <f t="shared" si="225"/>
        <v>0.33756109749603763</v>
      </c>
      <c r="V245" t="str">
        <f t="shared" si="213"/>
        <v>1-0,0731239908610513i</v>
      </c>
      <c r="W245" s="67">
        <f t="shared" si="226"/>
        <v>1.0026699945841837</v>
      </c>
      <c r="X245" s="67">
        <f t="shared" si="227"/>
        <v>-7.2994073214477345E-2</v>
      </c>
      <c r="Y245" t="str">
        <f t="shared" si="214"/>
        <v>0,99977808841571+0,202797201321315i</v>
      </c>
      <c r="Z245" s="67">
        <f t="shared" si="228"/>
        <v>1.0201386822093992</v>
      </c>
      <c r="AA245" s="67">
        <f t="shared" si="229"/>
        <v>0.20012695854814103</v>
      </c>
      <c r="AB245" s="92" t="str">
        <f t="shared" si="230"/>
        <v>0,2642751755631-1,83007258120711i</v>
      </c>
      <c r="AC245" s="37">
        <f t="shared" si="231"/>
        <v>5.3389999261793184</v>
      </c>
      <c r="AD245" s="60">
        <f t="shared" si="232"/>
        <v>-81.782895870929863</v>
      </c>
      <c r="AE245" t="str">
        <f t="shared" si="233"/>
        <v>34,4450883806789</v>
      </c>
      <c r="AF245" t="str">
        <f t="shared" si="215"/>
        <v>1+6,31791281039483i</v>
      </c>
      <c r="AG245">
        <f t="shared" si="234"/>
        <v>6.3965633178880585</v>
      </c>
      <c r="AH245">
        <f t="shared" si="235"/>
        <v>1.4138184628369175</v>
      </c>
      <c r="AI245" t="str">
        <f t="shared" si="216"/>
        <v>1+0,350995156133046i</v>
      </c>
      <c r="AJ245">
        <f t="shared" si="236"/>
        <v>1.0598101715066057</v>
      </c>
      <c r="AK245">
        <f t="shared" si="237"/>
        <v>0.33756109749603763</v>
      </c>
      <c r="AL245" t="str">
        <f t="shared" si="217"/>
        <v>1-0,0238821954087354i</v>
      </c>
      <c r="AM245">
        <f t="shared" si="238"/>
        <v>1.0002851389766525</v>
      </c>
      <c r="AN245">
        <f t="shared" si="239"/>
        <v>-2.3877656484843947E-2</v>
      </c>
      <c r="AO245" s="58" t="str">
        <f t="shared" si="240"/>
        <v>2,58872907401953-5,08792973677516i</v>
      </c>
      <c r="AP245">
        <f t="shared" si="241"/>
        <v>15.1306500034812</v>
      </c>
      <c r="AQ245" s="60">
        <f t="shared" si="242"/>
        <v>-63.033093645146742</v>
      </c>
      <c r="AR245" t="str">
        <f t="shared" si="218"/>
        <v>-1,36472945891784</v>
      </c>
      <c r="AS245" t="str">
        <f t="shared" si="219"/>
        <v>1+0,262930471459265i</v>
      </c>
      <c r="AT245">
        <f t="shared" si="243"/>
        <v>1.0339886038162083</v>
      </c>
      <c r="AU245">
        <f t="shared" si="244"/>
        <v>0.25711100927803521</v>
      </c>
      <c r="AV245" t="str">
        <f t="shared" si="220"/>
        <v>1+0,262930471459265i</v>
      </c>
      <c r="AW245">
        <f t="shared" si="245"/>
        <v>1.0339886038162083</v>
      </c>
      <c r="AX245">
        <f t="shared" si="246"/>
        <v>0.25711100927803521</v>
      </c>
      <c r="AY245" t="str">
        <f t="shared" si="221"/>
        <v>1-0,0570493024895516i</v>
      </c>
      <c r="AZ245">
        <f t="shared" si="247"/>
        <v>1.001625989536286</v>
      </c>
      <c r="BA245">
        <f t="shared" si="248"/>
        <v>-5.6987531746663773E-2</v>
      </c>
      <c r="BB245" s="58" t="str">
        <f t="shared" si="249"/>
        <v>-1,25733583208783+0,408448766831686i</v>
      </c>
      <c r="BC245">
        <f t="shared" si="250"/>
        <v>2.424727978329448</v>
      </c>
      <c r="BD245" s="60">
        <f t="shared" si="251"/>
        <v>162.003479248068</v>
      </c>
      <c r="BE245" s="58" t="str">
        <f t="shared" si="252"/>
        <v>0,415208241239737+2,40895870123614i</v>
      </c>
      <c r="BF245" s="37">
        <f t="shared" si="253"/>
        <v>7.7637279045087668</v>
      </c>
      <c r="BG245" s="60">
        <f t="shared" si="254"/>
        <v>80.220583377138169</v>
      </c>
      <c r="BH245" s="58" t="str">
        <f t="shared" si="255"/>
        <v>-1,17674319762022+7,45459956713722i</v>
      </c>
      <c r="BI245" s="37">
        <f t="shared" si="256"/>
        <v>17.555377981810651</v>
      </c>
      <c r="BJ245" s="60">
        <f t="shared" si="257"/>
        <v>98.97038560292124</v>
      </c>
      <c r="BK245">
        <f t="shared" si="258"/>
        <v>7.7637279045087668</v>
      </c>
      <c r="BL245" s="60">
        <f t="shared" si="259"/>
        <v>80.220583377138169</v>
      </c>
      <c r="BN245">
        <f t="shared" si="260"/>
        <v>0</v>
      </c>
      <c r="BO245">
        <f t="shared" si="261"/>
        <v>0</v>
      </c>
    </row>
    <row r="246" spans="13:67" x14ac:dyDescent="0.25">
      <c r="M246" s="66">
        <v>28</v>
      </c>
      <c r="N246" s="36">
        <f t="shared" si="262"/>
        <v>1905.4607179632501</v>
      </c>
      <c r="O246" s="91" t="str">
        <f t="shared" si="210"/>
        <v>22,5</v>
      </c>
      <c r="P246" s="67" t="str">
        <f t="shared" si="211"/>
        <v>1+12,9301518094358i</v>
      </c>
      <c r="Q246" s="67">
        <f t="shared" si="222"/>
        <v>12.968763465151792</v>
      </c>
      <c r="R246" s="67">
        <f t="shared" si="223"/>
        <v>1.4936113574520662</v>
      </c>
      <c r="S246" s="67" t="str">
        <f t="shared" si="212"/>
        <v>1+0,359170883595438i</v>
      </c>
      <c r="T246" s="67">
        <f t="shared" si="224"/>
        <v>1.062545868950008</v>
      </c>
      <c r="U246" s="67">
        <f t="shared" si="225"/>
        <v>0.3448213955635348</v>
      </c>
      <c r="V246" t="str">
        <f t="shared" si="213"/>
        <v>1-0,0748272674157163i</v>
      </c>
      <c r="W246" s="67">
        <f t="shared" si="226"/>
        <v>1.0027956521390105</v>
      </c>
      <c r="X246" s="67">
        <f t="shared" si="227"/>
        <v>-7.4688079101357191E-2</v>
      </c>
      <c r="Y246" t="str">
        <f t="shared" si="214"/>
        <v>0,999767630044947+0,207520954966253i</v>
      </c>
      <c r="Z246" s="67">
        <f t="shared" si="228"/>
        <v>1.0210779895952098</v>
      </c>
      <c r="AA246" s="67">
        <f t="shared" si="229"/>
        <v>0.20466291845939455</v>
      </c>
      <c r="AB246" s="92" t="str">
        <f t="shared" si="230"/>
        <v>0,257394496842246-1,79205373026922i</v>
      </c>
      <c r="AC246" s="37">
        <f t="shared" si="231"/>
        <v>5.1557032726121355</v>
      </c>
      <c r="AD246" s="60">
        <f t="shared" si="232"/>
        <v>-81.826449526207909</v>
      </c>
      <c r="AE246" t="str">
        <f t="shared" si="233"/>
        <v>34,4450883806789</v>
      </c>
      <c r="AF246" t="str">
        <f t="shared" si="215"/>
        <v>1+6,46507590471789i</v>
      </c>
      <c r="AG246">
        <f t="shared" si="234"/>
        <v>6.5419573870336265</v>
      </c>
      <c r="AH246">
        <f t="shared" si="235"/>
        <v>1.4173352443847007</v>
      </c>
      <c r="AI246" t="str">
        <f t="shared" si="216"/>
        <v>1+0,359170883595438i</v>
      </c>
      <c r="AJ246">
        <f t="shared" si="236"/>
        <v>1.062545868950008</v>
      </c>
      <c r="AK246">
        <f t="shared" si="237"/>
        <v>0.3448213955635348</v>
      </c>
      <c r="AL246" t="str">
        <f t="shared" si="217"/>
        <v>1-0,0244384832020388i</v>
      </c>
      <c r="AM246">
        <f t="shared" si="238"/>
        <v>1.0002985751570459</v>
      </c>
      <c r="AN246">
        <f t="shared" si="239"/>
        <v>-2.4433619735865386E-2</v>
      </c>
      <c r="AO246" s="58" t="str">
        <f t="shared" si="240"/>
        <v>2,55364865441473-4,97964526934456i</v>
      </c>
      <c r="AP246">
        <f t="shared" si="241"/>
        <v>14.95793859728763</v>
      </c>
      <c r="AQ246" s="60">
        <f t="shared" si="242"/>
        <v>-62.850460295877546</v>
      </c>
      <c r="AR246" t="str">
        <f t="shared" si="218"/>
        <v>-1,36472945891784</v>
      </c>
      <c r="AS246" t="str">
        <f t="shared" si="219"/>
        <v>1+0,269054908901343i</v>
      </c>
      <c r="AT246">
        <f t="shared" si="243"/>
        <v>1.0355629116591178</v>
      </c>
      <c r="AU246">
        <f t="shared" si="244"/>
        <v>0.26283074984626531</v>
      </c>
      <c r="AV246" t="str">
        <f t="shared" si="220"/>
        <v>1+0,269054908901343i</v>
      </c>
      <c r="AW246">
        <f t="shared" si="245"/>
        <v>1.0355629116591178</v>
      </c>
      <c r="AX246">
        <f t="shared" si="246"/>
        <v>0.26283074984626531</v>
      </c>
      <c r="AY246" t="str">
        <f t="shared" si="221"/>
        <v>1-0,0557507018223564i</v>
      </c>
      <c r="AZ246">
        <f t="shared" si="247"/>
        <v>1.0015528646824816</v>
      </c>
      <c r="BA246">
        <f t="shared" si="248"/>
        <v>-5.5693048957363572E-2</v>
      </c>
      <c r="BB246" s="58" t="str">
        <f t="shared" si="249"/>
        <v>-1,25351582457554+0,413349211119878i</v>
      </c>
      <c r="BC246">
        <f t="shared" si="250"/>
        <v>2.4108791167618082</v>
      </c>
      <c r="BD246" s="60">
        <f t="shared" si="251"/>
        <v>161.74993065407787</v>
      </c>
      <c r="BE246" s="58" t="str">
        <f t="shared" si="252"/>
        <v>0,418095920740802+2,35276152159843i</v>
      </c>
      <c r="BF246" s="37">
        <f t="shared" si="253"/>
        <v>7.5665823893739255</v>
      </c>
      <c r="BG246" s="60">
        <f t="shared" si="254"/>
        <v>79.923481127869977</v>
      </c>
      <c r="BH246" s="58" t="str">
        <f t="shared" si="255"/>
        <v>-1,14270655497449+7,2976128026758i</v>
      </c>
      <c r="BI246" s="37">
        <f t="shared" si="256"/>
        <v>17.368817714049438</v>
      </c>
      <c r="BJ246" s="60">
        <f t="shared" si="257"/>
        <v>98.899470358200318</v>
      </c>
      <c r="BK246">
        <f t="shared" si="258"/>
        <v>7.5665823893739255</v>
      </c>
      <c r="BL246" s="60">
        <f t="shared" si="259"/>
        <v>79.923481127869977</v>
      </c>
      <c r="BN246">
        <f t="shared" si="260"/>
        <v>0</v>
      </c>
      <c r="BO246">
        <f t="shared" si="261"/>
        <v>0</v>
      </c>
    </row>
    <row r="247" spans="13:67" x14ac:dyDescent="0.25">
      <c r="M247" s="66">
        <v>29</v>
      </c>
      <c r="N247" s="36">
        <f t="shared" si="262"/>
        <v>1949.8445997580463</v>
      </c>
      <c r="O247" s="91" t="str">
        <f t="shared" si="210"/>
        <v>22,5</v>
      </c>
      <c r="P247" s="67" t="str">
        <f t="shared" si="211"/>
        <v>1+13,2313337357219i</v>
      </c>
      <c r="Q247" s="67">
        <f t="shared" si="222"/>
        <v>13.269069011277788</v>
      </c>
      <c r="R247" s="67">
        <f t="shared" si="223"/>
        <v>1.4953615672316269</v>
      </c>
      <c r="S247" s="67" t="str">
        <f t="shared" si="212"/>
        <v>1+0,367537048214496i</v>
      </c>
      <c r="T247" s="67">
        <f t="shared" si="224"/>
        <v>1.065402966867572</v>
      </c>
      <c r="U247" s="67">
        <f t="shared" si="225"/>
        <v>0.352211809608521</v>
      </c>
      <c r="V247" t="str">
        <f t="shared" si="213"/>
        <v>1-0,07657021837802i</v>
      </c>
      <c r="W247" s="67">
        <f t="shared" si="226"/>
        <v>1.0029272148777586</v>
      </c>
      <c r="X247" s="67">
        <f t="shared" si="227"/>
        <v>-7.6421098912074409E-2</v>
      </c>
      <c r="Y247" t="str">
        <f t="shared" si="214"/>
        <v>0,999756678786355+0,212354738968375i</v>
      </c>
      <c r="Z247" s="67">
        <f t="shared" si="228"/>
        <v>1.022060640050408</v>
      </c>
      <c r="AA247" s="67">
        <f t="shared" si="229"/>
        <v>0.20929585627085567</v>
      </c>
      <c r="AB247" s="92" t="str">
        <f t="shared" si="230"/>
        <v>0,250762556322111-1,75492975354935i</v>
      </c>
      <c r="AC247" s="37">
        <f t="shared" si="231"/>
        <v>4.9729743924033061</v>
      </c>
      <c r="AD247" s="60">
        <f t="shared" si="232"/>
        <v>-81.868032130517292</v>
      </c>
      <c r="AE247" t="str">
        <f t="shared" si="233"/>
        <v>34,4450883806789</v>
      </c>
      <c r="AF247" t="str">
        <f t="shared" si="215"/>
        <v>1+6,61566686786094i</v>
      </c>
      <c r="AG247">
        <f t="shared" si="234"/>
        <v>6.6908181941010012</v>
      </c>
      <c r="AH247">
        <f t="shared" si="235"/>
        <v>1.4207756751897507</v>
      </c>
      <c r="AI247" t="str">
        <f t="shared" si="216"/>
        <v>1+0,367537048214496i</v>
      </c>
      <c r="AJ247">
        <f t="shared" si="236"/>
        <v>1.065402966867572</v>
      </c>
      <c r="AK247">
        <f t="shared" si="237"/>
        <v>0.352211809608521</v>
      </c>
      <c r="AL247" t="str">
        <f t="shared" si="217"/>
        <v>1-0,025007728602617i</v>
      </c>
      <c r="AM247">
        <f t="shared" si="238"/>
        <v>1.0003126443716794</v>
      </c>
      <c r="AN247">
        <f t="shared" si="239"/>
        <v>-2.5002517392686056E-2</v>
      </c>
      <c r="AO247" s="58" t="str">
        <f t="shared" si="240"/>
        <v>2,52007491406056-4,87352342647294i</v>
      </c>
      <c r="AP247">
        <f t="shared" si="241"/>
        <v>14.785954691515808</v>
      </c>
      <c r="AQ247" s="60">
        <f t="shared" si="242"/>
        <v>-62.656738361792371</v>
      </c>
      <c r="AR247" t="str">
        <f t="shared" si="218"/>
        <v>-1,36472945891784</v>
      </c>
      <c r="AS247" t="str">
        <f t="shared" si="219"/>
        <v>1+0,275322002817479i</v>
      </c>
      <c r="AT247">
        <f t="shared" si="243"/>
        <v>1.0372088532380679</v>
      </c>
      <c r="AU247">
        <f t="shared" si="244"/>
        <v>0.26866554971002388</v>
      </c>
      <c r="AV247" t="str">
        <f t="shared" si="220"/>
        <v>1+0,275322002817479i</v>
      </c>
      <c r="AW247">
        <f t="shared" si="245"/>
        <v>1.0372088532380679</v>
      </c>
      <c r="AX247">
        <f t="shared" si="246"/>
        <v>0.26866554971002388</v>
      </c>
      <c r="AY247" t="str">
        <f t="shared" si="221"/>
        <v>1-0,0544816609152159i</v>
      </c>
      <c r="AZ247">
        <f t="shared" si="247"/>
        <v>1.0014830260049745</v>
      </c>
      <c r="BA247">
        <f t="shared" si="248"/>
        <v>-5.4427851626126511E-2</v>
      </c>
      <c r="BB247" s="58" t="str">
        <f t="shared" si="249"/>
        <v>-1,24954058514864+0,418378744126616i</v>
      </c>
      <c r="BC247">
        <f t="shared" si="250"/>
        <v>2.3964788818429126</v>
      </c>
      <c r="BD247" s="60">
        <f t="shared" si="251"/>
        <v>161.48811171491212</v>
      </c>
      <c r="BE247" s="58" t="str">
        <f t="shared" si="252"/>
        <v>0,420887314960309+2,29776967453284i</v>
      </c>
      <c r="BF247" s="37">
        <f t="shared" si="253"/>
        <v>7.369453274246224</v>
      </c>
      <c r="BG247" s="60">
        <f t="shared" si="254"/>
        <v>79.620079584394844</v>
      </c>
      <c r="BH247" s="58" t="str">
        <f t="shared" si="255"/>
        <v>-1,10995727209425+7,14401109170025i</v>
      </c>
      <c r="BI247" s="37">
        <f t="shared" si="256"/>
        <v>17.182433573358718</v>
      </c>
      <c r="BJ247" s="60">
        <f t="shared" si="257"/>
        <v>98.831373353119744</v>
      </c>
      <c r="BK247">
        <f t="shared" si="258"/>
        <v>7.369453274246224</v>
      </c>
      <c r="BL247" s="60">
        <f t="shared" si="259"/>
        <v>79.620079584394844</v>
      </c>
      <c r="BN247">
        <f t="shared" si="260"/>
        <v>0</v>
      </c>
      <c r="BO247">
        <f t="shared" si="261"/>
        <v>0</v>
      </c>
    </row>
    <row r="248" spans="13:67" x14ac:dyDescent="0.25">
      <c r="M248" s="66">
        <v>30</v>
      </c>
      <c r="N248" s="36">
        <f t="shared" si="262"/>
        <v>1995.2623149688804</v>
      </c>
      <c r="O248" s="91" t="str">
        <f t="shared" si="210"/>
        <v>22,5</v>
      </c>
      <c r="P248" s="67" t="str">
        <f t="shared" si="211"/>
        <v>1+13,5395310902921i</v>
      </c>
      <c r="Q248" s="67">
        <f t="shared" si="222"/>
        <v>13.576409766392086</v>
      </c>
      <c r="R248" s="67">
        <f t="shared" si="223"/>
        <v>1.4970723849054917</v>
      </c>
      <c r="S248" s="67" t="str">
        <f t="shared" si="212"/>
        <v>1+0,376098085841448i</v>
      </c>
      <c r="T248" s="67">
        <f t="shared" si="224"/>
        <v>1.0683865265780925</v>
      </c>
      <c r="U248" s="67">
        <f t="shared" si="225"/>
        <v>0.3597330279435203</v>
      </c>
      <c r="V248" t="str">
        <f t="shared" si="213"/>
        <v>1-0,078353767883635i</v>
      </c>
      <c r="W248" s="67">
        <f t="shared" si="226"/>
        <v>1.0030649594824668</v>
      </c>
      <c r="X248" s="67">
        <f t="shared" si="227"/>
        <v>-7.8194009854351029E-2</v>
      </c>
      <c r="Y248" t="str">
        <f t="shared" si="214"/>
        <v>0,999745211410846+0,217301116263948i</v>
      </c>
      <c r="Z248" s="67">
        <f t="shared" si="228"/>
        <v>1.0230885899414943</v>
      </c>
      <c r="AA248" s="67">
        <f t="shared" si="229"/>
        <v>0.21402744595874981</v>
      </c>
      <c r="AB248" s="92" t="str">
        <f t="shared" si="230"/>
        <v>0,244366072467885-1,71868301650342i</v>
      </c>
      <c r="AC248" s="37">
        <f t="shared" si="231"/>
        <v>4.790836023962167</v>
      </c>
      <c r="AD248" s="60">
        <f t="shared" si="232"/>
        <v>-81.90780112930338</v>
      </c>
      <c r="AE248" t="str">
        <f t="shared" si="233"/>
        <v>34,4450883806789</v>
      </c>
      <c r="AF248" t="str">
        <f t="shared" si="215"/>
        <v>1+6,76976554514607i</v>
      </c>
      <c r="AG248">
        <f t="shared" si="234"/>
        <v>6.8432247907143067</v>
      </c>
      <c r="AH248">
        <f t="shared" si="235"/>
        <v>1.4241412534631186</v>
      </c>
      <c r="AI248" t="str">
        <f t="shared" si="216"/>
        <v>1+0,376098085841448i</v>
      </c>
      <c r="AJ248">
        <f t="shared" si="236"/>
        <v>1.0683865265780925</v>
      </c>
      <c r="AK248">
        <f t="shared" si="237"/>
        <v>0.3597330279435203</v>
      </c>
      <c r="AL248" t="str">
        <f t="shared" si="217"/>
        <v>1-0,025590233431917i</v>
      </c>
      <c r="AM248">
        <f t="shared" si="238"/>
        <v>1.0003273764358847</v>
      </c>
      <c r="AN248">
        <f t="shared" si="239"/>
        <v>-2.5584649618565776E-2</v>
      </c>
      <c r="AO248" s="58" t="str">
        <f t="shared" si="240"/>
        <v>2,487946185695-4,76953841172742i</v>
      </c>
      <c r="AP248">
        <f t="shared" si="241"/>
        <v>14.614741084199228</v>
      </c>
      <c r="AQ248" s="60">
        <f t="shared" si="242"/>
        <v>-62.451991444747016</v>
      </c>
      <c r="AR248" t="str">
        <f t="shared" si="218"/>
        <v>-1,36472945891784</v>
      </c>
      <c r="AS248" t="str">
        <f t="shared" si="219"/>
        <v>1+0,281735076103829i</v>
      </c>
      <c r="AT248">
        <f t="shared" si="243"/>
        <v>1.0389295708118189</v>
      </c>
      <c r="AU248">
        <f t="shared" si="244"/>
        <v>0.27461691275424721</v>
      </c>
      <c r="AV248" t="str">
        <f t="shared" si="220"/>
        <v>1+0,281735076103829i</v>
      </c>
      <c r="AW248">
        <f t="shared" si="245"/>
        <v>1.0389295708118189</v>
      </c>
      <c r="AX248">
        <f t="shared" si="246"/>
        <v>0.27461691275424721</v>
      </c>
      <c r="AY248" t="str">
        <f t="shared" si="221"/>
        <v>1-0,0532415069058423i</v>
      </c>
      <c r="AZ248">
        <f t="shared" si="247"/>
        <v>1.001416326039078</v>
      </c>
      <c r="BA248">
        <f t="shared" si="248"/>
        <v>-5.3191285139614596E-2</v>
      </c>
      <c r="BB248" s="58" t="str">
        <f t="shared" si="249"/>
        <v>-1,24540493253599+0,423534506359693i</v>
      </c>
      <c r="BC248">
        <f t="shared" si="250"/>
        <v>2.3815025204474551</v>
      </c>
      <c r="BD248" s="60">
        <f t="shared" si="251"/>
        <v>161.21797377089237</v>
      </c>
      <c r="BE248" s="58" t="str">
        <f t="shared" si="252"/>
        <v>0,423586850987613+2,24395377009294i</v>
      </c>
      <c r="BF248" s="37">
        <f t="shared" si="253"/>
        <v>7.1723385444096337</v>
      </c>
      <c r="BG248" s="60">
        <f t="shared" si="254"/>
        <v>79.31017264158902</v>
      </c>
      <c r="BH248" s="58" t="str">
        <f t="shared" si="255"/>
        <v>-1,07843635477409+6,99373772349301i</v>
      </c>
      <c r="BI248" s="37">
        <f t="shared" si="256"/>
        <v>16.996243604646679</v>
      </c>
      <c r="BJ248" s="60">
        <f t="shared" si="257"/>
        <v>98.765982326145377</v>
      </c>
      <c r="BK248">
        <f t="shared" si="258"/>
        <v>7.1723385444096337</v>
      </c>
      <c r="BL248" s="60">
        <f t="shared" si="259"/>
        <v>79.31017264158902</v>
      </c>
      <c r="BN248">
        <f t="shared" si="260"/>
        <v>0</v>
      </c>
      <c r="BO248">
        <f t="shared" si="261"/>
        <v>0</v>
      </c>
    </row>
    <row r="249" spans="13:67" x14ac:dyDescent="0.25">
      <c r="M249" s="66">
        <v>31</v>
      </c>
      <c r="N249" s="36">
        <f t="shared" si="262"/>
        <v>2041.7379446695318</v>
      </c>
      <c r="O249" s="91" t="str">
        <f t="shared" si="210"/>
        <v>22,5</v>
      </c>
      <c r="P249" s="67" t="str">
        <f t="shared" si="211"/>
        <v>1+13,8549072834633i</v>
      </c>
      <c r="Q249" s="67">
        <f t="shared" si="222"/>
        <v>13.890948701703723</v>
      </c>
      <c r="R249" s="67">
        <f t="shared" si="223"/>
        <v>1.4987446774903108</v>
      </c>
      <c r="S249" s="67" t="str">
        <f t="shared" si="212"/>
        <v>1+0,384858535651758i</v>
      </c>
      <c r="T249" s="67">
        <f t="shared" si="224"/>
        <v>1.0715017930288384</v>
      </c>
      <c r="U249" s="67">
        <f t="shared" si="225"/>
        <v>0.36738563370004496</v>
      </c>
      <c r="V249" t="str">
        <f t="shared" si="213"/>
        <v>1-0,0801788615941162i</v>
      </c>
      <c r="W249" s="67">
        <f t="shared" si="226"/>
        <v>1.0032091755195067</v>
      </c>
      <c r="X249" s="67">
        <f t="shared" si="227"/>
        <v>-8.0007707343027409E-2</v>
      </c>
      <c r="Y249" t="str">
        <f t="shared" si="214"/>
        <v>0,999733203594579+0,222362709487682i</v>
      </c>
      <c r="Z249" s="67">
        <f t="shared" si="228"/>
        <v>1.0241638799236101</v>
      </c>
      <c r="AA249" s="67">
        <f t="shared" si="229"/>
        <v>0.21885936278088058</v>
      </c>
      <c r="AB249" s="92" t="str">
        <f t="shared" si="230"/>
        <v>0,238192255635388-1,68329611485763i</v>
      </c>
      <c r="AC249" s="37">
        <f t="shared" si="231"/>
        <v>4.609311064772819</v>
      </c>
      <c r="AD249" s="60">
        <f t="shared" si="232"/>
        <v>-81.945920076679101</v>
      </c>
      <c r="AE249" t="str">
        <f t="shared" si="233"/>
        <v>34,4450883806789</v>
      </c>
      <c r="AF249" t="str">
        <f t="shared" si="215"/>
        <v>1+6,92745364173165i</v>
      </c>
      <c r="AG249">
        <f t="shared" si="234"/>
        <v>6.9992581005661654</v>
      </c>
      <c r="AH249">
        <f t="shared" si="235"/>
        <v>1.4274334585426347</v>
      </c>
      <c r="AI249" t="str">
        <f t="shared" si="216"/>
        <v>1+0,384858535651758i</v>
      </c>
      <c r="AJ249">
        <f t="shared" si="236"/>
        <v>1.0715017930288384</v>
      </c>
      <c r="AK249">
        <f t="shared" si="237"/>
        <v>0.36738563370004496</v>
      </c>
      <c r="AL249" t="str">
        <f t="shared" si="217"/>
        <v>1-0,0261863065417093i</v>
      </c>
      <c r="AM249">
        <f t="shared" si="238"/>
        <v>1.0003428025683476</v>
      </c>
      <c r="AN249">
        <f t="shared" si="239"/>
        <v>-2.6180323488637705E-2</v>
      </c>
      <c r="AO249" s="58" t="str">
        <f t="shared" si="240"/>
        <v>2,45720306302443-4,66766367603204i</v>
      </c>
      <c r="AP249">
        <f t="shared" si="241"/>
        <v>14.444340973830119</v>
      </c>
      <c r="AQ249" s="60">
        <f t="shared" si="242"/>
        <v>-62.236288487689741</v>
      </c>
      <c r="AR249" t="str">
        <f t="shared" si="218"/>
        <v>-1,36472945891784</v>
      </c>
      <c r="AS249" t="str">
        <f t="shared" si="219"/>
        <v>1+0,288297529056732i</v>
      </c>
      <c r="AT249">
        <f t="shared" si="243"/>
        <v>1.0407283340335352</v>
      </c>
      <c r="AU249">
        <f t="shared" si="244"/>
        <v>0.2806863074830675</v>
      </c>
      <c r="AV249" t="str">
        <f t="shared" si="220"/>
        <v>1+0,288297529056732i</v>
      </c>
      <c r="AW249">
        <f t="shared" si="245"/>
        <v>1.0407283340335352</v>
      </c>
      <c r="AX249">
        <f t="shared" si="246"/>
        <v>0.2806863074830675</v>
      </c>
      <c r="AY249" t="str">
        <f t="shared" si="221"/>
        <v>1-0,0520295822481651i</v>
      </c>
      <c r="AZ249">
        <f t="shared" si="247"/>
        <v>1.0013526239187265</v>
      </c>
      <c r="BA249">
        <f t="shared" si="248"/>
        <v>-5.1982708989121613E-2</v>
      </c>
      <c r="BB249" s="58" t="str">
        <f t="shared" si="249"/>
        <v>-1,24110361281852+0,428813408508223i</v>
      </c>
      <c r="BC249">
        <f t="shared" si="250"/>
        <v>2.3659245597039993</v>
      </c>
      <c r="BD249" s="60">
        <f t="shared" si="251"/>
        <v>160.93946938137546</v>
      </c>
      <c r="BE249" s="58" t="str">
        <f t="shared" si="252"/>
        <v>0,426198675526277+2,19128492261246i</v>
      </c>
      <c r="BF249" s="37">
        <f t="shared" si="253"/>
        <v>6.9752356244768343</v>
      </c>
      <c r="BG249" s="60">
        <f t="shared" si="254"/>
        <v>78.993549304696373</v>
      </c>
      <c r="BH249" s="58" t="str">
        <f t="shared" si="255"/>
        <v>-1,04808682825903+6,84673587259749i</v>
      </c>
      <c r="BI249" s="37">
        <f t="shared" si="256"/>
        <v>16.810265533534118</v>
      </c>
      <c r="BJ249" s="60">
        <f t="shared" si="257"/>
        <v>98.703180893685683</v>
      </c>
      <c r="BK249">
        <f t="shared" si="258"/>
        <v>6.9752356244768343</v>
      </c>
      <c r="BL249" s="60">
        <f t="shared" si="259"/>
        <v>78.993549304696373</v>
      </c>
      <c r="BN249">
        <f t="shared" si="260"/>
        <v>0</v>
      </c>
      <c r="BO249">
        <f t="shared" si="261"/>
        <v>0</v>
      </c>
    </row>
    <row r="250" spans="13:67" x14ac:dyDescent="0.25">
      <c r="M250" s="66">
        <v>32</v>
      </c>
      <c r="N250" s="36">
        <f t="shared" si="262"/>
        <v>2089.2961308540398</v>
      </c>
      <c r="O250" s="91" t="str">
        <f t="shared" si="210"/>
        <v>22,5</v>
      </c>
      <c r="P250" s="67" t="str">
        <f t="shared" si="211"/>
        <v>1+14,1776295318676i</v>
      </c>
      <c r="Q250" s="67">
        <f t="shared" si="222"/>
        <v>14.212852603994888</v>
      </c>
      <c r="R250" s="67">
        <f t="shared" si="223"/>
        <v>1.500379294223412</v>
      </c>
      <c r="S250" s="67" t="str">
        <f t="shared" si="212"/>
        <v>1+0,393823042551879i</v>
      </c>
      <c r="T250" s="67">
        <f t="shared" si="224"/>
        <v>1.0747541992682881</v>
      </c>
      <c r="U250" s="67">
        <f t="shared" si="225"/>
        <v>0.37517009814353791</v>
      </c>
      <c r="V250" t="str">
        <f t="shared" si="213"/>
        <v>1-0,0820464671983081i</v>
      </c>
      <c r="W250" s="67">
        <f t="shared" si="226"/>
        <v>1.0033601660319802</v>
      </c>
      <c r="X250" s="67">
        <f t="shared" si="227"/>
        <v>-8.1863105268643085E-2</v>
      </c>
      <c r="Y250" t="str">
        <f t="shared" si="214"/>
        <v>0,999720629867366+0,227542202363308i</v>
      </c>
      <c r="Z250" s="67">
        <f t="shared" si="228"/>
        <v>1.0252886382081623</v>
      </c>
      <c r="AA250" s="67">
        <f t="shared" si="229"/>
        <v>0.22379328107355531</v>
      </c>
      <c r="AB250" s="92" t="str">
        <f t="shared" si="230"/>
        <v>0,232228786782273-1,64875187491549i</v>
      </c>
      <c r="AC250" s="37">
        <f t="shared" si="231"/>
        <v>4.4284225433733191</v>
      </c>
      <c r="AD250" s="60">
        <f t="shared" si="232"/>
        <v>-81.98255892331315</v>
      </c>
      <c r="AE250" t="str">
        <f t="shared" si="233"/>
        <v>34,4450883806789</v>
      </c>
      <c r="AF250" t="str">
        <f t="shared" si="215"/>
        <v>1+7,08881476593383i</v>
      </c>
      <c r="AG250">
        <f t="shared" si="234"/>
        <v>7.1590009628244582</v>
      </c>
      <c r="AH250">
        <f t="shared" si="235"/>
        <v>1.4306537503869683</v>
      </c>
      <c r="AI250" t="str">
        <f t="shared" si="216"/>
        <v>1+0,393823042551879i</v>
      </c>
      <c r="AJ250">
        <f t="shared" si="236"/>
        <v>1.0747541992682881</v>
      </c>
      <c r="AK250">
        <f t="shared" si="237"/>
        <v>0.37517009814353791</v>
      </c>
      <c r="AL250" t="str">
        <f t="shared" si="217"/>
        <v>1-0,0267962639778469i</v>
      </c>
      <c r="AM250">
        <f t="shared" si="238"/>
        <v>1.0003589554570751</v>
      </c>
      <c r="AN250">
        <f t="shared" si="239"/>
        <v>-2.6789853145213146E-2</v>
      </c>
      <c r="AO250" s="58" t="str">
        <f t="shared" si="240"/>
        <v>2,42778834098584-4,567872014084i</v>
      </c>
      <c r="AP250">
        <f t="shared" si="241"/>
        <v>14.27479795318237</v>
      </c>
      <c r="AQ250" s="60">
        <f t="shared" si="242"/>
        <v>-62.009704137598426</v>
      </c>
      <c r="AR250" t="str">
        <f t="shared" si="218"/>
        <v>-1,36472945891784</v>
      </c>
      <c r="AS250" t="str">
        <f t="shared" si="219"/>
        <v>1+0,295012841175613i</v>
      </c>
      <c r="AT250">
        <f t="shared" si="243"/>
        <v>1.0426085442094302</v>
      </c>
      <c r="AU250">
        <f t="shared" si="244"/>
        <v>0.28687516261884694</v>
      </c>
      <c r="AV250" t="str">
        <f t="shared" si="220"/>
        <v>1+0,295012841175613i</v>
      </c>
      <c r="AW250">
        <f t="shared" si="245"/>
        <v>1.0426085442094302</v>
      </c>
      <c r="AX250">
        <f t="shared" si="246"/>
        <v>0.28687516261884694</v>
      </c>
      <c r="AY250" t="str">
        <f t="shared" si="221"/>
        <v>1-0,0508452443636884i</v>
      </c>
      <c r="AZ250">
        <f t="shared" si="247"/>
        <v>1.0012917850828515</v>
      </c>
      <c r="BA250">
        <f t="shared" si="248"/>
        <v>-5.0801496502099738E-2</v>
      </c>
      <c r="BB250" s="58" t="str">
        <f t="shared" si="249"/>
        <v>-1,236631308156+0,434212118534819i</v>
      </c>
      <c r="BC250">
        <f t="shared" si="250"/>
        <v>2.3497187943317019</v>
      </c>
      <c r="BD250" s="60">
        <f t="shared" si="251"/>
        <v>160.65255259229195</v>
      </c>
      <c r="BE250" s="58" t="str">
        <f t="shared" si="252"/>
        <v>0,428726656155267+2,1397347413949i</v>
      </c>
      <c r="BF250" s="37">
        <f t="shared" si="253"/>
        <v>6.7781413377050148</v>
      </c>
      <c r="BG250" s="60">
        <f t="shared" si="254"/>
        <v>78.66999366897879</v>
      </c>
      <c r="BH250" s="58" t="str">
        <f t="shared" si="255"/>
        <v>-1,01885368760788+6,70294866315948i</v>
      </c>
      <c r="BI250" s="37">
        <f t="shared" si="256"/>
        <v>16.624516747514079</v>
      </c>
      <c r="BJ250" s="60">
        <f t="shared" si="257"/>
        <v>98.642848454693521</v>
      </c>
      <c r="BK250">
        <f t="shared" si="258"/>
        <v>6.7781413377050148</v>
      </c>
      <c r="BL250" s="60">
        <f t="shared" si="259"/>
        <v>78.66999366897879</v>
      </c>
      <c r="BN250">
        <f t="shared" si="260"/>
        <v>0</v>
      </c>
      <c r="BO250">
        <f t="shared" si="261"/>
        <v>0</v>
      </c>
    </row>
    <row r="251" spans="13:67" x14ac:dyDescent="0.25">
      <c r="M251" s="66">
        <v>33</v>
      </c>
      <c r="N251" s="36">
        <f t="shared" si="262"/>
        <v>2137.9620895022344</v>
      </c>
      <c r="O251" s="91" t="str">
        <f t="shared" si="210"/>
        <v>22,5</v>
      </c>
      <c r="P251" s="67" t="str">
        <f t="shared" si="211"/>
        <v>1+14,5078689471128i</v>
      </c>
      <c r="Q251" s="67">
        <f t="shared" si="222"/>
        <v>14.542292164119104</v>
      </c>
      <c r="R251" s="67">
        <f t="shared" si="223"/>
        <v>1.5019770668394179</v>
      </c>
      <c r="S251" s="67" t="str">
        <f t="shared" si="212"/>
        <v>1+0,402996359642022i</v>
      </c>
      <c r="T251" s="67">
        <f t="shared" si="224"/>
        <v>1.0781493708594936</v>
      </c>
      <c r="U251" s="67">
        <f t="shared" si="225"/>
        <v>0.38308677389937695</v>
      </c>
      <c r="V251" t="str">
        <f t="shared" si="213"/>
        <v>1-0,0839575749254212i</v>
      </c>
      <c r="W251" s="67">
        <f t="shared" si="226"/>
        <v>1.003518248158626</v>
      </c>
      <c r="X251" s="67">
        <f t="shared" si="227"/>
        <v>-8.3761136261579744E-2</v>
      </c>
      <c r="Y251" t="str">
        <f t="shared" si="214"/>
        <v>0,999707463558646+0,232842341126502i</v>
      </c>
      <c r="Z251" s="67">
        <f t="shared" si="228"/>
        <v>1.0264650839245004</v>
      </c>
      <c r="AA251" s="67">
        <f t="shared" si="229"/>
        <v>0.22883087188773008</v>
      </c>
      <c r="AB251" s="92" t="str">
        <f t="shared" si="230"/>
        <v>0,226463797084918-1,61503335313666i</v>
      </c>
      <c r="AC251" s="37">
        <f t="shared" si="231"/>
        <v>4.2481935876737431</v>
      </c>
      <c r="AD251" s="60">
        <f t="shared" si="232"/>
        <v>-82.017894300095122</v>
      </c>
      <c r="AE251" t="str">
        <f t="shared" si="233"/>
        <v>34,4450883806789</v>
      </c>
      <c r="AF251" t="str">
        <f t="shared" si="215"/>
        <v>1+7,2539344735564i</v>
      </c>
      <c r="AG251">
        <f t="shared" si="234"/>
        <v>7.322538176523901</v>
      </c>
      <c r="AH251">
        <f t="shared" si="235"/>
        <v>1.4338035691352438</v>
      </c>
      <c r="AI251" t="str">
        <f t="shared" si="216"/>
        <v>1+0,402996359642022i</v>
      </c>
      <c r="AJ251">
        <f t="shared" si="236"/>
        <v>1.0781493708594936</v>
      </c>
      <c r="AK251">
        <f t="shared" si="237"/>
        <v>0.38308677389937695</v>
      </c>
      <c r="AL251" t="str">
        <f t="shared" si="217"/>
        <v>1-0,0274204291478359i</v>
      </c>
      <c r="AM251">
        <f t="shared" si="238"/>
        <v>1.0003758693284497</v>
      </c>
      <c r="AN251">
        <f t="shared" si="239"/>
        <v>-2.7413559956295491E-2</v>
      </c>
      <c r="AO251" s="58" t="str">
        <f t="shared" si="240"/>
        <v>2,39964695539972-4,47013565461067i</v>
      </c>
      <c r="AP251">
        <f t="shared" si="241"/>
        <v>14.106155999006404</v>
      </c>
      <c r="AQ251" s="60">
        <f t="shared" si="242"/>
        <v>-61.772319117451161</v>
      </c>
      <c r="AR251" t="str">
        <f t="shared" si="218"/>
        <v>-1,36472945891784</v>
      </c>
      <c r="AS251" t="str">
        <f t="shared" si="219"/>
        <v>1+0,301884573007839i</v>
      </c>
      <c r="AT251">
        <f t="shared" si="243"/>
        <v>1.0445737386226619</v>
      </c>
      <c r="AU251">
        <f t="shared" si="244"/>
        <v>0.29318486248779785</v>
      </c>
      <c r="AV251" t="str">
        <f t="shared" si="220"/>
        <v>1+0,301884573007839i</v>
      </c>
      <c r="AW251">
        <f t="shared" si="245"/>
        <v>1.0445737386226619</v>
      </c>
      <c r="AX251">
        <f t="shared" si="246"/>
        <v>0.29318486248779785</v>
      </c>
      <c r="AY251" t="str">
        <f t="shared" si="221"/>
        <v>1-0,04968786530079i</v>
      </c>
      <c r="AZ251">
        <f t="shared" si="247"/>
        <v>1.0012336809946765</v>
      </c>
      <c r="BA251">
        <f t="shared" si="248"/>
        <v>-4.9647034576352576E-2</v>
      </c>
      <c r="BB251" s="58" t="str">
        <f t="shared" si="249"/>
        <v>-1,23198264656917+0,439727048739331i</v>
      </c>
      <c r="BC251">
        <f t="shared" si="250"/>
        <v>2.3328582754606382</v>
      </c>
      <c r="BD251" s="60">
        <f t="shared" si="251"/>
        <v>160.35717921576071</v>
      </c>
      <c r="BE251" s="58" t="str">
        <f t="shared" si="252"/>
        <v>0,431174381905588+2,08927532183324i</v>
      </c>
      <c r="BF251" s="37">
        <f t="shared" si="253"/>
        <v>6.5810518631343928</v>
      </c>
      <c r="BG251" s="60">
        <f t="shared" si="254"/>
        <v>78.339284915665615</v>
      </c>
      <c r="BH251" s="58" t="str">
        <f t="shared" si="255"/>
        <v>-0,990683848078591+6,5623192280047i</v>
      </c>
      <c r="BI251" s="37">
        <f t="shared" si="256"/>
        <v>16.439014274467041</v>
      </c>
      <c r="BJ251" s="60">
        <f t="shared" si="257"/>
        <v>98.584860098309534</v>
      </c>
      <c r="BK251">
        <f t="shared" si="258"/>
        <v>6.5810518631343928</v>
      </c>
      <c r="BL251" s="60">
        <f t="shared" si="259"/>
        <v>78.339284915665615</v>
      </c>
      <c r="BN251">
        <f t="shared" si="260"/>
        <v>0</v>
      </c>
      <c r="BO251">
        <f t="shared" si="261"/>
        <v>0</v>
      </c>
    </row>
    <row r="252" spans="13:67" x14ac:dyDescent="0.25">
      <c r="M252" s="66">
        <v>34</v>
      </c>
      <c r="N252" s="36">
        <f t="shared" si="262"/>
        <v>2187.7616239495528</v>
      </c>
      <c r="O252" s="91" t="str">
        <f t="shared" si="210"/>
        <v>22,5</v>
      </c>
      <c r="P252" s="67" t="str">
        <f t="shared" si="211"/>
        <v>1+14,8458006265081i</v>
      </c>
      <c r="Q252" s="67">
        <f t="shared" si="222"/>
        <v>14.879442067565176</v>
      </c>
      <c r="R252" s="67">
        <f t="shared" si="223"/>
        <v>1.5035388098488482</v>
      </c>
      <c r="S252" s="67" t="str">
        <f t="shared" si="212"/>
        <v>1+0,412383350736336i</v>
      </c>
      <c r="T252" s="67">
        <f t="shared" si="224"/>
        <v>1.0816931302197161</v>
      </c>
      <c r="U252" s="67">
        <f t="shared" si="225"/>
        <v>0.39113588811566019</v>
      </c>
      <c r="V252" t="str">
        <f t="shared" si="213"/>
        <v>1-0,08591319807007i</v>
      </c>
      <c r="W252" s="67">
        <f t="shared" si="226"/>
        <v>1.0036837537803565</v>
      </c>
      <c r="X252" s="67">
        <f t="shared" si="227"/>
        <v>-8.5702751950972419E-2</v>
      </c>
      <c r="Y252" t="str">
        <f t="shared" si="214"/>
        <v>0,999693676740913+0,238265935980994i</v>
      </c>
      <c r="Z252" s="67">
        <f t="shared" si="228"/>
        <v>1.0276955305754056</v>
      </c>
      <c r="AA252" s="67">
        <f t="shared" si="229"/>
        <v>0.23397380045801358</v>
      </c>
      <c r="AB252" s="92" t="str">
        <f t="shared" si="230"/>
        <v>0,220885848453371-1,58212383503751i</v>
      </c>
      <c r="AC252" s="37">
        <f t="shared" si="231"/>
        <v>4.0686473895053794</v>
      </c>
      <c r="AD252" s="60">
        <f t="shared" si="232"/>
        <v>-82.052109795660883</v>
      </c>
      <c r="AE252" t="str">
        <f t="shared" si="233"/>
        <v>34,4450883806789</v>
      </c>
      <c r="AF252" t="str">
        <f t="shared" si="215"/>
        <v>1+7,42290031325405i</v>
      </c>
      <c r="AG252">
        <f t="shared" si="234"/>
        <v>7.4899565459692132</v>
      </c>
      <c r="AH252">
        <f t="shared" si="235"/>
        <v>1.436884334728002</v>
      </c>
      <c r="AI252" t="str">
        <f t="shared" si="216"/>
        <v>1+0,412383350736336i</v>
      </c>
      <c r="AJ252">
        <f t="shared" si="236"/>
        <v>1.0816931302197161</v>
      </c>
      <c r="AK252">
        <f t="shared" si="237"/>
        <v>0.39113588811566019</v>
      </c>
      <c r="AL252" t="str">
        <f t="shared" si="217"/>
        <v>1-0,0280591329923114i</v>
      </c>
      <c r="AM252">
        <f t="shared" si="238"/>
        <v>1.0003935800195243</v>
      </c>
      <c r="AN252">
        <f t="shared" si="239"/>
        <v>-2.805177267735412E-2</v>
      </c>
      <c r="AO252" s="58" t="str">
        <f t="shared" si="240"/>
        <v>2,37272592228235-4,37442634474747i</v>
      </c>
      <c r="AP252">
        <f t="shared" si="241"/>
        <v>13.938459457398707</v>
      </c>
      <c r="AQ252" s="60">
        <f t="shared" si="242"/>
        <v>-61.524220605521897</v>
      </c>
      <c r="AR252" t="str">
        <f t="shared" si="218"/>
        <v>-1,36472945891784</v>
      </c>
      <c r="AS252" t="str">
        <f t="shared" si="219"/>
        <v>1+0,30891636803659i</v>
      </c>
      <c r="AT252">
        <f t="shared" si="243"/>
        <v>1.0466275949166055</v>
      </c>
      <c r="AU252">
        <f t="shared" si="244"/>
        <v>0.29961674219216233</v>
      </c>
      <c r="AV252" t="str">
        <f t="shared" si="220"/>
        <v>1+0,30891636803659i</v>
      </c>
      <c r="AW252">
        <f t="shared" si="245"/>
        <v>1.0466275949166055</v>
      </c>
      <c r="AX252">
        <f t="shared" si="246"/>
        <v>0.29961674219216233</v>
      </c>
      <c r="AY252" t="str">
        <f t="shared" si="221"/>
        <v>1-0,0485568314017707i</v>
      </c>
      <c r="AZ252">
        <f t="shared" si="247"/>
        <v>1.0011781888733793</v>
      </c>
      <c r="BA252">
        <f t="shared" si="248"/>
        <v>-4.8518723417046918E-2</v>
      </c>
      <c r="BB252" s="58" t="str">
        <f t="shared" si="249"/>
        <v>-1,22715221283167+0,445354342861728i</v>
      </c>
      <c r="BC252">
        <f t="shared" si="250"/>
        <v>2.3153153010919798</v>
      </c>
      <c r="BD252" s="60">
        <f t="shared" si="251"/>
        <v>160.05330712177044</v>
      </c>
      <c r="BE252" s="58" t="str">
        <f t="shared" si="252"/>
        <v>0,433545163166252+2,03987923702541i</v>
      </c>
      <c r="BF252" s="37">
        <f t="shared" si="253"/>
        <v>6.3839626905973388</v>
      </c>
      <c r="BG252" s="60">
        <f t="shared" si="254"/>
        <v>78.001197326109562</v>
      </c>
      <c r="BH252" s="58" t="str">
        <f t="shared" si="255"/>
        <v>-0,963526095809811+6,42479076273506i</v>
      </c>
      <c r="BI252" s="37">
        <f t="shared" si="256"/>
        <v>16.253774758490692</v>
      </c>
      <c r="BJ252" s="60">
        <f t="shared" si="257"/>
        <v>98.529086516248555</v>
      </c>
      <c r="BK252">
        <f t="shared" si="258"/>
        <v>6.3839626905973388</v>
      </c>
      <c r="BL252" s="60">
        <f t="shared" si="259"/>
        <v>78.001197326109562</v>
      </c>
      <c r="BN252">
        <f t="shared" si="260"/>
        <v>0</v>
      </c>
      <c r="BO252">
        <f t="shared" si="261"/>
        <v>0</v>
      </c>
    </row>
    <row r="253" spans="13:67" x14ac:dyDescent="0.25">
      <c r="M253" s="66">
        <v>35</v>
      </c>
      <c r="N253" s="36">
        <f t="shared" si="262"/>
        <v>2238.7211385683418</v>
      </c>
      <c r="O253" s="91" t="str">
        <f t="shared" si="210"/>
        <v>22,5</v>
      </c>
      <c r="P253" s="67" t="str">
        <f t="shared" si="211"/>
        <v>1+15,191603745903i</v>
      </c>
      <c r="Q253" s="67">
        <f t="shared" si="222"/>
        <v>15.224481087135091</v>
      </c>
      <c r="R253" s="67">
        <f t="shared" si="223"/>
        <v>1.5050653208181395</v>
      </c>
      <c r="S253" s="67" t="str">
        <f t="shared" si="212"/>
        <v>1+0,42198899294175i</v>
      </c>
      <c r="T253" s="67">
        <f t="shared" si="224"/>
        <v>1.0853915008714563</v>
      </c>
      <c r="U253" s="67">
        <f t="shared" si="225"/>
        <v>0.39931753559121108</v>
      </c>
      <c r="V253" t="str">
        <f t="shared" si="213"/>
        <v>1-0,0879143735295312i</v>
      </c>
      <c r="W253" s="67">
        <f t="shared" si="226"/>
        <v>1.0038570301955803</v>
      </c>
      <c r="X253" s="67">
        <f t="shared" si="227"/>
        <v>-8.7688923217490153E-2</v>
      </c>
      <c r="Y253" t="str">
        <f t="shared" si="214"/>
        <v>0,999679240170478+0,243815862588567i</v>
      </c>
      <c r="Z253" s="67">
        <f t="shared" si="228"/>
        <v>1.028982389585765</v>
      </c>
      <c r="AA253" s="67">
        <f t="shared" si="229"/>
        <v>0.23922372349815299</v>
      </c>
      <c r="AB253" s="92" t="str">
        <f t="shared" si="230"/>
        <v>0,215483914937014-1,55000683346088i</v>
      </c>
      <c r="AC253" s="37">
        <f t="shared" si="231"/>
        <v>3.8898071653074635</v>
      </c>
      <c r="AD253" s="60">
        <f t="shared" si="232"/>
        <v>-82.08539622569883</v>
      </c>
      <c r="AE253" t="str">
        <f t="shared" si="233"/>
        <v>34,4450883806789</v>
      </c>
      <c r="AF253" t="str">
        <f t="shared" si="215"/>
        <v>1+7,59580187295151i</v>
      </c>
      <c r="AG253">
        <f t="shared" si="234"/>
        <v>7.6613449271739276</v>
      </c>
      <c r="AH253">
        <f t="shared" si="235"/>
        <v>1.4398974465854175</v>
      </c>
      <c r="AI253" t="str">
        <f t="shared" si="216"/>
        <v>1+0,42198899294175i</v>
      </c>
      <c r="AJ253">
        <f t="shared" si="236"/>
        <v>1.0853915008714563</v>
      </c>
      <c r="AK253">
        <f t="shared" si="237"/>
        <v>0.39931753559121108</v>
      </c>
      <c r="AL253" t="str">
        <f t="shared" si="217"/>
        <v>1-0,0287127141605061i</v>
      </c>
      <c r="AM253">
        <f t="shared" si="238"/>
        <v>1.0004121250537015</v>
      </c>
      <c r="AN253">
        <f t="shared" si="239"/>
        <v>-2.8704827616399725E-2</v>
      </c>
      <c r="AO253" s="58" t="str">
        <f t="shared" si="240"/>
        <v>2,34697427705969-4,28071542881454i</v>
      </c>
      <c r="AP253">
        <f t="shared" si="241"/>
        <v>13.771753024662896</v>
      </c>
      <c r="AQ253" s="60">
        <f t="shared" si="242"/>
        <v>-61.26550262013717</v>
      </c>
      <c r="AR253" t="str">
        <f t="shared" si="218"/>
        <v>-1,36472945891784</v>
      </c>
      <c r="AS253" t="str">
        <f t="shared" si="219"/>
        <v>1+0,316111954612665i</v>
      </c>
      <c r="AT253">
        <f t="shared" si="243"/>
        <v>1.048773935530932</v>
      </c>
      <c r="AU253">
        <f t="shared" si="244"/>
        <v>0.30617208257000295</v>
      </c>
      <c r="AV253" t="str">
        <f t="shared" si="220"/>
        <v>1+0,316111954612665i</v>
      </c>
      <c r="AW253">
        <f t="shared" si="245"/>
        <v>1.048773935530932</v>
      </c>
      <c r="AX253">
        <f t="shared" si="246"/>
        <v>0.30617208257000295</v>
      </c>
      <c r="AY253" t="str">
        <f t="shared" si="221"/>
        <v>1-0,0474515429774861i</v>
      </c>
      <c r="AZ253">
        <f t="shared" si="247"/>
        <v>1.0011251914375865</v>
      </c>
      <c r="BA253">
        <f t="shared" si="248"/>
        <v>-4.7415976276697462E-2</v>
      </c>
      <c r="BB253" s="58" t="str">
        <f t="shared" si="249"/>
        <v>-1,22213456052428+0,4510898632995i</v>
      </c>
      <c r="BC253">
        <f t="shared" si="250"/>
        <v>2.297061408363037</v>
      </c>
      <c r="BD253" s="60">
        <f t="shared" si="251"/>
        <v>159.74089654186076</v>
      </c>
      <c r="BE253" s="58" t="str">
        <f t="shared" si="252"/>
        <v>0,43584203093756+1,99151952995352i</v>
      </c>
      <c r="BF253" s="37">
        <f t="shared" si="253"/>
        <v>6.186868573670492</v>
      </c>
      <c r="BG253" s="60">
        <f t="shared" si="254"/>
        <v>77.655500316161934</v>
      </c>
      <c r="BH253" s="58" t="str">
        <f t="shared" si="255"/>
        <v>-0,937331039048123+6,29030657513006i</v>
      </c>
      <c r="BI253" s="37">
        <f t="shared" si="256"/>
        <v>16.068814433025935</v>
      </c>
      <c r="BJ253" s="60">
        <f t="shared" si="257"/>
        <v>98.475393921723594</v>
      </c>
      <c r="BK253">
        <f t="shared" si="258"/>
        <v>6.186868573670492</v>
      </c>
      <c r="BL253" s="60">
        <f t="shared" si="259"/>
        <v>77.655500316161934</v>
      </c>
      <c r="BN253">
        <f t="shared" si="260"/>
        <v>0</v>
      </c>
      <c r="BO253">
        <f t="shared" si="261"/>
        <v>0</v>
      </c>
    </row>
    <row r="254" spans="13:67" x14ac:dyDescent="0.25">
      <c r="M254" s="66">
        <v>36</v>
      </c>
      <c r="N254" s="36">
        <f t="shared" si="262"/>
        <v>2290.8676527677749</v>
      </c>
      <c r="O254" s="91" t="str">
        <f t="shared" si="210"/>
        <v>22,5</v>
      </c>
      <c r="P254" s="67" t="str">
        <f t="shared" si="211"/>
        <v>1+15,5454616546886i</v>
      </c>
      <c r="Q254" s="67">
        <f t="shared" si="222"/>
        <v>15.577592177785167</v>
      </c>
      <c r="R254" s="67">
        <f t="shared" si="223"/>
        <v>1.5065573806505528</v>
      </c>
      <c r="S254" s="67" t="str">
        <f t="shared" si="212"/>
        <v>1+0,431818379296905i</v>
      </c>
      <c r="T254" s="67">
        <f t="shared" si="224"/>
        <v>1.0892507115896715</v>
      </c>
      <c r="U254" s="67">
        <f t="shared" si="225"/>
        <v>0.40763167190028277</v>
      </c>
      <c r="V254" t="str">
        <f t="shared" si="213"/>
        <v>1-0,0899621623535219i</v>
      </c>
      <c r="W254" s="67">
        <f t="shared" si="226"/>
        <v>1.0040384408255101</v>
      </c>
      <c r="X254" s="67">
        <f t="shared" si="227"/>
        <v>-8.9720640439055449E-2</v>
      </c>
      <c r="Y254" t="str">
        <f t="shared" si="214"/>
        <v>0,99966412322544+0,249495063593767i</v>
      </c>
      <c r="Z254" s="67">
        <f t="shared" si="228"/>
        <v>1.0303281739434991</v>
      </c>
      <c r="AA254" s="67">
        <f t="shared" si="229"/>
        <v>0.24458228631690535</v>
      </c>
      <c r="AB254" s="92" t="str">
        <f t="shared" si="230"/>
        <v>0,210247365013906-1,51866608626078i</v>
      </c>
      <c r="AC254" s="37">
        <f t="shared" si="231"/>
        <v>3.7116961128769899</v>
      </c>
      <c r="AD254" s="60">
        <f t="shared" si="232"/>
        <v>-82.117951891800857</v>
      </c>
      <c r="AE254" t="str">
        <f t="shared" si="233"/>
        <v>34,4450883806789</v>
      </c>
      <c r="AF254" t="str">
        <f t="shared" si="215"/>
        <v>1+7,7727308273443i</v>
      </c>
      <c r="AG254">
        <f t="shared" si="234"/>
        <v>7.8367942753621147</v>
      </c>
      <c r="AH254">
        <f t="shared" si="235"/>
        <v>1.4428442833389383</v>
      </c>
      <c r="AI254" t="str">
        <f t="shared" si="216"/>
        <v>1+0,431818379296905i</v>
      </c>
      <c r="AJ254">
        <f t="shared" si="236"/>
        <v>1.0892507115896715</v>
      </c>
      <c r="AK254">
        <f t="shared" si="237"/>
        <v>0.40763167190028277</v>
      </c>
      <c r="AL254" t="str">
        <f t="shared" si="217"/>
        <v>1-0,0293815191898062i</v>
      </c>
      <c r="AM254">
        <f t="shared" si="238"/>
        <v>1.0004315437199593</v>
      </c>
      <c r="AN254">
        <f t="shared" si="239"/>
        <v>-2.937306880240664E-2</v>
      </c>
      <c r="AO254" s="58" t="str">
        <f t="shared" si="240"/>
        <v>2,32234301389837-4,18897392176364i</v>
      </c>
      <c r="AP254">
        <f t="shared" si="241"/>
        <v>13.606081723489577</v>
      </c>
      <c r="AQ254" s="60">
        <f t="shared" si="242"/>
        <v>-60.996266407876689</v>
      </c>
      <c r="AR254" t="str">
        <f t="shared" si="218"/>
        <v>-1,36472945891784</v>
      </c>
      <c r="AS254" t="str">
        <f t="shared" si="219"/>
        <v>1+0,323475147931312i</v>
      </c>
      <c r="AT254">
        <f t="shared" si="243"/>
        <v>1.0510167321832626</v>
      </c>
      <c r="AU254">
        <f t="shared" si="244"/>
        <v>0.31285210494515592</v>
      </c>
      <c r="AV254" t="str">
        <f t="shared" si="220"/>
        <v>1+0,323475147931312i</v>
      </c>
      <c r="AW254">
        <f t="shared" si="245"/>
        <v>1.0510167321832626</v>
      </c>
      <c r="AX254">
        <f t="shared" si="246"/>
        <v>0.31285210494515592</v>
      </c>
      <c r="AY254" t="str">
        <f t="shared" si="221"/>
        <v>1-0,0463714139893838i</v>
      </c>
      <c r="AZ254">
        <f t="shared" si="247"/>
        <v>1.0010745766601881</v>
      </c>
      <c r="BA254">
        <f t="shared" si="248"/>
        <v>-4.6338219198248515E-2</v>
      </c>
      <c r="BB254" s="58" t="str">
        <f t="shared" si="249"/>
        <v>-1,21692422530086+0,456929178523379i</v>
      </c>
      <c r="BC254">
        <f t="shared" si="250"/>
        <v>2.2780673677892769</v>
      </c>
      <c r="BD254" s="60">
        <f t="shared" si="251"/>
        <v>159.41991038464698</v>
      </c>
      <c r="BE254" s="58" t="str">
        <f t="shared" si="252"/>
        <v>0,438067735455358+1,9441697062961i</v>
      </c>
      <c r="BF254" s="37">
        <f t="shared" si="253"/>
        <v>5.9897634806662747</v>
      </c>
      <c r="BG254" s="60">
        <f t="shared" si="254"/>
        <v>77.301958492846154</v>
      </c>
      <c r="BH254" s="58" t="str">
        <f t="shared" si="255"/>
        <v>-0,912051060143821+6,15881013013781i</v>
      </c>
      <c r="BI254" s="37">
        <f t="shared" si="256"/>
        <v>15.884149091278847</v>
      </c>
      <c r="BJ254" s="60">
        <f t="shared" si="257"/>
        <v>98.423643976770293</v>
      </c>
      <c r="BK254">
        <f t="shared" si="258"/>
        <v>5.9897634806662747</v>
      </c>
      <c r="BL254" s="60">
        <f t="shared" si="259"/>
        <v>77.301958492846154</v>
      </c>
      <c r="BN254">
        <f t="shared" si="260"/>
        <v>0</v>
      </c>
      <c r="BO254">
        <f t="shared" si="261"/>
        <v>0</v>
      </c>
    </row>
    <row r="255" spans="13:67" x14ac:dyDescent="0.25">
      <c r="M255" s="66">
        <v>37</v>
      </c>
      <c r="N255" s="36">
        <f t="shared" si="262"/>
        <v>2344.2288153199238</v>
      </c>
      <c r="O255" s="91" t="str">
        <f t="shared" si="210"/>
        <v>22,5</v>
      </c>
      <c r="P255" s="67" t="str">
        <f t="shared" si="211"/>
        <v>1+15,907561973012i</v>
      </c>
      <c r="Q255" s="67">
        <f t="shared" si="222"/>
        <v>15.938962573681433</v>
      </c>
      <c r="R255" s="67">
        <f t="shared" si="223"/>
        <v>1.5080157538674941</v>
      </c>
      <c r="S255" s="67" t="str">
        <f t="shared" si="212"/>
        <v>1+0,441876721472556i</v>
      </c>
      <c r="T255" s="67">
        <f t="shared" si="224"/>
        <v>1.0932772004296691</v>
      </c>
      <c r="U255" s="67">
        <f t="shared" si="225"/>
        <v>0.41607810654830946</v>
      </c>
      <c r="V255" t="str">
        <f t="shared" si="213"/>
        <v>1-0,0920576503067825i</v>
      </c>
      <c r="W255" s="67">
        <f t="shared" si="226"/>
        <v>1.0042283659506963</v>
      </c>
      <c r="X255" s="67">
        <f t="shared" si="227"/>
        <v>-9.1798913728477385E-2</v>
      </c>
      <c r="Y255" t="str">
        <f t="shared" si="214"/>
        <v>0,999648293840731+0,255306550184143i</v>
      </c>
      <c r="Z255" s="67">
        <f t="shared" si="228"/>
        <v>1.0317355019313879</v>
      </c>
      <c r="AA255" s="67">
        <f t="shared" si="229"/>
        <v>0.25005111974843064</v>
      </c>
      <c r="AB255" s="92" t="str">
        <f t="shared" si="230"/>
        <v>0,205165944757102-1,4880855534459i</v>
      </c>
      <c r="AC255" s="37">
        <f t="shared" si="231"/>
        <v>3.5343373641275266</v>
      </c>
      <c r="AD255" s="60">
        <f t="shared" si="232"/>
        <v>-82.149982827466559</v>
      </c>
      <c r="AE255" t="str">
        <f t="shared" si="233"/>
        <v>34,4450883806789</v>
      </c>
      <c r="AF255" t="str">
        <f t="shared" si="215"/>
        <v>1+7,95378098650602i</v>
      </c>
      <c r="AG255">
        <f t="shared" si="234"/>
        <v>8.0163976935594139</v>
      </c>
      <c r="AH255">
        <f t="shared" si="235"/>
        <v>1.4457262026126707</v>
      </c>
      <c r="AI255" t="str">
        <f t="shared" si="216"/>
        <v>1+0,441876721472556i</v>
      </c>
      <c r="AJ255">
        <f t="shared" si="236"/>
        <v>1.0932772004296691</v>
      </c>
      <c r="AK255">
        <f t="shared" si="237"/>
        <v>0.41607810654830946</v>
      </c>
      <c r="AL255" t="str">
        <f t="shared" si="217"/>
        <v>1-0,0300659026894912i</v>
      </c>
      <c r="AM255">
        <f t="shared" si="238"/>
        <v>1.0004518771557851</v>
      </c>
      <c r="AN255">
        <f t="shared" si="239"/>
        <v>-3.0056848157126122E-2</v>
      </c>
      <c r="AO255" s="58" t="str">
        <f t="shared" si="240"/>
        <v>2,29878502534625-4,09917257756133i</v>
      </c>
      <c r="AP255">
        <f t="shared" si="241"/>
        <v>13.441490874299642</v>
      </c>
      <c r="AQ255" s="60">
        <f t="shared" si="242"/>
        <v>-60.716620833037517</v>
      </c>
      <c r="AR255" t="str">
        <f t="shared" si="218"/>
        <v>-1,36472945891784</v>
      </c>
      <c r="AS255" t="str">
        <f t="shared" si="219"/>
        <v>1+0,331009852055092i</v>
      </c>
      <c r="AT255">
        <f t="shared" si="243"/>
        <v>1.053360110388434</v>
      </c>
      <c r="AU255">
        <f t="shared" si="244"/>
        <v>0.31965796567131483</v>
      </c>
      <c r="AV255" t="str">
        <f t="shared" si="220"/>
        <v>1+0,331009852055092i</v>
      </c>
      <c r="AW255">
        <f t="shared" si="245"/>
        <v>1.053360110388434</v>
      </c>
      <c r="AX255">
        <f t="shared" si="246"/>
        <v>0.31965796567131483</v>
      </c>
      <c r="AY255" t="str">
        <f t="shared" si="221"/>
        <v>1-0,0453158717387768i</v>
      </c>
      <c r="AZ255">
        <f t="shared" si="247"/>
        <v>1.0010262375339847</v>
      </c>
      <c r="BA255">
        <f t="shared" si="248"/>
        <v>-4.5284890761365271E-2</v>
      </c>
      <c r="BB255" s="58" t="str">
        <f t="shared" si="249"/>
        <v>-1,21151573941186+0,462867550783587i</v>
      </c>
      <c r="BC255">
        <f t="shared" si="250"/>
        <v>2.2583031796641948</v>
      </c>
      <c r="BD255" s="60">
        <f t="shared" si="251"/>
        <v>159.09031456295867</v>
      </c>
      <c r="BE255" s="58" t="str">
        <f t="shared" si="252"/>
        <v>0,440224744215409+1,89780372794504i</v>
      </c>
      <c r="BF255" s="37">
        <f t="shared" si="253"/>
        <v>5.7926405437917321</v>
      </c>
      <c r="BG255" s="60">
        <f t="shared" si="254"/>
        <v>76.940331735492123</v>
      </c>
      <c r="BH255" s="58" t="str">
        <f t="shared" si="255"/>
        <v>-0,887640268516218+6,03024509074104i</v>
      </c>
      <c r="BI255" s="37">
        <f t="shared" si="256"/>
        <v>15.699794053963839</v>
      </c>
      <c r="BJ255" s="60">
        <f t="shared" si="257"/>
        <v>98.373693729921143</v>
      </c>
      <c r="BK255">
        <f t="shared" si="258"/>
        <v>5.7926405437917321</v>
      </c>
      <c r="BL255" s="60">
        <f t="shared" si="259"/>
        <v>76.940331735492123</v>
      </c>
      <c r="BN255">
        <f t="shared" si="260"/>
        <v>0</v>
      </c>
      <c r="BO255">
        <f t="shared" si="261"/>
        <v>0</v>
      </c>
    </row>
    <row r="256" spans="13:67" x14ac:dyDescent="0.25">
      <c r="M256" s="66">
        <v>38</v>
      </c>
      <c r="N256" s="36">
        <f t="shared" si="262"/>
        <v>2398.8329190194918</v>
      </c>
      <c r="O256" s="91" t="str">
        <f t="shared" si="210"/>
        <v>22,5</v>
      </c>
      <c r="P256" s="67" t="str">
        <f t="shared" si="211"/>
        <v>1+16,278096691255i</v>
      </c>
      <c r="Q256" s="67">
        <f t="shared" si="222"/>
        <v>16.308783887520462</v>
      </c>
      <c r="R256" s="67">
        <f t="shared" si="223"/>
        <v>1.5094411888897985</v>
      </c>
      <c r="S256" s="67" t="str">
        <f t="shared" si="212"/>
        <v>1+0,45216935253486i</v>
      </c>
      <c r="T256" s="67">
        <f t="shared" si="224"/>
        <v>1.0974776186199855</v>
      </c>
      <c r="U256" s="67">
        <f t="shared" si="225"/>
        <v>0.4246564961959699</v>
      </c>
      <c r="V256" t="str">
        <f t="shared" si="213"/>
        <v>1-0,0942019484447625i</v>
      </c>
      <c r="W256" s="67">
        <f t="shared" si="226"/>
        <v>1.0044272034800679</v>
      </c>
      <c r="X256" s="67">
        <f t="shared" si="227"/>
        <v>-9.392477316190459E-2</v>
      </c>
      <c r="Y256" t="str">
        <f t="shared" si="214"/>
        <v>0,999631718440104+0,261253403686808i</v>
      </c>
      <c r="Z256" s="67">
        <f t="shared" si="228"/>
        <v>1.0332071009480421</v>
      </c>
      <c r="AA256" s="67">
        <f t="shared" si="229"/>
        <v>0.25563183689161839</v>
      </c>
      <c r="AB256" s="92" t="str">
        <f t="shared" si="230"/>
        <v>0,200229761871725-1,45824941382511i</v>
      </c>
      <c r="AC256" s="37">
        <f t="shared" si="231"/>
        <v>3.3577539338314919</v>
      </c>
      <c r="AD256" s="60">
        <f t="shared" si="232"/>
        <v>-82.181703028719554</v>
      </c>
      <c r="AE256" t="str">
        <f t="shared" si="233"/>
        <v>34,4450883806789</v>
      </c>
      <c r="AF256" t="str">
        <f t="shared" si="215"/>
        <v>1+8,13904834562749i</v>
      </c>
      <c r="AG256">
        <f t="shared" si="234"/>
        <v>8.200250482300012</v>
      </c>
      <c r="AH256">
        <f t="shared" si="235"/>
        <v>1.4485445408510176</v>
      </c>
      <c r="AI256" t="str">
        <f t="shared" si="216"/>
        <v>1+0,45216935253486i</v>
      </c>
      <c r="AJ256">
        <f t="shared" si="236"/>
        <v>1.0974776186199855</v>
      </c>
      <c r="AK256">
        <f t="shared" si="237"/>
        <v>0.4246564961959699</v>
      </c>
      <c r="AL256" t="str">
        <f t="shared" si="217"/>
        <v>1-0,0307662275287514i</v>
      </c>
      <c r="AM256">
        <f t="shared" si="238"/>
        <v>1.000473168433992</v>
      </c>
      <c r="AN256">
        <f t="shared" si="239"/>
        <v>-3.075652567032813E-2</v>
      </c>
      <c r="AO256" s="58" t="str">
        <f t="shared" si="240"/>
        <v>2,27625504245227-4,01128195276769i</v>
      </c>
      <c r="AP256">
        <f t="shared" si="241"/>
        <v>13.278026061613954</v>
      </c>
      <c r="AQ256" s="60">
        <f t="shared" si="242"/>
        <v>-60.426682766032222</v>
      </c>
      <c r="AR256" t="str">
        <f t="shared" si="218"/>
        <v>-1,36472945891784</v>
      </c>
      <c r="AS256" t="str">
        <f t="shared" si="219"/>
        <v>1+0,338720061983864i</v>
      </c>
      <c r="AT256">
        <f t="shared" si="243"/>
        <v>1.0558083540067074</v>
      </c>
      <c r="AU256">
        <f t="shared" si="244"/>
        <v>0.32659075047591979</v>
      </c>
      <c r="AV256" t="str">
        <f t="shared" si="220"/>
        <v>1+0,338720061983864i</v>
      </c>
      <c r="AW256">
        <f t="shared" si="245"/>
        <v>1.0558083540067074</v>
      </c>
      <c r="AX256">
        <f t="shared" si="246"/>
        <v>0.32659075047591979</v>
      </c>
      <c r="AY256" t="str">
        <f t="shared" si="221"/>
        <v>1-0,0442843565631923i</v>
      </c>
      <c r="AZ256">
        <f t="shared" si="247"/>
        <v>1.0009800718476947</v>
      </c>
      <c r="BA256">
        <f t="shared" si="248"/>
        <v>-4.4255441832037515E-2</v>
      </c>
      <c r="BB256" s="58" t="str">
        <f t="shared" si="249"/>
        <v>-1,20590364752602+0,46889992420759i</v>
      </c>
      <c r="BC256">
        <f t="shared" si="250"/>
        <v>2.237738072802363</v>
      </c>
      <c r="BD256" s="60">
        <f t="shared" si="251"/>
        <v>158.75207833225721</v>
      </c>
      <c r="BE256" s="58" t="str">
        <f t="shared" si="252"/>
        <v>0,442315239433977+1,85239600730014i</v>
      </c>
      <c r="BF256" s="37">
        <f t="shared" si="253"/>
        <v>5.5954920066338705</v>
      </c>
      <c r="BG256" s="60">
        <f t="shared" si="254"/>
        <v>76.570375303537702</v>
      </c>
      <c r="BH256" s="58" t="str">
        <f t="shared" si="255"/>
        <v>-0,864054454764644+5,90455535498087i</v>
      </c>
      <c r="BI256" s="37">
        <f t="shared" si="256"/>
        <v>15.515764134416322</v>
      </c>
      <c r="BJ256" s="60">
        <f t="shared" si="257"/>
        <v>98.325395566224984</v>
      </c>
      <c r="BK256">
        <f t="shared" si="258"/>
        <v>5.5954920066338705</v>
      </c>
      <c r="BL256" s="60">
        <f t="shared" si="259"/>
        <v>76.570375303537702</v>
      </c>
      <c r="BN256">
        <f t="shared" si="260"/>
        <v>0</v>
      </c>
      <c r="BO256">
        <f t="shared" si="261"/>
        <v>0</v>
      </c>
    </row>
    <row r="257" spans="13:67" x14ac:dyDescent="0.25">
      <c r="M257" s="66">
        <v>39</v>
      </c>
      <c r="N257" s="36">
        <f t="shared" si="262"/>
        <v>2454.7089156850338</v>
      </c>
      <c r="O257" s="91" t="str">
        <f t="shared" si="210"/>
        <v>22,5</v>
      </c>
      <c r="P257" s="67" t="str">
        <f t="shared" si="211"/>
        <v>1+16,6572622718297i</v>
      </c>
      <c r="Q257" s="67">
        <f t="shared" si="222"/>
        <v>16.68725221216846</v>
      </c>
      <c r="R257" s="67">
        <f t="shared" si="223"/>
        <v>1.5108344183185742</v>
      </c>
      <c r="S257" s="67" t="str">
        <f t="shared" si="212"/>
        <v>1+0,462701729773048i</v>
      </c>
      <c r="T257" s="67">
        <f t="shared" si="224"/>
        <v>1.101858834304545</v>
      </c>
      <c r="U257" s="67">
        <f t="shared" si="225"/>
        <v>0.43336633799173724</v>
      </c>
      <c r="V257" t="str">
        <f t="shared" si="213"/>
        <v>1-0,0963961937027181i</v>
      </c>
      <c r="W257" s="67">
        <f t="shared" si="226"/>
        <v>1.0046353697538086</v>
      </c>
      <c r="X257" s="67">
        <f t="shared" si="227"/>
        <v>-9.6099268996927029E-2</v>
      </c>
      <c r="Y257" t="str">
        <f t="shared" si="214"/>
        <v>0,999614361864912+0,267338777202205i</v>
      </c>
      <c r="Z257" s="67">
        <f t="shared" si="228"/>
        <v>1.0347458114158112</v>
      </c>
      <c r="AA257" s="67">
        <f t="shared" si="229"/>
        <v>0.26132602965323476</v>
      </c>
      <c r="AB257" s="92" t="str">
        <f t="shared" si="230"/>
        <v>0,195429270596998-1,42914206119628i</v>
      </c>
      <c r="AC257" s="37">
        <f t="shared" si="231"/>
        <v>3.1819686643448817</v>
      </c>
      <c r="AD257" s="60">
        <f t="shared" si="232"/>
        <v>-82.213334666647796</v>
      </c>
      <c r="AE257" t="str">
        <f t="shared" si="233"/>
        <v>34,4450883806789</v>
      </c>
      <c r="AF257" t="str">
        <f t="shared" si="215"/>
        <v>1+8,32863113591486i</v>
      </c>
      <c r="AG257">
        <f t="shared" si="234"/>
        <v>8.3884501904780038</v>
      </c>
      <c r="AH257">
        <f t="shared" si="235"/>
        <v>1.4513006131892792</v>
      </c>
      <c r="AI257" t="str">
        <f t="shared" si="216"/>
        <v>1+0,462701729773048i</v>
      </c>
      <c r="AJ257">
        <f t="shared" si="236"/>
        <v>1.101858834304545</v>
      </c>
      <c r="AK257">
        <f t="shared" si="237"/>
        <v>0.43336633799173724</v>
      </c>
      <c r="AL257" t="str">
        <f t="shared" si="217"/>
        <v>1-0,0314828650290864i</v>
      </c>
      <c r="AM257">
        <f t="shared" si="238"/>
        <v>1.0004954626535993</v>
      </c>
      <c r="AN257">
        <f t="shared" si="239"/>
        <v>-3.1472469578514566E-2</v>
      </c>
      <c r="AO257" s="58" t="str">
        <f t="shared" si="240"/>
        <v>2,25470957551554-3,92527246556234i</v>
      </c>
      <c r="AP257">
        <f t="shared" si="241"/>
        <v>13.115733095334352</v>
      </c>
      <c r="AQ257" s="60">
        <f t="shared" si="242"/>
        <v>-60.126577468230451</v>
      </c>
      <c r="AR257" t="str">
        <f t="shared" si="218"/>
        <v>-1,36472945891784</v>
      </c>
      <c r="AS257" t="str">
        <f t="shared" si="219"/>
        <v>1+0,34660986577299i</v>
      </c>
      <c r="AT257">
        <f t="shared" si="243"/>
        <v>1.0583659098115217</v>
      </c>
      <c r="AU257">
        <f t="shared" si="244"/>
        <v>0.33365146861132344</v>
      </c>
      <c r="AV257" t="str">
        <f t="shared" si="220"/>
        <v>1+0,34660986577299i</v>
      </c>
      <c r="AW257">
        <f t="shared" si="245"/>
        <v>1.0583659098115217</v>
      </c>
      <c r="AX257">
        <f t="shared" si="246"/>
        <v>0.33365146861132344</v>
      </c>
      <c r="AY257" t="str">
        <f t="shared" si="221"/>
        <v>1-0,0432763215396303i</v>
      </c>
      <c r="AZ257">
        <f t="shared" si="247"/>
        <v>1.0009359819718748</v>
      </c>
      <c r="BA257">
        <f t="shared" si="248"/>
        <v>-4.3249335315576551E-2</v>
      </c>
      <c r="BB257" s="58" t="str">
        <f t="shared" si="249"/>
        <v>-1,20008252388521+0,4750209133991i</v>
      </c>
      <c r="BC257">
        <f t="shared" si="250"/>
        <v>2.2163405058181009</v>
      </c>
      <c r="BD257" s="60">
        <f t="shared" si="251"/>
        <v>158.40517463990076</v>
      </c>
      <c r="BE257" s="58" t="str">
        <f t="shared" si="252"/>
        <v>0,444341114987438+1,80792140241485i</v>
      </c>
      <c r="BF257" s="37">
        <f t="shared" si="253"/>
        <v>5.3983091701629871</v>
      </c>
      <c r="BG257" s="60">
        <f t="shared" si="254"/>
        <v>76.191839973252996</v>
      </c>
      <c r="BH257" s="58" t="str">
        <f t="shared" si="255"/>
        <v>-0,84125104608108+5,78168508942026i</v>
      </c>
      <c r="BI257" s="37">
        <f t="shared" si="256"/>
        <v>15.332073601152452</v>
      </c>
      <c r="BJ257" s="60">
        <f t="shared" si="257"/>
        <v>98.278597171670327</v>
      </c>
      <c r="BK257">
        <f t="shared" si="258"/>
        <v>5.3983091701629871</v>
      </c>
      <c r="BL257" s="60">
        <f t="shared" si="259"/>
        <v>76.191839973252996</v>
      </c>
      <c r="BN257">
        <f t="shared" si="260"/>
        <v>0</v>
      </c>
      <c r="BO257">
        <f t="shared" si="261"/>
        <v>0</v>
      </c>
    </row>
    <row r="258" spans="13:67" x14ac:dyDescent="0.25">
      <c r="M258" s="66">
        <v>40</v>
      </c>
      <c r="N258" s="36">
        <f t="shared" si="262"/>
        <v>2511.8864315095811</v>
      </c>
      <c r="O258" s="91" t="str">
        <f t="shared" si="210"/>
        <v>22,5</v>
      </c>
      <c r="P258" s="67" t="str">
        <f t="shared" si="211"/>
        <v>1+17,045259753346i</v>
      </c>
      <c r="Q258" s="67">
        <f t="shared" si="222"/>
        <v>17.074568224673701</v>
      </c>
      <c r="R258" s="67">
        <f t="shared" si="223"/>
        <v>1.5121961592152373</v>
      </c>
      <c r="S258" s="67" t="str">
        <f t="shared" si="212"/>
        <v>1+0,473479437592944i</v>
      </c>
      <c r="T258" s="67">
        <f t="shared" si="224"/>
        <v>1.106427936118449</v>
      </c>
      <c r="U258" s="67">
        <f t="shared" si="225"/>
        <v>0.44220696305579477</v>
      </c>
      <c r="V258" t="str">
        <f t="shared" si="213"/>
        <v>1-0,09864154949853i</v>
      </c>
      <c r="W258" s="67">
        <f t="shared" si="226"/>
        <v>1.0048533003814393</v>
      </c>
      <c r="X258" s="67">
        <f t="shared" si="227"/>
        <v>-9.8323471879062402E-2</v>
      </c>
      <c r="Y258" t="str">
        <f t="shared" si="214"/>
        <v>0,999596187299533+0,273565897275923i</v>
      </c>
      <c r="Z258" s="67">
        <f t="shared" si="228"/>
        <v>1.0363545907729381</v>
      </c>
      <c r="AA258" s="67">
        <f t="shared" si="229"/>
        <v>0.26713526509020413</v>
      </c>
      <c r="AB258" s="92" t="str">
        <f t="shared" si="230"/>
        <v>0,19075525746783-1,40074810011954i</v>
      </c>
      <c r="AC258" s="37">
        <f t="shared" si="231"/>
        <v>3.0070041663487057</v>
      </c>
      <c r="AD258" s="60">
        <f t="shared" si="232"/>
        <v>-82.245108279052246</v>
      </c>
      <c r="AE258" t="str">
        <f t="shared" si="233"/>
        <v>34,4450883806789</v>
      </c>
      <c r="AF258" t="str">
        <f t="shared" si="215"/>
        <v>1+8,522629876673i</v>
      </c>
      <c r="AG258">
        <f t="shared" si="234"/>
        <v>8.5810966673706233</v>
      </c>
      <c r="AH258">
        <f t="shared" si="235"/>
        <v>1.4539957133640751</v>
      </c>
      <c r="AI258" t="str">
        <f t="shared" si="216"/>
        <v>1+0,473479437592944i</v>
      </c>
      <c r="AJ258">
        <f t="shared" si="236"/>
        <v>1.106427936118449</v>
      </c>
      <c r="AK258">
        <f t="shared" si="237"/>
        <v>0.44220696305579477</v>
      </c>
      <c r="AL258" t="str">
        <f t="shared" si="217"/>
        <v>1-0,0322161951611851i</v>
      </c>
      <c r="AM258">
        <f t="shared" si="238"/>
        <v>1.000518807034962</v>
      </c>
      <c r="AN258">
        <f t="shared" si="239"/>
        <v>-3.220505654714003E-2</v>
      </c>
      <c r="AO258" s="58" t="str">
        <f t="shared" si="240"/>
        <v>2,2341068555944-3,84111445046187i</v>
      </c>
      <c r="AP258">
        <f t="shared" si="241"/>
        <v>12.954657966846062</v>
      </c>
      <c r="AQ258" s="60">
        <f t="shared" si="242"/>
        <v>-59.816438970611571</v>
      </c>
      <c r="AR258" t="str">
        <f t="shared" si="218"/>
        <v>-1,36472945891784</v>
      </c>
      <c r="AS258" t="str">
        <f t="shared" si="219"/>
        <v>1+0,354683446700875i</v>
      </c>
      <c r="AT258">
        <f t="shared" si="243"/>
        <v>1.0610373920666569</v>
      </c>
      <c r="AU258">
        <f t="shared" si="244"/>
        <v>0.34084104682265509</v>
      </c>
      <c r="AV258" t="str">
        <f t="shared" si="220"/>
        <v>1+0,354683446700875i</v>
      </c>
      <c r="AW258">
        <f t="shared" si="245"/>
        <v>1.0610373920666569</v>
      </c>
      <c r="AX258">
        <f t="shared" si="246"/>
        <v>0.34084104682265509</v>
      </c>
      <c r="AY258" t="str">
        <f t="shared" si="221"/>
        <v>1-0,0422912321945783i</v>
      </c>
      <c r="AZ258">
        <f t="shared" si="247"/>
        <v>1.000893874654319</v>
      </c>
      <c r="BA258">
        <f t="shared" si="248"/>
        <v>-4.2266045913082528E-2</v>
      </c>
      <c r="BB258" s="58" t="str">
        <f t="shared" si="249"/>
        <v>-1,19404699082039+0,48122479265686i</v>
      </c>
      <c r="BC258">
        <f t="shared" si="250"/>
        <v>2.1940781711378827</v>
      </c>
      <c r="BD258" s="60">
        <f t="shared" si="251"/>
        <v>158.04958048471516</v>
      </c>
      <c r="BE258" s="58" t="str">
        <f t="shared" si="252"/>
        <v>0,446303972881885+1,76435521306828i</v>
      </c>
      <c r="BF258" s="37">
        <f t="shared" si="253"/>
        <v>5.2010823374866009</v>
      </c>
      <c r="BG258" s="60">
        <f t="shared" si="254"/>
        <v>75.804472205662961</v>
      </c>
      <c r="BH258" s="58" t="str">
        <f t="shared" si="255"/>
        <v>-0,819189063098914+5,6615787593274i</v>
      </c>
      <c r="BI258" s="37">
        <f t="shared" si="256"/>
        <v>15.148736137983951</v>
      </c>
      <c r="BJ258" s="60">
        <f t="shared" si="257"/>
        <v>98.233141514103593</v>
      </c>
      <c r="BK258">
        <f t="shared" si="258"/>
        <v>5.2010823374866009</v>
      </c>
      <c r="BL258" s="60">
        <f t="shared" si="259"/>
        <v>75.804472205662961</v>
      </c>
      <c r="BN258">
        <f t="shared" si="260"/>
        <v>0</v>
      </c>
      <c r="BO258">
        <f t="shared" si="261"/>
        <v>0</v>
      </c>
    </row>
    <row r="259" spans="13:67" x14ac:dyDescent="0.25">
      <c r="M259" s="66">
        <v>41</v>
      </c>
      <c r="N259" s="36">
        <f t="shared" si="262"/>
        <v>2570.3957827688669</v>
      </c>
      <c r="O259" s="91" t="str">
        <f t="shared" si="210"/>
        <v>22,5</v>
      </c>
      <c r="P259" s="67" t="str">
        <f t="shared" si="211"/>
        <v>1+17,4422948572041i</v>
      </c>
      <c r="Q259" s="67">
        <f t="shared" si="222"/>
        <v>17.470937292705525</v>
      </c>
      <c r="R259" s="67">
        <f t="shared" si="223"/>
        <v>1.5135271133803909</v>
      </c>
      <c r="S259" s="67" t="str">
        <f t="shared" si="212"/>
        <v>1+0,484508190477892i</v>
      </c>
      <c r="T259" s="67">
        <f t="shared" si="224"/>
        <v>1.1111922365820242</v>
      </c>
      <c r="U259" s="67">
        <f t="shared" si="225"/>
        <v>0.45117753016087653</v>
      </c>
      <c r="V259" t="str">
        <f t="shared" si="213"/>
        <v>1-0,100939206349561i</v>
      </c>
      <c r="W259" s="67">
        <f t="shared" si="226"/>
        <v>1.0050814511165149</v>
      </c>
      <c r="X259" s="67">
        <f t="shared" si="227"/>
        <v>-0.10059847303527725</v>
      </c>
      <c r="Y259" t="str">
        <f t="shared" si="214"/>
        <v>0,999577156193275+0,279938065609448i</v>
      </c>
      <c r="Z259" s="67">
        <f t="shared" si="228"/>
        <v>1.038036517546755</v>
      </c>
      <c r="AA259" s="67">
        <f t="shared" si="229"/>
        <v>0.27306108154694309</v>
      </c>
      <c r="AB259" s="92" t="str">
        <f t="shared" si="230"/>
        <v>0,186198827931127-1,37305234131531i</v>
      </c>
      <c r="AC259" s="37">
        <f t="shared" si="231"/>
        <v>2.8328827556761564</v>
      </c>
      <c r="AD259" s="60">
        <f t="shared" si="232"/>
        <v>-82.277262938259639</v>
      </c>
      <c r="AE259" t="str">
        <f t="shared" si="233"/>
        <v>34,4450883806789</v>
      </c>
      <c r="AF259" t="str">
        <f t="shared" si="215"/>
        <v>1+8,72114742860205i</v>
      </c>
      <c r="AG259">
        <f t="shared" si="234"/>
        <v>8.7782921158624099</v>
      </c>
      <c r="AH259">
        <f t="shared" si="235"/>
        <v>1.4566311136606303</v>
      </c>
      <c r="AI259" t="str">
        <f t="shared" si="216"/>
        <v>1+0,484508190477892i</v>
      </c>
      <c r="AJ259">
        <f t="shared" si="236"/>
        <v>1.1111922365820242</v>
      </c>
      <c r="AK259">
        <f t="shared" si="237"/>
        <v>0.45117753016087653</v>
      </c>
      <c r="AL259" t="str">
        <f t="shared" si="217"/>
        <v>1-0,0329666067463898i</v>
      </c>
      <c r="AM259">
        <f t="shared" si="238"/>
        <v>1.0005432510193506</v>
      </c>
      <c r="AN259">
        <f t="shared" si="239"/>
        <v>-3.2954671856373442E-2</v>
      </c>
      <c r="AO259" s="58" t="str">
        <f t="shared" si="240"/>
        <v>2,21440677688936-3,75877820896434i</v>
      </c>
      <c r="AP259">
        <f t="shared" si="241"/>
        <v>12.79484679987972</v>
      </c>
      <c r="AQ259" s="60">
        <f t="shared" si="242"/>
        <v>-59.496410443449271</v>
      </c>
      <c r="AR259" t="str">
        <f t="shared" si="218"/>
        <v>-1,36472945891784</v>
      </c>
      <c r="AS259" t="str">
        <f t="shared" si="219"/>
        <v>1+0,362945085486989i</v>
      </c>
      <c r="AT259">
        <f t="shared" si="243"/>
        <v>1.0638275871019505</v>
      </c>
      <c r="AU259">
        <f t="shared" si="244"/>
        <v>0.34816032314391865</v>
      </c>
      <c r="AV259" t="str">
        <f t="shared" si="220"/>
        <v>1+0,362945085486989i</v>
      </c>
      <c r="AW259">
        <f t="shared" si="245"/>
        <v>1.0638275871019505</v>
      </c>
      <c r="AX259">
        <f t="shared" si="246"/>
        <v>0.34816032314391865</v>
      </c>
      <c r="AY259" t="str">
        <f t="shared" si="221"/>
        <v>1-0,0413285662206267i</v>
      </c>
      <c r="AZ259">
        <f t="shared" si="247"/>
        <v>1.0008536608245246</v>
      </c>
      <c r="BA259">
        <f t="shared" si="248"/>
        <v>-4.1305059881442029E-2</v>
      </c>
      <c r="BB259" s="58" t="str">
        <f t="shared" si="249"/>
        <v>-1,18779173864783+0,4875054859404i</v>
      </c>
      <c r="BC259">
        <f t="shared" si="250"/>
        <v>2.1709180019452106</v>
      </c>
      <c r="BD259" s="60">
        <f t="shared" si="251"/>
        <v>157.68527728620089</v>
      </c>
      <c r="BE259" s="58" t="str">
        <f t="shared" si="252"/>
        <v>0,448205119312023+1,72167317783748i</v>
      </c>
      <c r="BF259" s="37">
        <f t="shared" si="253"/>
        <v>5.0038007576213577</v>
      </c>
      <c r="BG259" s="60">
        <f t="shared" si="254"/>
        <v>75.408014347941204</v>
      </c>
      <c r="BH259" s="58" t="str">
        <f t="shared" si="255"/>
        <v>-0,797829078291603+5,54418115585449i</v>
      </c>
      <c r="BI259" s="37">
        <f t="shared" si="256"/>
        <v>14.965764801824925</v>
      </c>
      <c r="BJ259" s="60">
        <f t="shared" si="257"/>
        <v>98.188866842751594</v>
      </c>
      <c r="BK259">
        <f t="shared" si="258"/>
        <v>5.0038007576213577</v>
      </c>
      <c r="BL259" s="60">
        <f t="shared" si="259"/>
        <v>75.408014347941204</v>
      </c>
      <c r="BN259">
        <f t="shared" si="260"/>
        <v>0</v>
      </c>
      <c r="BO259">
        <f t="shared" si="261"/>
        <v>0</v>
      </c>
    </row>
    <row r="260" spans="13:67" x14ac:dyDescent="0.25">
      <c r="M260" s="66">
        <v>42</v>
      </c>
      <c r="N260" s="36">
        <f t="shared" si="262"/>
        <v>2630.2679918953822</v>
      </c>
      <c r="O260" s="91" t="str">
        <f t="shared" si="210"/>
        <v>22,5</v>
      </c>
      <c r="P260" s="67" t="str">
        <f t="shared" si="211"/>
        <v>1+17,8485780966715i</v>
      </c>
      <c r="Q260" s="67">
        <f t="shared" si="222"/>
        <v>17.876569583479423</v>
      </c>
      <c r="R260" s="67">
        <f t="shared" si="223"/>
        <v>1.5148279676312493</v>
      </c>
      <c r="S260" s="67" t="str">
        <f t="shared" si="212"/>
        <v>1+0,495793836018655i</v>
      </c>
      <c r="T260" s="67">
        <f t="shared" si="224"/>
        <v>1.1161592752981506</v>
      </c>
      <c r="U260" s="67">
        <f t="shared" si="225"/>
        <v>0.46027701965799533</v>
      </c>
      <c r="V260" t="str">
        <f t="shared" si="213"/>
        <v>1-0,103290382503886i</v>
      </c>
      <c r="W260" s="67">
        <f t="shared" si="226"/>
        <v>1.0053202987694017</v>
      </c>
      <c r="X260" s="67">
        <f t="shared" si="227"/>
        <v>-0.1029253844531023</v>
      </c>
      <c r="Y260" t="str">
        <f t="shared" si="214"/>
        <v>0,999557228178612+0,286458660810778i</v>
      </c>
      <c r="Z260" s="67">
        <f t="shared" si="228"/>
        <v>1.0397947955041966</v>
      </c>
      <c r="AA260" s="67">
        <f t="shared" si="229"/>
        <v>0.27910498458436139</v>
      </c>
      <c r="AB260" s="92" t="str">
        <f t="shared" si="230"/>
        <v>0,181751393812156-1,34603979672689i</v>
      </c>
      <c r="AC260" s="37">
        <f t="shared" si="231"/>
        <v>2.6596263863322065</v>
      </c>
      <c r="AD260" s="60">
        <f t="shared" si="232"/>
        <v>-82.31004639205949</v>
      </c>
      <c r="AE260" t="str">
        <f t="shared" si="233"/>
        <v>34,4450883806789</v>
      </c>
      <c r="AF260" t="str">
        <f t="shared" si="215"/>
        <v>1+8,92428904833578i</v>
      </c>
      <c r="AG260">
        <f t="shared" si="234"/>
        <v>8.9801411468999728</v>
      </c>
      <c r="AH260">
        <f t="shared" si="235"/>
        <v>1.4592080648941339</v>
      </c>
      <c r="AI260" t="str">
        <f t="shared" si="216"/>
        <v>1+0,495793836018655i</v>
      </c>
      <c r="AJ260">
        <f t="shared" si="236"/>
        <v>1.1161592752981506</v>
      </c>
      <c r="AK260">
        <f t="shared" si="237"/>
        <v>0.46027701965799533</v>
      </c>
      <c r="AL260" t="str">
        <f t="shared" si="217"/>
        <v>1-0,033734497662856i</v>
      </c>
      <c r="AM260">
        <f t="shared" si="238"/>
        <v>1.0005688463731843</v>
      </c>
      <c r="AN260">
        <f t="shared" si="239"/>
        <v>-3.3721709590438437E-2</v>
      </c>
      <c r="AO260" s="58" t="str">
        <f t="shared" si="240"/>
        <v>2,19557084009796-3,67823405634809i</v>
      </c>
      <c r="AP260">
        <f t="shared" si="241"/>
        <v>12.636345796102944</v>
      </c>
      <c r="AQ260" s="60">
        <f t="shared" si="242"/>
        <v>-59.166644554120595</v>
      </c>
      <c r="AR260" t="str">
        <f t="shared" si="218"/>
        <v>-1,36472945891784</v>
      </c>
      <c r="AS260" t="str">
        <f t="shared" si="219"/>
        <v>1+0,371399162561574i</v>
      </c>
      <c r="AT260">
        <f t="shared" si="243"/>
        <v>1.0667414578760115</v>
      </c>
      <c r="AU260">
        <f t="shared" si="244"/>
        <v>0.35561004053613993</v>
      </c>
      <c r="AV260" t="str">
        <f t="shared" si="220"/>
        <v>1+0,371399162561574i</v>
      </c>
      <c r="AW260">
        <f t="shared" si="245"/>
        <v>1.0667414578760115</v>
      </c>
      <c r="AX260">
        <f t="shared" si="246"/>
        <v>0.35561004053613993</v>
      </c>
      <c r="AY260" t="str">
        <f t="shared" si="221"/>
        <v>1-0,0403878131995335i</v>
      </c>
      <c r="AZ260">
        <f t="shared" si="247"/>
        <v>1.000815255406831</v>
      </c>
      <c r="BA260">
        <f t="shared" si="248"/>
        <v>-4.0365874796906558E-2</v>
      </c>
      <c r="BB260" s="58" t="str">
        <f t="shared" si="249"/>
        <v>-1,18131154695571+0,493856557718341i</v>
      </c>
      <c r="BC260">
        <f t="shared" si="250"/>
        <v>2.1468261822627941</v>
      </c>
      <c r="BD260" s="60">
        <f t="shared" si="251"/>
        <v>157.31225126258687</v>
      </c>
      <c r="BE260" s="58" t="str">
        <f t="shared" si="252"/>
        <v>0,450045560377843+1,67985147224397i</v>
      </c>
      <c r="BF260" s="37">
        <f t="shared" si="253"/>
        <v>4.8064525685949819</v>
      </c>
      <c r="BG260" s="60">
        <f t="shared" si="254"/>
        <v>75.002204870527351</v>
      </c>
      <c r="BH260" s="58" t="str">
        <f t="shared" si="255"/>
        <v>-0,777133176016531+5,42943742048728i</v>
      </c>
      <c r="BI260" s="37">
        <f t="shared" si="256"/>
        <v>14.783171978365733</v>
      </c>
      <c r="BJ260" s="60">
        <f t="shared" si="257"/>
        <v>98.145606708466289</v>
      </c>
      <c r="BK260">
        <f t="shared" si="258"/>
        <v>4.8064525685949819</v>
      </c>
      <c r="BL260" s="60">
        <f t="shared" si="259"/>
        <v>75.002204870527351</v>
      </c>
      <c r="BN260">
        <f t="shared" si="260"/>
        <v>0</v>
      </c>
      <c r="BO260">
        <f t="shared" si="261"/>
        <v>0</v>
      </c>
    </row>
    <row r="261" spans="13:67" x14ac:dyDescent="0.25">
      <c r="M261" s="66">
        <v>43</v>
      </c>
      <c r="N261" s="36">
        <f t="shared" si="262"/>
        <v>2691.5348039269184</v>
      </c>
      <c r="O261" s="91" t="str">
        <f t="shared" si="210"/>
        <v>22,5</v>
      </c>
      <c r="P261" s="67" t="str">
        <f t="shared" si="211"/>
        <v>1+18,2643248884998i</v>
      </c>
      <c r="Q261" s="67">
        <f t="shared" si="222"/>
        <v>18.291680175223743</v>
      </c>
      <c r="R261" s="67">
        <f t="shared" si="223"/>
        <v>1.5160993940773162</v>
      </c>
      <c r="S261" s="67" t="str">
        <f t="shared" si="212"/>
        <v>1+0,507342358013883i</v>
      </c>
      <c r="T261" s="67">
        <f t="shared" si="224"/>
        <v>1.1213368219384785</v>
      </c>
      <c r="U261" s="67">
        <f t="shared" si="225"/>
        <v>0.46950422769720396</v>
      </c>
      <c r="V261" t="str">
        <f t="shared" si="213"/>
        <v>1-0,105696324586226i</v>
      </c>
      <c r="W261" s="67">
        <f t="shared" si="226"/>
        <v>1.0055703421596307</v>
      </c>
      <c r="X261" s="67">
        <f t="shared" si="227"/>
        <v>-0.1053053390437928</v>
      </c>
      <c r="Y261" t="str">
        <f t="shared" si="214"/>
        <v>0,999536360985552+0,293131140185799i</v>
      </c>
      <c r="Z261" s="67">
        <f t="shared" si="228"/>
        <v>1.041632757875282</v>
      </c>
      <c r="AA261" s="67">
        <f t="shared" si="229"/>
        <v>0.28526844269789492</v>
      </c>
      <c r="AB261" s="92" t="str">
        <f t="shared" si="230"/>
        <v>0,177404661626778-1,31969567428779i</v>
      </c>
      <c r="AC261" s="37">
        <f t="shared" si="231"/>
        <v>2.4872565798579389</v>
      </c>
      <c r="AD261" s="60">
        <f t="shared" si="232"/>
        <v>-82.343715174635165</v>
      </c>
      <c r="AE261" t="str">
        <f t="shared" si="233"/>
        <v>34,4450883806789</v>
      </c>
      <c r="AF261" t="str">
        <f t="shared" si="215"/>
        <v>1+9,1321624442499i</v>
      </c>
      <c r="AG261">
        <f t="shared" si="234"/>
        <v>9.1867508352065546</v>
      </c>
      <c r="AH261">
        <f t="shared" si="235"/>
        <v>1.4617277964225199</v>
      </c>
      <c r="AI261" t="str">
        <f t="shared" si="216"/>
        <v>1+0,507342358013883i</v>
      </c>
      <c r="AJ261">
        <f t="shared" si="236"/>
        <v>1.1213368219384785</v>
      </c>
      <c r="AK261">
        <f t="shared" si="237"/>
        <v>0.46950422769720396</v>
      </c>
      <c r="AL261" t="str">
        <f t="shared" si="217"/>
        <v>1-0,0345202750565121i</v>
      </c>
      <c r="AM261">
        <f t="shared" si="238"/>
        <v>1.0005956472971373</v>
      </c>
      <c r="AN261">
        <f t="shared" si="239"/>
        <v>-3.4506572830557219E-2</v>
      </c>
      <c r="AO261" s="58" t="str">
        <f t="shared" si="240"/>
        <v>2,17756209682499-3,59945236484394i</v>
      </c>
      <c r="AP261">
        <f t="shared" si="241"/>
        <v>12.479201175446947</v>
      </c>
      <c r="AQ261" s="60">
        <f t="shared" si="242"/>
        <v>-58.827303810021149</v>
      </c>
      <c r="AR261" t="str">
        <f t="shared" si="218"/>
        <v>-1,36472945891784</v>
      </c>
      <c r="AS261" t="str">
        <f t="shared" si="219"/>
        <v>1+0,3800501603882i</v>
      </c>
      <c r="AT261">
        <f t="shared" si="243"/>
        <v>1.0697841485136601</v>
      </c>
      <c r="AU261">
        <f t="shared" si="244"/>
        <v>0.36319084038371402</v>
      </c>
      <c r="AV261" t="str">
        <f t="shared" si="220"/>
        <v>1+0,3800501603882i</v>
      </c>
      <c r="AW261">
        <f t="shared" si="245"/>
        <v>1.0697841485136601</v>
      </c>
      <c r="AX261">
        <f t="shared" si="246"/>
        <v>0.36319084038371402</v>
      </c>
      <c r="AY261" t="str">
        <f t="shared" si="221"/>
        <v>1-0,0394684743315944i</v>
      </c>
      <c r="AZ261">
        <f t="shared" si="247"/>
        <v>1.0007785771418489</v>
      </c>
      <c r="BA261">
        <f t="shared" si="248"/>
        <v>-3.9447999322296284E-2</v>
      </c>
      <c r="BB261" s="58" t="str">
        <f t="shared" si="249"/>
        <v>-1,17460130727976+0,500271204842732i</v>
      </c>
      <c r="BC261">
        <f t="shared" si="250"/>
        <v>2.121768160375026</v>
      </c>
      <c r="BD261" s="60">
        <f t="shared" si="251"/>
        <v>156.93049381680112</v>
      </c>
      <c r="BE261" s="58" t="str">
        <f t="shared" si="252"/>
        <v>0,451825997537357+1,63886670804663i</v>
      </c>
      <c r="BF261" s="37">
        <f t="shared" si="253"/>
        <v>4.6090247402329743</v>
      </c>
      <c r="BG261" s="60">
        <f t="shared" si="254"/>
        <v>74.586778642165982</v>
      </c>
      <c r="BH261" s="58" t="str">
        <f t="shared" si="255"/>
        <v>-0,75706491427899+5,31729306703542i</v>
      </c>
      <c r="BI261" s="37">
        <f t="shared" si="256"/>
        <v>14.600969335821976</v>
      </c>
      <c r="BJ261" s="60">
        <f t="shared" si="257"/>
        <v>98.103190006779968</v>
      </c>
      <c r="BK261">
        <f t="shared" si="258"/>
        <v>4.6090247402329743</v>
      </c>
      <c r="BL261" s="60">
        <f t="shared" si="259"/>
        <v>74.586778642165982</v>
      </c>
      <c r="BN261">
        <f t="shared" si="260"/>
        <v>0</v>
      </c>
      <c r="BO261">
        <f t="shared" si="261"/>
        <v>0</v>
      </c>
    </row>
    <row r="262" spans="13:67" x14ac:dyDescent="0.25">
      <c r="M262" s="66">
        <v>44</v>
      </c>
      <c r="N262" s="36">
        <f t="shared" si="262"/>
        <v>2754.228703338169</v>
      </c>
      <c r="O262" s="91" t="str">
        <f t="shared" si="210"/>
        <v>22,5</v>
      </c>
      <c r="P262" s="67" t="str">
        <f t="shared" si="211"/>
        <v>1+18,6897556671408i</v>
      </c>
      <c r="Q262" s="67">
        <f t="shared" si="222"/>
        <v>18.716489171247417</v>
      </c>
      <c r="R262" s="67">
        <f t="shared" si="223"/>
        <v>1.5173420503940658</v>
      </c>
      <c r="S262" s="67" t="str">
        <f t="shared" si="212"/>
        <v>1+0,519159879642802i</v>
      </c>
      <c r="T262" s="67">
        <f t="shared" si="224"/>
        <v>1.1267328790049258</v>
      </c>
      <c r="U262" s="67">
        <f t="shared" si="225"/>
        <v>0.47885776079543368</v>
      </c>
      <c r="V262" t="str">
        <f t="shared" si="213"/>
        <v>1-0,108158308258917i</v>
      </c>
      <c r="W262" s="67">
        <f t="shared" si="226"/>
        <v>1.0058321031093762</v>
      </c>
      <c r="X262" s="67">
        <f t="shared" si="227"/>
        <v>-0.1077394907878701</v>
      </c>
      <c r="Y262" t="str">
        <f t="shared" si="214"/>
        <v>0,999514510351981+0,299959041571396i</v>
      </c>
      <c r="Z262" s="67">
        <f t="shared" si="228"/>
        <v>1.0435538716446751</v>
      </c>
      <c r="AA262" s="67">
        <f t="shared" si="229"/>
        <v>0.2915528828228805</v>
      </c>
      <c r="AB262" s="92" t="str">
        <f t="shared" si="230"/>
        <v>0,173150621735458-1,29400537243369i</v>
      </c>
      <c r="AC262" s="37">
        <f t="shared" si="231"/>
        <v>2.3157943512353589</v>
      </c>
      <c r="AD262" s="60">
        <f t="shared" si="232"/>
        <v>-82.378534684299993</v>
      </c>
      <c r="AE262" t="str">
        <f t="shared" si="233"/>
        <v>34,4450883806789</v>
      </c>
      <c r="AF262" t="str">
        <f t="shared" si="215"/>
        <v>1+9,34487783357043i</v>
      </c>
      <c r="AG262">
        <f t="shared" si="234"/>
        <v>9.3982307762874164</v>
      </c>
      <c r="AH262">
        <f t="shared" si="235"/>
        <v>1.4641915161881858</v>
      </c>
      <c r="AI262" t="str">
        <f t="shared" si="216"/>
        <v>1+0,519159879642802i</v>
      </c>
      <c r="AJ262">
        <f t="shared" si="236"/>
        <v>1.1267328790049258</v>
      </c>
      <c r="AK262">
        <f t="shared" si="237"/>
        <v>0.47885776079543368</v>
      </c>
      <c r="AL262" t="str">
        <f t="shared" si="217"/>
        <v>1-0,035324355556933i</v>
      </c>
      <c r="AM262">
        <f t="shared" si="238"/>
        <v>1.0006237105403373</v>
      </c>
      <c r="AN262">
        <f t="shared" si="239"/>
        <v>-3.5309673851527459E-2</v>
      </c>
      <c r="AO262" s="58" t="str">
        <f t="shared" si="240"/>
        <v>2,16034509511901-3,52240360339038i</v>
      </c>
      <c r="AP262">
        <f t="shared" si="241"/>
        <v>12.323459111211347</v>
      </c>
      <c r="AQ262" s="60">
        <f t="shared" si="242"/>
        <v>-58.478560883456431</v>
      </c>
      <c r="AR262" t="str">
        <f t="shared" si="218"/>
        <v>-1,36472945891784</v>
      </c>
      <c r="AS262" t="str">
        <f t="shared" si="219"/>
        <v>1+0,388902665840423i</v>
      </c>
      <c r="AT262">
        <f t="shared" si="243"/>
        <v>1.0729609888051792</v>
      </c>
      <c r="AU262">
        <f t="shared" si="244"/>
        <v>0.37090325586768458</v>
      </c>
      <c r="AV262" t="str">
        <f t="shared" si="220"/>
        <v>1+0,388902665840423i</v>
      </c>
      <c r="AW262">
        <f t="shared" si="245"/>
        <v>1.0729609888051792</v>
      </c>
      <c r="AX262">
        <f t="shared" si="246"/>
        <v>0.37090325586768458</v>
      </c>
      <c r="AY262" t="str">
        <f t="shared" si="221"/>
        <v>1-0,038570062171173i</v>
      </c>
      <c r="AZ262">
        <f t="shared" si="247"/>
        <v>1.0007435484158207</v>
      </c>
      <c r="BA262">
        <f t="shared" si="248"/>
        <v>-3.8550952977860209E-2</v>
      </c>
      <c r="BB262" s="58" t="str">
        <f t="shared" si="249"/>
        <v>-1,16765604715431+0,506742249600295i</v>
      </c>
      <c r="BC262">
        <f t="shared" si="250"/>
        <v>2.0957086657935617</v>
      </c>
      <c r="BD262" s="60">
        <f t="shared" si="251"/>
        <v>156.54000192928206</v>
      </c>
      <c r="BE262" s="58" t="str">
        <f t="shared" si="252"/>
        <v>0,45354682288398+1,59869593375028i</v>
      </c>
      <c r="BF262" s="37">
        <f t="shared" si="253"/>
        <v>4.4115030170289264</v>
      </c>
      <c r="BG262" s="60">
        <f t="shared" si="254"/>
        <v>74.161467244982092</v>
      </c>
      <c r="BH262" s="58" t="str">
        <f t="shared" si="255"/>
        <v>-0,737589288273639+5,20769400143048i</v>
      </c>
      <c r="BI262" s="37">
        <f t="shared" si="256"/>
        <v>14.419167777004908</v>
      </c>
      <c r="BJ262" s="60">
        <f t="shared" si="257"/>
        <v>98.061441045825646</v>
      </c>
      <c r="BK262">
        <f t="shared" si="258"/>
        <v>4.4115030170289264</v>
      </c>
      <c r="BL262" s="60">
        <f t="shared" si="259"/>
        <v>74.161467244982092</v>
      </c>
      <c r="BN262">
        <f t="shared" si="260"/>
        <v>0</v>
      </c>
      <c r="BO262">
        <f t="shared" si="261"/>
        <v>0</v>
      </c>
    </row>
    <row r="263" spans="13:67" x14ac:dyDescent="0.25">
      <c r="M263" s="66">
        <v>45</v>
      </c>
      <c r="N263" s="36">
        <f t="shared" si="262"/>
        <v>2818.3829312644561</v>
      </c>
      <c r="O263" s="91" t="str">
        <f t="shared" si="210"/>
        <v>22,5</v>
      </c>
      <c r="P263" s="67" t="str">
        <f t="shared" si="211"/>
        <v>1+19,1250960016247i</v>
      </c>
      <c r="Q263" s="67">
        <f t="shared" si="222"/>
        <v>19.151221816671676</v>
      </c>
      <c r="R263" s="67">
        <f t="shared" si="223"/>
        <v>1.5185565800943985</v>
      </c>
      <c r="S263" s="67" t="str">
        <f t="shared" si="212"/>
        <v>1+0,531252666711799i</v>
      </c>
      <c r="T263" s="67">
        <f t="shared" si="224"/>
        <v>1.1323556843538156</v>
      </c>
      <c r="U263" s="67">
        <f t="shared" si="225"/>
        <v>0.48833603080497001</v>
      </c>
      <c r="V263" t="str">
        <f t="shared" si="213"/>
        <v>1-0,110677638898291i</v>
      </c>
      <c r="W263" s="67">
        <f t="shared" si="226"/>
        <v>1.0061061274796514</v>
      </c>
      <c r="X263" s="67">
        <f t="shared" si="227"/>
        <v>-0.11022901486130708</v>
      </c>
      <c r="Y263" t="str">
        <f t="shared" si="214"/>
        <v>0,999491629929776+0,306945985211261i</v>
      </c>
      <c r="Z263" s="67">
        <f t="shared" si="228"/>
        <v>1.0455617419057528</v>
      </c>
      <c r="AA263" s="67">
        <f t="shared" si="229"/>
        <v>0.29795968562659242</v>
      </c>
      <c r="AB263" s="92" t="str">
        <f t="shared" si="230"/>
        <v>0,168981538334949-1,26895447439948i</v>
      </c>
      <c r="AC263" s="37">
        <f t="shared" si="231"/>
        <v>2.1452601315783841</v>
      </c>
      <c r="AD263" s="60">
        <f t="shared" si="232"/>
        <v>-82.414779224819981</v>
      </c>
      <c r="AE263" t="str">
        <f t="shared" si="233"/>
        <v>34,4450883806789</v>
      </c>
      <c r="AF263" t="str">
        <f t="shared" si="215"/>
        <v>1+9,56254800081237i</v>
      </c>
      <c r="AG263">
        <f t="shared" si="234"/>
        <v>9.6146931447571777</v>
      </c>
      <c r="AH263">
        <f t="shared" si="235"/>
        <v>1.4666004107863069</v>
      </c>
      <c r="AI263" t="str">
        <f t="shared" si="216"/>
        <v>1+0,531252666711799i</v>
      </c>
      <c r="AJ263">
        <f t="shared" si="236"/>
        <v>1.1323556843538156</v>
      </c>
      <c r="AK263">
        <f t="shared" si="237"/>
        <v>0.48833603080497001</v>
      </c>
      <c r="AL263" t="str">
        <f t="shared" si="217"/>
        <v>1-0,0361471654982433i</v>
      </c>
      <c r="AM263">
        <f t="shared" si="238"/>
        <v>1.0006530955198996</v>
      </c>
      <c r="AN263">
        <f t="shared" si="239"/>
        <v>-3.6131434321956972E-2</v>
      </c>
      <c r="AO263" s="58" t="str">
        <f t="shared" si="240"/>
        <v>2,14388582619328-3,44705837417324i</v>
      </c>
      <c r="AP263">
        <f t="shared" si="241"/>
        <v>12.169165660031782</v>
      </c>
      <c r="AQ263" s="60">
        <f t="shared" si="242"/>
        <v>-58.120598915315114</v>
      </c>
      <c r="AR263" t="str">
        <f t="shared" si="218"/>
        <v>-1,36472945891784</v>
      </c>
      <c r="AS263" t="str">
        <f t="shared" si="219"/>
        <v>1+0,397961372633808i</v>
      </c>
      <c r="AT263">
        <f t="shared" si="243"/>
        <v>1.0762774986538484</v>
      </c>
      <c r="AU263">
        <f t="shared" si="244"/>
        <v>0.37874770523731177</v>
      </c>
      <c r="AV263" t="str">
        <f t="shared" si="220"/>
        <v>1+0,397961372633808i</v>
      </c>
      <c r="AW263">
        <f t="shared" si="245"/>
        <v>1.0762774986538484</v>
      </c>
      <c r="AX263">
        <f t="shared" si="246"/>
        <v>0.37874770523731177</v>
      </c>
      <c r="AY263" t="str">
        <f t="shared" si="221"/>
        <v>1-0,03769210036825i</v>
      </c>
      <c r="AZ263">
        <f t="shared" si="247"/>
        <v>1.0007100950975614</v>
      </c>
      <c r="BA263">
        <f t="shared" si="248"/>
        <v>-3.7674265915816268E-2</v>
      </c>
      <c r="BB263" s="58" t="str">
        <f t="shared" si="249"/>
        <v>-1,16047095551126+0,513262134097965i</v>
      </c>
      <c r="BC263">
        <f t="shared" si="250"/>
        <v>2.0686117299660265</v>
      </c>
      <c r="BD263" s="60">
        <f t="shared" si="251"/>
        <v>156.1407785564073</v>
      </c>
      <c r="BE263" s="58" t="str">
        <f t="shared" si="252"/>
        <v>0,455208114348118+1,55931663639561i</v>
      </c>
      <c r="BF263" s="37">
        <f t="shared" si="253"/>
        <v>4.2138718615444297</v>
      </c>
      <c r="BG263" s="60">
        <f t="shared" si="254"/>
        <v>73.725999331587374</v>
      </c>
      <c r="BH263" s="58" t="str">
        <f t="shared" si="255"/>
        <v>-0,718672695741144+5,10058653959425i</v>
      </c>
      <c r="BI263" s="37">
        <f t="shared" si="256"/>
        <v>14.237777389997808</v>
      </c>
      <c r="BJ263" s="60">
        <f t="shared" si="257"/>
        <v>98.020179641092199</v>
      </c>
      <c r="BK263">
        <f t="shared" si="258"/>
        <v>4.2138718615444297</v>
      </c>
      <c r="BL263" s="60">
        <f t="shared" si="259"/>
        <v>73.725999331587374</v>
      </c>
      <c r="BN263">
        <f t="shared" si="260"/>
        <v>0</v>
      </c>
      <c r="BO263">
        <f t="shared" si="261"/>
        <v>0</v>
      </c>
    </row>
    <row r="264" spans="13:67" x14ac:dyDescent="0.25">
      <c r="M264" s="66">
        <v>46</v>
      </c>
      <c r="N264" s="36">
        <f t="shared" si="262"/>
        <v>2884.0315031266077</v>
      </c>
      <c r="O264" s="91" t="str">
        <f t="shared" si="210"/>
        <v>22,5</v>
      </c>
      <c r="P264" s="67" t="str">
        <f t="shared" si="211"/>
        <v>1+19,5705767151593i</v>
      </c>
      <c r="Q264" s="67">
        <f t="shared" si="222"/>
        <v>19.59610861788471</v>
      </c>
      <c r="R264" s="67">
        <f t="shared" si="223"/>
        <v>1.5197436127976587</v>
      </c>
      <c r="S264" s="67" t="str">
        <f t="shared" si="212"/>
        <v>1+0,543627130976647i</v>
      </c>
      <c r="T264" s="67">
        <f t="shared" si="224"/>
        <v>1.1382137134712007</v>
      </c>
      <c r="U264" s="67">
        <f t="shared" si="225"/>
        <v>0.49793725033725411</v>
      </c>
      <c r="V264" t="str">
        <f t="shared" si="213"/>
        <v>1-0,113255652286801i</v>
      </c>
      <c r="W264" s="67">
        <f t="shared" si="226"/>
        <v>1.0063929862508525</v>
      </c>
      <c r="X264" s="67">
        <f t="shared" si="227"/>
        <v>-0.11277510774044909</v>
      </c>
      <c r="Y264" t="str">
        <f t="shared" si="214"/>
        <v>0,999467671186494+0,314095675675395i</v>
      </c>
      <c r="Z264" s="67">
        <f t="shared" si="228"/>
        <v>1.0476601162709864</v>
      </c>
      <c r="AA264" s="67">
        <f t="shared" si="229"/>
        <v>0.30449018058742133</v>
      </c>
      <c r="AB264" s="92" t="str">
        <f t="shared" si="230"/>
        <v>0,164889940283648-1,24452874234228i</v>
      </c>
      <c r="AC264" s="37">
        <f t="shared" si="231"/>
        <v>1.9756736879070582</v>
      </c>
      <c r="AD264" s="60">
        <f t="shared" si="232"/>
        <v>-82.45273200709245</v>
      </c>
      <c r="AE264" t="str">
        <f t="shared" si="233"/>
        <v>34,4450883806789</v>
      </c>
      <c r="AF264" t="str">
        <f t="shared" si="215"/>
        <v>1+9,78528835757964i</v>
      </c>
      <c r="AG264">
        <f t="shared" si="234"/>
        <v>9.8362527540208973</v>
      </c>
      <c r="AH264">
        <f t="shared" si="235"/>
        <v>1.4689556455575361</v>
      </c>
      <c r="AI264" t="str">
        <f t="shared" si="216"/>
        <v>1+0,543627130976647i</v>
      </c>
      <c r="AJ264">
        <f t="shared" si="236"/>
        <v>1.1382137134712007</v>
      </c>
      <c r="AK264">
        <f t="shared" si="237"/>
        <v>0.49793725033725411</v>
      </c>
      <c r="AL264" t="str">
        <f t="shared" si="217"/>
        <v>1-0,036989141145165i</v>
      </c>
      <c r="AM264">
        <f t="shared" si="238"/>
        <v>1.0006838644460381</v>
      </c>
      <c r="AN264">
        <f t="shared" si="239"/>
        <v>-3.6972285508174142E-2</v>
      </c>
      <c r="AO264" s="58" t="str">
        <f t="shared" si="240"/>
        <v>2,12815167237932-3,37338744614212i</v>
      </c>
      <c r="AP264">
        <f t="shared" si="241"/>
        <v>12.016366686839483</v>
      </c>
      <c r="AQ264" s="60">
        <f t="shared" si="242"/>
        <v>-57.753611794259399</v>
      </c>
      <c r="AR264" t="str">
        <f t="shared" si="218"/>
        <v>-1,36472945891784</v>
      </c>
      <c r="AS264" t="str">
        <f t="shared" si="219"/>
        <v>1+0,407231083814606i</v>
      </c>
      <c r="AT264">
        <f t="shared" si="243"/>
        <v>1.0797393924576517</v>
      </c>
      <c r="AU264">
        <f t="shared" si="244"/>
        <v>0.38672448500403522</v>
      </c>
      <c r="AV264" t="str">
        <f t="shared" si="220"/>
        <v>1+0,407231083814606i</v>
      </c>
      <c r="AW264">
        <f t="shared" si="245"/>
        <v>1.0797393924576517</v>
      </c>
      <c r="AX264">
        <f t="shared" si="246"/>
        <v>0.38672448500403522</v>
      </c>
      <c r="AY264" t="str">
        <f t="shared" si="221"/>
        <v>1-0,0368341234158561i</v>
      </c>
      <c r="AZ264">
        <f t="shared" si="247"/>
        <v>1.0006781463826491</v>
      </c>
      <c r="BA264">
        <f t="shared" si="248"/>
        <v>-3.6817478698590318E-2</v>
      </c>
      <c r="BB264" s="58" t="str">
        <f t="shared" si="249"/>
        <v>-1,15304140938417+0,51982291614567i</v>
      </c>
      <c r="BC264">
        <f t="shared" si="250"/>
        <v>2.0404407109226712</v>
      </c>
      <c r="BD264" s="60">
        <f t="shared" si="251"/>
        <v>155.73283303315648</v>
      </c>
      <c r="BE264" s="58" t="str">
        <f t="shared" si="252"/>
        <v>0,456809630933538+1,52070674469078i</v>
      </c>
      <c r="BF264" s="37">
        <f t="shared" si="253"/>
        <v>4.0161143988297168</v>
      </c>
      <c r="BG264" s="60">
        <f t="shared" si="254"/>
        <v>73.280101026064017</v>
      </c>
      <c r="BH264" s="58" t="str">
        <f t="shared" si="255"/>
        <v>-0,700282904160739+4,99591742363508i</v>
      </c>
      <c r="BI264" s="37">
        <f t="shared" si="256"/>
        <v>14.056807397762157</v>
      </c>
      <c r="BJ264" s="60">
        <f t="shared" si="257"/>
        <v>97.979221238897082</v>
      </c>
      <c r="BK264">
        <f t="shared" si="258"/>
        <v>4.0161143988297168</v>
      </c>
      <c r="BL264" s="60">
        <f t="shared" si="259"/>
        <v>73.280101026064017</v>
      </c>
      <c r="BN264">
        <f t="shared" si="260"/>
        <v>0</v>
      </c>
      <c r="BO264">
        <f t="shared" si="261"/>
        <v>0</v>
      </c>
    </row>
    <row r="265" spans="13:67" x14ac:dyDescent="0.25">
      <c r="M265" s="66">
        <v>47</v>
      </c>
      <c r="N265" s="36">
        <f t="shared" si="262"/>
        <v>2951.2092266663876</v>
      </c>
      <c r="O265" s="91" t="str">
        <f t="shared" si="210"/>
        <v>22,5</v>
      </c>
      <c r="P265" s="67" t="str">
        <f t="shared" si="211"/>
        <v>1+20,0264340075153i</v>
      </c>
      <c r="Q265" s="67">
        <f t="shared" si="222"/>
        <v>20.051385464784357</v>
      </c>
      <c r="R265" s="67">
        <f t="shared" si="223"/>
        <v>1.5209037644960288</v>
      </c>
      <c r="S265" s="67" t="str">
        <f t="shared" si="212"/>
        <v>1+0,556289833542094i</v>
      </c>
      <c r="T265" s="67">
        <f t="shared" si="224"/>
        <v>1.1443156814892868</v>
      </c>
      <c r="U265" s="67">
        <f t="shared" si="225"/>
        <v>0.50765942869729153</v>
      </c>
      <c r="V265" t="str">
        <f t="shared" si="213"/>
        <v>1-0,115893715321269i</v>
      </c>
      <c r="W265" s="67">
        <f t="shared" si="226"/>
        <v>1.0066932766493315</v>
      </c>
      <c r="X265" s="67">
        <f t="shared" si="227"/>
        <v>-0.11537898728367824</v>
      </c>
      <c r="Y265" t="str">
        <f t="shared" si="214"/>
        <v>0,999442583302428+0,32141190382432i</v>
      </c>
      <c r="Z265" s="67">
        <f t="shared" si="228"/>
        <v>1.0498528893317409</v>
      </c>
      <c r="AA265" s="67">
        <f t="shared" si="229"/>
        <v>0.31114564086297231</v>
      </c>
      <c r="AB265" s="92" t="str">
        <f t="shared" si="230"/>
        <v>0,160868612756074-1,22071411133235i</v>
      </c>
      <c r="AC265" s="37">
        <f t="shared" si="231"/>
        <v>1.8070540403574709</v>
      </c>
      <c r="AD265" s="60">
        <f t="shared" si="232"/>
        <v>-82.49268510799395</v>
      </c>
      <c r="AE265" t="str">
        <f t="shared" si="233"/>
        <v>34,4450883806789</v>
      </c>
      <c r="AF265" t="str">
        <f t="shared" si="215"/>
        <v>1+10,0132170037577i</v>
      </c>
      <c r="AG265">
        <f t="shared" si="234"/>
        <v>10.0630271173411</v>
      </c>
      <c r="AH265">
        <f t="shared" si="235"/>
        <v>1.4712583647030164</v>
      </c>
      <c r="AI265" t="str">
        <f t="shared" si="216"/>
        <v>1+0,556289833542094i</v>
      </c>
      <c r="AJ265">
        <f t="shared" si="236"/>
        <v>1.1443156814892868</v>
      </c>
      <c r="AK265">
        <f t="shared" si="237"/>
        <v>0.50765942869729153</v>
      </c>
      <c r="AL265" t="str">
        <f t="shared" si="217"/>
        <v>1-0,037850728924331i</v>
      </c>
      <c r="AM265">
        <f t="shared" si="238"/>
        <v>1.0007160824530119</v>
      </c>
      <c r="AN265">
        <f t="shared" si="239"/>
        <v>-3.7832668481831443E-2</v>
      </c>
      <c r="AO265" s="58" t="str">
        <f t="shared" si="240"/>
        <v>2,11311135635095-3,30136178568796i</v>
      </c>
      <c r="AP265">
        <f t="shared" si="241"/>
        <v>11.865107784989434</v>
      </c>
      <c r="AQ265" s="60">
        <f t="shared" si="242"/>
        <v>-57.377804408151285</v>
      </c>
      <c r="AR265" t="str">
        <f t="shared" si="218"/>
        <v>-1,36472945891784</v>
      </c>
      <c r="AS265" t="str">
        <f t="shared" si="219"/>
        <v>1+0,416716714306382i</v>
      </c>
      <c r="AT265">
        <f t="shared" si="243"/>
        <v>1.0833525834105473</v>
      </c>
      <c r="AU265">
        <f t="shared" si="244"/>
        <v>0.39483376308474727</v>
      </c>
      <c r="AV265" t="str">
        <f t="shared" si="220"/>
        <v>1+0,416716714306382i</v>
      </c>
      <c r="AW265">
        <f t="shared" si="245"/>
        <v>1.0833525834105473</v>
      </c>
      <c r="AX265">
        <f t="shared" si="246"/>
        <v>0.39483376308474727</v>
      </c>
      <c r="AY265" t="str">
        <f t="shared" si="221"/>
        <v>1-0,0359956764032546i</v>
      </c>
      <c r="AZ265">
        <f t="shared" si="247"/>
        <v>1.0006476346445474</v>
      </c>
      <c r="BA265">
        <f t="shared" si="248"/>
        <v>-3.5980142080763791E-2</v>
      </c>
      <c r="BB265" s="58" t="str">
        <f t="shared" si="249"/>
        <v>-1,14536300185803+0,526416266803566i</v>
      </c>
      <c r="BC265">
        <f t="shared" si="250"/>
        <v>2.0111583220488045</v>
      </c>
      <c r="BD265" s="60">
        <f t="shared" si="251"/>
        <v>155.31618147846703</v>
      </c>
      <c r="BE265" s="58" t="str">
        <f t="shared" si="252"/>
        <v>0,458350808110974+1,482844633539i</v>
      </c>
      <c r="BF265" s="37">
        <f t="shared" si="253"/>
        <v>3.8182123624062783</v>
      </c>
      <c r="BG265" s="60">
        <f t="shared" si="254"/>
        <v>72.823496370473109</v>
      </c>
      <c r="BH265" s="58" t="str">
        <f t="shared" si="255"/>
        <v>-0,682389019780607+4,89363383662544i</v>
      </c>
      <c r="BI265" s="37">
        <f t="shared" si="256"/>
        <v>13.876266107038246</v>
      </c>
      <c r="BJ265" s="60">
        <f t="shared" si="257"/>
        <v>97.93837707031571</v>
      </c>
      <c r="BK265">
        <f t="shared" si="258"/>
        <v>3.8182123624062783</v>
      </c>
      <c r="BL265" s="60">
        <f t="shared" si="259"/>
        <v>72.823496370473109</v>
      </c>
      <c r="BN265">
        <f t="shared" si="260"/>
        <v>0</v>
      </c>
      <c r="BO265">
        <f t="shared" si="261"/>
        <v>0</v>
      </c>
    </row>
    <row r="266" spans="13:67" x14ac:dyDescent="0.25">
      <c r="M266" s="66">
        <v>48</v>
      </c>
      <c r="N266" s="36">
        <f t="shared" si="262"/>
        <v>3019.9517204020176</v>
      </c>
      <c r="O266" s="91" t="str">
        <f t="shared" si="210"/>
        <v>22,5</v>
      </c>
      <c r="P266" s="67" t="str">
        <f t="shared" si="211"/>
        <v>1+20,4929095802634i</v>
      </c>
      <c r="Q266" s="67">
        <f t="shared" si="222"/>
        <v>20.517293755874615</v>
      </c>
      <c r="R266" s="67">
        <f t="shared" si="223"/>
        <v>1.5220376378181366</v>
      </c>
      <c r="S266" s="67" t="str">
        <f t="shared" si="212"/>
        <v>1+0,569247488340652i</v>
      </c>
      <c r="T266" s="67">
        <f t="shared" si="224"/>
        <v>1.1506705449354915</v>
      </c>
      <c r="U266" s="67">
        <f t="shared" si="225"/>
        <v>0.51750036838410318</v>
      </c>
      <c r="V266" t="str">
        <f t="shared" si="213"/>
        <v>1-0,118593226737636i</v>
      </c>
      <c r="W266" s="67">
        <f t="shared" si="226"/>
        <v>1.0070076233217127</v>
      </c>
      <c r="X266" s="67">
        <f t="shared" si="227"/>
        <v>-0.11804189278768985</v>
      </c>
      <c r="Y266" t="str">
        <f t="shared" si="214"/>
        <v>0,999416313062812+0,328898548819043i</v>
      </c>
      <c r="Z266" s="67">
        <f t="shared" si="228"/>
        <v>1.0521441071599162</v>
      </c>
      <c r="AA266" s="67">
        <f t="shared" si="229"/>
        <v>0.31792727795029657</v>
      </c>
      <c r="AB266" s="92" t="str">
        <f t="shared" si="230"/>
        <v>0,156910589721584-1,19749668325427i</v>
      </c>
      <c r="AC266" s="37">
        <f t="shared" si="231"/>
        <v>1.6394193772330425</v>
      </c>
      <c r="AD266" s="60">
        <f t="shared" si="232"/>
        <v>-82.534939383271066</v>
      </c>
      <c r="AE266" t="str">
        <f t="shared" si="233"/>
        <v>34,4450883806789</v>
      </c>
      <c r="AF266" t="str">
        <f t="shared" si="215"/>
        <v>1+10,2464547901317i</v>
      </c>
      <c r="AG266">
        <f t="shared" si="234"/>
        <v>10.295136510324321</v>
      </c>
      <c r="AH266">
        <f t="shared" si="235"/>
        <v>1.4735096914197614</v>
      </c>
      <c r="AI266" t="str">
        <f t="shared" si="216"/>
        <v>1+0,569247488340652i</v>
      </c>
      <c r="AJ266">
        <f t="shared" si="236"/>
        <v>1.1506705449354915</v>
      </c>
      <c r="AK266">
        <f t="shared" si="237"/>
        <v>0.51750036838410318</v>
      </c>
      <c r="AL266" t="str">
        <f t="shared" si="217"/>
        <v>1-0,0387323856609864i</v>
      </c>
      <c r="AM266">
        <f t="shared" si="238"/>
        <v>1.0007498177361769</v>
      </c>
      <c r="AN266">
        <f t="shared" si="239"/>
        <v>-3.8713034331212821E-2</v>
      </c>
      <c r="AO266" s="58" t="str">
        <f t="shared" si="240"/>
        <v>2,09873489164794-3,23095258465658i</v>
      </c>
      <c r="AP266">
        <f t="shared" si="241"/>
        <v>11.715434191781346</v>
      </c>
      <c r="AQ266" s="60">
        <f t="shared" si="242"/>
        <v>-56.993392864425722</v>
      </c>
      <c r="AR266" t="str">
        <f t="shared" si="218"/>
        <v>-1,36472945891784</v>
      </c>
      <c r="AS266" t="str">
        <f t="shared" si="219"/>
        <v>1+0,426423293515982i</v>
      </c>
      <c r="AT266">
        <f t="shared" si="243"/>
        <v>1.0871231877082823</v>
      </c>
      <c r="AU266">
        <f t="shared" si="244"/>
        <v>0.40307557192424281</v>
      </c>
      <c r="AV266" t="str">
        <f t="shared" si="220"/>
        <v>1+0,426423293515982i</v>
      </c>
      <c r="AW266">
        <f t="shared" si="245"/>
        <v>1.0871231877082823</v>
      </c>
      <c r="AX266">
        <f t="shared" si="246"/>
        <v>0.40307557192424281</v>
      </c>
      <c r="AY266" t="str">
        <f t="shared" si="221"/>
        <v>1-0,0351763147747411i</v>
      </c>
      <c r="AZ266">
        <f t="shared" si="247"/>
        <v>1.0006184952923525</v>
      </c>
      <c r="BA266">
        <f t="shared" si="248"/>
        <v>-3.5161816794732147E-2</v>
      </c>
      <c r="BB266" s="58" t="str">
        <f t="shared" si="249"/>
        <v>-1,1374315711869+0,53303346976383i</v>
      </c>
      <c r="BC266">
        <f t="shared" si="250"/>
        <v>1.9807266651590578</v>
      </c>
      <c r="BD266" s="60">
        <f t="shared" si="251"/>
        <v>154.89084720156873</v>
      </c>
      <c r="BE266" s="58" t="str">
        <f t="shared" si="252"/>
        <v>0,459830753502817+1,44570913000699i</v>
      </c>
      <c r="BF266" s="37">
        <f t="shared" si="253"/>
        <v>3.6201460423920988</v>
      </c>
      <c r="BG266" s="60">
        <f t="shared" si="254"/>
        <v>72.355907818297709</v>
      </c>
      <c r="BH266" s="58" t="str">
        <f t="shared" si="255"/>
        <v>-0,664961458469973+4,79368341620583i</v>
      </c>
      <c r="BI266" s="37">
        <f t="shared" si="256"/>
        <v>13.696160856940413</v>
      </c>
      <c r="BJ266" s="60">
        <f t="shared" si="257"/>
        <v>97.897454337143017</v>
      </c>
      <c r="BK266">
        <f t="shared" si="258"/>
        <v>3.6201460423920988</v>
      </c>
      <c r="BL266" s="60">
        <f t="shared" si="259"/>
        <v>72.355907818297709</v>
      </c>
      <c r="BN266">
        <f t="shared" si="260"/>
        <v>0</v>
      </c>
      <c r="BO266">
        <f t="shared" si="261"/>
        <v>0</v>
      </c>
    </row>
    <row r="267" spans="13:67" x14ac:dyDescent="0.25">
      <c r="M267" s="66">
        <v>49</v>
      </c>
      <c r="N267" s="36">
        <f t="shared" si="262"/>
        <v>3090.295432513592</v>
      </c>
      <c r="O267" s="91" t="str">
        <f t="shared" si="210"/>
        <v>22,5</v>
      </c>
      <c r="P267" s="67" t="str">
        <f t="shared" si="211"/>
        <v>1+20,9702507649267i</v>
      </c>
      <c r="Q267" s="67">
        <f t="shared" si="222"/>
        <v>20.994080526279518</v>
      </c>
      <c r="R267" s="67">
        <f t="shared" si="223"/>
        <v>1.5231458222897167</v>
      </c>
      <c r="S267" s="67" t="str">
        <f t="shared" si="212"/>
        <v>1+0,582506965692409i</v>
      </c>
      <c r="T267" s="67">
        <f t="shared" si="224"/>
        <v>1.157287503207469</v>
      </c>
      <c r="U267" s="67">
        <f t="shared" si="225"/>
        <v>0.52745766221213441</v>
      </c>
      <c r="V267" t="str">
        <f t="shared" si="213"/>
        <v>1-0,121355617852585i</v>
      </c>
      <c r="W267" s="67">
        <f t="shared" si="226"/>
        <v>1.0073366795587178</v>
      </c>
      <c r="X267" s="67">
        <f t="shared" si="227"/>
        <v>-0.12076508501609905</v>
      </c>
      <c r="Y267" t="str">
        <f t="shared" si="214"/>
        <v>0,999388804744946+0,336559580177836i</v>
      </c>
      <c r="Z267" s="67">
        <f t="shared" si="228"/>
        <v>1.0545379718431256</v>
      </c>
      <c r="AA267" s="67">
        <f t="shared" si="229"/>
        <v>0.32483623614305096</v>
      </c>
      <c r="AB267" s="92" t="str">
        <f t="shared" si="230"/>
        <v>0,153009147241614-1,17486272066231i</v>
      </c>
      <c r="AC267" s="37">
        <f t="shared" si="231"/>
        <v>1.4727869683630987</v>
      </c>
      <c r="AD267" s="60">
        <f t="shared" si="232"/>
        <v>-82.5798043314647</v>
      </c>
      <c r="AE267" t="str">
        <f t="shared" si="233"/>
        <v>34,4450883806789</v>
      </c>
      <c r="AF267" t="str">
        <f t="shared" si="215"/>
        <v>1+10,4851253824634i</v>
      </c>
      <c r="AG267">
        <f t="shared" si="234"/>
        <v>10.53270403486105</v>
      </c>
      <c r="AH267">
        <f t="shared" si="235"/>
        <v>1.4757107280545774</v>
      </c>
      <c r="AI267" t="str">
        <f t="shared" si="216"/>
        <v>1+0,582506965692409i</v>
      </c>
      <c r="AJ267">
        <f t="shared" si="236"/>
        <v>1.157287503207469</v>
      </c>
      <c r="AK267">
        <f t="shared" si="237"/>
        <v>0.52745766221213441</v>
      </c>
      <c r="AL267" t="str">
        <f t="shared" si="217"/>
        <v>1-0,0396345788212029i</v>
      </c>
      <c r="AM267">
        <f t="shared" si="238"/>
        <v>1.0007851416954261</v>
      </c>
      <c r="AN267">
        <f t="shared" si="239"/>
        <v>-3.9613844376251303E-2</v>
      </c>
      <c r="AO267" s="58" t="str">
        <f t="shared" si="240"/>
        <v>2,08499353452063-3,16213128586558i</v>
      </c>
      <c r="AP267">
        <f t="shared" si="241"/>
        <v>11.567390699650506</v>
      </c>
      <c r="AQ267" s="60">
        <f t="shared" si="242"/>
        <v>-56.600604676160216</v>
      </c>
      <c r="AR267" t="str">
        <f t="shared" si="218"/>
        <v>-1,36472945891784</v>
      </c>
      <c r="AS267" t="str">
        <f t="shared" si="219"/>
        <v>1+0,436355968000183i</v>
      </c>
      <c r="AT267">
        <f t="shared" si="243"/>
        <v>1.0910575286433695</v>
      </c>
      <c r="AU267">
        <f t="shared" si="244"/>
        <v>0.41144980162957245</v>
      </c>
      <c r="AV267" t="str">
        <f t="shared" si="220"/>
        <v>1+0,436355968000183i</v>
      </c>
      <c r="AW267">
        <f t="shared" si="245"/>
        <v>1.0910575286433695</v>
      </c>
      <c r="AX267">
        <f t="shared" si="246"/>
        <v>0.41144980162957245</v>
      </c>
      <c r="AY267" t="str">
        <f t="shared" si="221"/>
        <v>1-0,0343756040939349i</v>
      </c>
      <c r="AZ267">
        <f t="shared" si="247"/>
        <v>1.0005906666348747</v>
      </c>
      <c r="BA267">
        <f t="shared" si="248"/>
        <v>-3.4362073340074399E-2</v>
      </c>
      <c r="BB267" s="58" t="str">
        <f t="shared" si="249"/>
        <v>-1,12924323098269+0,539665422738194i</v>
      </c>
      <c r="BC267">
        <f t="shared" si="250"/>
        <v>1.949107268039282</v>
      </c>
      <c r="BD267" s="60">
        <f t="shared" si="251"/>
        <v>154.45686110742537</v>
      </c>
      <c r="BE267" s="58" t="str">
        <f t="shared" si="252"/>
        <v>0,461248243004544+1,40927952077078i</v>
      </c>
      <c r="BF267" s="37">
        <f t="shared" si="253"/>
        <v>3.4218942364024008</v>
      </c>
      <c r="BG267" s="60">
        <f t="shared" si="254"/>
        <v>71.877056775960696</v>
      </c>
      <c r="BH267" s="58" t="str">
        <f t="shared" si="255"/>
        <v>-0,647971918359778+4,69601426725577i</v>
      </c>
      <c r="BI267" s="37">
        <f t="shared" si="256"/>
        <v>13.516497967689784</v>
      </c>
      <c r="BJ267" s="60">
        <f t="shared" si="257"/>
        <v>97.856256431265152</v>
      </c>
      <c r="BK267">
        <f t="shared" si="258"/>
        <v>3.4218942364024008</v>
      </c>
      <c r="BL267" s="60">
        <f t="shared" si="259"/>
        <v>71.877056775960696</v>
      </c>
      <c r="BN267">
        <f t="shared" si="260"/>
        <v>0</v>
      </c>
      <c r="BO267">
        <f t="shared" si="261"/>
        <v>0</v>
      </c>
    </row>
    <row r="268" spans="13:67" x14ac:dyDescent="0.25">
      <c r="M268" s="66">
        <v>50</v>
      </c>
      <c r="N268" s="36">
        <f t="shared" si="262"/>
        <v>3162.2776601683804</v>
      </c>
      <c r="O268" s="91" t="str">
        <f t="shared" si="210"/>
        <v>22,5</v>
      </c>
      <c r="P268" s="67" t="str">
        <f t="shared" si="211"/>
        <v>1+21,4587106541196i</v>
      </c>
      <c r="Q268" s="67">
        <f t="shared" si="222"/>
        <v>21.481998578745557</v>
      </c>
      <c r="R268" s="67">
        <f t="shared" si="223"/>
        <v>1.5242288945912068</v>
      </c>
      <c r="S268" s="67" t="str">
        <f t="shared" si="212"/>
        <v>1+0,596075295947767i</v>
      </c>
      <c r="T268" s="67">
        <f t="shared" si="224"/>
        <v>1.1641759997694585</v>
      </c>
      <c r="U268" s="67">
        <f t="shared" si="225"/>
        <v>0.53752869110744983</v>
      </c>
      <c r="V268" t="str">
        <f t="shared" si="213"/>
        <v>1-0,124182353322451i</v>
      </c>
      <c r="W268" s="67">
        <f t="shared" si="226"/>
        <v>1.0076811285702942</v>
      </c>
      <c r="X268" s="67">
        <f t="shared" si="227"/>
        <v>-0.12354984619798662</v>
      </c>
      <c r="Y268" t="str">
        <f t="shared" si="214"/>
        <v>0,99936+0,344399059880931i</v>
      </c>
      <c r="Z268" s="67">
        <f t="shared" si="228"/>
        <v>1.0570388460443962</v>
      </c>
      <c r="AA268" s="67">
        <f t="shared" si="229"/>
        <v>0.33187358679212053</v>
      </c>
      <c r="AB268" s="92" t="str">
        <f t="shared" si="230"/>
        <v>0,149157797578727-1,15279864063478i</v>
      </c>
      <c r="AC268" s="37">
        <f t="shared" si="231"/>
        <v>1.307173077290241</v>
      </c>
      <c r="AD268" s="60">
        <f t="shared" si="232"/>
        <v>-82.62759790601099</v>
      </c>
      <c r="AE268" t="str">
        <f t="shared" si="233"/>
        <v>34,4450883806789</v>
      </c>
      <c r="AF268" t="str">
        <f t="shared" si="215"/>
        <v>1+10,7293553270598i</v>
      </c>
      <c r="AG268">
        <f t="shared" si="234"/>
        <v>10.77585568455269</v>
      </c>
      <c r="AH268">
        <f t="shared" si="235"/>
        <v>1.4778625562748089</v>
      </c>
      <c r="AI268" t="str">
        <f t="shared" si="216"/>
        <v>1+0,596075295947767i</v>
      </c>
      <c r="AJ268">
        <f t="shared" si="236"/>
        <v>1.1641759997694585</v>
      </c>
      <c r="AK268">
        <f t="shared" si="237"/>
        <v>0.53752869110744983</v>
      </c>
      <c r="AL268" t="str">
        <f t="shared" si="217"/>
        <v>1-0,0405577867597361i</v>
      </c>
      <c r="AM268">
        <f t="shared" si="238"/>
        <v>1.0008221290853077</v>
      </c>
      <c r="AN268">
        <f t="shared" si="239"/>
        <v>-4.0535570387259245E-2</v>
      </c>
      <c r="AO268" s="58" t="str">
        <f t="shared" si="240"/>
        <v>2,07185973710982-3,09486960628363i</v>
      </c>
      <c r="AP268">
        <f t="shared" si="241"/>
        <v>11.421021563357627</v>
      </c>
      <c r="AQ268" s="60">
        <f t="shared" si="242"/>
        <v>-56.199678910658953</v>
      </c>
      <c r="AR268" t="str">
        <f t="shared" si="218"/>
        <v>-1,36472945891784</v>
      </c>
      <c r="AS268" t="str">
        <f t="shared" si="219"/>
        <v>1+0,446520004194472i</v>
      </c>
      <c r="AT268">
        <f t="shared" si="243"/>
        <v>1.0951621405736374</v>
      </c>
      <c r="AU268">
        <f t="shared" si="244"/>
        <v>0.4199561931520181</v>
      </c>
      <c r="AV268" t="str">
        <f t="shared" si="220"/>
        <v>1+0,446520004194472i</v>
      </c>
      <c r="AW268">
        <f t="shared" si="245"/>
        <v>1.0951621405736374</v>
      </c>
      <c r="AX268">
        <f t="shared" si="246"/>
        <v>0.4199561931520181</v>
      </c>
      <c r="AY268" t="str">
        <f t="shared" si="221"/>
        <v>1-0,0335931198134342i</v>
      </c>
      <c r="AZ268">
        <f t="shared" si="247"/>
        <v>1.0005640897507764</v>
      </c>
      <c r="BA268">
        <f t="shared" si="248"/>
        <v>-3.3580491776623381E-2</v>
      </c>
      <c r="BB268" s="58" t="str">
        <f t="shared" si="249"/>
        <v>-1,12079440135742+0,546302641021607i</v>
      </c>
      <c r="BC268">
        <f t="shared" si="250"/>
        <v>1.9162611266035958</v>
      </c>
      <c r="BD268" s="60">
        <f t="shared" si="251"/>
        <v>154.01426209923423</v>
      </c>
      <c r="BE268" s="58" t="str">
        <f t="shared" si="252"/>
        <v>0,462601717499858+1,37353556106213i</v>
      </c>
      <c r="BF268" s="37">
        <f t="shared" si="253"/>
        <v>3.2234342038938331</v>
      </c>
      <c r="BG268" s="60">
        <f t="shared" si="254"/>
        <v>71.386664193223254</v>
      </c>
      <c r="BH268" s="58" t="str">
        <f t="shared" si="255"/>
        <v>-0,631393354220294+4,60057497386336i</v>
      </c>
      <c r="BI268" s="37">
        <f t="shared" si="256"/>
        <v>13.337282689961219</v>
      </c>
      <c r="BJ268" s="60">
        <f t="shared" si="257"/>
        <v>97.814583188575284</v>
      </c>
      <c r="BK268">
        <f t="shared" si="258"/>
        <v>3.2234342038938331</v>
      </c>
      <c r="BL268" s="60">
        <f t="shared" si="259"/>
        <v>71.386664193223254</v>
      </c>
      <c r="BN268">
        <f t="shared" si="260"/>
        <v>0</v>
      </c>
      <c r="BO268">
        <f t="shared" si="261"/>
        <v>0</v>
      </c>
    </row>
    <row r="269" spans="13:67" x14ac:dyDescent="0.25">
      <c r="M269" s="66">
        <v>51</v>
      </c>
      <c r="N269" s="36">
        <f t="shared" si="262"/>
        <v>3235.9365692962833</v>
      </c>
      <c r="O269" s="91" t="str">
        <f t="shared" si="210"/>
        <v>22,5</v>
      </c>
      <c r="P269" s="67" t="str">
        <f t="shared" si="211"/>
        <v>1+21,9585482357409i</v>
      </c>
      <c r="Q269" s="67">
        <f t="shared" si="222"/>
        <v>21.981306617700408</v>
      </c>
      <c r="R269" s="67">
        <f t="shared" si="223"/>
        <v>1.5252874188121519</v>
      </c>
      <c r="S269" s="67" t="str">
        <f t="shared" si="212"/>
        <v>1+0,609959673215026i</v>
      </c>
      <c r="T269" s="67">
        <f t="shared" si="224"/>
        <v>1.1713457230675242</v>
      </c>
      <c r="U269" s="67">
        <f t="shared" si="225"/>
        <v>0.547710622630731</v>
      </c>
      <c r="V269" t="str">
        <f t="shared" si="213"/>
        <v>1-0,127074931919797i</v>
      </c>
      <c r="W269" s="67">
        <f t="shared" si="226"/>
        <v>1.0080416848138876</v>
      </c>
      <c r="X269" s="67">
        <f t="shared" si="227"/>
        <v>-0.12639747999380285</v>
      </c>
      <c r="Y269" t="str">
        <f t="shared" si="214"/>
        <v>0,999329837729247+0,352421144524237i</v>
      </c>
      <c r="Z269" s="67">
        <f t="shared" si="228"/>
        <v>1.0596512575766313</v>
      </c>
      <c r="AA269" s="67">
        <f t="shared" si="229"/>
        <v>0.33904032237810516</v>
      </c>
      <c r="AB269" s="92" t="str">
        <f t="shared" si="230"/>
        <v>0,145350284109316-1,13129100867352i</v>
      </c>
      <c r="AC269" s="37">
        <f t="shared" si="231"/>
        <v>1.1425928728662567</v>
      </c>
      <c r="AD269" s="60">
        <f t="shared" si="232"/>
        <v>-82.678646272870537</v>
      </c>
      <c r="AE269" t="str">
        <f t="shared" si="233"/>
        <v>34,4450883806789</v>
      </c>
      <c r="AF269" t="str">
        <f t="shared" si="215"/>
        <v>1+10,9792741178705i</v>
      </c>
      <c r="AG269">
        <f t="shared" si="234"/>
        <v>11.0247204116631</v>
      </c>
      <c r="AH269">
        <f t="shared" si="235"/>
        <v>1.479966237254321</v>
      </c>
      <c r="AI269" t="str">
        <f t="shared" si="216"/>
        <v>1+0,609959673215026i</v>
      </c>
      <c r="AJ269">
        <f t="shared" si="236"/>
        <v>1.1713457230675242</v>
      </c>
      <c r="AK269">
        <f t="shared" si="237"/>
        <v>0.547710622630731</v>
      </c>
      <c r="AL269" t="str">
        <f t="shared" si="217"/>
        <v>1-0,0415024989736551i</v>
      </c>
      <c r="AM269">
        <f t="shared" si="238"/>
        <v>1.0008608581721328</v>
      </c>
      <c r="AN269">
        <f t="shared" si="239"/>
        <v>-4.1478694807364443E-2</v>
      </c>
      <c r="AO269" s="58" t="str">
        <f t="shared" si="240"/>
        <v>2,05930710196921-3,02913955802246i</v>
      </c>
      <c r="AP269">
        <f t="shared" si="241"/>
        <v>11.276370403557788</v>
      </c>
      <c r="AQ269" s="60">
        <f t="shared" si="242"/>
        <v>-55.790866297479454</v>
      </c>
      <c r="AR269" t="str">
        <f t="shared" si="218"/>
        <v>-1,36472945891784</v>
      </c>
      <c r="AS269" t="str">
        <f t="shared" si="219"/>
        <v>1+0,456920791205376i</v>
      </c>
      <c r="AT269">
        <f t="shared" si="243"/>
        <v>1.0994437727486326</v>
      </c>
      <c r="AU269">
        <f t="shared" si="244"/>
        <v>0.42859433155525967</v>
      </c>
      <c r="AV269" t="str">
        <f t="shared" si="220"/>
        <v>1+0,456920791205376i</v>
      </c>
      <c r="AW269">
        <f t="shared" si="245"/>
        <v>1.0994437727486326</v>
      </c>
      <c r="AX269">
        <f t="shared" si="246"/>
        <v>0.42859433155525967</v>
      </c>
      <c r="AY269" t="str">
        <f t="shared" si="221"/>
        <v>1-0,032828447049716i</v>
      </c>
      <c r="AZ269">
        <f t="shared" si="247"/>
        <v>1.000538708364497</v>
      </c>
      <c r="BA269">
        <f t="shared" si="248"/>
        <v>-3.2816661521227496E-2</v>
      </c>
      <c r="BB269" s="58" t="str">
        <f t="shared" si="249"/>
        <v>-1,11208184088007+0,552935263399324i</v>
      </c>
      <c r="BC269">
        <f t="shared" si="250"/>
        <v>1.8821487517967292</v>
      </c>
      <c r="BD269" s="60">
        <f t="shared" si="251"/>
        <v>153.56309747577725</v>
      </c>
      <c r="BE269" s="58" t="str">
        <f t="shared" si="252"/>
        <v>0,46388928033745+1,33845748512587i</v>
      </c>
      <c r="BF269" s="37">
        <f t="shared" si="253"/>
        <v>3.024741624662981</v>
      </c>
      <c r="BG269" s="60">
        <f t="shared" si="254"/>
        <v>70.884451202906746</v>
      </c>
      <c r="BH269" s="58" t="str">
        <f t="shared" si="255"/>
        <v>-0,61519995350686+4,5073146108157i</v>
      </c>
      <c r="BI269" s="37">
        <f t="shared" si="256"/>
        <v>13.158519155354512</v>
      </c>
      <c r="BJ269" s="60">
        <f t="shared" si="257"/>
        <v>97.772231178297801</v>
      </c>
      <c r="BK269">
        <f t="shared" si="258"/>
        <v>3.024741624662981</v>
      </c>
      <c r="BL269" s="60">
        <f t="shared" si="259"/>
        <v>70.884451202906746</v>
      </c>
      <c r="BN269">
        <f t="shared" si="260"/>
        <v>0</v>
      </c>
      <c r="BO269">
        <f t="shared" si="261"/>
        <v>0</v>
      </c>
    </row>
    <row r="270" spans="13:67" x14ac:dyDescent="0.25">
      <c r="M270" s="66">
        <v>52</v>
      </c>
      <c r="N270" s="36">
        <f t="shared" si="262"/>
        <v>3311.3112148259115</v>
      </c>
      <c r="O270" s="91" t="str">
        <f t="shared" si="210"/>
        <v>22,5</v>
      </c>
      <c r="P270" s="67" t="str">
        <f t="shared" si="211"/>
        <v>1+22,4700285302927i</v>
      </c>
      <c r="Q270" s="67">
        <f t="shared" si="222"/>
        <v>22.492269386439599</v>
      </c>
      <c r="R270" s="67">
        <f t="shared" si="223"/>
        <v>1.5263219467023212</v>
      </c>
      <c r="S270" s="67" t="str">
        <f t="shared" si="212"/>
        <v>1+0,624167459174797i</v>
      </c>
      <c r="T270" s="67">
        <f t="shared" si="224"/>
        <v>1.1788066071636694</v>
      </c>
      <c r="U270" s="67">
        <f t="shared" si="225"/>
        <v>0.55800041027660585</v>
      </c>
      <c r="V270" t="str">
        <f t="shared" si="213"/>
        <v>1-0,130034887328082i</v>
      </c>
      <c r="W270" s="67">
        <f t="shared" si="226"/>
        <v>1.0084190953777239</v>
      </c>
      <c r="X270" s="67">
        <f t="shared" si="227"/>
        <v>-0.12930931142593069</v>
      </c>
      <c r="Y270" t="str">
        <f t="shared" si="214"/>
        <v>0,999298253954468+0,360630087523215i</v>
      </c>
      <c r="Z270" s="67">
        <f t="shared" si="228"/>
        <v>1.0623799039813631</v>
      </c>
      <c r="AA270" s="67">
        <f t="shared" si="229"/>
        <v>0.34633735040610369</v>
      </c>
      <c r="AB270" s="92" t="str">
        <f>(IMDIV(IMPRODUCT(O270,S270,V270),IMPRODUCT(P270,Y270)))</f>
        <v>0,14158057703037-1,11032653269596i</v>
      </c>
      <c r="AC270" s="37">
        <f t="shared" si="231"/>
        <v>0.97906034089250227</v>
      </c>
      <c r="AD270" s="60">
        <f t="shared" si="232"/>
        <v>-82.733283511278742</v>
      </c>
      <c r="AE270" t="str">
        <f t="shared" si="233"/>
        <v>34,4450883806789</v>
      </c>
      <c r="AF270" t="str">
        <f t="shared" si="215"/>
        <v>1+11,2350142651463i</v>
      </c>
      <c r="AG270">
        <f t="shared" si="234"/>
        <v>11.27943019562783</v>
      </c>
      <c r="AH270">
        <f t="shared" si="235"/>
        <v>1.4820228118731964</v>
      </c>
      <c r="AI270" t="str">
        <f t="shared" si="216"/>
        <v>1+0,624167459174797i</v>
      </c>
      <c r="AJ270">
        <f t="shared" si="236"/>
        <v>1.1788066071636694</v>
      </c>
      <c r="AK270">
        <f t="shared" si="237"/>
        <v>0.55800041027660585</v>
      </c>
      <c r="AL270" t="str">
        <f t="shared" si="217"/>
        <v>1-0,0424692163618806i</v>
      </c>
      <c r="AM270">
        <f t="shared" si="238"/>
        <v>1.0009014108983922</v>
      </c>
      <c r="AN270">
        <f t="shared" si="239"/>
        <v>-4.2443710978642413E-2</v>
      </c>
      <c r="AO270" s="58" t="str">
        <f t="shared" si="240"/>
        <v>2,04731033793332-2,96491346728579i</v>
      </c>
      <c r="AP270">
        <f t="shared" si="241"/>
        <v>11.133480107186353</v>
      </c>
      <c r="AQ270" s="60">
        <f t="shared" si="242"/>
        <v>-55.374429292976323</v>
      </c>
      <c r="AR270" t="str">
        <f t="shared" si="218"/>
        <v>-1,36472945891784</v>
      </c>
      <c r="AS270" t="str">
        <f t="shared" si="219"/>
        <v>1+0,46756384366784i</v>
      </c>
      <c r="AT270">
        <f t="shared" si="243"/>
        <v>1.1039093929781758</v>
      </c>
      <c r="AU270">
        <f t="shared" si="244"/>
        <v>0.43736363941116257</v>
      </c>
      <c r="AV270" t="str">
        <f t="shared" si="220"/>
        <v>1+0,46756384366784i</v>
      </c>
      <c r="AW270">
        <f t="shared" si="245"/>
        <v>1.1039093929781758</v>
      </c>
      <c r="AX270">
        <f t="shared" si="246"/>
        <v>0.43736363941116257</v>
      </c>
      <c r="AY270" t="str">
        <f t="shared" si="221"/>
        <v>1-0,0320811803631594i</v>
      </c>
      <c r="AZ270">
        <f t="shared" si="247"/>
        <v>1.000514468727711</v>
      </c>
      <c r="BA270">
        <f t="shared" si="248"/>
        <v>-3.2070181148185287E-2</v>
      </c>
      <c r="BB270" s="58" t="str">
        <f t="shared" si="249"/>
        <v>-1,10310267918665+0,559553060559261i</v>
      </c>
      <c r="BC270">
        <f t="shared" si="250"/>
        <v>1.8467302213485417</v>
      </c>
      <c r="BD270" s="60">
        <f t="shared" si="251"/>
        <v>153.10342332124782</v>
      </c>
      <c r="BE270" s="58" t="str">
        <f t="shared" si="252"/>
        <v>0,465108695747184+1,30402601818203i</v>
      </c>
      <c r="BF270" s="37">
        <f t="shared" si="253"/>
        <v>2.8257905622410635</v>
      </c>
      <c r="BG270" s="60">
        <f t="shared" si="254"/>
        <v>70.370139809969118</v>
      </c>
      <c r="BH270" s="58" t="str">
        <f t="shared" si="255"/>
        <v>-0,599367113987637+4,41618275482474i</v>
      </c>
      <c r="BI270" s="37">
        <f t="shared" si="256"/>
        <v>12.980210328534895</v>
      </c>
      <c r="BJ270" s="60">
        <f t="shared" si="257"/>
        <v>97.728994028271501</v>
      </c>
      <c r="BK270">
        <f t="shared" si="258"/>
        <v>2.8257905622410635</v>
      </c>
      <c r="BL270" s="60">
        <f t="shared" si="259"/>
        <v>70.370139809969118</v>
      </c>
      <c r="BN270">
        <f t="shared" si="260"/>
        <v>0</v>
      </c>
      <c r="BO270">
        <f t="shared" si="261"/>
        <v>0</v>
      </c>
    </row>
    <row r="271" spans="13:67" x14ac:dyDescent="0.25">
      <c r="M271" s="66">
        <v>53</v>
      </c>
      <c r="N271" s="36">
        <f t="shared" si="262"/>
        <v>3388.4415613920314</v>
      </c>
      <c r="O271" s="91" t="str">
        <f t="shared" si="210"/>
        <v>22,5</v>
      </c>
      <c r="P271" s="67" t="str">
        <f t="shared" si="211"/>
        <v>1+22,9934227313971i</v>
      </c>
      <c r="Q271" s="67">
        <f t="shared" si="222"/>
        <v>23.015157807513049</v>
      </c>
      <c r="R271" s="67">
        <f t="shared" si="223"/>
        <v>1.5273330179194424</v>
      </c>
      <c r="S271" s="67" t="str">
        <f t="shared" si="212"/>
        <v>1+0,638706186983254i</v>
      </c>
      <c r="T271" s="67">
        <f t="shared" si="224"/>
        <v>1.1865688320913741</v>
      </c>
      <c r="U271" s="67">
        <f t="shared" si="225"/>
        <v>0.56839479359558065</v>
      </c>
      <c r="V271" t="str">
        <f t="shared" si="213"/>
        <v>1-0,133063788954844i</v>
      </c>
      <c r="W271" s="67">
        <f t="shared" si="226"/>
        <v>1.0088141414210148</v>
      </c>
      <c r="X271" s="67">
        <f t="shared" si="227"/>
        <v>-0.13228668677103744</v>
      </c>
      <c r="Y271" t="str">
        <f t="shared" si="214"/>
        <v>0,999265181682242+0,369030241368102i</v>
      </c>
      <c r="Z271" s="67">
        <f t="shared" si="228"/>
        <v>1.0652296571005915</v>
      </c>
      <c r="AA271" s="67">
        <f t="shared" si="229"/>
        <v>0.35376548713544154</v>
      </c>
      <c r="AB271" s="92" t="str">
        <f t="shared" si="230"/>
        <v>0,137842869848442-1,08989205716886i</v>
      </c>
      <c r="AC271" s="37">
        <f t="shared" si="231"/>
        <v>0.81658819649753234</v>
      </c>
      <c r="AD271" s="60">
        <f t="shared" si="232"/>
        <v>-82.791851255526666</v>
      </c>
      <c r="AE271" t="str">
        <f t="shared" si="233"/>
        <v>34,4450883806789</v>
      </c>
      <c r="AF271" t="str">
        <f t="shared" si="215"/>
        <v>1+11,4967113656986i</v>
      </c>
      <c r="AG271">
        <f t="shared" si="234"/>
        <v>11.540120113161013</v>
      </c>
      <c r="AH271">
        <f t="shared" si="235"/>
        <v>1.4840333009297721</v>
      </c>
      <c r="AI271" t="str">
        <f t="shared" si="216"/>
        <v>1+0,638706186983254i</v>
      </c>
      <c r="AJ271">
        <f t="shared" si="236"/>
        <v>1.1865688320913741</v>
      </c>
      <c r="AK271">
        <f t="shared" si="237"/>
        <v>0.56839479359558065</v>
      </c>
      <c r="AL271" t="str">
        <f t="shared" si="217"/>
        <v>1-0,0434584514907675i</v>
      </c>
      <c r="AM271">
        <f t="shared" si="238"/>
        <v>1.0009438730548159</v>
      </c>
      <c r="AN271">
        <f t="shared" si="239"/>
        <v>-4.3431123371925048E-2</v>
      </c>
      <c r="AO271" s="58" t="str">
        <f t="shared" si="240"/>
        <v>2,03584521732709-2,9021639914098i</v>
      </c>
      <c r="AP271">
        <f t="shared" si="241"/>
        <v>10.992392725145951</v>
      </c>
      <c r="AQ271" s="60">
        <f t="shared" si="242"/>
        <v>-54.950642098630894</v>
      </c>
      <c r="AR271" t="str">
        <f t="shared" si="218"/>
        <v>-1,36472945891784</v>
      </c>
      <c r="AS271" t="str">
        <f t="shared" si="219"/>
        <v>1+0,478454804669155i</v>
      </c>
      <c r="AT271">
        <f t="shared" si="243"/>
        <v>1.10856619112753</v>
      </c>
      <c r="AU271">
        <f t="shared" si="244"/>
        <v>0.44626337036729796</v>
      </c>
      <c r="AV271" t="str">
        <f t="shared" si="220"/>
        <v>1+0,478454804669155i</v>
      </c>
      <c r="AW271">
        <f t="shared" si="245"/>
        <v>1.10856619112753</v>
      </c>
      <c r="AX271">
        <f t="shared" si="246"/>
        <v>0.44626337036729796</v>
      </c>
      <c r="AY271" t="str">
        <f t="shared" si="221"/>
        <v>1-0,0313509235430759i</v>
      </c>
      <c r="AZ271">
        <f t="shared" si="247"/>
        <v>1.0004913195060734</v>
      </c>
      <c r="BA271">
        <f t="shared" si="248"/>
        <v>-3.1340658193332253E-2</v>
      </c>
      <c r="BB271" s="58" t="str">
        <f t="shared" si="249"/>
        <v>-1,09385445005949+0,566145446163215i</v>
      </c>
      <c r="BC271">
        <f t="shared" si="250"/>
        <v>1.8099652364631247</v>
      </c>
      <c r="BD271" s="60">
        <f t="shared" si="251"/>
        <v>152.63530488503028</v>
      </c>
      <c r="BE271" s="58" t="str">
        <f t="shared" si="252"/>
        <v>0,466257388382919+1,27022238986941i</v>
      </c>
      <c r="BF271" s="37">
        <f t="shared" si="253"/>
        <v>2.6265534329606348</v>
      </c>
      <c r="BG271" s="60">
        <f t="shared" si="254"/>
        <v>69.843453629503571</v>
      </c>
      <c r="BH271" s="58" t="str">
        <f t="shared" si="255"/>
        <v>-0,583871422850049+4,32712949568891i</v>
      </c>
      <c r="BI271" s="37">
        <f t="shared" si="256"/>
        <v>12.802357961609069</v>
      </c>
      <c r="BJ271" s="60">
        <f t="shared" si="257"/>
        <v>97.684662786399414</v>
      </c>
      <c r="BK271">
        <f t="shared" si="258"/>
        <v>2.6265534329606348</v>
      </c>
      <c r="BL271" s="60">
        <f t="shared" si="259"/>
        <v>69.843453629503571</v>
      </c>
      <c r="BN271">
        <f t="shared" si="260"/>
        <v>0</v>
      </c>
      <c r="BO271">
        <f t="shared" si="261"/>
        <v>0</v>
      </c>
    </row>
    <row r="272" spans="13:67" x14ac:dyDescent="0.25">
      <c r="M272" s="66">
        <v>54</v>
      </c>
      <c r="N272" s="36">
        <f t="shared" si="262"/>
        <v>3467.3685045253224</v>
      </c>
      <c r="O272" s="91" t="str">
        <f t="shared" si="210"/>
        <v>22,5</v>
      </c>
      <c r="P272" s="67" t="str">
        <f t="shared" si="211"/>
        <v>1+23,5290083495877i</v>
      </c>
      <c r="Q272" s="67">
        <f t="shared" si="222"/>
        <v>23.550249126388611</v>
      </c>
      <c r="R272" s="67">
        <f t="shared" si="223"/>
        <v>1.5283211602734887</v>
      </c>
      <c r="S272" s="67" t="str">
        <f t="shared" si="212"/>
        <v>1+0,653583565266325i</v>
      </c>
      <c r="T272" s="67">
        <f t="shared" si="224"/>
        <v>1.1946428239378666</v>
      </c>
      <c r="U272" s="67">
        <f t="shared" si="225"/>
        <v>0.57889029918088575</v>
      </c>
      <c r="V272" t="str">
        <f t="shared" si="213"/>
        <v>1-0,136163242763817i</v>
      </c>
      <c r="W272" s="67">
        <f t="shared" si="226"/>
        <v>1.0092276396730115</v>
      </c>
      <c r="X272" s="67">
        <f t="shared" si="227"/>
        <v>-0.13533097341116482</v>
      </c>
      <c r="Y272" t="str">
        <f t="shared" si="214"/>
        <v>0,999230550761845+0,377626059931654i</v>
      </c>
      <c r="Z272" s="67">
        <f t="shared" si="228"/>
        <v>1.0682055676298103</v>
      </c>
      <c r="AA272" s="67">
        <f t="shared" si="229"/>
        <v>0.36132545115925785</v>
      </c>
      <c r="AB272" s="92" t="str">
        <f t="shared" si="230"/>
        <v>0,13413157663679-1,06997455743336i</v>
      </c>
      <c r="AC272" s="37">
        <f t="shared" si="231"/>
        <v>0.65518779799052762</v>
      </c>
      <c r="AD272" s="60">
        <f t="shared" si="232"/>
        <v>-82.854698276020542</v>
      </c>
      <c r="AE272" t="str">
        <f t="shared" si="233"/>
        <v>34,4450883806789</v>
      </c>
      <c r="AF272" t="str">
        <f t="shared" si="215"/>
        <v>1+11,7645041747938i</v>
      </c>
      <c r="AG272">
        <f t="shared" si="234"/>
        <v>11.806928409994731</v>
      </c>
      <c r="AH272">
        <f t="shared" si="235"/>
        <v>1.4859987053636818</v>
      </c>
      <c r="AI272" t="str">
        <f t="shared" si="216"/>
        <v>1+0,653583565266325i</v>
      </c>
      <c r="AJ272">
        <f t="shared" si="236"/>
        <v>1.1946428239378666</v>
      </c>
      <c r="AK272">
        <f t="shared" si="237"/>
        <v>0.57889029918088575</v>
      </c>
      <c r="AL272" t="str">
        <f t="shared" si="217"/>
        <v>1-0,0444707288658755i</v>
      </c>
      <c r="AM272">
        <f t="shared" si="238"/>
        <v>1.0009883344604282</v>
      </c>
      <c r="AN272">
        <f t="shared" si="239"/>
        <v>-4.4441447820262214E-2</v>
      </c>
      <c r="AO272" s="58" t="str">
        <f t="shared" si="240"/>
        <v>2,02488853451079-2,84086413412477i</v>
      </c>
      <c r="AP272">
        <f t="shared" si="241"/>
        <v>10.853149367836277</v>
      </c>
      <c r="AQ272" s="60">
        <f t="shared" si="242"/>
        <v>-54.519790630664836</v>
      </c>
      <c r="AR272" t="str">
        <f t="shared" si="218"/>
        <v>-1,36472945891784</v>
      </c>
      <c r="AS272" t="str">
        <f t="shared" si="219"/>
        <v>1+0,489599448741004i</v>
      </c>
      <c r="AT272">
        <f t="shared" si="243"/>
        <v>1.1134215824239688</v>
      </c>
      <c r="AU272">
        <f t="shared" si="244"/>
        <v>0.45529260293287765</v>
      </c>
      <c r="AV272" t="str">
        <f t="shared" si="220"/>
        <v>1+0,489599448741004i</v>
      </c>
      <c r="AW272">
        <f t="shared" si="245"/>
        <v>1.1134215824239688</v>
      </c>
      <c r="AX272">
        <f t="shared" si="246"/>
        <v>0.45529260293287765</v>
      </c>
      <c r="AY272" t="str">
        <f t="shared" si="221"/>
        <v>1-0,0306372893976336i</v>
      </c>
      <c r="AZ272">
        <f t="shared" si="247"/>
        <v>1.000469211671021</v>
      </c>
      <c r="BA272">
        <f t="shared" si="248"/>
        <v>-3.0627708961756477E-2</v>
      </c>
      <c r="BB272" s="58" t="str">
        <f t="shared" si="249"/>
        <v>-1,08433512476843+0,572701490719475i</v>
      </c>
      <c r="BC272">
        <f t="shared" si="250"/>
        <v>1.7718131834943942</v>
      </c>
      <c r="BD272" s="60">
        <f t="shared" si="251"/>
        <v>152.15881694875677</v>
      </c>
      <c r="BE272" s="58" t="str">
        <f t="shared" si="252"/>
        <v>0,467332444186156+1,23702834912599i</v>
      </c>
      <c r="BF272" s="37">
        <f t="shared" si="253"/>
        <v>2.4270009814849138</v>
      </c>
      <c r="BG272" s="60">
        <f t="shared" si="254"/>
        <v>69.30411867273618</v>
      </c>
      <c r="BH272" s="58" t="str">
        <f t="shared" si="255"/>
        <v>-0,568690637166175+4,24010544758144i</v>
      </c>
      <c r="BI272" s="37">
        <f t="shared" si="256"/>
        <v>12.624962551330665</v>
      </c>
      <c r="BJ272" s="60">
        <f t="shared" si="257"/>
        <v>97.639026318091922</v>
      </c>
      <c r="BK272">
        <f t="shared" si="258"/>
        <v>2.4270009814849138</v>
      </c>
      <c r="BL272" s="60">
        <f t="shared" si="259"/>
        <v>69.30411867273618</v>
      </c>
      <c r="BN272">
        <f t="shared" si="260"/>
        <v>0</v>
      </c>
      <c r="BO272">
        <f t="shared" si="261"/>
        <v>0</v>
      </c>
    </row>
    <row r="273" spans="13:67" x14ac:dyDescent="0.25">
      <c r="M273" s="66">
        <v>55</v>
      </c>
      <c r="N273" s="36">
        <f t="shared" si="262"/>
        <v>3548.1338923357539</v>
      </c>
      <c r="O273" s="91" t="str">
        <f t="shared" si="210"/>
        <v>22,5</v>
      </c>
      <c r="P273" s="67" t="str">
        <f t="shared" si="211"/>
        <v>1+24,0770693594483i</v>
      </c>
      <c r="Q273" s="67">
        <f t="shared" si="222"/>
        <v>24.097827058464922</v>
      </c>
      <c r="R273" s="67">
        <f t="shared" si="223"/>
        <v>1.529286889967441</v>
      </c>
      <c r="S273" s="67" t="str">
        <f t="shared" si="212"/>
        <v>1+0,668807482206898i</v>
      </c>
      <c r="T273" s="67">
        <f t="shared" si="224"/>
        <v>1.2030392546612643</v>
      </c>
      <c r="U273" s="67">
        <f t="shared" si="225"/>
        <v>0.58948324255773588</v>
      </c>
      <c r="V273" t="str">
        <f t="shared" si="213"/>
        <v>1-0,139334892126437i</v>
      </c>
      <c r="W273" s="67">
        <f t="shared" si="226"/>
        <v>1.0096604439928731</v>
      </c>
      <c r="X273" s="67">
        <f t="shared" si="227"/>
        <v>-0.13844355964036101</v>
      </c>
      <c r="Y273" t="str">
        <f t="shared" si="214"/>
        <v>0,999194287736452+0,386422100830652i</v>
      </c>
      <c r="Z273" s="67">
        <f t="shared" si="228"/>
        <v>1.0713128696396446</v>
      </c>
      <c r="AA273" s="67">
        <f t="shared" si="229"/>
        <v>0.36901785685137795</v>
      </c>
      <c r="AB273" s="92" t="str">
        <f t="shared" si="230"/>
        <v>0,130441330043791-1,05056113427323i</v>
      </c>
      <c r="AC273" s="37">
        <f t="shared" si="231"/>
        <v>0.49486906298418942</v>
      </c>
      <c r="AD273" s="60">
        <f t="shared" si="232"/>
        <v>-82.922179998284179</v>
      </c>
      <c r="AE273" t="str">
        <f t="shared" si="233"/>
        <v>34,4450883806789</v>
      </c>
      <c r="AF273" t="str">
        <f t="shared" si="215"/>
        <v>1+12,0385346797242i</v>
      </c>
      <c r="AG273">
        <f t="shared" si="234"/>
        <v>12.079996574292654</v>
      </c>
      <c r="AH273">
        <f t="shared" si="235"/>
        <v>1.4879200064887108</v>
      </c>
      <c r="AI273" t="str">
        <f t="shared" si="216"/>
        <v>1+0,668807482206898i</v>
      </c>
      <c r="AJ273">
        <f t="shared" si="236"/>
        <v>1.2030392546612643</v>
      </c>
      <c r="AK273">
        <f t="shared" si="237"/>
        <v>0.58948324255773588</v>
      </c>
      <c r="AL273" t="str">
        <f t="shared" si="217"/>
        <v>1-0,0455065852100677i</v>
      </c>
      <c r="AM273">
        <f t="shared" si="238"/>
        <v>1.0010348891509633</v>
      </c>
      <c r="AN273">
        <f t="shared" si="239"/>
        <v>-4.5475211755997863E-2</v>
      </c>
      <c r="AO273" s="58" t="str">
        <f t="shared" si="240"/>
        <v>2,01441806574804-2,78098725915839i</v>
      </c>
      <c r="AP273">
        <f t="shared" si="241"/>
        <v>10.71579009911024</v>
      </c>
      <c r="AQ273" s="60">
        <f t="shared" si="242"/>
        <v>-54.082172438718587</v>
      </c>
      <c r="AR273" t="str">
        <f t="shared" si="218"/>
        <v>-1,36472945891784</v>
      </c>
      <c r="AS273" t="str">
        <f t="shared" si="219"/>
        <v>1+0,501003684921187i</v>
      </c>
      <c r="AT273">
        <f t="shared" si="243"/>
        <v>1.1184832105600011</v>
      </c>
      <c r="AU273">
        <f t="shared" si="244"/>
        <v>0.46445023453207668</v>
      </c>
      <c r="AV273" t="str">
        <f t="shared" si="220"/>
        <v>1+0,501003684921187i</v>
      </c>
      <c r="AW273">
        <f t="shared" si="245"/>
        <v>1.1184832105600011</v>
      </c>
      <c r="AX273">
        <f t="shared" si="246"/>
        <v>0.46445023453207668</v>
      </c>
      <c r="AY273" t="str">
        <f t="shared" si="221"/>
        <v>1-0,0299398995485625i</v>
      </c>
      <c r="AZ273">
        <f t="shared" si="247"/>
        <v>1.0004480983964026</v>
      </c>
      <c r="BA273">
        <f t="shared" si="248"/>
        <v>-2.9930958339113935E-2</v>
      </c>
      <c r="BB273" s="58" t="str">
        <f t="shared" si="249"/>
        <v>-1,0745431454439+0,579209938385161i</v>
      </c>
      <c r="BC273">
        <f t="shared" si="250"/>
        <v>1.7322332006292886</v>
      </c>
      <c r="BD273" s="60">
        <f t="shared" si="251"/>
        <v>151.67404417783763</v>
      </c>
      <c r="BE273" s="58" t="str">
        <f t="shared" si="252"/>
        <v>0,468330612771101+1,20442618044061i</v>
      </c>
      <c r="BF273" s="37">
        <f t="shared" si="253"/>
        <v>2.2271022636134727</v>
      </c>
      <c r="BG273" s="60">
        <f t="shared" si="254"/>
        <v>68.751864179553465</v>
      </c>
      <c r="BH273" s="58" t="str">
        <f t="shared" si="255"/>
        <v>-0,553803665580867+4,15506176063934i</v>
      </c>
      <c r="BI273" s="37">
        <f t="shared" si="256"/>
        <v>12.448023299739521</v>
      </c>
      <c r="BJ273" s="60">
        <f t="shared" si="257"/>
        <v>97.591871739119057</v>
      </c>
      <c r="BK273">
        <f t="shared" si="258"/>
        <v>2.2271022636134727</v>
      </c>
      <c r="BL273" s="60">
        <f t="shared" si="259"/>
        <v>68.751864179553465</v>
      </c>
      <c r="BN273">
        <f t="shared" si="260"/>
        <v>0</v>
      </c>
      <c r="BO273">
        <f t="shared" si="261"/>
        <v>0</v>
      </c>
    </row>
    <row r="274" spans="13:67" x14ac:dyDescent="0.25">
      <c r="M274" s="66">
        <v>56</v>
      </c>
      <c r="N274" s="36">
        <f t="shared" si="262"/>
        <v>3630.7805477010188</v>
      </c>
      <c r="O274" s="91" t="str">
        <f t="shared" si="210"/>
        <v>22,5</v>
      </c>
      <c r="P274" s="67" t="str">
        <f t="shared" si="211"/>
        <v>1+24,6378963501812i</v>
      </c>
      <c r="Q274" s="67">
        <f t="shared" si="222"/>
        <v>24.658181939515977</v>
      </c>
      <c r="R274" s="67">
        <f t="shared" si="223"/>
        <v>1.5302307118344833</v>
      </c>
      <c r="S274" s="67" t="str">
        <f t="shared" si="212"/>
        <v>1+0,684386009727256i</v>
      </c>
      <c r="T274" s="67">
        <f t="shared" si="224"/>
        <v>1.2117690416537286</v>
      </c>
      <c r="U274" s="67">
        <f t="shared" si="225"/>
        <v>0.60016973100707161</v>
      </c>
      <c r="V274" t="str">
        <f t="shared" si="213"/>
        <v>1-0,142580418693178i</v>
      </c>
      <c r="W274" s="67">
        <f t="shared" si="226"/>
        <v>1.0101134469923276</v>
      </c>
      <c r="X274" s="67">
        <f t="shared" si="227"/>
        <v>-0.14162585442345693</v>
      </c>
      <c r="Y274" t="str">
        <f t="shared" si="214"/>
        <v>0,999156315687324+0,395423027842414i</v>
      </c>
      <c r="Z274" s="67">
        <f t="shared" si="228"/>
        <v>1.0745569850528776</v>
      </c>
      <c r="AA274" s="67">
        <f t="shared" si="229"/>
        <v>0.37684320770045049</v>
      </c>
      <c r="AB274" s="92" t="str">
        <f t="shared" si="230"/>
        <v>0,12676698003262-1,03163900877839i</v>
      </c>
      <c r="AC274" s="37">
        <f t="shared" si="231"/>
        <v>0.33564038761604192</v>
      </c>
      <c r="AD274" s="60">
        <f t="shared" si="232"/>
        <v>-82.994657959014418</v>
      </c>
      <c r="AE274" t="str">
        <f t="shared" si="233"/>
        <v>34,4450883806789</v>
      </c>
      <c r="AF274" t="str">
        <f t="shared" si="215"/>
        <v>1+12,3189481750906i</v>
      </c>
      <c r="AG274">
        <f t="shared" si="234"/>
        <v>12.359469411773633</v>
      </c>
      <c r="AH274">
        <f t="shared" si="235"/>
        <v>1.4897981662343009</v>
      </c>
      <c r="AI274" t="str">
        <f t="shared" si="216"/>
        <v>1+0,684386009727256i</v>
      </c>
      <c r="AJ274">
        <f t="shared" si="236"/>
        <v>1.2117690416537286</v>
      </c>
      <c r="AK274">
        <f t="shared" si="237"/>
        <v>0.60016973100707161</v>
      </c>
      <c r="AL274" t="str">
        <f t="shared" si="217"/>
        <v>1-0,0465665697480894i</v>
      </c>
      <c r="AM274">
        <f t="shared" si="238"/>
        <v>1.0010836355760211</v>
      </c>
      <c r="AN274">
        <f t="shared" si="239"/>
        <v>-4.6532954451421971E-2</v>
      </c>
      <c r="AO274" s="58" t="str">
        <f t="shared" si="240"/>
        <v>2,00441253038331-2,72250710229672i</v>
      </c>
      <c r="AP274">
        <f t="shared" si="241"/>
        <v>10.580353829292351</v>
      </c>
      <c r="AQ274" s="60">
        <f t="shared" si="242"/>
        <v>-53.638096571688799</v>
      </c>
      <c r="AR274" t="str">
        <f t="shared" si="218"/>
        <v>-1,36472945891784</v>
      </c>
      <c r="AS274" t="str">
        <f t="shared" si="219"/>
        <v>1+0,512673559886687i</v>
      </c>
      <c r="AT274">
        <f t="shared" si="243"/>
        <v>1.1237589505792105</v>
      </c>
      <c r="AU274">
        <f t="shared" si="244"/>
        <v>0.4737349758758238</v>
      </c>
      <c r="AV274" t="str">
        <f t="shared" si="220"/>
        <v>1+0,512673559886687i</v>
      </c>
      <c r="AW274">
        <f t="shared" si="245"/>
        <v>1.1237589505792105</v>
      </c>
      <c r="AX274">
        <f t="shared" si="246"/>
        <v>0.4737349758758238</v>
      </c>
      <c r="AY274" t="str">
        <f t="shared" si="221"/>
        <v>1-0,0292583842305333i</v>
      </c>
      <c r="AZ274">
        <f t="shared" si="247"/>
        <v>1.0004279349597258</v>
      </c>
      <c r="BA274">
        <f t="shared" si="248"/>
        <v>-2.9250039606514081E-2</v>
      </c>
      <c r="BB274" s="58" t="str">
        <f t="shared" si="249"/>
        <v>-1,06447745822909+0,585659226809186i</v>
      </c>
      <c r="BC274">
        <f t="shared" si="250"/>
        <v>1.6911842495619009</v>
      </c>
      <c r="BD274" s="60">
        <f t="shared" si="251"/>
        <v>151.18108145453965</v>
      </c>
      <c r="BE274" s="58" t="str">
        <f t="shared" si="252"/>
        <v>0,469248311534846+1,17239872138524i</v>
      </c>
      <c r="BF274" s="37">
        <f t="shared" si="253"/>
        <v>2.0268246371779557</v>
      </c>
      <c r="BG274" s="60">
        <f t="shared" si="254"/>
        <v>68.186423495525275</v>
      </c>
      <c r="BH274" s="58" t="str">
        <f t="shared" si="255"/>
        <v>-0,53919055107135+4,07195013301439i</v>
      </c>
      <c r="BI274" s="37">
        <f t="shared" si="256"/>
        <v>12.271538078854249</v>
      </c>
      <c r="BJ274" s="60">
        <f t="shared" si="257"/>
        <v>97.54298488285086</v>
      </c>
      <c r="BK274">
        <f t="shared" si="258"/>
        <v>2.0268246371779557</v>
      </c>
      <c r="BL274" s="60">
        <f t="shared" si="259"/>
        <v>68.186423495525275</v>
      </c>
      <c r="BN274">
        <f t="shared" si="260"/>
        <v>0</v>
      </c>
      <c r="BO274">
        <f t="shared" si="261"/>
        <v>0</v>
      </c>
    </row>
    <row r="275" spans="13:67" x14ac:dyDescent="0.25">
      <c r="M275" s="66">
        <v>57</v>
      </c>
      <c r="N275" s="36">
        <f t="shared" si="262"/>
        <v>3715.352290971724</v>
      </c>
      <c r="O275" s="91" t="str">
        <f t="shared" ref="O275:O338" si="263">COMPLEX(adc,0)</f>
        <v>22,5</v>
      </c>
      <c r="P275" s="67" t="str">
        <f t="shared" ref="P275:P338" si="264">IMSUM(COMPLEX(1,0),IMDIV(COMPLEX(0,2*PI()*N275),COMPLEX(wp_lf,0)))</f>
        <v>1+25,21178667968i</v>
      </c>
      <c r="Q275" s="67">
        <f t="shared" si="222"/>
        <v>25.231610879642421</v>
      </c>
      <c r="R275" s="67">
        <f t="shared" si="223"/>
        <v>1.5311531195715775</v>
      </c>
      <c r="S275" s="67" t="str">
        <f t="shared" ref="S275:S338" si="265">IMSUM(COMPLEX(1,0),IMDIV(COMPLEX(0,2*PI()*N275),COMPLEX(wz_esr,0)))</f>
        <v>1+0,700327407768889i</v>
      </c>
      <c r="T275" s="67">
        <f t="shared" si="224"/>
        <v>1.2208433470647624</v>
      </c>
      <c r="U275" s="67">
        <f t="shared" si="225"/>
        <v>0.61094566734954547</v>
      </c>
      <c r="V275" t="str">
        <f t="shared" ref="V275:V338" si="266">IMSUB(COMPLEX(1,0),IMDIV(COMPLEX(0,2*PI()*N275),COMPLEX(wz_rhp,0)))</f>
        <v>1-0,145901543285185i</v>
      </c>
      <c r="W275" s="67">
        <f t="shared" si="226"/>
        <v>1.0105875817231273</v>
      </c>
      <c r="X275" s="67">
        <f t="shared" si="227"/>
        <v>-0.14487928710342229</v>
      </c>
      <c r="Y275" t="str">
        <f t="shared" ref="Y275:Y338" si="267">IMSUM(COMPLEX(1,0),IMDIV(COMPLEX(0,2*PI()*N275),COMPLEX(Q*(wsl/2),0)),IMDIV(IMPOWER(COMPLEX(0,2*PI()*N275),2),IMPOWER(COMPLEX(wsl/2,0),2)))</f>
        <v>0,999116554070654+0,40463361337758i</v>
      </c>
      <c r="Z275" s="67">
        <f t="shared" si="228"/>
        <v>1.0779435280630496</v>
      </c>
      <c r="AA275" s="67">
        <f t="shared" si="229"/>
        <v>0.38480188955402422</v>
      </c>
      <c r="AB275" s="92" t="str">
        <f t="shared" si="230"/>
        <v>0,123103593328654-1,01319551755732i</v>
      </c>
      <c r="AC275" s="37">
        <f t="shared" si="231"/>
        <v>0.17750856973816065</v>
      </c>
      <c r="AD275" s="60">
        <f t="shared" si="232"/>
        <v>-83.072499198803953</v>
      </c>
      <c r="AE275" t="str">
        <f t="shared" si="233"/>
        <v>34,4450883806789</v>
      </c>
      <c r="AF275" t="str">
        <f t="shared" ref="AF275:AF338" si="268">IMSUM(COMPLEX(1,0),IMDIV(COMPLEX(0,2*PI()*N275),COMPLEX(wp_lf_DCM,0)))</f>
        <v>1+12,60589333984i</v>
      </c>
      <c r="AG275">
        <f t="shared" si="234"/>
        <v>12.64549512258901</v>
      </c>
      <c r="AH275">
        <f t="shared" si="235"/>
        <v>1.4916341273946681</v>
      </c>
      <c r="AI275" t="str">
        <f t="shared" ref="AI275:AI338" si="269">IMSUM(COMPLEX(1,0),IMDIV(COMPLEX(0,2*PI()*N275),COMPLEX(wz1_dcm,0)))</f>
        <v>1+0,700327407768889i</v>
      </c>
      <c r="AJ275">
        <f t="shared" si="236"/>
        <v>1.2208433470647624</v>
      </c>
      <c r="AK275">
        <f t="shared" si="237"/>
        <v>0.61094566734954547</v>
      </c>
      <c r="AL275" t="str">
        <f t="shared" ref="AL275:AL338" si="270">IMSUB(COMPLEX(1,0),IMDIV(COMPLEX(0,2*PI()*N275),COMPLEX(wz2_dcm,0)))</f>
        <v>1-0,0476512444977728i</v>
      </c>
      <c r="AM275">
        <f t="shared" si="238"/>
        <v>1.0011346768053668</v>
      </c>
      <c r="AN275">
        <f t="shared" si="239"/>
        <v>-4.7615227262939923E-2</v>
      </c>
      <c r="AO275" s="58" t="str">
        <f t="shared" si="240"/>
        <v>1,99485155331049-2,66539778201025i</v>
      </c>
      <c r="AP275">
        <f t="shared" si="241"/>
        <v>10.44687820792956</v>
      </c>
      <c r="AQ275" s="60">
        <f t="shared" si="242"/>
        <v>-53.187883389184158</v>
      </c>
      <c r="AR275" t="str">
        <f t="shared" ref="AR275:AR338" si="271">COMPLEX(adc_ea,0)</f>
        <v>-1,36472945891784</v>
      </c>
      <c r="AS275" t="str">
        <f t="shared" ref="AS275:AS338" si="272">IMSUM(COMPLEX(1,0), IMDIV(COMPLEX(0,2*PI()*N275), COMPLEX(wp0_ea,0)))</f>
        <v>1+0,524615261159675i</v>
      </c>
      <c r="AT275">
        <f t="shared" si="243"/>
        <v>1.1292569115314877</v>
      </c>
      <c r="AU275">
        <f t="shared" si="244"/>
        <v>0.48314534570478918</v>
      </c>
      <c r="AV275" t="str">
        <f t="shared" ref="AV275:AV338" si="273">IMSUM(COMPLEX(1,0),IMDIV(COMPLEX(0,2*PI()*N275),COMPLEX(wp1_ea,0)))</f>
        <v>1+0,524615261159675i</v>
      </c>
      <c r="AW275">
        <f t="shared" si="245"/>
        <v>1.1292569115314877</v>
      </c>
      <c r="AX275">
        <f t="shared" si="246"/>
        <v>0.48314534570478918</v>
      </c>
      <c r="AY275" t="str">
        <f t="shared" ref="AY275:AY338" si="274">IMSUM(COMPLEX(1,0),IMDIV(COMPLEX(wz_ea,0),COMPLEX(0,2*PI()*N275)))</f>
        <v>1-0,0285923820951037i</v>
      </c>
      <c r="AZ275">
        <f t="shared" si="247"/>
        <v>1.0004086786478177</v>
      </c>
      <c r="BA275">
        <f t="shared" si="248"/>
        <v>-2.8584594258942757E-2</v>
      </c>
      <c r="BB275" s="58" t="str">
        <f t="shared" si="249"/>
        <v>-1,05413754593729+0,592037510105934i</v>
      </c>
      <c r="BC275">
        <f t="shared" si="250"/>
        <v>1.6486251921051953</v>
      </c>
      <c r="BD275" s="60">
        <f t="shared" si="251"/>
        <v>150.68003418959512</v>
      </c>
      <c r="BE275" s="58" t="str">
        <f t="shared" si="252"/>
        <v>0,470081631697599+1,14092938131193i</v>
      </c>
      <c r="BF275" s="37">
        <f t="shared" si="253"/>
        <v>1.8261337618433857</v>
      </c>
      <c r="BG275" s="60">
        <f t="shared" si="254"/>
        <v>67.607534990791279</v>
      </c>
      <c r="BH275" s="58" t="str">
        <f t="shared" si="255"/>
        <v>-0,524832454612683+3,99072282352788i</v>
      </c>
      <c r="BI275" s="37">
        <f t="shared" si="256"/>
        <v>12.095503400034762</v>
      </c>
      <c r="BJ275" s="60">
        <f t="shared" si="257"/>
        <v>97.492150800410968</v>
      </c>
      <c r="BK275">
        <f t="shared" si="258"/>
        <v>1.8261337618433857</v>
      </c>
      <c r="BL275" s="60">
        <f t="shared" si="259"/>
        <v>67.607534990791279</v>
      </c>
      <c r="BN275">
        <f t="shared" si="260"/>
        <v>0</v>
      </c>
      <c r="BO275">
        <f t="shared" si="261"/>
        <v>0</v>
      </c>
    </row>
    <row r="276" spans="13:67" x14ac:dyDescent="0.25">
      <c r="M276" s="66">
        <v>58</v>
      </c>
      <c r="N276" s="36">
        <f t="shared" si="262"/>
        <v>3801.8939632056172</v>
      </c>
      <c r="O276" s="91" t="str">
        <f t="shared" si="263"/>
        <v>22,5</v>
      </c>
      <c r="P276" s="67" t="str">
        <f t="shared" si="264"/>
        <v>1+25,7990446321938i</v>
      </c>
      <c r="Q276" s="67">
        <f t="shared" ref="Q276:Q339" si="275">IMABS(P276)</f>
        <v>25.818417920816294</v>
      </c>
      <c r="R276" s="67">
        <f t="shared" ref="R276:R339" si="276">IMARGUMENT(P276)</f>
        <v>1.5320545959693936</v>
      </c>
      <c r="S276" s="67" t="str">
        <f t="shared" si="265"/>
        <v>1+0,71664012867205i</v>
      </c>
      <c r="T276" s="67">
        <f t="shared" ref="T276:T339" si="277">IMABS(S276)</f>
        <v>1.2302735769019393</v>
      </c>
      <c r="U276" s="67">
        <f t="shared" ref="U276:U339" si="278">IMARGUMENT(S276)</f>
        <v>0.62180675470872004</v>
      </c>
      <c r="V276" t="str">
        <f t="shared" si="266"/>
        <v>1-0,149300026806677i</v>
      </c>
      <c r="W276" s="67">
        <f t="shared" ref="W276:W339" si="279">IMABS(V276)</f>
        <v>1.0110838234313091</v>
      </c>
      <c r="X276" s="67">
        <f t="shared" ref="X276:X339" si="280">IMARGUMENT(V276)</f>
        <v>-0.14820530705354454</v>
      </c>
      <c r="Y276" t="str">
        <f t="shared" si="267"/>
        <v>0,999074918546723+0,414058741010517i</v>
      </c>
      <c r="Z276" s="67">
        <f t="shared" ref="Z276:Z339" si="281">IMABS(Y276)</f>
        <v>1.0814783094802944</v>
      </c>
      <c r="AA276" s="67">
        <f t="shared" ref="AA276:AA339" si="282">IMARGUMENT(Y276)</f>
        <v>0.39289416379807346</v>
      </c>
      <c r="AB276" s="92" t="str">
        <f t="shared" ref="AB276:AB339" si="283">(IMDIV(IMPRODUCT(O276,S276,V276),IMPRODUCT(P276,Y276)))</f>
        <v>0,119446453547075-0,995218108352136i</v>
      </c>
      <c r="AC276" s="37">
        <f t="shared" ref="AC276:AC339" si="284">20*LOG(IMABS(AB276))</f>
        <v>2.0478736969802416E-2</v>
      </c>
      <c r="AD276" s="60">
        <f t="shared" ref="AD276:AD339" si="285">(180/PI())*IMARGUMENT(AB276)</f>
        <v>-83.156075591690481</v>
      </c>
      <c r="AE276" t="str">
        <f t="shared" ref="AE276:AE339" si="286">COMPLEX($B$67,0)</f>
        <v>34,4450883806789</v>
      </c>
      <c r="AF276" t="str">
        <f t="shared" si="268"/>
        <v>1+12,8995223160969i</v>
      </c>
      <c r="AG276">
        <f t="shared" ref="AG276:AG339" si="287">IMABS(AF276)</f>
        <v>12.938225379992495</v>
      </c>
      <c r="AH276">
        <f t="shared" ref="AH276:AH339" si="288">IMARGUMENT(AF276)</f>
        <v>1.4934288138845353</v>
      </c>
      <c r="AI276" t="str">
        <f t="shared" si="269"/>
        <v>1+0,71664012867205i</v>
      </c>
      <c r="AJ276">
        <f t="shared" ref="AJ276:AJ339" si="289">IMABS(AI276)</f>
        <v>1.2302735769019393</v>
      </c>
      <c r="AK276">
        <f t="shared" ref="AK276:AK339" si="290">IMARGUMENT(AI276)</f>
        <v>0.62180675470872004</v>
      </c>
      <c r="AL276" t="str">
        <f t="shared" si="270"/>
        <v>1-0,0487611845680278i</v>
      </c>
      <c r="AM276">
        <f t="shared" ref="AM276:AM339" si="291">IMABS(AL276)</f>
        <v>1.0011881207447866</v>
      </c>
      <c r="AN276">
        <f t="shared" ref="AN276:AN339" si="292">IMARGUMENT(AL276)</f>
        <v>-4.8722593878701217E-2</v>
      </c>
      <c r="AO276" s="58" t="str">
        <f t="shared" ref="AO276:AO339" si="293">(IMDIV(IMPRODUCT(AE276,AI276,AL276),IMPRODUCT(AF276)))</f>
        <v>1,98571562871299-2,60963380874813i</v>
      </c>
      <c r="AP276">
        <f t="shared" ref="AP276:AP339" si="294">20*LOG(IMABS(AO276))</f>
        <v>10.31539951698662</v>
      </c>
      <c r="AQ276" s="60">
        <f t="shared" ref="AQ276:AQ339" si="295">(180/PI())*IMARGUMENT(AO276)</f>
        <v>-52.731864317455866</v>
      </c>
      <c r="AR276" t="str">
        <f t="shared" si="271"/>
        <v>-1,36472945891784</v>
      </c>
      <c r="AS276" t="str">
        <f t="shared" si="272"/>
        <v>1+0,536835120388233i</v>
      </c>
      <c r="AT276">
        <f t="shared" ref="AT276:AT339" si="296">IMABS(AS276)</f>
        <v>1.1349854388855607</v>
      </c>
      <c r="AU276">
        <f t="shared" ref="AU276:AU339" si="297">IMARGUMENT(AS276)</f>
        <v>0.49267966595775414</v>
      </c>
      <c r="AV276" t="str">
        <f t="shared" si="273"/>
        <v>1+0,536835120388233i</v>
      </c>
      <c r="AW276">
        <f t="shared" ref="AW276:AW339" si="298">IMABS(AV276)</f>
        <v>1.1349854388855607</v>
      </c>
      <c r="AX276">
        <f t="shared" ref="AX276:AX339" si="299">IMARGUMENT(AV276)</f>
        <v>0.49267966595775414</v>
      </c>
      <c r="AY276" t="str">
        <f t="shared" si="274"/>
        <v>1-0,0279415400191258i</v>
      </c>
      <c r="AZ276">
        <f t="shared" ref="AZ276:AZ339" si="300">IMABS(AY276)</f>
        <v>1.0003902886666984</v>
      </c>
      <c r="BA276">
        <f t="shared" ref="BA276:BA339" si="301">IMARGUMENT(AY276)</f>
        <v>-2.7934271827184266E-2</v>
      </c>
      <c r="BB276" s="58" t="str">
        <f t="shared" ref="BB276:BB339" si="302">IMDIV(IMPRODUCT(AR276,AY276), AS276)</f>
        <v>-1,04352345991987+0,598332685025663i</v>
      </c>
      <c r="BC276">
        <f t="shared" ref="BC276:BC339" si="303">20*LOG(IMABS(BB276))</f>
        <v>1.6045148716421933</v>
      </c>
      <c r="BD276" s="60">
        <f t="shared" ref="BD276:BD339" si="304">(180/PI())*IMARGUMENT(BB276)</f>
        <v>150.17101860923654</v>
      </c>
      <c r="BE276" s="58" t="str">
        <f t="shared" ref="BE276:BE339" si="305">IMPRODUCT(AB276,BB276)</f>
        <v>0,470826346475893+1,11000216107014i</v>
      </c>
      <c r="BF276" s="37">
        <f t="shared" ref="BF276:BF339" si="306">20*LOG(IMABS(BE276))</f>
        <v>1.6249936086119749</v>
      </c>
      <c r="BG276" s="60">
        <f t="shared" ref="BG276:BG339" si="307">(180/PI())*IMARGUMENT(BE276)</f>
        <v>67.014943017546003</v>
      </c>
      <c r="BH276" s="58" t="str">
        <f t="shared" ref="BH276:BH339" si="308">IMPRODUCT(AO276,BB276)</f>
        <v>-0,510711639569523+3,91133266505398i</v>
      </c>
      <c r="BI276" s="37">
        <f t="shared" ref="BI276:BI339" si="309">20*LOG(IMABS(BH276))</f>
        <v>11.919914388628809</v>
      </c>
      <c r="BJ276" s="60">
        <f t="shared" ref="BJ276:BJ339" si="310">(180/PI())*IMARGUMENT(BH276)</f>
        <v>97.439154291780682</v>
      </c>
      <c r="BK276">
        <f t="shared" ref="BK276:BK339" si="311">IF($B$19=0,BF276,BI276)</f>
        <v>1.6249936086119749</v>
      </c>
      <c r="BL276" s="60">
        <f t="shared" ref="BL276:BL339" si="312">IF($B$19=0,BG276,BJ276)</f>
        <v>67.014943017546003</v>
      </c>
      <c r="BN276">
        <f t="shared" si="260"/>
        <v>0</v>
      </c>
      <c r="BO276">
        <f t="shared" si="261"/>
        <v>0</v>
      </c>
    </row>
    <row r="277" spans="13:67" x14ac:dyDescent="0.25">
      <c r="M277" s="66">
        <v>59</v>
      </c>
      <c r="N277" s="36">
        <f t="shared" si="262"/>
        <v>3890.451449942811</v>
      </c>
      <c r="O277" s="91" t="str">
        <f t="shared" si="263"/>
        <v>22,5</v>
      </c>
      <c r="P277" s="67" t="str">
        <f t="shared" si="264"/>
        <v>1+26,3999815796623i</v>
      </c>
      <c r="Q277" s="67">
        <f t="shared" si="275"/>
        <v>26.41891419809884</v>
      </c>
      <c r="R277" s="67">
        <f t="shared" si="276"/>
        <v>1.5329356131385583</v>
      </c>
      <c r="S277" s="67" t="str">
        <f t="shared" si="265"/>
        <v>1+0,733332821657287i</v>
      </c>
      <c r="T277" s="67">
        <f t="shared" si="277"/>
        <v>1.2400713799293321</v>
      </c>
      <c r="U277" s="67">
        <f t="shared" si="278"/>
        <v>0.63274850226478863</v>
      </c>
      <c r="V277" t="str">
        <f t="shared" si="266"/>
        <v>1-0,152777671178601i</v>
      </c>
      <c r="W277" s="67">
        <f t="shared" si="279"/>
        <v>1.0116031913802748</v>
      </c>
      <c r="X277" s="67">
        <f t="shared" si="280"/>
        <v>-0.15160538327047995</v>
      </c>
      <c r="Y277" t="str">
        <f t="shared" si="267"/>
        <v>0,999031320801001+0,423703408068654i</v>
      </c>
      <c r="Z277" s="67">
        <f t="shared" si="281"/>
        <v>1.0851673409895752</v>
      </c>
      <c r="AA277" s="67">
        <f t="shared" si="282"/>
        <v>0.40112016050029187</v>
      </c>
      <c r="AB277" s="92" t="str">
        <f t="shared" si="283"/>
        <v>0,115791061968769-0,977694336110801i</v>
      </c>
      <c r="AC277" s="37">
        <f t="shared" si="284"/>
        <v>-0.1354457194696215</v>
      </c>
      <c r="AD277" s="60">
        <f t="shared" si="285"/>
        <v>-83.245763112280756</v>
      </c>
      <c r="AE277" t="str">
        <f t="shared" si="286"/>
        <v>34,4450883806789</v>
      </c>
      <c r="AF277" t="str">
        <f t="shared" si="268"/>
        <v>1+13,1999907898312i</v>
      </c>
      <c r="AG277">
        <f t="shared" si="287"/>
        <v>13.237815410845872</v>
      </c>
      <c r="AH277">
        <f t="shared" si="288"/>
        <v>1.4951831310005732</v>
      </c>
      <c r="AI277" t="str">
        <f t="shared" si="269"/>
        <v>1+0,733332821657287i</v>
      </c>
      <c r="AJ277">
        <f t="shared" si="289"/>
        <v>1.2400713799293321</v>
      </c>
      <c r="AK277">
        <f t="shared" si="290"/>
        <v>0.63274850226478863</v>
      </c>
      <c r="AL277" t="str">
        <f t="shared" si="270"/>
        <v>1-0,0498969784637713i</v>
      </c>
      <c r="AM277">
        <f t="shared" si="291"/>
        <v>1.0012440803619336</v>
      </c>
      <c r="AN277">
        <f t="shared" si="292"/>
        <v>-4.9855630569606367E-2</v>
      </c>
      <c r="AO277" s="58" t="str">
        <f t="shared" si="293"/>
        <v>1,97698608505277-2,55519009299652i</v>
      </c>
      <c r="AP277">
        <f t="shared" si="294"/>
        <v>10.185952565224309</v>
      </c>
      <c r="AQ277" s="60">
        <f t="shared" si="295"/>
        <v>-52.270381549094303</v>
      </c>
      <c r="AR277" t="str">
        <f t="shared" si="271"/>
        <v>-1,36472945891784</v>
      </c>
      <c r="AS277" t="str">
        <f t="shared" si="272"/>
        <v>1+0,549339616703474i</v>
      </c>
      <c r="AT277">
        <f t="shared" si="296"/>
        <v>1.1409531166879381</v>
      </c>
      <c r="AU277">
        <f t="shared" si="297"/>
        <v>0.50233605742033993</v>
      </c>
      <c r="AV277" t="str">
        <f t="shared" si="273"/>
        <v>1+0,549339616703474i</v>
      </c>
      <c r="AW277">
        <f t="shared" si="298"/>
        <v>1.1409531166879381</v>
      </c>
      <c r="AX277">
        <f t="shared" si="299"/>
        <v>0.50233605742033993</v>
      </c>
      <c r="AY277" t="str">
        <f t="shared" si="274"/>
        <v>1-0,0273055129175161i</v>
      </c>
      <c r="AZ277">
        <f t="shared" si="300"/>
        <v>1.000372726055488</v>
      </c>
      <c r="BA277">
        <f t="shared" si="301"/>
        <v>-2.7298729703207833E-2</v>
      </c>
      <c r="BB277" s="58" t="str">
        <f t="shared" si="302"/>
        <v>-1,03263585083247+0,604532420359971i</v>
      </c>
      <c r="BC277">
        <f t="shared" si="303"/>
        <v>1.5588121992751827</v>
      </c>
      <c r="BD277" s="60">
        <f t="shared" si="304"/>
        <v>149.65416201451089</v>
      </c>
      <c r="BE277" s="58" t="str">
        <f t="shared" si="305"/>
        <v>0,471477921586382+1,0796016735719i</v>
      </c>
      <c r="BF277" s="37">
        <f t="shared" si="306"/>
        <v>1.4233664798055936</v>
      </c>
      <c r="BG277" s="60">
        <f t="shared" si="307"/>
        <v>66.40839890223026</v>
      </c>
      <c r="BH277" s="58" t="str">
        <f t="shared" si="308"/>
        <v>-0,496811456623416+3,83373307873509i</v>
      </c>
      <c r="BI277" s="37">
        <f t="shared" si="309"/>
        <v>11.744764764499482</v>
      </c>
      <c r="BJ277" s="60">
        <f t="shared" si="310"/>
        <v>97.383780465416606</v>
      </c>
      <c r="BK277">
        <f t="shared" si="311"/>
        <v>1.4233664798055936</v>
      </c>
      <c r="BL277" s="60">
        <f t="shared" si="312"/>
        <v>66.40839890223026</v>
      </c>
      <c r="BN277">
        <f t="shared" ref="BN277:BN340" si="313">SUM((BK278&lt;0)*(BK277&gt;0))*N277</f>
        <v>0</v>
      </c>
      <c r="BO277">
        <f t="shared" ref="BO277:BO340" si="314">IF(BN277&gt;0,BL277,0)</f>
        <v>0</v>
      </c>
    </row>
    <row r="278" spans="13:67" x14ac:dyDescent="0.25">
      <c r="M278" s="66">
        <v>60</v>
      </c>
      <c r="N278" s="36">
        <f t="shared" si="262"/>
        <v>3981.0717055349769</v>
      </c>
      <c r="O278" s="91" t="str">
        <f t="shared" si="263"/>
        <v>22,5</v>
      </c>
      <c r="P278" s="67" t="str">
        <f t="shared" si="264"/>
        <v>1+27,0149161468094i</v>
      </c>
      <c r="Q278" s="67">
        <f t="shared" si="275"/>
        <v>27.03341810461902</v>
      </c>
      <c r="R278" s="67">
        <f t="shared" si="276"/>
        <v>1.5337966327322126</v>
      </c>
      <c r="S278" s="67" t="str">
        <f t="shared" si="265"/>
        <v>1+0,750414337411372i</v>
      </c>
      <c r="T278" s="67">
        <f t="shared" si="277"/>
        <v>1.2502486463870091</v>
      </c>
      <c r="U278" s="67">
        <f t="shared" si="278"/>
        <v>0.64376623200212657</v>
      </c>
      <c r="V278" t="str">
        <f t="shared" si="266"/>
        <v>1-0,156336320294036i</v>
      </c>
      <c r="W278" s="67">
        <f t="shared" si="279"/>
        <v>1.0121467507447126</v>
      </c>
      <c r="X278" s="67">
        <f t="shared" si="280"/>
        <v>-0.15508100390403692</v>
      </c>
      <c r="Y278" t="str">
        <f t="shared" si="267"/>
        <v>0,998985668356825+0,433572728282125i</v>
      </c>
      <c r="Z278" s="67">
        <f t="shared" si="281"/>
        <v>1.0890168393061412</v>
      </c>
      <c r="AA278" s="67">
        <f t="shared" si="282"/>
        <v>0.40947987154841303</v>
      </c>
      <c r="AB278" s="92" t="str">
        <f t="shared" si="283"/>
        <v>0,112133138928079-0,96061185957069i</v>
      </c>
      <c r="AC278" s="37">
        <f t="shared" si="284"/>
        <v>-0.29026320422076057</v>
      </c>
      <c r="AD278" s="60">
        <f t="shared" si="285"/>
        <v>-83.34194104180763</v>
      </c>
      <c r="AE278" t="str">
        <f t="shared" si="286"/>
        <v>34,4450883806789</v>
      </c>
      <c r="AF278" t="str">
        <f t="shared" si="268"/>
        <v>1+13,5074580734047i</v>
      </c>
      <c r="AG278">
        <f t="shared" si="287"/>
        <v>13.544424078002942</v>
      </c>
      <c r="AH278">
        <f t="shared" si="288"/>
        <v>1.4968979656876964</v>
      </c>
      <c r="AI278" t="str">
        <f t="shared" si="269"/>
        <v>1+0,750414337411372i</v>
      </c>
      <c r="AJ278">
        <f t="shared" si="289"/>
        <v>1.2502486463870091</v>
      </c>
      <c r="AK278">
        <f t="shared" si="290"/>
        <v>0.64376623200212657</v>
      </c>
      <c r="AL278" t="str">
        <f t="shared" si="270"/>
        <v>1-0,0510592283979607i</v>
      </c>
      <c r="AM278">
        <f t="shared" si="291"/>
        <v>1.0013026739226232</v>
      </c>
      <c r="AN278">
        <f t="shared" si="292"/>
        <v>-5.1014926443608319E-2</v>
      </c>
      <c r="AO278" s="58" t="str">
        <f t="shared" si="293"/>
        <v>1,96864505128431-2,50204195219213i</v>
      </c>
      <c r="AP278">
        <f t="shared" si="294"/>
        <v>10.058570584524563</v>
      </c>
      <c r="AQ278" s="60">
        <f t="shared" si="295"/>
        <v>-51.803787686251042</v>
      </c>
      <c r="AR278" t="str">
        <f t="shared" si="271"/>
        <v>-1,36472945891784</v>
      </c>
      <c r="AS278" t="str">
        <f t="shared" si="272"/>
        <v>1+0,562135380154859i</v>
      </c>
      <c r="AT278">
        <f t="shared" si="296"/>
        <v>1.1471687694589003</v>
      </c>
      <c r="AU278">
        <f t="shared" si="297"/>
        <v>0.51211243590953326</v>
      </c>
      <c r="AV278" t="str">
        <f t="shared" si="273"/>
        <v>1+0,562135380154859i</v>
      </c>
      <c r="AW278">
        <f t="shared" si="298"/>
        <v>1.1471687694589003</v>
      </c>
      <c r="AX278">
        <f t="shared" si="299"/>
        <v>0.51211243590953326</v>
      </c>
      <c r="AY278" t="str">
        <f t="shared" si="274"/>
        <v>1-0,0266839635602865i</v>
      </c>
      <c r="AZ278">
        <f t="shared" si="300"/>
        <v>1.0003559536041593</v>
      </c>
      <c r="BA278">
        <f t="shared" si="301"/>
        <v>-2.6677632968976423E-2</v>
      </c>
      <c r="BB278" s="58" t="str">
        <f t="shared" si="302"/>
        <v>-1,02147599797097+0,610624189589891i</v>
      </c>
      <c r="BC278">
        <f t="shared" si="303"/>
        <v>1.5114762444829799</v>
      </c>
      <c r="BD278" s="60">
        <f t="shared" si="304"/>
        <v>149.12960300969837</v>
      </c>
      <c r="BE278" s="58" t="str">
        <f t="shared" si="305"/>
        <v>0,472031528268614+1,04971316500185i</v>
      </c>
      <c r="BF278" s="37">
        <f t="shared" si="306"/>
        <v>1.2212130402622303</v>
      </c>
      <c r="BG278" s="60">
        <f t="shared" si="307"/>
        <v>65.787661967890756</v>
      </c>
      <c r="BH278" s="58" t="str">
        <f t="shared" si="308"/>
        <v>-0,483116329034024+3,75787808911132i</v>
      </c>
      <c r="BI278" s="37">
        <f t="shared" si="309"/>
        <v>11.570046829007543</v>
      </c>
      <c r="BJ278" s="60">
        <f t="shared" si="310"/>
        <v>97.325815323447316</v>
      </c>
      <c r="BK278">
        <f t="shared" si="311"/>
        <v>1.2212130402622303</v>
      </c>
      <c r="BL278" s="60">
        <f t="shared" si="312"/>
        <v>65.787661967890756</v>
      </c>
      <c r="BN278">
        <f t="shared" si="313"/>
        <v>0</v>
      </c>
      <c r="BO278">
        <f t="shared" si="314"/>
        <v>0</v>
      </c>
    </row>
    <row r="279" spans="13:67" x14ac:dyDescent="0.25">
      <c r="M279" s="66">
        <v>61</v>
      </c>
      <c r="N279" s="36">
        <f t="shared" si="262"/>
        <v>4073.8027780411317</v>
      </c>
      <c r="O279" s="91" t="str">
        <f t="shared" si="263"/>
        <v>22,5</v>
      </c>
      <c r="P279" s="67" t="str">
        <f t="shared" si="264"/>
        <v>1+27,6441743800822i</v>
      </c>
      <c r="Q279" s="67">
        <f t="shared" si="275"/>
        <v>27.662255460399344</v>
      </c>
      <c r="R279" s="67">
        <f t="shared" si="276"/>
        <v>1.5346381061648589</v>
      </c>
      <c r="S279" s="67" t="str">
        <f t="shared" si="265"/>
        <v>1+0,767893732780063i</v>
      </c>
      <c r="T279" s="67">
        <f t="shared" si="277"/>
        <v>1.2608175065579075</v>
      </c>
      <c r="U279" s="67">
        <f t="shared" si="278"/>
        <v>0.65485508644540102</v>
      </c>
      <c r="V279" t="str">
        <f t="shared" si="266"/>
        <v>1-0,159977860995846i</v>
      </c>
      <c r="W279" s="67">
        <f t="shared" si="279"/>
        <v>1.012715614577363</v>
      </c>
      <c r="X279" s="67">
        <f t="shared" si="280"/>
        <v>-0.15863367571934306</v>
      </c>
      <c r="Y279" t="str">
        <f t="shared" si="267"/>
        <v>0,99893786437924+0,443671934495147i</v>
      </c>
      <c r="Z279" s="67">
        <f t="shared" si="281"/>
        <v>1.0930332302127064</v>
      </c>
      <c r="AA279" s="67">
        <f t="shared" si="282"/>
        <v>0.41797314381777739</v>
      </c>
      <c r="AB279" s="92" t="str">
        <f t="shared" si="283"/>
        <v>0,108468625770682-0,943958438407181i</v>
      </c>
      <c r="AC279" s="37">
        <f t="shared" si="284"/>
        <v>-0.44397396961182717</v>
      </c>
      <c r="AD279" s="60">
        <f t="shared" si="285"/>
        <v>-83.444991115138237</v>
      </c>
      <c r="AE279" t="str">
        <f t="shared" si="286"/>
        <v>34,4450883806789</v>
      </c>
      <c r="AF279" t="str">
        <f t="shared" si="268"/>
        <v>1+13,8220871900411i</v>
      </c>
      <c r="AG279">
        <f t="shared" si="287"/>
        <v>13.858213964616736</v>
      </c>
      <c r="AH279">
        <f t="shared" si="288"/>
        <v>1.4985741868094338</v>
      </c>
      <c r="AI279" t="str">
        <f t="shared" si="269"/>
        <v>1+0,767893732780063i</v>
      </c>
      <c r="AJ279">
        <f t="shared" si="289"/>
        <v>1.2608175065579075</v>
      </c>
      <c r="AK279">
        <f t="shared" si="290"/>
        <v>0.65485508644540102</v>
      </c>
      <c r="AL279" t="str">
        <f t="shared" si="270"/>
        <v>1-0,0522485506108958i</v>
      </c>
      <c r="AM279">
        <f t="shared" si="291"/>
        <v>1.0013640252380447</v>
      </c>
      <c r="AN279">
        <f t="shared" si="292"/>
        <v>-5.2201083703205559E-2</v>
      </c>
      <c r="AO279" s="58" t="str">
        <f t="shared" si="293"/>
        <v>1,96067542426779-2,45016511657623i</v>
      </c>
      <c r="AP279">
        <f t="shared" si="294"/>
        <v>9.9332851289412627</v>
      </c>
      <c r="AQ279" s="60">
        <f t="shared" si="295"/>
        <v>-51.332445327636712</v>
      </c>
      <c r="AR279" t="str">
        <f t="shared" si="271"/>
        <v>-1,36472945891784</v>
      </c>
      <c r="AS279" t="str">
        <f t="shared" si="272"/>
        <v>1+0,575229195225545i</v>
      </c>
      <c r="AT279">
        <f t="shared" si="296"/>
        <v>1.1536414638178658</v>
      </c>
      <c r="AU279">
        <f t="shared" si="297"/>
        <v>0.52200650904928936</v>
      </c>
      <c r="AV279" t="str">
        <f t="shared" si="273"/>
        <v>1+0,575229195225545i</v>
      </c>
      <c r="AW279">
        <f t="shared" si="298"/>
        <v>1.1536414638178658</v>
      </c>
      <c r="AX279">
        <f t="shared" si="299"/>
        <v>0.52200650904928936</v>
      </c>
      <c r="AY279" t="str">
        <f t="shared" si="274"/>
        <v>1-0,0260765623937404i</v>
      </c>
      <c r="AZ279">
        <f t="shared" si="300"/>
        <v>1.0003399357749718</v>
      </c>
      <c r="BA279">
        <f t="shared" si="301"/>
        <v>-2.6070654228637555E-2</v>
      </c>
      <c r="BB279" s="58" t="str">
        <f t="shared" si="302"/>
        <v>-1,01004583683609+0,61659530675018i</v>
      </c>
      <c r="BC279">
        <f t="shared" si="303"/>
        <v>1.4624663300472922</v>
      </c>
      <c r="BD279" s="60">
        <f t="shared" si="304"/>
        <v>148.59749169667242</v>
      </c>
      <c r="BE279" s="58" t="str">
        <f t="shared" si="305"/>
        <v>0,472482059002088+1,02032253643931i</v>
      </c>
      <c r="BF279" s="37">
        <f t="shared" si="306"/>
        <v>1.0184923604354408</v>
      </c>
      <c r="BG279" s="60">
        <f t="shared" si="307"/>
        <v>65.152500581534056</v>
      </c>
      <c r="BH279" s="58" t="str">
        <f t="shared" si="308"/>
        <v>-0,469611738024605+3,68372234022277i</v>
      </c>
      <c r="BI279" s="37">
        <f t="shared" si="309"/>
        <v>11.395751458988549</v>
      </c>
      <c r="BJ279" s="60">
        <f t="shared" si="310"/>
        <v>97.265046369035701</v>
      </c>
      <c r="BK279">
        <f t="shared" si="311"/>
        <v>1.0184923604354408</v>
      </c>
      <c r="BL279" s="60">
        <f t="shared" si="312"/>
        <v>65.152500581534056</v>
      </c>
      <c r="BN279">
        <f t="shared" si="313"/>
        <v>0</v>
      </c>
      <c r="BO279">
        <f t="shared" si="314"/>
        <v>0</v>
      </c>
    </row>
    <row r="280" spans="13:67" x14ac:dyDescent="0.25">
      <c r="M280" s="66">
        <v>62</v>
      </c>
      <c r="N280" s="36">
        <f t="shared" si="262"/>
        <v>4168.6938347033583</v>
      </c>
      <c r="O280" s="91" t="str">
        <f t="shared" si="263"/>
        <v>22,5</v>
      </c>
      <c r="P280" s="67" t="str">
        <f t="shared" si="264"/>
        <v>1+28,2880899205254i</v>
      </c>
      <c r="Q280" s="67">
        <f t="shared" si="275"/>
        <v>28.305759685119401</v>
      </c>
      <c r="R280" s="67">
        <f t="shared" si="276"/>
        <v>1.5354604748275011</v>
      </c>
      <c r="S280" s="67" t="str">
        <f t="shared" si="265"/>
        <v>1+0,78578027557015i</v>
      </c>
      <c r="T280" s="67">
        <f t="shared" si="277"/>
        <v>1.2717903292111876</v>
      </c>
      <c r="U280" s="67">
        <f t="shared" si="278"/>
        <v>0.66601003737000841</v>
      </c>
      <c r="V280" t="str">
        <f t="shared" si="266"/>
        <v>1-0,163704224077114i</v>
      </c>
      <c r="W280" s="67">
        <f t="shared" si="279"/>
        <v>1.0133109458506258</v>
      </c>
      <c r="X280" s="67">
        <f t="shared" si="280"/>
        <v>-0.16226492348686802</v>
      </c>
      <c r="Y280" t="str">
        <f t="shared" si="267"/>
        <v>0,9988878074696+0,45400638144053i</v>
      </c>
      <c r="Z280" s="67">
        <f t="shared" si="281"/>
        <v>1.0972231524626832</v>
      </c>
      <c r="AA280" s="67">
        <f t="shared" si="282"/>
        <v>0.42659967240521973</v>
      </c>
      <c r="AB280" s="92" t="str">
        <f t="shared" si="283"/>
        <v>0,104793687334667-0,927721930999986i</v>
      </c>
      <c r="AC280" s="37">
        <f t="shared" si="284"/>
        <v>-0.59658015893811722</v>
      </c>
      <c r="AD280" s="60">
        <f t="shared" si="285"/>
        <v>-83.555296611410924</v>
      </c>
      <c r="AE280" t="str">
        <f t="shared" si="286"/>
        <v>34,4450883806789</v>
      </c>
      <c r="AF280" t="str">
        <f t="shared" si="268"/>
        <v>1+14,1440449602627i</v>
      </c>
      <c r="AG280">
        <f t="shared" si="287"/>
        <v>14.17935146041358</v>
      </c>
      <c r="AH280">
        <f t="shared" si="288"/>
        <v>1.5002126454216362</v>
      </c>
      <c r="AI280" t="str">
        <f t="shared" si="269"/>
        <v>1+0,78578027557015i</v>
      </c>
      <c r="AJ280">
        <f t="shared" si="289"/>
        <v>1.2717903292111876</v>
      </c>
      <c r="AK280">
        <f t="shared" si="290"/>
        <v>0.66601003737000841</v>
      </c>
      <c r="AL280" t="str">
        <f t="shared" si="270"/>
        <v>1-0,053465575696956i</v>
      </c>
      <c r="AM280">
        <f t="shared" si="291"/>
        <v>1.001428263923386</v>
      </c>
      <c r="AN280">
        <f t="shared" si="292"/>
        <v>-5.3414717906008741E-2</v>
      </c>
      <c r="AO280" s="58" t="str">
        <f t="shared" si="293"/>
        <v>1,95306083735462-2,39953573406961i</v>
      </c>
      <c r="AP280">
        <f t="shared" si="294"/>
        <v>9.8101259772638407</v>
      </c>
      <c r="AQ280" s="60">
        <f t="shared" si="295"/>
        <v>-50.856726600060583</v>
      </c>
      <c r="AR280" t="str">
        <f t="shared" si="271"/>
        <v>-1,36472945891784</v>
      </c>
      <c r="AS280" t="str">
        <f t="shared" si="272"/>
        <v>1+0,588628004429599i</v>
      </c>
      <c r="AT280">
        <f t="shared" si="296"/>
        <v>1.1603805098323445</v>
      </c>
      <c r="AU280">
        <f t="shared" si="297"/>
        <v>0.53201577369169462</v>
      </c>
      <c r="AV280" t="str">
        <f t="shared" si="273"/>
        <v>1+0,588628004429599i</v>
      </c>
      <c r="AW280">
        <f t="shared" si="298"/>
        <v>1.1603805098323445</v>
      </c>
      <c r="AX280">
        <f t="shared" si="299"/>
        <v>0.53201577369169462</v>
      </c>
      <c r="AY280" t="str">
        <f t="shared" si="274"/>
        <v>1-0,0254829873657397i</v>
      </c>
      <c r="AZ280">
        <f t="shared" si="300"/>
        <v>1.000324638627422</v>
      </c>
      <c r="BA280">
        <f t="shared" si="301"/>
        <v>-2.547747344405395E-2</v>
      </c>
      <c r="BB280" s="58" t="str">
        <f t="shared" si="302"/>
        <v>-0,998347984575886+0,622432965446472i</v>
      </c>
      <c r="BC280">
        <f t="shared" si="303"/>
        <v>1.4117421309561438</v>
      </c>
      <c r="BD280" s="60">
        <f t="shared" si="304"/>
        <v>148.05798983207785</v>
      </c>
      <c r="BE280" s="58" t="str">
        <f t="shared" si="305"/>
        <v>0,472824146075208+0,991416365628472i</v>
      </c>
      <c r="BF280" s="37">
        <f t="shared" si="306"/>
        <v>0.81516197201802354</v>
      </c>
      <c r="BG280" s="60">
        <f t="shared" si="307"/>
        <v>64.502693220666913</v>
      </c>
      <c r="BH280" s="58" t="str">
        <f t="shared" si="308"/>
        <v>-0,456284208075353+3,61122111271822i</v>
      </c>
      <c r="BI280" s="37">
        <f t="shared" si="309"/>
        <v>11.221868108219986</v>
      </c>
      <c r="BJ280" s="60">
        <f t="shared" si="310"/>
        <v>97.201263232017254</v>
      </c>
      <c r="BK280">
        <f t="shared" si="311"/>
        <v>0.81516197201802354</v>
      </c>
      <c r="BL280" s="60">
        <f t="shared" si="312"/>
        <v>64.502693220666913</v>
      </c>
      <c r="BN280">
        <f t="shared" si="313"/>
        <v>0</v>
      </c>
      <c r="BO280">
        <f t="shared" si="314"/>
        <v>0</v>
      </c>
    </row>
    <row r="281" spans="13:67" x14ac:dyDescent="0.25">
      <c r="M281" s="66">
        <v>63</v>
      </c>
      <c r="N281" s="36">
        <f t="shared" si="262"/>
        <v>4265.7951880159299</v>
      </c>
      <c r="O281" s="91" t="str">
        <f t="shared" si="263"/>
        <v>22,5</v>
      </c>
      <c r="P281" s="67" t="str">
        <f t="shared" si="264"/>
        <v>1+28,9470041806814i</v>
      </c>
      <c r="Q281" s="67">
        <f t="shared" si="275"/>
        <v>28.964271974907064</v>
      </c>
      <c r="R281" s="67">
        <f t="shared" si="276"/>
        <v>1.5362641702990687</v>
      </c>
      <c r="S281" s="67" t="str">
        <f t="shared" si="265"/>
        <v>1+0,804083449463374i</v>
      </c>
      <c r="T281" s="67">
        <f t="shared" si="277"/>
        <v>1.2831797199538801</v>
      </c>
      <c r="U281" s="67">
        <f t="shared" si="278"/>
        <v>0.67722589546349232</v>
      </c>
      <c r="V281" t="str">
        <f t="shared" si="266"/>
        <v>1-0,167517385304869i</v>
      </c>
      <c r="W281" s="67">
        <f t="shared" si="279"/>
        <v>1.0139339595749715</v>
      </c>
      <c r="X281" s="67">
        <f t="shared" si="280"/>
        <v>-0.16597628929554201</v>
      </c>
      <c r="Y281" t="str">
        <f t="shared" si="267"/>
        <v>0,99883539145049+0,464581548578838i</v>
      </c>
      <c r="Z281" s="67">
        <f t="shared" si="281"/>
        <v>1.1015934615337752</v>
      </c>
      <c r="AA281" s="67">
        <f t="shared" si="282"/>
        <v>0.43535899396930139</v>
      </c>
      <c r="AB281" s="92" t="str">
        <f t="shared" si="283"/>
        <v>0,101104714902255-0,911890292868157i</v>
      </c>
      <c r="AC281" s="37">
        <f t="shared" si="284"/>
        <v>-0.7480858403029601</v>
      </c>
      <c r="AD281" s="60">
        <f t="shared" si="285"/>
        <v>-83.673241391657129</v>
      </c>
      <c r="AE281" t="str">
        <f t="shared" si="286"/>
        <v>34,4450883806789</v>
      </c>
      <c r="AF281" t="str">
        <f t="shared" si="268"/>
        <v>1+14,4735020903407i</v>
      </c>
      <c r="AG281">
        <f t="shared" si="287"/>
        <v>14.508006849981033</v>
      </c>
      <c r="AH281">
        <f t="shared" si="288"/>
        <v>1.5018141750488556</v>
      </c>
      <c r="AI281" t="str">
        <f t="shared" si="269"/>
        <v>1+0,804083449463374i</v>
      </c>
      <c r="AJ281">
        <f t="shared" si="289"/>
        <v>1.2831797199538801</v>
      </c>
      <c r="AK281">
        <f t="shared" si="290"/>
        <v>0.67722589546349232</v>
      </c>
      <c r="AL281" t="str">
        <f t="shared" si="270"/>
        <v>1-0,0547109489389513i</v>
      </c>
      <c r="AM281">
        <f t="shared" si="291"/>
        <v>1.001495525668388</v>
      </c>
      <c r="AN281">
        <f t="shared" si="292"/>
        <v>-5.4656458228254365E-2</v>
      </c>
      <c r="AO281" s="58" t="str">
        <f t="shared" si="293"/>
        <v>1,94578563011734-2,35013037424407i</v>
      </c>
      <c r="AP281">
        <f t="shared" si="294"/>
        <v>9.6891210398797103</v>
      </c>
      <c r="AQ281" s="60">
        <f t="shared" si="295"/>
        <v>-50.377012635806828</v>
      </c>
      <c r="AR281" t="str">
        <f t="shared" si="271"/>
        <v>-1,36472945891784</v>
      </c>
      <c r="AS281" t="str">
        <f t="shared" si="272"/>
        <v>1+0,602338911993013i</v>
      </c>
      <c r="AT281">
        <f t="shared" si="296"/>
        <v>1.1673954620868314</v>
      </c>
      <c r="AU281">
        <f t="shared" si="297"/>
        <v>0.54213751403680199</v>
      </c>
      <c r="AV281" t="str">
        <f t="shared" si="273"/>
        <v>1+0,602338911993013i</v>
      </c>
      <c r="AW281">
        <f t="shared" si="298"/>
        <v>1.1673954620868314</v>
      </c>
      <c r="AX281">
        <f t="shared" si="299"/>
        <v>0.54213751403680199</v>
      </c>
      <c r="AY281" t="str">
        <f t="shared" si="274"/>
        <v>1-0,0249029237549475i</v>
      </c>
      <c r="AZ281">
        <f t="shared" si="300"/>
        <v>1.0003100297465506</v>
      </c>
      <c r="BA281">
        <f t="shared" si="301"/>
        <v>-2.4897777773627183E-2</v>
      </c>
      <c r="BB281" s="58" t="str">
        <f t="shared" si="302"/>
        <v>-0,986385762950536+0,628124280922586i</v>
      </c>
      <c r="BC281">
        <f t="shared" si="303"/>
        <v>1.35926377694256</v>
      </c>
      <c r="BD281" s="60">
        <f t="shared" si="304"/>
        <v>147.51127094429336</v>
      </c>
      <c r="BE281" s="58" t="str">
        <f t="shared" si="305"/>
        <v>0,47305218314134+0,962981928603807i</v>
      </c>
      <c r="BF281" s="37">
        <f t="shared" si="306"/>
        <v>0.61117793663960074</v>
      </c>
      <c r="BG281" s="60">
        <f t="shared" si="307"/>
        <v>63.838029552636236</v>
      </c>
      <c r="BH281" s="58" t="str">
        <f t="shared" si="308"/>
        <v>-0,443121291905098+3,54033034197892i</v>
      </c>
      <c r="BI281" s="37">
        <f t="shared" si="309"/>
        <v>11.048384816822267</v>
      </c>
      <c r="BJ281" s="60">
        <f t="shared" si="310"/>
        <v>97.134258308486523</v>
      </c>
      <c r="BK281">
        <f t="shared" si="311"/>
        <v>0.61117793663960074</v>
      </c>
      <c r="BL281" s="60">
        <f t="shared" si="312"/>
        <v>63.838029552636236</v>
      </c>
      <c r="BN281">
        <f t="shared" si="313"/>
        <v>0</v>
      </c>
      <c r="BO281">
        <f t="shared" si="314"/>
        <v>0</v>
      </c>
    </row>
    <row r="282" spans="13:67" x14ac:dyDescent="0.25">
      <c r="M282" s="66">
        <v>64</v>
      </c>
      <c r="N282" s="36">
        <f t="shared" si="262"/>
        <v>4365.1583224016631</v>
      </c>
      <c r="O282" s="91" t="str">
        <f t="shared" si="263"/>
        <v>22,5</v>
      </c>
      <c r="P282" s="67" t="str">
        <f t="shared" si="264"/>
        <v>1+29,6212665256129i</v>
      </c>
      <c r="Q282" s="67">
        <f t="shared" si="275"/>
        <v>29.63814148325423</v>
      </c>
      <c r="R282" s="67">
        <f t="shared" si="276"/>
        <v>1.5370496145541417</v>
      </c>
      <c r="S282" s="67" t="str">
        <f t="shared" si="265"/>
        <v>1+0,822812959044805i</v>
      </c>
      <c r="T282" s="67">
        <f t="shared" si="277"/>
        <v>1.2949985195250486</v>
      </c>
      <c r="U282" s="67">
        <f t="shared" si="278"/>
        <v>0.68849732090524318</v>
      </c>
      <c r="V282" t="str">
        <f t="shared" si="266"/>
        <v>1-0,171419366467668i</v>
      </c>
      <c r="W282" s="67">
        <f t="shared" si="279"/>
        <v>1.0145859249960925</v>
      </c>
      <c r="X282" s="67">
        <f t="shared" si="280"/>
        <v>-0.1697693317840466</v>
      </c>
      <c r="Y282" t="str">
        <f t="shared" si="267"/>
        <v>0,998780505140504+0,475403043003664i</v>
      </c>
      <c r="Z282" s="67">
        <f t="shared" si="281"/>
        <v>1.1061512332162649</v>
      </c>
      <c r="AA282" s="67">
        <f t="shared" si="282"/>
        <v>0.44425048021961205</v>
      </c>
      <c r="AB282" s="92" t="str">
        <f t="shared" si="283"/>
        <v>0,0973983295636707-0,896451575822386i</v>
      </c>
      <c r="AC282" s="37">
        <f t="shared" si="284"/>
        <v>-0.89849703016600846</v>
      </c>
      <c r="AD282" s="60">
        <f t="shared" si="285"/>
        <v>-83.799208887453403</v>
      </c>
      <c r="AE282" t="str">
        <f t="shared" si="286"/>
        <v>34,4450883806789</v>
      </c>
      <c r="AF282" t="str">
        <f t="shared" si="268"/>
        <v>1+14,8106332628065i</v>
      </c>
      <c r="AG282">
        <f t="shared" si="287"/>
        <v>14.844354403117379</v>
      </c>
      <c r="AH282">
        <f t="shared" si="288"/>
        <v>1.5033795919627719</v>
      </c>
      <c r="AI282" t="str">
        <f t="shared" si="269"/>
        <v>1+0,822812959044805i</v>
      </c>
      <c r="AJ282">
        <f t="shared" si="289"/>
        <v>1.2949985195250486</v>
      </c>
      <c r="AK282">
        <f t="shared" si="290"/>
        <v>0.68849732090524318</v>
      </c>
      <c r="AL282" t="str">
        <f t="shared" si="270"/>
        <v>1-0,0559853306502589i</v>
      </c>
      <c r="AM282">
        <f t="shared" si="291"/>
        <v>1.0015659525203615</v>
      </c>
      <c r="AN282">
        <f t="shared" si="292"/>
        <v>-5.5926947731111613E-2</v>
      </c>
      <c r="AO282" s="58" t="str">
        <f t="shared" si="293"/>
        <v>1,93883481919504-2,30192603146098i</v>
      </c>
      <c r="AP282">
        <f t="shared" si="294"/>
        <v>9.5702962707099566</v>
      </c>
      <c r="AQ282" s="60">
        <f t="shared" si="295"/>
        <v>-49.893692997673412</v>
      </c>
      <c r="AR282" t="str">
        <f t="shared" si="271"/>
        <v>-1,36472945891784</v>
      </c>
      <c r="AS282" t="str">
        <f t="shared" si="272"/>
        <v>1+0,616369187620463i</v>
      </c>
      <c r="AT282">
        <f t="shared" si="296"/>
        <v>1.1746961204702728</v>
      </c>
      <c r="AU282">
        <f t="shared" si="297"/>
        <v>0.5523688005021089</v>
      </c>
      <c r="AV282" t="str">
        <f t="shared" si="273"/>
        <v>1+0,616369187620463i</v>
      </c>
      <c r="AW282">
        <f t="shared" si="298"/>
        <v>1.1746961204702728</v>
      </c>
      <c r="AX282">
        <f t="shared" si="299"/>
        <v>0.5523688005021089</v>
      </c>
      <c r="AY282" t="str">
        <f t="shared" si="274"/>
        <v>1-0,0243360640039593i</v>
      </c>
      <c r="AZ282">
        <f t="shared" si="300"/>
        <v>1.0002960781744596</v>
      </c>
      <c r="BA282">
        <f t="shared" si="301"/>
        <v>-2.4331261414372564E-2</v>
      </c>
      <c r="BB282" s="58" t="str">
        <f t="shared" si="302"/>
        <v>-0,974163218462507+0,633656335033784i</v>
      </c>
      <c r="BC282">
        <f t="shared" si="303"/>
        <v>1.3049919582601912</v>
      </c>
      <c r="BD282" s="60">
        <f t="shared" si="304"/>
        <v>146.95752040725236</v>
      </c>
      <c r="BE282" s="58" t="str">
        <f t="shared" si="305"/>
        <v>0,473160349870256+0,93500722084865i</v>
      </c>
      <c r="BF282" s="37">
        <f t="shared" si="306"/>
        <v>0.40649492809418186</v>
      </c>
      <c r="BG282" s="60">
        <f t="shared" si="307"/>
        <v>63.158311519798971</v>
      </c>
      <c r="BH282" s="58" t="str">
        <f t="shared" si="308"/>
        <v>-0,430111554919785+3,47100663723767i</v>
      </c>
      <c r="BI282" s="37">
        <f t="shared" si="309"/>
        <v>10.875288228970136</v>
      </c>
      <c r="BJ282" s="60">
        <f t="shared" si="310"/>
        <v>97.063827409578948</v>
      </c>
      <c r="BK282">
        <f t="shared" si="311"/>
        <v>0.40649492809418186</v>
      </c>
      <c r="BL282" s="60">
        <f t="shared" si="312"/>
        <v>63.158311519798971</v>
      </c>
      <c r="BN282">
        <f t="shared" si="313"/>
        <v>0</v>
      </c>
      <c r="BO282">
        <f t="shared" si="314"/>
        <v>0</v>
      </c>
    </row>
    <row r="283" spans="13:67" x14ac:dyDescent="0.25">
      <c r="M283" s="66">
        <v>65</v>
      </c>
      <c r="N283" s="36">
        <f t="shared" si="262"/>
        <v>4466.8359215096343</v>
      </c>
      <c r="O283" s="91" t="str">
        <f t="shared" si="263"/>
        <v>22,5</v>
      </c>
      <c r="P283" s="67" t="str">
        <f t="shared" si="264"/>
        <v>1+30,3112344581402i</v>
      </c>
      <c r="Q283" s="67">
        <f t="shared" si="275"/>
        <v>30.327725506149417</v>
      </c>
      <c r="R283" s="67">
        <f t="shared" si="276"/>
        <v>1.5378172201669786</v>
      </c>
      <c r="S283" s="67" t="str">
        <f t="shared" si="265"/>
        <v>1+0,84197873494834i</v>
      </c>
      <c r="T283" s="67">
        <f t="shared" si="277"/>
        <v>1.3072598020688952</v>
      </c>
      <c r="U283" s="67">
        <f t="shared" si="278"/>
        <v>0.69981883482250673</v>
      </c>
      <c r="V283" t="str">
        <f t="shared" si="266"/>
        <v>1-0,175412236447571i</v>
      </c>
      <c r="W283" s="67">
        <f t="shared" si="279"/>
        <v>1.0152681678726752</v>
      </c>
      <c r="X283" s="67">
        <f t="shared" si="280"/>
        <v>-0.17364562528511995</v>
      </c>
      <c r="Y283" t="str">
        <f t="shared" si="267"/>
        <v>0,99872303211842+0,486476602414596i</v>
      </c>
      <c r="Z283" s="67">
        <f t="shared" si="281"/>
        <v>1.110903767020645</v>
      </c>
      <c r="AA283" s="67">
        <f t="shared" si="282"/>
        <v>0.45327333160055422</v>
      </c>
      <c r="AB283" s="92" t="str">
        <f t="shared" si="283"/>
        <v>0,0936713859289402-0,881393927880197i</v>
      </c>
      <c r="AC283" s="37">
        <f t="shared" si="284"/>
        <v>-1.0478217057936166</v>
      </c>
      <c r="AD283" s="60">
        <f t="shared" si="285"/>
        <v>-83.93358104530914</v>
      </c>
      <c r="AE283" t="str">
        <f t="shared" si="286"/>
        <v>34,4450883806789</v>
      </c>
      <c r="AF283" t="str">
        <f t="shared" si="268"/>
        <v>1+15,1556172290701i</v>
      </c>
      <c r="AG283">
        <f t="shared" si="287"/>
        <v>15.1885724672889</v>
      </c>
      <c r="AH283">
        <f t="shared" si="288"/>
        <v>1.5049096954620884</v>
      </c>
      <c r="AI283" t="str">
        <f t="shared" si="269"/>
        <v>1+0,84197873494834i</v>
      </c>
      <c r="AJ283">
        <f t="shared" si="289"/>
        <v>1.3072598020688952</v>
      </c>
      <c r="AK283">
        <f t="shared" si="290"/>
        <v>0.69981883482250673</v>
      </c>
      <c r="AL283" t="str">
        <f t="shared" si="270"/>
        <v>1-0,0572893965249309i</v>
      </c>
      <c r="AM283">
        <f t="shared" si="291"/>
        <v>1.0016396931802327</v>
      </c>
      <c r="AN283">
        <f t="shared" si="292"/>
        <v>-5.7226843629619606E-2</v>
      </c>
      <c r="AO283" s="58" t="str">
        <f t="shared" si="293"/>
        <v>1,93219407022537-2,2549001272439i</v>
      </c>
      <c r="AP283">
        <f t="shared" si="294"/>
        <v>9.4536755849757839</v>
      </c>
      <c r="AQ283" s="60">
        <f t="shared" si="295"/>
        <v>-49.407165054035545</v>
      </c>
      <c r="AR283" t="str">
        <f t="shared" si="271"/>
        <v>-1,36472945891784</v>
      </c>
      <c r="AS283" t="str">
        <f t="shared" si="272"/>
        <v>1+0,630726270349801i</v>
      </c>
      <c r="AT283">
        <f t="shared" si="296"/>
        <v>1.1822925306832359</v>
      </c>
      <c r="AU283">
        <f t="shared" si="297"/>
        <v>0.56270648938981982</v>
      </c>
      <c r="AV283" t="str">
        <f t="shared" si="273"/>
        <v>1+0,630726270349801i</v>
      </c>
      <c r="AW283">
        <f t="shared" si="298"/>
        <v>1.1822925306832359</v>
      </c>
      <c r="AX283">
        <f t="shared" si="299"/>
        <v>0.56270648938981982</v>
      </c>
      <c r="AY283" t="str">
        <f t="shared" si="274"/>
        <v>1-0,023782107556232i</v>
      </c>
      <c r="AZ283">
        <f t="shared" si="300"/>
        <v>1.0002827543448982</v>
      </c>
      <c r="BA283">
        <f t="shared" si="301"/>
        <v>-2.3777625447196787E-2</v>
      </c>
      <c r="BB283" s="58" t="str">
        <f t="shared" si="302"/>
        <v>-0,961685139299997+0,639016223938658i</v>
      </c>
      <c r="BC283">
        <f t="shared" si="303"/>
        <v>1.2488880342480484</v>
      </c>
      <c r="BD283" s="60">
        <f t="shared" si="304"/>
        <v>146.39693546837304</v>
      </c>
      <c r="BE283" s="58" t="str">
        <f t="shared" si="305"/>
        <v>0,473142639770969+0,907480977639051i</v>
      </c>
      <c r="BF283" s="37">
        <f t="shared" si="306"/>
        <v>0.20106632845443562</v>
      </c>
      <c r="BG283" s="60">
        <f t="shared" si="307"/>
        <v>62.463354423063926</v>
      </c>
      <c r="BH283" s="58" t="str">
        <f t="shared" si="308"/>
        <v>-0,417244558909117+3,40320730164821i</v>
      </c>
      <c r="BI283" s="37">
        <f t="shared" si="309"/>
        <v>10.702563619223826</v>
      </c>
      <c r="BJ283" s="60">
        <f t="shared" si="310"/>
        <v>96.989770414337528</v>
      </c>
      <c r="BK283">
        <f t="shared" si="311"/>
        <v>0.20106632845443562</v>
      </c>
      <c r="BL283" s="60">
        <f t="shared" si="312"/>
        <v>62.463354423063926</v>
      </c>
      <c r="BN283">
        <f t="shared" si="313"/>
        <v>4466.8359215096343</v>
      </c>
      <c r="BO283">
        <f t="shared" si="314"/>
        <v>62.463354423063926</v>
      </c>
    </row>
    <row r="284" spans="13:67" x14ac:dyDescent="0.25">
      <c r="M284" s="66">
        <v>66</v>
      </c>
      <c r="N284" s="36">
        <f t="shared" ref="N284:N318" si="315">10^(3+(M284/100))</f>
        <v>4570.8818961487532</v>
      </c>
      <c r="O284" s="91" t="str">
        <f t="shared" si="263"/>
        <v>22,5</v>
      </c>
      <c r="P284" s="67" t="str">
        <f t="shared" si="264"/>
        <v>1+31,0172738083938i</v>
      </c>
      <c r="Q284" s="67">
        <f t="shared" si="275"/>
        <v>31.033389671527537</v>
      </c>
      <c r="R284" s="67">
        <f t="shared" si="276"/>
        <v>1.5385673905118691</v>
      </c>
      <c r="S284" s="67" t="str">
        <f t="shared" si="265"/>
        <v>1+0,861590939122051i</v>
      </c>
      <c r="T284" s="67">
        <f t="shared" si="277"/>
        <v>1.3199768734251436</v>
      </c>
      <c r="U284" s="67">
        <f t="shared" si="278"/>
        <v>0.7111848315715914</v>
      </c>
      <c r="V284" t="str">
        <f t="shared" si="266"/>
        <v>1-0,179498112317094i</v>
      </c>
      <c r="W284" s="67">
        <f t="shared" si="279"/>
        <v>1.0159820728366225</v>
      </c>
      <c r="X284" s="67">
        <f t="shared" si="280"/>
        <v>-0.17760675887755606</v>
      </c>
      <c r="Y284" t="str">
        <f t="shared" si="267"/>
        <v>0,998662850476253+0,497808098159407i</v>
      </c>
      <c r="Z284" s="67">
        <f t="shared" si="281"/>
        <v>1.1158585893895521</v>
      </c>
      <c r="AA284" s="67">
        <f t="shared" si="282"/>
        <v>0.46242657121741992</v>
      </c>
      <c r="AB284" s="92" t="str">
        <f t="shared" si="283"/>
        <v>0,0899209761172722-0,866705593985698i</v>
      </c>
      <c r="AC284" s="37">
        <f t="shared" si="284"/>
        <v>-1.1960698058695713</v>
      </c>
      <c r="AD284" s="60">
        <f t="shared" si="285"/>
        <v>-84.076737232157669</v>
      </c>
      <c r="AE284" t="str">
        <f t="shared" si="286"/>
        <v>34,4450883806789</v>
      </c>
      <c r="AF284" t="str">
        <f t="shared" si="268"/>
        <v>1+15,5086369041969i</v>
      </c>
      <c r="AG284">
        <f t="shared" si="287"/>
        <v>15.540843562246485</v>
      </c>
      <c r="AH284">
        <f t="shared" si="288"/>
        <v>1.5064052681533744</v>
      </c>
      <c r="AI284" t="str">
        <f t="shared" si="269"/>
        <v>1+0,861590939122051i</v>
      </c>
      <c r="AJ284">
        <f t="shared" si="289"/>
        <v>1.3199768734251436</v>
      </c>
      <c r="AK284">
        <f t="shared" si="290"/>
        <v>0.7111848315715914</v>
      </c>
      <c r="AL284" t="str">
        <f t="shared" si="270"/>
        <v>1-0,0586238379959551i</v>
      </c>
      <c r="AM284">
        <f t="shared" si="291"/>
        <v>1.0017169033121962</v>
      </c>
      <c r="AN284">
        <f t="shared" si="292"/>
        <v>-5.8556817564065167E-2</v>
      </c>
      <c r="AO284" s="58" t="str">
        <f t="shared" si="293"/>
        <v>1,92584967083281-2,20903051194727i</v>
      </c>
      <c r="AP284">
        <f t="shared" si="294"/>
        <v>9.3392807835202269</v>
      </c>
      <c r="AQ284" s="60">
        <f t="shared" si="295"/>
        <v>-48.917833306825351</v>
      </c>
      <c r="AR284" t="str">
        <f t="shared" si="271"/>
        <v>-1,36472945891784</v>
      </c>
      <c r="AS284" t="str">
        <f t="shared" si="272"/>
        <v>1+0,645417772496328i</v>
      </c>
      <c r="AT284">
        <f t="shared" si="296"/>
        <v>1.1901949844685626</v>
      </c>
      <c r="AU284">
        <f t="shared" si="297"/>
        <v>0.57314722339645441</v>
      </c>
      <c r="AV284" t="str">
        <f t="shared" si="273"/>
        <v>1+0,645417772496328i</v>
      </c>
      <c r="AW284">
        <f t="shared" si="298"/>
        <v>1.1901949844685626</v>
      </c>
      <c r="AX284">
        <f t="shared" si="299"/>
        <v>0.57314722339645441</v>
      </c>
      <c r="AY284" t="str">
        <f t="shared" si="274"/>
        <v>1-0,0232407606967243i</v>
      </c>
      <c r="AZ284">
        <f t="shared" si="300"/>
        <v>1.0002700300207752</v>
      </c>
      <c r="BA284">
        <f t="shared" si="301"/>
        <v>-2.3236577685331439E-2</v>
      </c>
      <c r="BB284" s="58" t="str">
        <f t="shared" si="302"/>
        <v>-0,948957068750899+0,64419110827833i</v>
      </c>
      <c r="BC284">
        <f t="shared" si="303"/>
        <v>1.1909141441827917</v>
      </c>
      <c r="BD284" s="60">
        <f t="shared" si="304"/>
        <v>145.82972522804403</v>
      </c>
      <c r="BE284" s="58" t="str">
        <f t="shared" si="305"/>
        <v>0,472992891225209+0,88039269320113i</v>
      </c>
      <c r="BF284" s="37">
        <f t="shared" si="306"/>
        <v>-5.1556616867762875E-3</v>
      </c>
      <c r="BG284" s="60">
        <f t="shared" si="307"/>
        <v>61.752987995886372</v>
      </c>
      <c r="BH284" s="58" t="str">
        <f t="shared" si="308"/>
        <v>-0,404510844776428+3,33689035323002i</v>
      </c>
      <c r="BI284" s="37">
        <f t="shared" si="309"/>
        <v>10.530194927703008</v>
      </c>
      <c r="BJ284" s="60">
        <f t="shared" si="310"/>
        <v>96.911891921218682</v>
      </c>
      <c r="BK284">
        <f t="shared" si="311"/>
        <v>-5.1556616867762875E-3</v>
      </c>
      <c r="BL284" s="60">
        <f t="shared" si="312"/>
        <v>61.752987995886372</v>
      </c>
      <c r="BN284">
        <f t="shared" si="313"/>
        <v>0</v>
      </c>
      <c r="BO284">
        <f t="shared" si="314"/>
        <v>0</v>
      </c>
    </row>
    <row r="285" spans="13:67" x14ac:dyDescent="0.25">
      <c r="M285" s="66">
        <v>67</v>
      </c>
      <c r="N285" s="36">
        <f t="shared" si="315"/>
        <v>4677.3514128719844</v>
      </c>
      <c r="O285" s="91" t="str">
        <f t="shared" si="263"/>
        <v>22,5</v>
      </c>
      <c r="P285" s="67" t="str">
        <f t="shared" si="264"/>
        <v>1+31,7397589277827i</v>
      </c>
      <c r="Q285" s="67">
        <f t="shared" si="275"/>
        <v>31.755508133137493</v>
      </c>
      <c r="R285" s="67">
        <f t="shared" si="276"/>
        <v>1.5393005199598286</v>
      </c>
      <c r="S285" s="67" t="str">
        <f t="shared" si="265"/>
        <v>1+0,881659970216188i</v>
      </c>
      <c r="T285" s="67">
        <f t="shared" si="277"/>
        <v>1.3331632694766271</v>
      </c>
      <c r="U285" s="67">
        <f t="shared" si="278"/>
        <v>0.72258959178433457</v>
      </c>
      <c r="V285" t="str">
        <f t="shared" si="266"/>
        <v>1-0,183679160461706i</v>
      </c>
      <c r="W285" s="67">
        <f t="shared" si="279"/>
        <v>1.0167290858374798</v>
      </c>
      <c r="X285" s="67">
        <f t="shared" si="280"/>
        <v>-0.18165433534035796</v>
      </c>
      <c r="Y285" t="str">
        <f t="shared" si="267"/>
        <v>0,998599832560672+0,50940353834713i</v>
      </c>
      <c r="Z285" s="67">
        <f t="shared" si="281"/>
        <v>1.121023456699626</v>
      </c>
      <c r="AA285" s="67">
        <f t="shared" si="282"/>
        <v>0.47170903905483291</v>
      </c>
      <c r="AB285" s="92" t="str">
        <f t="shared" si="283"/>
        <v>0,0861444339478224-0,852374917570791i</v>
      </c>
      <c r="AC285" s="37">
        <f t="shared" si="284"/>
        <v>-1.3432532186010175</v>
      </c>
      <c r="AD285" s="60">
        <f t="shared" si="285"/>
        <v>-84.229053107938199</v>
      </c>
      <c r="AE285" t="str">
        <f t="shared" si="286"/>
        <v>34,4450883806789</v>
      </c>
      <c r="AF285" t="str">
        <f t="shared" si="268"/>
        <v>1+15,8698794638914i</v>
      </c>
      <c r="AG285">
        <f t="shared" si="287"/>
        <v>15.901354476850139</v>
      </c>
      <c r="AH285">
        <f t="shared" si="288"/>
        <v>1.5078670762323616</v>
      </c>
      <c r="AI285" t="str">
        <f t="shared" si="269"/>
        <v>1+0,881659970216188i</v>
      </c>
      <c r="AJ285">
        <f t="shared" si="289"/>
        <v>1.3331632694766271</v>
      </c>
      <c r="AK285">
        <f t="shared" si="290"/>
        <v>0.72258959178433457</v>
      </c>
      <c r="AL285" t="str">
        <f t="shared" si="270"/>
        <v>1-0,0599893626018631i</v>
      </c>
      <c r="AM285">
        <f t="shared" si="291"/>
        <v>1.0017977458675866</v>
      </c>
      <c r="AN285">
        <f t="shared" si="292"/>
        <v>-5.9917555873597872E-2</v>
      </c>
      <c r="AO285" s="58" t="str">
        <f t="shared" si="293"/>
        <v>1,91978850464381-2,16429546578001i</v>
      </c>
      <c r="AP285">
        <f t="shared" si="294"/>
        <v>9.2271314843744587</v>
      </c>
      <c r="AQ285" s="60">
        <f t="shared" si="295"/>
        <v>-48.426108675818618</v>
      </c>
      <c r="AR285" t="str">
        <f t="shared" si="271"/>
        <v>-1,36472945891784</v>
      </c>
      <c r="AS285" t="str">
        <f t="shared" si="272"/>
        <v>1+0,660451483688946i</v>
      </c>
      <c r="AT285">
        <f t="shared" si="296"/>
        <v>1.1984140195720885</v>
      </c>
      <c r="AU285">
        <f t="shared" si="297"/>
        <v>0.58368743300503267</v>
      </c>
      <c r="AV285" t="str">
        <f t="shared" si="273"/>
        <v>1+0,660451483688946i</v>
      </c>
      <c r="AW285">
        <f t="shared" si="298"/>
        <v>1.1984140195720885</v>
      </c>
      <c r="AX285">
        <f t="shared" si="299"/>
        <v>0.58368743300503267</v>
      </c>
      <c r="AY285" t="str">
        <f t="shared" si="274"/>
        <v>1-0,0227117363961659i</v>
      </c>
      <c r="AZ285">
        <f t="shared" si="300"/>
        <v>1.0002578782344727</v>
      </c>
      <c r="BA285">
        <f t="shared" si="301"/>
        <v>-2.2707832525876721E-2</v>
      </c>
      <c r="BB285" s="58" t="str">
        <f t="shared" si="302"/>
        <v>-0,935985314760081+0,649168265567385i</v>
      </c>
      <c r="BC285">
        <f t="shared" si="303"/>
        <v>1.1310333198678375</v>
      </c>
      <c r="BD285" s="60">
        <f t="shared" si="304"/>
        <v>145.25611056836399</v>
      </c>
      <c r="BE285" s="58" t="str">
        <f t="shared" si="305"/>
        <v>0,472704821729092+0,853732638290287i</v>
      </c>
      <c r="BF285" s="37">
        <f t="shared" si="306"/>
        <v>-0.21221989873317704</v>
      </c>
      <c r="BG285" s="60">
        <f t="shared" si="307"/>
        <v>61.027057460425773</v>
      </c>
      <c r="BH285" s="58" t="str">
        <f t="shared" si="308"/>
        <v>-0,391901914096056+3,27201454658774i</v>
      </c>
      <c r="BI285" s="37">
        <f t="shared" si="309"/>
        <v>10.358164804242286</v>
      </c>
      <c r="BJ285" s="60">
        <f t="shared" si="310"/>
        <v>96.830001892545368</v>
      </c>
      <c r="BK285">
        <f t="shared" si="311"/>
        <v>-0.21221989873317704</v>
      </c>
      <c r="BL285" s="60">
        <f t="shared" si="312"/>
        <v>61.027057460425773</v>
      </c>
      <c r="BN285">
        <f t="shared" si="313"/>
        <v>0</v>
      </c>
      <c r="BO285">
        <f t="shared" si="314"/>
        <v>0</v>
      </c>
    </row>
    <row r="286" spans="13:67" x14ac:dyDescent="0.25">
      <c r="M286" s="66">
        <v>68</v>
      </c>
      <c r="N286" s="36">
        <f t="shared" si="315"/>
        <v>4786.3009232263848</v>
      </c>
      <c r="O286" s="91" t="str">
        <f t="shared" si="263"/>
        <v>22,5</v>
      </c>
      <c r="P286" s="67" t="str">
        <f t="shared" si="264"/>
        <v>1+32,4790728874806i</v>
      </c>
      <c r="Q286" s="67">
        <f t="shared" si="275"/>
        <v>32.494463768929585</v>
      </c>
      <c r="R286" s="67">
        <f t="shared" si="276"/>
        <v>1.5400169940716599</v>
      </c>
      <c r="S286" s="67" t="str">
        <f t="shared" si="265"/>
        <v>1+0,902196469096684i</v>
      </c>
      <c r="T286" s="67">
        <f t="shared" si="277"/>
        <v>1.346832754595211</v>
      </c>
      <c r="U286" s="67">
        <f t="shared" si="278"/>
        <v>0.7340272961114821</v>
      </c>
      <c r="V286" t="str">
        <f t="shared" si="266"/>
        <v>1-0,187957597728476i</v>
      </c>
      <c r="W286" s="67">
        <f t="shared" si="279"/>
        <v>1.0175107166727335</v>
      </c>
      <c r="X286" s="67">
        <f t="shared" si="280"/>
        <v>-0.18578997000334629</v>
      </c>
      <c r="Y286" t="str">
        <f t="shared" si="267"/>
        <v>0,998533844702229+0,521269071033639i</v>
      </c>
      <c r="Z286" s="67">
        <f t="shared" si="281"/>
        <v>1.1264063580396233</v>
      </c>
      <c r="AA286" s="67">
        <f t="shared" si="282"/>
        <v>0.48111938653947584</v>
      </c>
      <c r="AB286" s="92" t="str">
        <f t="shared" si="283"/>
        <v>0,0823393392500053-0,838390342989219i</v>
      </c>
      <c r="AC286" s="37">
        <f t="shared" si="284"/>
        <v>-1.4893857567425048</v>
      </c>
      <c r="AD286" s="60">
        <f t="shared" si="285"/>
        <v>-84.390899471831176</v>
      </c>
      <c r="AE286" t="str">
        <f t="shared" si="286"/>
        <v>34,4450883806789</v>
      </c>
      <c r="AF286" t="str">
        <f t="shared" si="268"/>
        <v>1+16,2395364437403i</v>
      </c>
      <c r="AG286">
        <f t="shared" si="287"/>
        <v>16.270296368154124</v>
      </c>
      <c r="AH286">
        <f t="shared" si="288"/>
        <v>1.5092958697652523</v>
      </c>
      <c r="AI286" t="str">
        <f t="shared" si="269"/>
        <v>1+0,902196469096684i</v>
      </c>
      <c r="AJ286">
        <f t="shared" si="289"/>
        <v>1.346832754595211</v>
      </c>
      <c r="AK286">
        <f t="shared" si="290"/>
        <v>0.7340272961114821</v>
      </c>
      <c r="AL286" t="str">
        <f t="shared" si="270"/>
        <v>1-0,0613866943618757i</v>
      </c>
      <c r="AM286">
        <f t="shared" si="291"/>
        <v>1.0018823914236035</v>
      </c>
      <c r="AN286">
        <f t="shared" si="292"/>
        <v>-6.1309759871848037E-2</v>
      </c>
      <c r="AO286" s="58" t="str">
        <f t="shared" si="293"/>
        <v>1,91399802629826-2,12067369923833i</v>
      </c>
      <c r="AP286">
        <f t="shared" si="294"/>
        <v>9.1172450622063099</v>
      </c>
      <c r="AQ286" s="60">
        <f t="shared" si="295"/>
        <v>-47.932407743105671</v>
      </c>
      <c r="AR286" t="str">
        <f t="shared" si="271"/>
        <v>-1,36472945891784</v>
      </c>
      <c r="AS286" t="str">
        <f t="shared" si="272"/>
        <v>1+0,675835375000326i</v>
      </c>
      <c r="AT286">
        <f t="shared" si="296"/>
        <v>1.2069604194429207</v>
      </c>
      <c r="AU286">
        <f t="shared" si="297"/>
        <v>0.59432333879495913</v>
      </c>
      <c r="AV286" t="str">
        <f t="shared" si="273"/>
        <v>1+0,675835375000326i</v>
      </c>
      <c r="AW286">
        <f t="shared" si="298"/>
        <v>1.2069604194429207</v>
      </c>
      <c r="AX286">
        <f t="shared" si="299"/>
        <v>0.59432333879495913</v>
      </c>
      <c r="AY286" t="str">
        <f t="shared" si="274"/>
        <v>1-0,0221947541588701i</v>
      </c>
      <c r="AZ286">
        <f t="shared" si="300"/>
        <v>1.0002462732308341</v>
      </c>
      <c r="BA286">
        <f t="shared" si="301"/>
        <v>-2.2191110804404359E-2</v>
      </c>
      <c r="BB286" s="58" t="str">
        <f t="shared" si="302"/>
        <v>-0,922776955324181+0,653935144477226i</v>
      </c>
      <c r="BC286">
        <f t="shared" si="303"/>
        <v>1.069209599361399</v>
      </c>
      <c r="BD286" s="60">
        <f t="shared" si="304"/>
        <v>144.67632402912557</v>
      </c>
      <c r="BE286" s="58" t="str">
        <f t="shared" si="305"/>
        <v>0,472272065294441+0,827491875785399i</v>
      </c>
      <c r="BF286" s="37">
        <f t="shared" si="306"/>
        <v>-0.42017615738110858</v>
      </c>
      <c r="BG286" s="60">
        <f t="shared" si="307"/>
        <v>60.285424557294412</v>
      </c>
      <c r="BH286" s="58" t="str">
        <f t="shared" si="308"/>
        <v>-0,37941020930353+3,20853939527569i</v>
      </c>
      <c r="BI286" s="37">
        <f t="shared" si="309"/>
        <v>10.186454661567703</v>
      </c>
      <c r="BJ286" s="60">
        <f t="shared" si="310"/>
        <v>96.74391628601991</v>
      </c>
      <c r="BK286">
        <f t="shared" si="311"/>
        <v>-0.42017615738110858</v>
      </c>
      <c r="BL286" s="60">
        <f t="shared" si="312"/>
        <v>60.285424557294412</v>
      </c>
      <c r="BN286">
        <f t="shared" si="313"/>
        <v>0</v>
      </c>
      <c r="BO286">
        <f t="shared" si="314"/>
        <v>0</v>
      </c>
    </row>
    <row r="287" spans="13:67" x14ac:dyDescent="0.25">
      <c r="M287" s="66">
        <v>69</v>
      </c>
      <c r="N287" s="36">
        <f t="shared" si="315"/>
        <v>4897.7881936844633</v>
      </c>
      <c r="O287" s="91" t="str">
        <f t="shared" si="263"/>
        <v>22,5</v>
      </c>
      <c r="P287" s="67" t="str">
        <f t="shared" si="264"/>
        <v>1+33,2356076815348i</v>
      </c>
      <c r="Q287" s="67">
        <f t="shared" si="275"/>
        <v>33.250648384067567</v>
      </c>
      <c r="R287" s="67">
        <f t="shared" si="276"/>
        <v>1.5407171897874075</v>
      </c>
      <c r="S287" s="67" t="str">
        <f t="shared" si="265"/>
        <v>1+0,923211324487078i</v>
      </c>
      <c r="T287" s="67">
        <f t="shared" si="277"/>
        <v>1.3609993202280393</v>
      </c>
      <c r="U287" s="67">
        <f t="shared" si="278"/>
        <v>0.74549203958683852</v>
      </c>
      <c r="V287" t="str">
        <f t="shared" si="266"/>
        <v>1-0,192335692601474i</v>
      </c>
      <c r="W287" s="67">
        <f t="shared" si="279"/>
        <v>1.0183285416055512</v>
      </c>
      <c r="X287" s="67">
        <f t="shared" si="280"/>
        <v>-0.19001528948833782</v>
      </c>
      <c r="Y287" t="str">
        <f t="shared" si="267"/>
        <v>0,998464746931828+0,533410987481422i</v>
      </c>
      <c r="Z287" s="67">
        <f t="shared" si="281"/>
        <v>1.1320155177520956</v>
      </c>
      <c r="AA287" s="67">
        <f t="shared" si="282"/>
        <v>0.4906560715005942</v>
      </c>
      <c r="AB287" s="92" t="str">
        <f t="shared" si="283"/>
        <v>0,078503522206038-0,824740418848343i</v>
      </c>
      <c r="AC287" s="37">
        <f t="shared" si="284"/>
        <v>-1.634483119062248</v>
      </c>
      <c r="AD287" s="60">
        <f t="shared" si="285"/>
        <v>-84.562641089241083</v>
      </c>
      <c r="AE287" t="str">
        <f t="shared" si="286"/>
        <v>34,4450883806789</v>
      </c>
      <c r="AF287" t="str">
        <f t="shared" si="268"/>
        <v>1+16,6178038407674i</v>
      </c>
      <c r="AG287">
        <f t="shared" si="287"/>
        <v>16.647864862805193</v>
      </c>
      <c r="AH287">
        <f t="shared" si="288"/>
        <v>1.5106923829696275</v>
      </c>
      <c r="AI287" t="str">
        <f t="shared" si="269"/>
        <v>1+0,923211324487078i</v>
      </c>
      <c r="AJ287">
        <f t="shared" si="289"/>
        <v>1.3609993202280393</v>
      </c>
      <c r="AK287">
        <f t="shared" si="290"/>
        <v>0.74549203958683852</v>
      </c>
      <c r="AL287" t="str">
        <f t="shared" si="270"/>
        <v>1-0,0628165741597879i</v>
      </c>
      <c r="AM287">
        <f t="shared" si="291"/>
        <v>1.0019710185375483</v>
      </c>
      <c r="AN287">
        <f t="shared" si="292"/>
        <v>-6.2734146124296508E-2</v>
      </c>
      <c r="AO287" s="58" t="str">
        <f t="shared" si="293"/>
        <v>1,90846623742735-2,07814435299944i</v>
      </c>
      <c r="AP287">
        <f t="shared" si="294"/>
        <v>9.0096365962344436</v>
      </c>
      <c r="AQ287" s="60">
        <f t="shared" si="295"/>
        <v>-47.43715196207426</v>
      </c>
      <c r="AR287" t="str">
        <f t="shared" si="271"/>
        <v>-1,36472945891784</v>
      </c>
      <c r="AS287" t="str">
        <f t="shared" si="272"/>
        <v>1+0,69157760317327i</v>
      </c>
      <c r="AT287">
        <f t="shared" si="296"/>
        <v>1.2158452126857615</v>
      </c>
      <c r="AU287">
        <f t="shared" si="297"/>
        <v>0.60505095469889481</v>
      </c>
      <c r="AV287" t="str">
        <f t="shared" si="273"/>
        <v>1+0,69157760317327i</v>
      </c>
      <c r="AW287">
        <f t="shared" si="298"/>
        <v>1.2158452126857615</v>
      </c>
      <c r="AX287">
        <f t="shared" si="299"/>
        <v>0.60505095469889481</v>
      </c>
      <c r="AY287" t="str">
        <f t="shared" si="274"/>
        <v>1-0,0216895398740116i</v>
      </c>
      <c r="AZ287">
        <f t="shared" si="300"/>
        <v>1.000235190412708</v>
      </c>
      <c r="BA287">
        <f t="shared" si="301"/>
        <v>-2.1686139652573728E-2</v>
      </c>
      <c r="BB287" s="58" t="str">
        <f t="shared" si="302"/>
        <v>-0,909339839445639+0,658479420650218i</v>
      </c>
      <c r="BC287">
        <f t="shared" si="303"/>
        <v>1.0054081412021763</v>
      </c>
      <c r="BD287" s="60">
        <f t="shared" si="304"/>
        <v>144.0906096293684</v>
      </c>
      <c r="BE287" s="58" t="str">
        <f t="shared" si="305"/>
        <v>0,471688212911319+0,801662273881115i</v>
      </c>
      <c r="BF287" s="37">
        <f t="shared" si="306"/>
        <v>-0.62907497786007061</v>
      </c>
      <c r="BG287" s="60">
        <f t="shared" si="307"/>
        <v>59.527968540127333</v>
      </c>
      <c r="BH287" s="58" t="str">
        <f t="shared" si="308"/>
        <v>-0,367029092339016+3,14642519465303i</v>
      </c>
      <c r="BI287" s="37">
        <f t="shared" si="309"/>
        <v>10.015044737436604</v>
      </c>
      <c r="BJ287" s="60">
        <f t="shared" si="310"/>
        <v>96.653457667294134</v>
      </c>
      <c r="BK287">
        <f t="shared" si="311"/>
        <v>-0.62907497786007061</v>
      </c>
      <c r="BL287" s="60">
        <f t="shared" si="312"/>
        <v>59.527968540127333</v>
      </c>
      <c r="BN287">
        <f t="shared" si="313"/>
        <v>0</v>
      </c>
      <c r="BO287">
        <f t="shared" si="314"/>
        <v>0</v>
      </c>
    </row>
    <row r="288" spans="13:67" x14ac:dyDescent="0.25">
      <c r="M288" s="66">
        <v>70</v>
      </c>
      <c r="N288" s="36">
        <f t="shared" si="315"/>
        <v>5011.8723362727324</v>
      </c>
      <c r="O288" s="91" t="str">
        <f t="shared" si="263"/>
        <v>22,5</v>
      </c>
      <c r="P288" s="67" t="str">
        <f t="shared" si="264"/>
        <v>1+34,009764434707i</v>
      </c>
      <c r="Q288" s="67">
        <f t="shared" si="275"/>
        <v>34.02446291867458</v>
      </c>
      <c r="R288" s="67">
        <f t="shared" si="276"/>
        <v>1.5414014756122343</v>
      </c>
      <c r="S288" s="67" t="str">
        <f t="shared" si="265"/>
        <v>1+0,944715678741862i</v>
      </c>
      <c r="T288" s="67">
        <f t="shared" si="277"/>
        <v>1.3756771836665378</v>
      </c>
      <c r="U288" s="67">
        <f t="shared" si="278"/>
        <v>0.75697784652898403</v>
      </c>
      <c r="V288" t="str">
        <f t="shared" si="266"/>
        <v>1-0,196815766404554i</v>
      </c>
      <c r="W288" s="67">
        <f t="shared" si="279"/>
        <v>1.0191842060714109</v>
      </c>
      <c r="X288" s="67">
        <f t="shared" si="280"/>
        <v>-0.19433193033485741</v>
      </c>
      <c r="Y288" t="str">
        <f t="shared" si="267"/>
        <v>0,998392392683834+0,545835725495297i</v>
      </c>
      <c r="Z288" s="67">
        <f t="shared" si="281"/>
        <v>1.1378593977271219</v>
      </c>
      <c r="AA288" s="67">
        <f t="shared" si="282"/>
        <v>0.50031735358292029</v>
      </c>
      <c r="AB288" s="92" t="str">
        <f t="shared" si="283"/>
        <v>0,0746350676334618-0,811413802255974i</v>
      </c>
      <c r="AC288" s="37">
        <f t="shared" si="284"/>
        <v>-1.7785628378889644</v>
      </c>
      <c r="AD288" s="60">
        <f t="shared" si="285"/>
        <v>-84.744635507079295</v>
      </c>
      <c r="AE288" t="str">
        <f t="shared" si="286"/>
        <v>34,4450883806789</v>
      </c>
      <c r="AF288" t="str">
        <f t="shared" si="268"/>
        <v>1+17,0048822173535i</v>
      </c>
      <c r="AG288">
        <f t="shared" si="287"/>
        <v>17.034260160807257</v>
      </c>
      <c r="AH288">
        <f t="shared" si="288"/>
        <v>1.5120573344945787</v>
      </c>
      <c r="AI288" t="str">
        <f t="shared" si="269"/>
        <v>1+0,944715678741862i</v>
      </c>
      <c r="AJ288">
        <f t="shared" si="289"/>
        <v>1.3756771836665378</v>
      </c>
      <c r="AK288">
        <f t="shared" si="290"/>
        <v>0.75697784652898403</v>
      </c>
      <c r="AL288" t="str">
        <f t="shared" si="270"/>
        <v>1-0,0642797601367954i</v>
      </c>
      <c r="AM288">
        <f t="shared" si="291"/>
        <v>1.0020638141172666</v>
      </c>
      <c r="AN288">
        <f t="shared" si="292"/>
        <v>-6.4191446727114257E-2</v>
      </c>
      <c r="AO288" s="58" t="str">
        <f t="shared" si="293"/>
        <v>1,90318166356793-2,03668699732392i</v>
      </c>
      <c r="AP288">
        <f t="shared" si="294"/>
        <v>8.9043188271250511</v>
      </c>
      <c r="AQ288" s="60">
        <f t="shared" si="295"/>
        <v>-46.940766835630448</v>
      </c>
      <c r="AR288" t="str">
        <f t="shared" si="271"/>
        <v>-1,36472945891784</v>
      </c>
      <c r="AS288" t="str">
        <f t="shared" si="272"/>
        <v>1+0,707686514945529i</v>
      </c>
      <c r="AT288">
        <f t="shared" si="296"/>
        <v>1.2250796722808475</v>
      </c>
      <c r="AU288">
        <f t="shared" si="297"/>
        <v>0.6158660922293876</v>
      </c>
      <c r="AV288" t="str">
        <f t="shared" si="273"/>
        <v>1+0,707686514945529i</v>
      </c>
      <c r="AW288">
        <f t="shared" si="298"/>
        <v>1.2250796722808475</v>
      </c>
      <c r="AX288">
        <f t="shared" si="299"/>
        <v>0.6158660922293876</v>
      </c>
      <c r="AY288" t="str">
        <f t="shared" si="274"/>
        <v>1-0,0211958256702893i</v>
      </c>
      <c r="AZ288">
        <f t="shared" si="300"/>
        <v>1.0002246062889302</v>
      </c>
      <c r="BA288">
        <f t="shared" si="301"/>
        <v>-2.1192652358711022E-2</v>
      </c>
      <c r="BB288" s="58" t="str">
        <f t="shared" si="302"/>
        <v>-0,895682583401218+0,662789053642947i</v>
      </c>
      <c r="BC288">
        <f t="shared" si="303"/>
        <v>0.93959533845213095</v>
      </c>
      <c r="BD288" s="60">
        <f t="shared" si="304"/>
        <v>143.49922263319925</v>
      </c>
      <c r="BE288" s="58" t="str">
        <f t="shared" si="305"/>
        <v>0,470946855919799+0,776236516457395i</v>
      </c>
      <c r="BF288" s="37">
        <f t="shared" si="306"/>
        <v>-0.83896749943683357</v>
      </c>
      <c r="BG288" s="60">
        <f t="shared" si="307"/>
        <v>58.754587126119951</v>
      </c>
      <c r="BH288" s="58" t="str">
        <f t="shared" si="308"/>
        <v>-0,354752821583135+3,08563304504956i</v>
      </c>
      <c r="BI288" s="37">
        <f t="shared" si="309"/>
        <v>9.8439141655771927</v>
      </c>
      <c r="BJ288" s="60">
        <f t="shared" si="310"/>
        <v>96.558455797568811</v>
      </c>
      <c r="BK288">
        <f t="shared" si="311"/>
        <v>-0.83896749943683357</v>
      </c>
      <c r="BL288" s="60">
        <f t="shared" si="312"/>
        <v>58.754587126119951</v>
      </c>
      <c r="BN288">
        <f t="shared" si="313"/>
        <v>0</v>
      </c>
      <c r="BO288">
        <f t="shared" si="314"/>
        <v>0</v>
      </c>
    </row>
    <row r="289" spans="13:67" x14ac:dyDescent="0.25">
      <c r="M289" s="66">
        <v>71</v>
      </c>
      <c r="N289" s="36">
        <f t="shared" si="315"/>
        <v>5128.6138399136489</v>
      </c>
      <c r="O289" s="91" t="str">
        <f t="shared" si="263"/>
        <v>22,5</v>
      </c>
      <c r="P289" s="67" t="str">
        <f t="shared" si="264"/>
        <v>1+34,8019536151548i</v>
      </c>
      <c r="Q289" s="67">
        <f t="shared" si="275"/>
        <v>34.816317660421618</v>
      </c>
      <c r="R289" s="67">
        <f t="shared" si="276"/>
        <v>1.5420702117987566</v>
      </c>
      <c r="S289" s="67" t="str">
        <f t="shared" si="265"/>
        <v>1+0,9667209337543i</v>
      </c>
      <c r="T289" s="67">
        <f t="shared" si="277"/>
        <v>1.3908807870406386</v>
      </c>
      <c r="U289" s="67">
        <f t="shared" si="278"/>
        <v>0.76847868589112478</v>
      </c>
      <c r="V289" t="str">
        <f t="shared" si="266"/>
        <v>1-0,201400194532146i</v>
      </c>
      <c r="W289" s="67">
        <f t="shared" si="279"/>
        <v>1.0200794274749325</v>
      </c>
      <c r="X289" s="67">
        <f t="shared" si="280"/>
        <v>-0.19874153750418713</v>
      </c>
      <c r="Y289" t="str">
        <f t="shared" si="267"/>
        <v>0,998316628485187+0,558549872835817i</v>
      </c>
      <c r="Z289" s="67">
        <f t="shared" si="281"/>
        <v>1.1439466994379319</v>
      </c>
      <c r="AA289" s="67">
        <f t="shared" si="282"/>
        <v>0.51010129016729733</v>
      </c>
      <c r="AB289" s="92" t="str">
        <f t="shared" si="283"/>
        <v>0,0707323191109968-0,798399263991444i</v>
      </c>
      <c r="AC289" s="37">
        <f t="shared" si="284"/>
        <v>-1.9216442124991031</v>
      </c>
      <c r="AD289" s="60">
        <f t="shared" si="285"/>
        <v>-84.937231865287686</v>
      </c>
      <c r="AE289" t="str">
        <f t="shared" si="286"/>
        <v>34,4450883806789</v>
      </c>
      <c r="AF289" t="str">
        <f t="shared" si="268"/>
        <v>1+17,4009768075774i</v>
      </c>
      <c r="AG289">
        <f t="shared" si="287"/>
        <v>17.429687141708726</v>
      </c>
      <c r="AH289">
        <f t="shared" si="288"/>
        <v>1.513391427699724</v>
      </c>
      <c r="AI289" t="str">
        <f t="shared" si="269"/>
        <v>1+0,9667209337543i</v>
      </c>
      <c r="AJ289">
        <f t="shared" si="289"/>
        <v>1.3908807870406386</v>
      </c>
      <c r="AK289">
        <f t="shared" si="290"/>
        <v>0.76847868589112478</v>
      </c>
      <c r="AL289" t="str">
        <f t="shared" si="270"/>
        <v>1-0,0657770280934703i</v>
      </c>
      <c r="AM289">
        <f t="shared" si="291"/>
        <v>1.002160973808504</v>
      </c>
      <c r="AN289">
        <f t="shared" si="292"/>
        <v>-6.5682409587162635E-2</v>
      </c>
      <c r="AO289" s="58" t="str">
        <f t="shared" si="293"/>
        <v>1,8981333319834-1,99628163101141i</v>
      </c>
      <c r="AP289">
        <f t="shared" si="294"/>
        <v>8.8013021233147306</v>
      </c>
      <c r="AQ289" s="60">
        <f t="shared" si="295"/>
        <v>-46.443681068745143</v>
      </c>
      <c r="AR289" t="str">
        <f t="shared" si="271"/>
        <v>-1,36472945891784</v>
      </c>
      <c r="AS289" t="str">
        <f t="shared" si="272"/>
        <v>1+0,724170651475346i</v>
      </c>
      <c r="AT289">
        <f t="shared" si="296"/>
        <v>1.2346753145901261</v>
      </c>
      <c r="AU289">
        <f t="shared" si="297"/>
        <v>0.62676436569080074</v>
      </c>
      <c r="AV289" t="str">
        <f t="shared" si="273"/>
        <v>1+0,724170651475346i</v>
      </c>
      <c r="AW289">
        <f t="shared" si="298"/>
        <v>1.2346753145901261</v>
      </c>
      <c r="AX289">
        <f t="shared" si="299"/>
        <v>0.62676436569080074</v>
      </c>
      <c r="AY289" t="str">
        <f t="shared" si="274"/>
        <v>1-0,0207133497738974i</v>
      </c>
      <c r="AZ289">
        <f t="shared" si="300"/>
        <v>1.0002144984246408</v>
      </c>
      <c r="BA289">
        <f t="shared" si="301"/>
        <v>-2.0710388231302754E-2</v>
      </c>
      <c r="BB289" s="58" t="str">
        <f t="shared" si="302"/>
        <v>-0,881814562119883+0,66685234456011i</v>
      </c>
      <c r="BC289">
        <f t="shared" si="303"/>
        <v>0.87173893184275919</v>
      </c>
      <c r="BD289" s="60">
        <f t="shared" si="304"/>
        <v>142.9024292589919</v>
      </c>
      <c r="BE289" s="58" t="str">
        <f t="shared" si="305"/>
        <v>0,470041632083173+0,751208110208794i</v>
      </c>
      <c r="BF289" s="37">
        <f t="shared" si="306"/>
        <v>-1.0499052806563471</v>
      </c>
      <c r="BG289" s="60">
        <f t="shared" si="307"/>
        <v>57.965197393704223</v>
      </c>
      <c r="BH289" s="58" t="str">
        <f t="shared" si="308"/>
        <v>-0,342576526945857+3,02612487503912i</v>
      </c>
      <c r="BI289" s="37">
        <f t="shared" si="309"/>
        <v>9.6730410551575012</v>
      </c>
      <c r="BJ289" s="60">
        <f t="shared" si="310"/>
        <v>96.458748190246752</v>
      </c>
      <c r="BK289">
        <f t="shared" si="311"/>
        <v>-1.0499052806563471</v>
      </c>
      <c r="BL289" s="60">
        <f t="shared" si="312"/>
        <v>57.965197393704223</v>
      </c>
      <c r="BN289">
        <f t="shared" si="313"/>
        <v>0</v>
      </c>
      <c r="BO289">
        <f t="shared" si="314"/>
        <v>0</v>
      </c>
    </row>
    <row r="290" spans="13:67" x14ac:dyDescent="0.25">
      <c r="M290" s="66">
        <v>72</v>
      </c>
      <c r="N290" s="36">
        <f t="shared" si="315"/>
        <v>5248.0746024977261</v>
      </c>
      <c r="O290" s="91" t="str">
        <f t="shared" si="263"/>
        <v>22,5</v>
      </c>
      <c r="P290" s="67" t="str">
        <f t="shared" si="264"/>
        <v>1+35,6125952520678i</v>
      </c>
      <c r="Q290" s="67">
        <f t="shared" si="275"/>
        <v>35.626632462072557</v>
      </c>
      <c r="R290" s="67">
        <f t="shared" si="276"/>
        <v>1.54272375052587</v>
      </c>
      <c r="S290" s="67" t="str">
        <f t="shared" si="265"/>
        <v>1+0,989238757001884i</v>
      </c>
      <c r="T290" s="67">
        <f t="shared" si="277"/>
        <v>1.406624796580322</v>
      </c>
      <c r="U290" s="67">
        <f t="shared" si="278"/>
        <v>0.77998848696441792</v>
      </c>
      <c r="V290" t="str">
        <f t="shared" si="266"/>
        <v>1-0,206091407708726i</v>
      </c>
      <c r="W290" s="67">
        <f t="shared" si="279"/>
        <v>1.0210159980780733</v>
      </c>
      <c r="X290" s="67">
        <f t="shared" si="280"/>
        <v>-0.20324576275545603</v>
      </c>
      <c r="Y290" t="str">
        <f t="shared" si="267"/>
        <v>0,998237293629864+0,571560170712199i</v>
      </c>
      <c r="Z290" s="67">
        <f t="shared" si="281"/>
        <v>1.1502863657098756</v>
      </c>
      <c r="AA290" s="67">
        <f t="shared" si="282"/>
        <v>0.52000573285445184</v>
      </c>
      <c r="AB290" s="92" t="str">
        <f t="shared" si="283"/>
        <v>0,0667938828474655-0,785685694600776i</v>
      </c>
      <c r="AC290" s="37">
        <f t="shared" si="284"/>
        <v>-2.0637482282379911</v>
      </c>
      <c r="AD290" s="60">
        <f t="shared" si="285"/>
        <v>-85.140769712841973</v>
      </c>
      <c r="AE290" t="str">
        <f t="shared" si="286"/>
        <v>34,4450883806789</v>
      </c>
      <c r="AF290" t="str">
        <f t="shared" si="268"/>
        <v>1+17,8062976260339i</v>
      </c>
      <c r="AG290">
        <f t="shared" si="287"/>
        <v>17.834355473268456</v>
      </c>
      <c r="AH290">
        <f t="shared" si="288"/>
        <v>1.5146953509327936</v>
      </c>
      <c r="AI290" t="str">
        <f t="shared" si="269"/>
        <v>1+0,989238757001884i</v>
      </c>
      <c r="AJ290">
        <f t="shared" si="289"/>
        <v>1.406624796580322</v>
      </c>
      <c r="AK290">
        <f t="shared" si="290"/>
        <v>0.77998848696441792</v>
      </c>
      <c r="AL290" t="str">
        <f t="shared" si="270"/>
        <v>1-0,0673091719011025i</v>
      </c>
      <c r="AM290">
        <f t="shared" si="291"/>
        <v>1.0022627023999309</v>
      </c>
      <c r="AN290">
        <f t="shared" si="292"/>
        <v>-6.7207798702819302E-2</v>
      </c>
      <c r="AO290" s="58" t="str">
        <f t="shared" si="293"/>
        <v>1,89331075036175-1,95690867995187i</v>
      </c>
      <c r="AP290">
        <f t="shared" si="294"/>
        <v>8.700594457125792</v>
      </c>
      <c r="AQ290" s="60">
        <f t="shared" si="295"/>
        <v>-45.946325700716677</v>
      </c>
      <c r="AR290" t="str">
        <f t="shared" si="271"/>
        <v>-1,36472945891784</v>
      </c>
      <c r="AS290" t="str">
        <f t="shared" si="272"/>
        <v>1+0,741038752870111i</v>
      </c>
      <c r="AT290">
        <f t="shared" si="296"/>
        <v>1.2446438981713965</v>
      </c>
      <c r="AU290">
        <f t="shared" si="297"/>
        <v>0.6377411983843283</v>
      </c>
      <c r="AV290" t="str">
        <f t="shared" si="273"/>
        <v>1+0,741038752870111i</v>
      </c>
      <c r="AW290">
        <f t="shared" si="298"/>
        <v>1.2446438981713965</v>
      </c>
      <c r="AX290">
        <f t="shared" si="299"/>
        <v>0.6377411983843283</v>
      </c>
      <c r="AY290" t="str">
        <f t="shared" si="274"/>
        <v>1-0,0202418563697292i</v>
      </c>
      <c r="AZ290">
        <f t="shared" si="300"/>
        <v>1.0002048453938286</v>
      </c>
      <c r="BA290">
        <f t="shared" si="301"/>
        <v>-2.0239092465354287E-2</v>
      </c>
      <c r="BB290" s="58" t="str">
        <f t="shared" si="302"/>
        <v>-0,867745895510002+0,670657993907843i</v>
      </c>
      <c r="BC290">
        <f t="shared" si="303"/>
        <v>0.80180812128360046</v>
      </c>
      <c r="BD290" s="60">
        <f t="shared" si="304"/>
        <v>142.3005063315228</v>
      </c>
      <c r="BE290" s="58" t="str">
        <f t="shared" si="305"/>
        <v>0,468966274096982+0,726571388126545i</v>
      </c>
      <c r="BF290" s="37">
        <f t="shared" si="306"/>
        <v>-1.2619401069543925</v>
      </c>
      <c r="BG290" s="60">
        <f t="shared" si="307"/>
        <v>57.159736618680874</v>
      </c>
      <c r="BH290" s="58" t="str">
        <f t="shared" si="308"/>
        <v>-0,330496182994004+2,9678634645979i</v>
      </c>
      <c r="BI290" s="37">
        <f t="shared" si="309"/>
        <v>9.5024025784094057</v>
      </c>
      <c r="BJ290" s="60">
        <f t="shared" si="310"/>
        <v>96.354180630806098</v>
      </c>
      <c r="BK290">
        <f t="shared" si="311"/>
        <v>-1.2619401069543925</v>
      </c>
      <c r="BL290" s="60">
        <f t="shared" si="312"/>
        <v>57.159736618680874</v>
      </c>
      <c r="BN290">
        <f t="shared" si="313"/>
        <v>0</v>
      </c>
      <c r="BO290">
        <f t="shared" si="314"/>
        <v>0</v>
      </c>
    </row>
    <row r="291" spans="13:67" x14ac:dyDescent="0.25">
      <c r="M291" s="66">
        <v>73</v>
      </c>
      <c r="N291" s="36">
        <f t="shared" si="315"/>
        <v>5370.3179637025269</v>
      </c>
      <c r="O291" s="91" t="str">
        <f t="shared" si="263"/>
        <v>22,5</v>
      </c>
      <c r="P291" s="67" t="str">
        <f t="shared" si="264"/>
        <v>1+36,4421191583718i</v>
      </c>
      <c r="Q291" s="67">
        <f t="shared" si="275"/>
        <v>36.455836964099028</v>
      </c>
      <c r="R291" s="67">
        <f t="shared" si="276"/>
        <v>1.5433624360741014</v>
      </c>
      <c r="S291" s="67" t="str">
        <f t="shared" si="265"/>
        <v>1+1,01228108773255i</v>
      </c>
      <c r="T291" s="67">
        <f t="shared" si="277"/>
        <v>1.4229241021857051</v>
      </c>
      <c r="U291" s="67">
        <f t="shared" si="278"/>
        <v>0.79150115533587651</v>
      </c>
      <c r="V291" t="str">
        <f t="shared" si="266"/>
        <v>1-0,210891893277614i</v>
      </c>
      <c r="W291" s="67">
        <f t="shared" si="279"/>
        <v>1.0219957879806632</v>
      </c>
      <c r="X291" s="67">
        <f t="shared" si="280"/>
        <v>-0.20784626288733701</v>
      </c>
      <c r="Y291" t="str">
        <f t="shared" si="267"/>
        <v>0,998154219837999+0,584873517356584i</v>
      </c>
      <c r="Z291" s="67">
        <f t="shared" si="281"/>
        <v>1.1568875822159503</v>
      </c>
      <c r="AA291" s="67">
        <f t="shared" si="282"/>
        <v>0.53002832456686855</v>
      </c>
      <c r="AB291" s="92" t="str">
        <f t="shared" si="283"/>
        <v>0,0628186311907369-0,77326211140594i</v>
      </c>
      <c r="AC291" s="37">
        <f t="shared" si="284"/>
        <v>-2.2048974614070338</v>
      </c>
      <c r="AD291" s="60">
        <f t="shared" si="285"/>
        <v>-85.355577836683722</v>
      </c>
      <c r="AE291" t="str">
        <f t="shared" si="286"/>
        <v>34,4450883806789</v>
      </c>
      <c r="AF291" t="str">
        <f t="shared" si="268"/>
        <v>1+18,2210595791859i</v>
      </c>
      <c r="AG291">
        <f t="shared" si="287"/>
        <v>18.24847972265751</v>
      </c>
      <c r="AH291">
        <f t="shared" si="288"/>
        <v>1.5159697778054999</v>
      </c>
      <c r="AI291" t="str">
        <f t="shared" si="269"/>
        <v>1+1,01228108773255i</v>
      </c>
      <c r="AJ291">
        <f t="shared" si="289"/>
        <v>1.4229241021857051</v>
      </c>
      <c r="AK291">
        <f t="shared" si="290"/>
        <v>0.79150115533587651</v>
      </c>
      <c r="AL291" t="str">
        <f t="shared" si="270"/>
        <v>1-0,0688770039226188i</v>
      </c>
      <c r="AM291">
        <f t="shared" si="291"/>
        <v>1.0023692142466052</v>
      </c>
      <c r="AN291">
        <f t="shared" si="292"/>
        <v>-6.8768394445252928E-2</v>
      </c>
      <c r="AO291" s="58" t="str">
        <f t="shared" si="293"/>
        <v>1,88870388636177-1,91854899531119i</v>
      </c>
      <c r="AP291">
        <f t="shared" si="294"/>
        <v>8.6022013909544253</v>
      </c>
      <c r="AQ291" s="60">
        <f t="shared" si="295"/>
        <v>-45.449133222769809</v>
      </c>
      <c r="AR291" t="str">
        <f t="shared" si="271"/>
        <v>-1,36472945891784</v>
      </c>
      <c r="AS291" t="str">
        <f t="shared" si="272"/>
        <v>1+0,758299762820453i</v>
      </c>
      <c r="AT291">
        <f t="shared" si="296"/>
        <v>1.2549974224250644</v>
      </c>
      <c r="AU291">
        <f t="shared" si="297"/>
        <v>0.64879182980549266</v>
      </c>
      <c r="AV291" t="str">
        <f t="shared" si="273"/>
        <v>1+0,758299762820453i</v>
      </c>
      <c r="AW291">
        <f t="shared" si="298"/>
        <v>1.2549974224250644</v>
      </c>
      <c r="AX291">
        <f t="shared" si="299"/>
        <v>0.64879182980549266</v>
      </c>
      <c r="AY291" t="str">
        <f t="shared" si="274"/>
        <v>1-0,0197810954657408i</v>
      </c>
      <c r="AZ291">
        <f t="shared" si="300"/>
        <v>1.0001956267340029</v>
      </c>
      <c r="BA291">
        <f t="shared" si="301"/>
        <v>-1.9778516011564898E-2</v>
      </c>
      <c r="BB291" s="58" t="str">
        <f t="shared" si="302"/>
        <v>-0,853487429626321+0,67419515916764i</v>
      </c>
      <c r="BC291">
        <f t="shared" si="303"/>
        <v>0.72977367497214674</v>
      </c>
      <c r="BD291" s="60">
        <f t="shared" si="304"/>
        <v>141.69374087708067</v>
      </c>
      <c r="BE291" s="58" t="str">
        <f t="shared" si="305"/>
        <v>0,467714660210007+0,70232150894561i</v>
      </c>
      <c r="BF291" s="37">
        <f t="shared" si="306"/>
        <v>-1.4751237864348863</v>
      </c>
      <c r="BG291" s="60">
        <f t="shared" si="307"/>
        <v>56.338163040396957</v>
      </c>
      <c r="BH291" s="58" t="str">
        <f t="shared" si="308"/>
        <v>-0,318508580031406+2,91081246790652i</v>
      </c>
      <c r="BI291" s="37">
        <f t="shared" si="309"/>
        <v>9.3319750659265672</v>
      </c>
      <c r="BJ291" s="60">
        <f t="shared" si="310"/>
        <v>96.24460765431084</v>
      </c>
      <c r="BK291">
        <f t="shared" si="311"/>
        <v>-1.4751237864348863</v>
      </c>
      <c r="BL291" s="60">
        <f t="shared" si="312"/>
        <v>56.338163040396957</v>
      </c>
      <c r="BN291">
        <f t="shared" si="313"/>
        <v>0</v>
      </c>
      <c r="BO291">
        <f t="shared" si="314"/>
        <v>0</v>
      </c>
    </row>
    <row r="292" spans="13:67" x14ac:dyDescent="0.25">
      <c r="M292" s="66">
        <v>74</v>
      </c>
      <c r="N292" s="36">
        <f t="shared" si="315"/>
        <v>5495.4087385762541</v>
      </c>
      <c r="O292" s="91" t="str">
        <f t="shared" si="263"/>
        <v>22,5</v>
      </c>
      <c r="P292" s="67" t="str">
        <f t="shared" si="264"/>
        <v>1+37,2909651586221i</v>
      </c>
      <c r="Q292" s="67">
        <f t="shared" si="275"/>
        <v>37.304370822486305</v>
      </c>
      <c r="R292" s="67">
        <f t="shared" si="276"/>
        <v>1.5439866049975322</v>
      </c>
      <c r="S292" s="67" t="str">
        <f t="shared" si="265"/>
        <v>1+1,03586014329506i</v>
      </c>
      <c r="T292" s="67">
        <f t="shared" si="277"/>
        <v>1.4397938173458249</v>
      </c>
      <c r="U292" s="67">
        <f t="shared" si="278"/>
        <v>0.80301058899903521</v>
      </c>
      <c r="V292" t="str">
        <f t="shared" si="266"/>
        <v>1-0,215804196519804i</v>
      </c>
      <c r="W292" s="67">
        <f t="shared" si="279"/>
        <v>1.0230207481940716</v>
      </c>
      <c r="X292" s="67">
        <f t="shared" si="280"/>
        <v>-0.21254469783887742</v>
      </c>
      <c r="Y292" t="str">
        <f t="shared" si="267"/>
        <v>0,998067230898943+0,598496971681589i</v>
      </c>
      <c r="Z292" s="67">
        <f t="shared" si="281"/>
        <v>1.1637597786941758</v>
      </c>
      <c r="AA292" s="67">
        <f t="shared" si="282"/>
        <v>0.54016649732272548</v>
      </c>
      <c r="AB292" s="92" t="str">
        <f t="shared" si="283"/>
        <v>0,058805705671857-0,761117666407275i</v>
      </c>
      <c r="AC292" s="37">
        <f t="shared" si="284"/>
        <v>-2.3451159700967654</v>
      </c>
      <c r="AD292" s="60">
        <f t="shared" si="285"/>
        <v>-85.581973112139835</v>
      </c>
      <c r="AE292" t="str">
        <f t="shared" si="286"/>
        <v>34,4450883806789</v>
      </c>
      <c r="AF292" t="str">
        <f t="shared" si="268"/>
        <v>1+18,6454825793111i</v>
      </c>
      <c r="AG292">
        <f t="shared" si="287"/>
        <v>18.67227947025734</v>
      </c>
      <c r="AH292">
        <f t="shared" si="288"/>
        <v>1.5172153674674367</v>
      </c>
      <c r="AI292" t="str">
        <f t="shared" si="269"/>
        <v>1+1,03586014329506i</v>
      </c>
      <c r="AJ292">
        <f t="shared" si="289"/>
        <v>1.4397938173458249</v>
      </c>
      <c r="AK292">
        <f t="shared" si="290"/>
        <v>0.80301058899903521</v>
      </c>
      <c r="AL292" t="str">
        <f t="shared" si="270"/>
        <v>1-0,0704813554433099i</v>
      </c>
      <c r="AM292">
        <f t="shared" si="291"/>
        <v>1.0024807337126864</v>
      </c>
      <c r="AN292">
        <f t="shared" si="292"/>
        <v>-7.0364993839748979E-2</v>
      </c>
      <c r="AO292" s="58" t="str">
        <f t="shared" si="293"/>
        <v>1,88430314797849-1,88118385138783i</v>
      </c>
      <c r="AP292">
        <f t="shared" si="294"/>
        <v>8.5061260737238769</v>
      </c>
      <c r="AQ292" s="60">
        <f t="shared" si="295"/>
        <v>-44.952536686797025</v>
      </c>
      <c r="AR292" t="str">
        <f t="shared" si="271"/>
        <v>-1,36472945891784</v>
      </c>
      <c r="AS292" t="str">
        <f t="shared" si="272"/>
        <v>1+0,775962833342329i</v>
      </c>
      <c r="AT292">
        <f t="shared" si="296"/>
        <v>1.2657481261011825</v>
      </c>
      <c r="AU292">
        <f t="shared" si="297"/>
        <v>0.65991132382490492</v>
      </c>
      <c r="AV292" t="str">
        <f t="shared" si="273"/>
        <v>1+0,775962833342329i</v>
      </c>
      <c r="AW292">
        <f t="shared" si="298"/>
        <v>1.2657481261011825</v>
      </c>
      <c r="AX292">
        <f t="shared" si="299"/>
        <v>0.65991132382490492</v>
      </c>
      <c r="AY292" t="str">
        <f t="shared" si="274"/>
        <v>1-0,0193308227604021i</v>
      </c>
      <c r="AZ292">
        <f t="shared" si="300"/>
        <v>1.0001868229028985</v>
      </c>
      <c r="BA292">
        <f t="shared" si="301"/>
        <v>-1.9328415448269777E-2</v>
      </c>
      <c r="BB292" s="58" t="str">
        <f t="shared" si="302"/>
        <v>-0,839050712622021+0,677453511570324i</v>
      </c>
      <c r="BC292">
        <f t="shared" si="303"/>
        <v>0.65560803533154854</v>
      </c>
      <c r="BD292" s="60">
        <f t="shared" si="304"/>
        <v>141.08242966208064</v>
      </c>
      <c r="BE292" s="58" t="str">
        <f t="shared" si="305"/>
        <v>0,466280866575606+0,678454452196004i</v>
      </c>
      <c r="BF292" s="37">
        <f t="shared" si="306"/>
        <v>-1.6895079347652184</v>
      </c>
      <c r="BG292" s="60">
        <f t="shared" si="307"/>
        <v>55.500456549940836</v>
      </c>
      <c r="BH292" s="58" t="str">
        <f t="shared" si="308"/>
        <v>-0,306611293075197+2,85493643554104i</v>
      </c>
      <c r="BI292" s="37">
        <f t="shared" si="309"/>
        <v>9.1617341090554252</v>
      </c>
      <c r="BJ292" s="60">
        <f t="shared" si="310"/>
        <v>96.12989297528361</v>
      </c>
      <c r="BK292">
        <f t="shared" si="311"/>
        <v>-1.6895079347652184</v>
      </c>
      <c r="BL292" s="60">
        <f t="shared" si="312"/>
        <v>55.500456549940836</v>
      </c>
      <c r="BN292">
        <f t="shared" si="313"/>
        <v>0</v>
      </c>
      <c r="BO292">
        <f t="shared" si="314"/>
        <v>0</v>
      </c>
    </row>
    <row r="293" spans="13:67" x14ac:dyDescent="0.25">
      <c r="M293" s="66">
        <v>75</v>
      </c>
      <c r="N293" s="36">
        <f t="shared" si="315"/>
        <v>5623.4132519034993</v>
      </c>
      <c r="O293" s="91" t="str">
        <f t="shared" si="263"/>
        <v>22,5</v>
      </c>
      <c r="P293" s="67" t="str">
        <f t="shared" si="264"/>
        <v>1+38,1595833222037i</v>
      </c>
      <c r="Q293" s="67">
        <f t="shared" si="275"/>
        <v>38.172683941847822</v>
      </c>
      <c r="R293" s="67">
        <f t="shared" si="276"/>
        <v>1.5445965862923297</v>
      </c>
      <c r="S293" s="67" t="str">
        <f t="shared" si="265"/>
        <v>1+1,05998842561677i</v>
      </c>
      <c r="T293" s="67">
        <f t="shared" si="277"/>
        <v>1.4572492794445013</v>
      </c>
      <c r="U293" s="67">
        <f t="shared" si="278"/>
        <v>0.81451069451359437</v>
      </c>
      <c r="V293" t="str">
        <f t="shared" si="266"/>
        <v>1-0,220830922003494i</v>
      </c>
      <c r="W293" s="67">
        <f t="shared" si="279"/>
        <v>1.0240929138085633</v>
      </c>
      <c r="X293" s="67">
        <f t="shared" si="280"/>
        <v>-0.21734272864289095</v>
      </c>
      <c r="Y293" t="str">
        <f t="shared" si="267"/>
        <v>0,997976142297492+0,612437757023022i</v>
      </c>
      <c r="Z293" s="67">
        <f t="shared" si="281"/>
        <v>1.1709126298842172</v>
      </c>
      <c r="AA293" s="67">
        <f t="shared" si="282"/>
        <v>0.55041747073401137</v>
      </c>
      <c r="AB293" s="92" t="str">
        <f t="shared" si="283"/>
        <v>0,0547545194790365-0,749241655046995i</v>
      </c>
      <c r="AC293" s="37">
        <f t="shared" si="284"/>
        <v>-2.4844291712929691</v>
      </c>
      <c r="AD293" s="60">
        <f t="shared" si="285"/>
        <v>-85.820259383385633</v>
      </c>
      <c r="AE293" t="str">
        <f t="shared" si="286"/>
        <v>34,4450883806789</v>
      </c>
      <c r="AF293" t="str">
        <f t="shared" si="268"/>
        <v>1+19,0797916611019i</v>
      </c>
      <c r="AG293">
        <f t="shared" si="287"/>
        <v>19.105979426113009</v>
      </c>
      <c r="AH293">
        <f t="shared" si="288"/>
        <v>1.5184327648777727</v>
      </c>
      <c r="AI293" t="str">
        <f t="shared" si="269"/>
        <v>1+1,05998842561677i</v>
      </c>
      <c r="AJ293">
        <f t="shared" si="289"/>
        <v>1.4572492794445013</v>
      </c>
      <c r="AK293">
        <f t="shared" si="290"/>
        <v>0.81451069451359437</v>
      </c>
      <c r="AL293" t="str">
        <f t="shared" si="270"/>
        <v>1-0,0721230771115879i</v>
      </c>
      <c r="AM293">
        <f t="shared" si="291"/>
        <v>1.0025974956342369</v>
      </c>
      <c r="AN293">
        <f t="shared" si="292"/>
        <v>-7.1998410846638966E-2</v>
      </c>
      <c r="AO293" s="58" t="str">
        <f t="shared" si="293"/>
        <v>1,88009936469998-1,84479494317442i</v>
      </c>
      <c r="AP293">
        <f t="shared" si="294"/>
        <v>8.412369247704067</v>
      </c>
      <c r="AQ293" s="60">
        <f t="shared" si="295"/>
        <v>-44.456968811139618</v>
      </c>
      <c r="AR293" t="str">
        <f t="shared" si="271"/>
        <v>-1,36472945891784</v>
      </c>
      <c r="AS293" t="str">
        <f t="shared" si="272"/>
        <v>1+0,794037329629523i</v>
      </c>
      <c r="AT293">
        <f t="shared" si="296"/>
        <v>1.2769084856970698</v>
      </c>
      <c r="AU293">
        <f t="shared" si="297"/>
        <v>0.67109457783387172</v>
      </c>
      <c r="AV293" t="str">
        <f t="shared" si="273"/>
        <v>1+0,794037329629523i</v>
      </c>
      <c r="AW293">
        <f t="shared" si="298"/>
        <v>1.2769084856970698</v>
      </c>
      <c r="AX293">
        <f t="shared" si="299"/>
        <v>0.67109457783387172</v>
      </c>
      <c r="AY293" t="str">
        <f t="shared" si="274"/>
        <v>1-0,0188907995131647i</v>
      </c>
      <c r="AZ293">
        <f t="shared" si="300"/>
        <v>1.0001784152371249</v>
      </c>
      <c r="BA293">
        <f t="shared" si="301"/>
        <v>-1.8888552856099715E-2</v>
      </c>
      <c r="BB293" s="58" t="str">
        <f t="shared" si="302"/>
        <v>-0,824447965490132+0,680423291534404i</v>
      </c>
      <c r="BC293">
        <f t="shared" si="303"/>
        <v>0.57928542099925506</v>
      </c>
      <c r="BD293" s="60">
        <f t="shared" si="304"/>
        <v>140.46687867624112</v>
      </c>
      <c r="BE293" s="58" t="str">
        <f t="shared" si="305"/>
        <v>0,464659220895879+0,654967008534265i</v>
      </c>
      <c r="BF293" s="37">
        <f t="shared" si="306"/>
        <v>-1.9051437502937141</v>
      </c>
      <c r="BG293" s="60">
        <f t="shared" si="307"/>
        <v>54.646619292855533</v>
      </c>
      <c r="BH293" s="58" t="str">
        <f t="shared" si="308"/>
        <v>-0,294802648705426+2,80020083578754i</v>
      </c>
      <c r="BI293" s="37">
        <f t="shared" si="309"/>
        <v>8.9916546687033367</v>
      </c>
      <c r="BJ293" s="60">
        <f t="shared" si="310"/>
        <v>96.00990986510152</v>
      </c>
      <c r="BK293">
        <f t="shared" si="311"/>
        <v>-1.9051437502937141</v>
      </c>
      <c r="BL293" s="60">
        <f t="shared" si="312"/>
        <v>54.646619292855533</v>
      </c>
      <c r="BN293">
        <f t="shared" si="313"/>
        <v>0</v>
      </c>
      <c r="BO293">
        <f t="shared" si="314"/>
        <v>0</v>
      </c>
    </row>
    <row r="294" spans="13:67" x14ac:dyDescent="0.25">
      <c r="M294" s="66">
        <v>76</v>
      </c>
      <c r="N294" s="36">
        <f t="shared" si="315"/>
        <v>5754.399373371567</v>
      </c>
      <c r="O294" s="91" t="str">
        <f t="shared" si="263"/>
        <v>22,5</v>
      </c>
      <c r="P294" s="67" t="str">
        <f t="shared" si="264"/>
        <v>1+39,0484342019645i</v>
      </c>
      <c r="Q294" s="67">
        <f t="shared" si="275"/>
        <v>39.061236713974523</v>
      </c>
      <c r="R294" s="67">
        <f t="shared" si="276"/>
        <v>1.5451927015619298</v>
      </c>
      <c r="S294" s="67" t="str">
        <f t="shared" si="265"/>
        <v>1+1,08467872783235i</v>
      </c>
      <c r="T294" s="67">
        <f t="shared" si="277"/>
        <v>1.4753060504898654</v>
      </c>
      <c r="U294" s="67">
        <f t="shared" si="278"/>
        <v>0.82599540310980835</v>
      </c>
      <c r="V294" t="str">
        <f t="shared" si="266"/>
        <v>1-0,225974734965073i</v>
      </c>
      <c r="W294" s="67">
        <f t="shared" si="279"/>
        <v>1.0252144072546654</v>
      </c>
      <c r="X294" s="67">
        <f t="shared" si="280"/>
        <v>-0.22224201522539802</v>
      </c>
      <c r="Y294" t="str">
        <f t="shared" si="267"/>
        <v>0,997880760822511+0,626703264969801i</v>
      </c>
      <c r="Z294" s="67">
        <f t="shared" si="281"/>
        <v>1.1783560561831563</v>
      </c>
      <c r="AA294" s="67">
        <f t="shared" si="282"/>
        <v>0.56077825127856062</v>
      </c>
      <c r="AB294" s="92" t="str">
        <f t="shared" si="283"/>
        <v>0,050664759256858-0,737623525789712i</v>
      </c>
      <c r="AC294" s="37">
        <f t="shared" si="284"/>
        <v>-2.6228637047361114</v>
      </c>
      <c r="AD294" s="60">
        <f t="shared" si="285"/>
        <v>-86.070726382403066</v>
      </c>
      <c r="AE294" t="str">
        <f t="shared" si="286"/>
        <v>34,4450883806789</v>
      </c>
      <c r="AF294" t="str">
        <f t="shared" si="268"/>
        <v>1+19,5242171009823i</v>
      </c>
      <c r="AG294">
        <f t="shared" si="287"/>
        <v>19.549809549105319</v>
      </c>
      <c r="AH294">
        <f t="shared" si="288"/>
        <v>1.5196226010745302</v>
      </c>
      <c r="AI294" t="str">
        <f t="shared" si="269"/>
        <v>1+1,08467872783235i</v>
      </c>
      <c r="AJ294">
        <f t="shared" si="289"/>
        <v>1.4753060504898654</v>
      </c>
      <c r="AK294">
        <f t="shared" si="290"/>
        <v>0.82599540310980835</v>
      </c>
      <c r="AL294" t="str">
        <f t="shared" si="270"/>
        <v>1-0,0738030393900122i</v>
      </c>
      <c r="AM294">
        <f t="shared" si="291"/>
        <v>1.0027197458029855</v>
      </c>
      <c r="AN294">
        <f t="shared" si="292"/>
        <v>-7.3669476641356174E-2</v>
      </c>
      <c r="AO294" s="58" t="str">
        <f t="shared" si="293"/>
        <v>1,87608376942752-1,80936438365614i</v>
      </c>
      <c r="AP294">
        <f t="shared" si="294"/>
        <v>8.3209292657054483</v>
      </c>
      <c r="AQ294" s="60">
        <f t="shared" si="295"/>
        <v>-43.962861089351094</v>
      </c>
      <c r="AR294" t="str">
        <f t="shared" si="271"/>
        <v>-1,36472945891784</v>
      </c>
      <c r="AS294" t="str">
        <f t="shared" si="272"/>
        <v>1+0,812532835019213i</v>
      </c>
      <c r="AT294">
        <f t="shared" si="296"/>
        <v>1.2884912137784874</v>
      </c>
      <c r="AU294">
        <f t="shared" si="297"/>
        <v>0.68233633282731343</v>
      </c>
      <c r="AV294" t="str">
        <f t="shared" si="273"/>
        <v>1+0,812532835019213i</v>
      </c>
      <c r="AW294">
        <f t="shared" si="298"/>
        <v>1.2884912137784874</v>
      </c>
      <c r="AX294">
        <f t="shared" si="299"/>
        <v>0.68233633282731343</v>
      </c>
      <c r="AY294" t="str">
        <f t="shared" si="274"/>
        <v>1-0,0184607924178785i</v>
      </c>
      <c r="AZ294">
        <f t="shared" si="300"/>
        <v>1.0001703859126685</v>
      </c>
      <c r="BA294">
        <f t="shared" si="301"/>
        <v>-1.8458695695310279E-2</v>
      </c>
      <c r="BB294" s="58" t="str">
        <f t="shared" si="302"/>
        <v>-0,809692047660247+0,683095362225538i</v>
      </c>
      <c r="BC294">
        <f t="shared" si="303"/>
        <v>0.50078192409450728</v>
      </c>
      <c r="BD294" s="60">
        <f t="shared" si="304"/>
        <v>139.84740256190352</v>
      </c>
      <c r="BE294" s="58" t="str">
        <f t="shared" si="305"/>
        <v>0,462844356868503+0,631856765075676i</v>
      </c>
      <c r="BF294" s="37">
        <f t="shared" si="306"/>
        <v>-2.1220817806416035</v>
      </c>
      <c r="BG294" s="60">
        <f t="shared" si="307"/>
        <v>53.77667617950047</v>
      </c>
      <c r="BH294" s="58" t="str">
        <f t="shared" si="308"/>
        <v>-0,283081689798345+2,74657207480861i</v>
      </c>
      <c r="BI294" s="37">
        <f t="shared" si="309"/>
        <v>8.82171118979997</v>
      </c>
      <c r="BJ294" s="60">
        <f t="shared" si="310"/>
        <v>95.884541472552414</v>
      </c>
      <c r="BK294">
        <f t="shared" si="311"/>
        <v>-2.1220817806416035</v>
      </c>
      <c r="BL294" s="60">
        <f t="shared" si="312"/>
        <v>53.77667617950047</v>
      </c>
      <c r="BN294">
        <f t="shared" si="313"/>
        <v>0</v>
      </c>
      <c r="BO294">
        <f t="shared" si="314"/>
        <v>0</v>
      </c>
    </row>
    <row r="295" spans="13:67" x14ac:dyDescent="0.25">
      <c r="M295" s="66">
        <v>77</v>
      </c>
      <c r="N295" s="36">
        <f t="shared" si="315"/>
        <v>5888.4365535558973</v>
      </c>
      <c r="O295" s="91" t="str">
        <f t="shared" si="263"/>
        <v>22,5</v>
      </c>
      <c r="P295" s="67" t="str">
        <f t="shared" si="264"/>
        <v>1+39,9579890784065i</v>
      </c>
      <c r="Q295" s="67">
        <f t="shared" si="275"/>
        <v>39.97050026194384</v>
      </c>
      <c r="R295" s="67">
        <f t="shared" si="276"/>
        <v>1.5457752651789156</v>
      </c>
      <c r="S295" s="67" t="str">
        <f t="shared" si="265"/>
        <v>1+1,10994414106685i</v>
      </c>
      <c r="T295" s="67">
        <f t="shared" si="277"/>
        <v>1.4939799183016576</v>
      </c>
      <c r="U295" s="67">
        <f t="shared" si="278"/>
        <v>0.83745868663392231</v>
      </c>
      <c r="V295" t="str">
        <f t="shared" si="266"/>
        <v>1-0,23123836272226i</v>
      </c>
      <c r="W295" s="67">
        <f t="shared" si="279"/>
        <v>1.026387441658593</v>
      </c>
      <c r="X295" s="67">
        <f t="shared" si="280"/>
        <v>-0.22724421404455278</v>
      </c>
      <c r="Y295" t="str">
        <f t="shared" si="267"/>
        <v>0,997780884157104+0,641301059283068i</v>
      </c>
      <c r="Z295" s="67">
        <f t="shared" si="281"/>
        <v>1.1861002240227918</v>
      </c>
      <c r="AA295" s="67">
        <f t="shared" si="282"/>
        <v>0.57124563239249537</v>
      </c>
      <c r="AB295" s="92" t="str">
        <f t="shared" si="283"/>
        <v>0,046536386128211-0,726252890463717i</v>
      </c>
      <c r="AC295" s="37">
        <f t="shared" si="284"/>
        <v>-2.7604472841654246</v>
      </c>
      <c r="AD295" s="60">
        <f t="shared" si="285"/>
        <v>-86.333648694666763</v>
      </c>
      <c r="AE295" t="str">
        <f t="shared" si="286"/>
        <v>34,4450883806789</v>
      </c>
      <c r="AF295" t="str">
        <f t="shared" si="268"/>
        <v>1+19,9789945392033i</v>
      </c>
      <c r="AG295">
        <f t="shared" si="287"/>
        <v>20.004005168903433</v>
      </c>
      <c r="AH295">
        <f t="shared" si="288"/>
        <v>1.5207854934412586</v>
      </c>
      <c r="AI295" t="str">
        <f t="shared" si="269"/>
        <v>1+1,10994414106685i</v>
      </c>
      <c r="AJ295">
        <f t="shared" si="289"/>
        <v>1.4939799183016576</v>
      </c>
      <c r="AK295">
        <f t="shared" si="290"/>
        <v>0.83745868663392231</v>
      </c>
      <c r="AL295" t="str">
        <f t="shared" si="270"/>
        <v>1-0,0755221330168202i</v>
      </c>
      <c r="AM295">
        <f t="shared" si="291"/>
        <v>1.0028477414719597</v>
      </c>
      <c r="AN295">
        <f t="shared" si="292"/>
        <v>-7.537903989309247E-2</v>
      </c>
      <c r="AO295" s="58" t="str">
        <f t="shared" si="293"/>
        <v>1,87224798113237-1,77487470087537i</v>
      </c>
      <c r="AP295">
        <f t="shared" si="294"/>
        <v>8.2318021185632801</v>
      </c>
      <c r="AQ295" s="60">
        <f t="shared" si="295"/>
        <v>-43.470642907834211</v>
      </c>
      <c r="AR295" t="str">
        <f t="shared" si="271"/>
        <v>-1,36472945891784</v>
      </c>
      <c r="AS295" t="str">
        <f t="shared" si="272"/>
        <v>1+0,831459156073177i</v>
      </c>
      <c r="AT295">
        <f t="shared" si="296"/>
        <v>1.3005092572596013</v>
      </c>
      <c r="AU295">
        <f t="shared" si="297"/>
        <v>0.69363118438704108</v>
      </c>
      <c r="AV295" t="str">
        <f t="shared" si="273"/>
        <v>1+0,831459156073177i</v>
      </c>
      <c r="AW295">
        <f t="shared" si="298"/>
        <v>1.3005092572596013</v>
      </c>
      <c r="AX295">
        <f t="shared" si="299"/>
        <v>0.69363118438704108</v>
      </c>
      <c r="AY295" t="str">
        <f t="shared" si="274"/>
        <v>1-0,0180405734790897i</v>
      </c>
      <c r="AZ295">
        <f t="shared" si="300"/>
        <v>1.0001627179071686</v>
      </c>
      <c r="BA295">
        <f t="shared" si="301"/>
        <v>-1.8038616685731739E-2</v>
      </c>
      <c r="BB295" s="58" t="str">
        <f t="shared" si="302"/>
        <v>-0,794796417580337+0,685461260694017i</v>
      </c>
      <c r="BC295">
        <f t="shared" si="303"/>
        <v>0.42007560200764893</v>
      </c>
      <c r="BD295" s="60">
        <f t="shared" si="304"/>
        <v>139.22432399161522</v>
      </c>
      <c r="BE295" s="58" t="str">
        <f t="shared" si="305"/>
        <v>0,460831268898096+0,609122085501514i</v>
      </c>
      <c r="BF295" s="37">
        <f t="shared" si="306"/>
        <v>-2.3403716821577785</v>
      </c>
      <c r="BG295" s="60">
        <f t="shared" si="307"/>
        <v>52.890675296948473</v>
      </c>
      <c r="BH295" s="58" t="str">
        <f t="shared" si="308"/>
        <v>-0,271448138190079+2,69401751538854i</v>
      </c>
      <c r="BI295" s="37">
        <f t="shared" si="309"/>
        <v>8.6518777205709299</v>
      </c>
      <c r="BJ295" s="60">
        <f t="shared" si="310"/>
        <v>95.753681083781046</v>
      </c>
      <c r="BK295">
        <f t="shared" si="311"/>
        <v>-2.3403716821577785</v>
      </c>
      <c r="BL295" s="60">
        <f t="shared" si="312"/>
        <v>52.890675296948473</v>
      </c>
      <c r="BN295">
        <f t="shared" si="313"/>
        <v>0</v>
      </c>
      <c r="BO295">
        <f t="shared" si="314"/>
        <v>0</v>
      </c>
    </row>
    <row r="296" spans="13:67" x14ac:dyDescent="0.25">
      <c r="M296" s="66">
        <v>78</v>
      </c>
      <c r="N296" s="36">
        <f t="shared" si="315"/>
        <v>6025.595860743585</v>
      </c>
      <c r="O296" s="91" t="str">
        <f t="shared" si="263"/>
        <v>22,5</v>
      </c>
      <c r="P296" s="67" t="str">
        <f t="shared" si="264"/>
        <v>1+40,8887302095643i</v>
      </c>
      <c r="Q296" s="67">
        <f t="shared" si="275"/>
        <v>40.900956689917855</v>
      </c>
      <c r="R296" s="67">
        <f t="shared" si="276"/>
        <v>1.5463445844436368</v>
      </c>
      <c r="S296" s="67" t="str">
        <f t="shared" si="265"/>
        <v>1+1,13579806137679i</v>
      </c>
      <c r="T296" s="67">
        <f t="shared" si="277"/>
        <v>1.5132868981879393</v>
      </c>
      <c r="U296" s="67">
        <f t="shared" si="278"/>
        <v>0.8488945732329618</v>
      </c>
      <c r="V296" t="str">
        <f t="shared" si="266"/>
        <v>1-0,236624596120164i</v>
      </c>
      <c r="W296" s="67">
        <f t="shared" si="279"/>
        <v>1.0276143242914779</v>
      </c>
      <c r="X296" s="67">
        <f t="shared" si="280"/>
        <v>-0.23235097556262393</v>
      </c>
      <c r="Y296" t="str">
        <f t="shared" si="267"/>
        <v>0,997676300449471+0,656238879906587i</v>
      </c>
      <c r="Z296" s="67">
        <f t="shared" si="281"/>
        <v>1.1941555459736368</v>
      </c>
      <c r="AA296" s="67">
        <f t="shared" si="282"/>
        <v>0.58181619542563923</v>
      </c>
      <c r="AB296" s="92" t="str">
        <f t="shared" si="283"/>
        <v>0,0423696358402118-0,715119535294534i</v>
      </c>
      <c r="AC296" s="37">
        <f t="shared" si="284"/>
        <v>-2.8972085367262479</v>
      </c>
      <c r="AD296" s="60">
        <f t="shared" si="285"/>
        <v>-86.609284779457084</v>
      </c>
      <c r="AE296" t="str">
        <f t="shared" si="286"/>
        <v>34,4450883806789</v>
      </c>
      <c r="AF296" t="str">
        <f t="shared" si="268"/>
        <v>1+20,4443651047822i</v>
      </c>
      <c r="AG296">
        <f t="shared" si="287"/>
        <v>20.468807110763347</v>
      </c>
      <c r="AH296">
        <f t="shared" si="288"/>
        <v>1.5219220459709322</v>
      </c>
      <c r="AI296" t="str">
        <f t="shared" si="269"/>
        <v>1+1,13579806137679i</v>
      </c>
      <c r="AJ296">
        <f t="shared" si="289"/>
        <v>1.5132868981879393</v>
      </c>
      <c r="AK296">
        <f t="shared" si="290"/>
        <v>0.8488945732329618</v>
      </c>
      <c r="AL296" t="str">
        <f t="shared" si="270"/>
        <v>1-0,077281269478207i</v>
      </c>
      <c r="AM296">
        <f t="shared" si="291"/>
        <v>1.002981751883933</v>
      </c>
      <c r="AN296">
        <f t="shared" si="292"/>
        <v>-7.7127967041487541E-2</v>
      </c>
      <c r="AO296" s="58" t="str">
        <f t="shared" si="293"/>
        <v>1,86858398822244-1,74130883479024i</v>
      </c>
      <c r="AP296">
        <f t="shared" si="294"/>
        <v>8.1449814727366139</v>
      </c>
      <c r="AQ296" s="60">
        <f t="shared" si="295"/>
        <v>-42.980740678143192</v>
      </c>
      <c r="AR296" t="str">
        <f t="shared" si="271"/>
        <v>-1,36472945891784</v>
      </c>
      <c r="AS296" t="str">
        <f t="shared" si="272"/>
        <v>1+0,850826327777351i</v>
      </c>
      <c r="AT296">
        <f t="shared" si="296"/>
        <v>1.312975795679072</v>
      </c>
      <c r="AU296">
        <f t="shared" si="297"/>
        <v>0.70497359451925889</v>
      </c>
      <c r="AV296" t="str">
        <f t="shared" si="273"/>
        <v>1+0,850826327777351i</v>
      </c>
      <c r="AW296">
        <f t="shared" si="298"/>
        <v>1.312975795679072</v>
      </c>
      <c r="AX296">
        <f t="shared" si="299"/>
        <v>0.70497359451925889</v>
      </c>
      <c r="AY296" t="str">
        <f t="shared" si="274"/>
        <v>1-0,0176299198911547i</v>
      </c>
      <c r="AZ296">
        <f t="shared" si="300"/>
        <v>1.0001553949638868</v>
      </c>
      <c r="BA296">
        <f t="shared" si="301"/>
        <v>-1.7628093689291552E-2</v>
      </c>
      <c r="BB296" s="58" t="str">
        <f t="shared" si="302"/>
        <v>-0,779775088477933+0,687513246055759i</v>
      </c>
      <c r="BC296">
        <f t="shared" si="303"/>
        <v>0.33714656297787798</v>
      </c>
      <c r="BD296" s="60">
        <f t="shared" si="304"/>
        <v>138.59797299662185</v>
      </c>
      <c r="BE296" s="58" t="str">
        <f t="shared" si="305"/>
        <v>0,458615366492152+0,586762084777298i</v>
      </c>
      <c r="BF296" s="37">
        <f t="shared" si="306"/>
        <v>-2.5600619737483719</v>
      </c>
      <c r="BG296" s="60">
        <f t="shared" si="307"/>
        <v>51.988688217164771</v>
      </c>
      <c r="BH296" s="58" t="str">
        <f t="shared" si="308"/>
        <v>-0,259902355352393+2,64250549398659i</v>
      </c>
      <c r="BI296" s="37">
        <f t="shared" si="309"/>
        <v>8.4821280357144886</v>
      </c>
      <c r="BJ296" s="60">
        <f t="shared" si="310"/>
        <v>95.617232318478656</v>
      </c>
      <c r="BK296">
        <f t="shared" si="311"/>
        <v>-2.5600619737483719</v>
      </c>
      <c r="BL296" s="60">
        <f t="shared" si="312"/>
        <v>51.988688217164771</v>
      </c>
      <c r="BN296">
        <f t="shared" si="313"/>
        <v>0</v>
      </c>
      <c r="BO296">
        <f t="shared" si="314"/>
        <v>0</v>
      </c>
    </row>
    <row r="297" spans="13:67" x14ac:dyDescent="0.25">
      <c r="M297" s="66">
        <v>79</v>
      </c>
      <c r="N297" s="36">
        <f t="shared" si="315"/>
        <v>6165.9500186148289</v>
      </c>
      <c r="O297" s="91" t="str">
        <f t="shared" si="263"/>
        <v>22,5</v>
      </c>
      <c r="P297" s="67" t="str">
        <f t="shared" si="264"/>
        <v>1+41,8411510867056i</v>
      </c>
      <c r="Q297" s="67">
        <f t="shared" si="275"/>
        <v>41.853099338764927</v>
      </c>
      <c r="R297" s="67">
        <f t="shared" si="276"/>
        <v>1.5469009597396155</v>
      </c>
      <c r="S297" s="67" t="str">
        <f t="shared" si="265"/>
        <v>1+1,16225419685293i</v>
      </c>
      <c r="T297" s="67">
        <f t="shared" si="277"/>
        <v>1.5332432351398944</v>
      </c>
      <c r="U297" s="67">
        <f t="shared" si="278"/>
        <v>0.86029716268022949</v>
      </c>
      <c r="V297" t="str">
        <f t="shared" si="266"/>
        <v>1-0,242136291011028i</v>
      </c>
      <c r="W297" s="67">
        <f t="shared" si="279"/>
        <v>1.028897460111831</v>
      </c>
      <c r="X297" s="67">
        <f t="shared" si="280"/>
        <v>-0.23756394154469948</v>
      </c>
      <c r="Y297" t="str">
        <f t="shared" si="267"/>
        <v>0,997566787863548+0,671524647070583i</v>
      </c>
      <c r="Z297" s="67">
        <f t="shared" si="281"/>
        <v>1.2025326805836372</v>
      </c>
      <c r="AA297" s="67">
        <f t="shared" si="282"/>
        <v>0.59248631149777042</v>
      </c>
      <c r="AB297" s="92" t="str">
        <f t="shared" si="283"/>
        <v>0,0381650179406345-0,704213432549776i</v>
      </c>
      <c r="AC297" s="37">
        <f t="shared" si="284"/>
        <v>-3.0331768314651453</v>
      </c>
      <c r="AD297" s="60">
        <f t="shared" si="285"/>
        <v>-86.897876052259249</v>
      </c>
      <c r="AE297" t="str">
        <f t="shared" si="286"/>
        <v>34,4450883806789</v>
      </c>
      <c r="AF297" t="str">
        <f t="shared" si="268"/>
        <v>1+20,9205755433528i</v>
      </c>
      <c r="AG297">
        <f t="shared" si="287"/>
        <v>20.944461823239365</v>
      </c>
      <c r="AH297">
        <f t="shared" si="288"/>
        <v>1.5230328495269254</v>
      </c>
      <c r="AI297" t="str">
        <f t="shared" si="269"/>
        <v>1+1,16225419685293i</v>
      </c>
      <c r="AJ297">
        <f t="shared" si="289"/>
        <v>1.5332432351398944</v>
      </c>
      <c r="AK297">
        <f t="shared" si="290"/>
        <v>0.86029716268022949</v>
      </c>
      <c r="AL297" t="str">
        <f t="shared" si="270"/>
        <v>1-0,0790813814916099i</v>
      </c>
      <c r="AM297">
        <f t="shared" si="291"/>
        <v>1.0031220588236616</v>
      </c>
      <c r="AN297">
        <f t="shared" si="292"/>
        <v>-7.8917142570740673E-2</v>
      </c>
      <c r="AO297" s="58" t="str">
        <f t="shared" si="293"/>
        <v>1,86508413259307-1,70865013395254i</v>
      </c>
      <c r="AP297">
        <f t="shared" si="294"/>
        <v>8.0604587177579532</v>
      </c>
      <c r="AQ297" s="60">
        <f t="shared" si="295"/>
        <v>-42.493576989555081</v>
      </c>
      <c r="AR297" t="str">
        <f t="shared" si="271"/>
        <v>-1,36472945891784</v>
      </c>
      <c r="AS297" t="str">
        <f t="shared" si="272"/>
        <v>1+0,870644618862532i</v>
      </c>
      <c r="AT297">
        <f t="shared" si="296"/>
        <v>1.3259042395113922</v>
      </c>
      <c r="AU297">
        <f t="shared" si="297"/>
        <v>0.71635790429114199</v>
      </c>
      <c r="AV297" t="str">
        <f t="shared" si="273"/>
        <v>1+0,870644618862532i</v>
      </c>
      <c r="AW297">
        <f t="shared" si="298"/>
        <v>1.3259042395113922</v>
      </c>
      <c r="AX297">
        <f t="shared" si="299"/>
        <v>0.71635790429114199</v>
      </c>
      <c r="AY297" t="str">
        <f t="shared" si="274"/>
        <v>1-0,0172286139201056i</v>
      </c>
      <c r="AZ297">
        <f t="shared" si="300"/>
        <v>1.000148401557293</v>
      </c>
      <c r="BA297">
        <f t="shared" si="301"/>
        <v>-1.7226909595061336E-2</v>
      </c>
      <c r="BB297" s="58" t="str">
        <f t="shared" si="302"/>
        <v>-0,764642579559162+0,68924434419944i</v>
      </c>
      <c r="BC297">
        <f t="shared" si="303"/>
        <v>0.25197704476008437</v>
      </c>
      <c r="BD297" s="60">
        <f t="shared" si="304"/>
        <v>137.96868624943056</v>
      </c>
      <c r="BE297" s="58" t="str">
        <f t="shared" si="305"/>
        <v>0,456192527727158+0,564776598386925i</v>
      </c>
      <c r="BF297" s="37">
        <f t="shared" si="306"/>
        <v>-2.7811997867050686</v>
      </c>
      <c r="BG297" s="60">
        <f t="shared" si="307"/>
        <v>51.07081019717134</v>
      </c>
      <c r="BH297" s="58" t="str">
        <f t="shared" si="308"/>
        <v>-0,248445301198424+2,59200533583547i</v>
      </c>
      <c r="BI297" s="37">
        <f t="shared" si="309"/>
        <v>8.3124357625180387</v>
      </c>
      <c r="BJ297" s="60">
        <f t="shared" si="310"/>
        <v>95.475109259875495</v>
      </c>
      <c r="BK297">
        <f t="shared" si="311"/>
        <v>-2.7811997867050686</v>
      </c>
      <c r="BL297" s="60">
        <f t="shared" si="312"/>
        <v>51.07081019717134</v>
      </c>
      <c r="BN297">
        <f t="shared" si="313"/>
        <v>0</v>
      </c>
      <c r="BO297">
        <f t="shared" si="314"/>
        <v>0</v>
      </c>
    </row>
    <row r="298" spans="13:67" x14ac:dyDescent="0.25">
      <c r="M298" s="66">
        <v>80</v>
      </c>
      <c r="N298" s="36">
        <f t="shared" si="315"/>
        <v>6309.5734448019384</v>
      </c>
      <c r="O298" s="91" t="str">
        <f t="shared" si="263"/>
        <v>22,5</v>
      </c>
      <c r="P298" s="67" t="str">
        <f t="shared" si="264"/>
        <v>1+42,815756695986i</v>
      </c>
      <c r="Q298" s="67">
        <f t="shared" si="275"/>
        <v>42.82743304763747</v>
      </c>
      <c r="R298" s="67">
        <f t="shared" si="276"/>
        <v>1.5474446846857852</v>
      </c>
      <c r="S298" s="67" t="str">
        <f t="shared" si="265"/>
        <v>1+1,1893265748885i</v>
      </c>
      <c r="T298" s="67">
        <f t="shared" si="277"/>
        <v>1.553865406570341</v>
      </c>
      <c r="U298" s="67">
        <f t="shared" si="278"/>
        <v>0.87166064124712828</v>
      </c>
      <c r="V298" t="str">
        <f t="shared" si="266"/>
        <v>1-0,247776369768438i</v>
      </c>
      <c r="W298" s="67">
        <f t="shared" si="279"/>
        <v>1.0302393554003</v>
      </c>
      <c r="X298" s="67">
        <f t="shared" si="280"/>
        <v>-0.24288474217796729</v>
      </c>
      <c r="Y298" t="str">
        <f t="shared" si="267"/>
        <v>0,997452114108458+0,687166465491133i</v>
      </c>
      <c r="Z298" s="67">
        <f t="shared" si="281"/>
        <v>1.2112425319625335</v>
      </c>
      <c r="AA298" s="67">
        <f t="shared" si="282"/>
        <v>0.60325214428807661</v>
      </c>
      <c r="AB298" s="92" t="str">
        <f t="shared" si="283"/>
        <v>0,0339233138983295-0,693524752702518i</v>
      </c>
      <c r="AC298" s="37">
        <f t="shared" si="284"/>
        <v>-3.1683820979716315</v>
      </c>
      <c r="AD298" s="60">
        <f t="shared" si="285"/>
        <v>-87.199646036165049</v>
      </c>
      <c r="AE298" t="str">
        <f t="shared" si="286"/>
        <v>34,4450883806789</v>
      </c>
      <c r="AF298" t="str">
        <f t="shared" si="268"/>
        <v>1+21,407878347993i</v>
      </c>
      <c r="AG298">
        <f t="shared" si="287"/>
        <v>21.43122150887503</v>
      </c>
      <c r="AH298">
        <f t="shared" si="288"/>
        <v>1.5241184821009288</v>
      </c>
      <c r="AI298" t="str">
        <f t="shared" si="269"/>
        <v>1+1,1893265748885i</v>
      </c>
      <c r="AJ298">
        <f t="shared" si="289"/>
        <v>1.553865406570341</v>
      </c>
      <c r="AK298">
        <f t="shared" si="290"/>
        <v>0.87166064124712828</v>
      </c>
      <c r="AL298" t="str">
        <f t="shared" si="270"/>
        <v>1-0,0809234235002452i</v>
      </c>
      <c r="AM298">
        <f t="shared" si="291"/>
        <v>1.0032689571949289</v>
      </c>
      <c r="AN298">
        <f t="shared" si="292"/>
        <v>-8.0747469280469497E-2</v>
      </c>
      <c r="AO298" s="58" t="str">
        <f t="shared" si="293"/>
        <v>1,86174109433675-1,676882352029i</v>
      </c>
      <c r="AP298">
        <f t="shared" si="294"/>
        <v>7.9782230231861684</v>
      </c>
      <c r="AQ298" s="60">
        <f t="shared" si="295"/>
        <v>-42.009569787274259</v>
      </c>
      <c r="AR298" t="str">
        <f t="shared" si="271"/>
        <v>-1,36472945891784</v>
      </c>
      <c r="AS298" t="str">
        <f t="shared" si="272"/>
        <v>1+0,890924537248976i</v>
      </c>
      <c r="AT298">
        <f t="shared" si="296"/>
        <v>1.3393082285539435</v>
      </c>
      <c r="AU298">
        <f t="shared" si="297"/>
        <v>0.72777834720262857</v>
      </c>
      <c r="AV298" t="str">
        <f t="shared" si="273"/>
        <v>1+0,890924537248976i</v>
      </c>
      <c r="AW298">
        <f t="shared" si="298"/>
        <v>1.3393082285539435</v>
      </c>
      <c r="AX298">
        <f t="shared" si="299"/>
        <v>0.72777834720262857</v>
      </c>
      <c r="AY298" t="str">
        <f t="shared" si="274"/>
        <v>1-0,0168364427882046i</v>
      </c>
      <c r="AZ298">
        <f t="shared" si="300"/>
        <v>1.0001417228601956</v>
      </c>
      <c r="BA298">
        <f t="shared" si="301"/>
        <v>-1.6834852206780736E-2</v>
      </c>
      <c r="BB298" s="58" t="str">
        <f t="shared" si="302"/>
        <v>-0,749413862966734+0,690648388528052i</v>
      </c>
      <c r="BC298">
        <f t="shared" si="303"/>
        <v>0.16455148572466305</v>
      </c>
      <c r="BD298" s="60">
        <f t="shared" si="304"/>
        <v>137.33680630410771</v>
      </c>
      <c r="BE298" s="58" t="str">
        <f t="shared" si="305"/>
        <v>0,45355915114513+0,543166146063255i</v>
      </c>
      <c r="BF298" s="37">
        <f t="shared" si="306"/>
        <v>-3.0038306122469698</v>
      </c>
      <c r="BG298" s="60">
        <f t="shared" si="307"/>
        <v>50.137160267942612</v>
      </c>
      <c r="BH298" s="58" t="str">
        <f t="shared" si="308"/>
        <v>-0,23707849117086+2,54248736783492i</v>
      </c>
      <c r="BI298" s="37">
        <f t="shared" si="309"/>
        <v>8.1427745089108186</v>
      </c>
      <c r="BJ298" s="60">
        <f t="shared" si="310"/>
        <v>95.327236516833452</v>
      </c>
      <c r="BK298">
        <f t="shared" si="311"/>
        <v>-3.0038306122469698</v>
      </c>
      <c r="BL298" s="60">
        <f t="shared" si="312"/>
        <v>50.137160267942612</v>
      </c>
      <c r="BN298">
        <f t="shared" si="313"/>
        <v>0</v>
      </c>
      <c r="BO298">
        <f t="shared" si="314"/>
        <v>0</v>
      </c>
    </row>
    <row r="299" spans="13:67" x14ac:dyDescent="0.25">
      <c r="M299" s="66">
        <v>81</v>
      </c>
      <c r="N299" s="36">
        <f t="shared" si="315"/>
        <v>6456.5422903465615</v>
      </c>
      <c r="O299" s="91" t="str">
        <f t="shared" si="263"/>
        <v>22,5</v>
      </c>
      <c r="P299" s="67" t="str">
        <f t="shared" si="264"/>
        <v>1+43,8130637862003i</v>
      </c>
      <c r="Q299" s="67">
        <f t="shared" si="275"/>
        <v>43.824474421647736</v>
      </c>
      <c r="R299" s="67">
        <f t="shared" si="276"/>
        <v>1.547976046285612</v>
      </c>
      <c r="S299" s="67" t="str">
        <f t="shared" si="265"/>
        <v>1+1,21702954961668i</v>
      </c>
      <c r="T299" s="67">
        <f t="shared" si="277"/>
        <v>1.5751701256182391</v>
      </c>
      <c r="U299" s="67">
        <f t="shared" si="278"/>
        <v>0.88297929603220282</v>
      </c>
      <c r="V299" t="str">
        <f t="shared" si="266"/>
        <v>1-0,253547822836807i</v>
      </c>
      <c r="W299" s="67">
        <f t="shared" si="279"/>
        <v>1.031642621485408</v>
      </c>
      <c r="X299" s="67">
        <f t="shared" si="280"/>
        <v>-0.24831499300568138</v>
      </c>
      <c r="Y299" t="str">
        <f t="shared" si="267"/>
        <v>0,99733203594579+0,703172628667413i</v>
      </c>
      <c r="Z299" s="67">
        <f t="shared" si="281"/>
        <v>1.2202962491259302</v>
      </c>
      <c r="AA299" s="67">
        <f t="shared" si="282"/>
        <v>0.61410965378407245</v>
      </c>
      <c r="AB299" s="92" t="str">
        <f t="shared" si="283"/>
        <v>0,0296455740897145-0,68304387700866i</v>
      </c>
      <c r="AC299" s="37">
        <f t="shared" si="284"/>
        <v>-3.3028546363556925</v>
      </c>
      <c r="AD299" s="60">
        <f t="shared" si="285"/>
        <v>-87.51479958854928</v>
      </c>
      <c r="AE299" t="str">
        <f t="shared" si="286"/>
        <v>34,4450883806789</v>
      </c>
      <c r="AF299" t="str">
        <f t="shared" si="268"/>
        <v>1+21,9065318931002i</v>
      </c>
      <c r="AG299">
        <f t="shared" si="287"/>
        <v>21.929344257943882</v>
      </c>
      <c r="AH299">
        <f t="shared" si="288"/>
        <v>1.5251795090676874</v>
      </c>
      <c r="AI299" t="str">
        <f t="shared" si="269"/>
        <v>1+1,21702954961668i</v>
      </c>
      <c r="AJ299">
        <f t="shared" si="289"/>
        <v>1.5751701256182391</v>
      </c>
      <c r="AK299">
        <f t="shared" si="290"/>
        <v>0.88297929603220282</v>
      </c>
      <c r="AL299" t="str">
        <f t="shared" si="270"/>
        <v>1-0,0828083721791688i</v>
      </c>
      <c r="AM299">
        <f t="shared" si="291"/>
        <v>1.003422755623453</v>
      </c>
      <c r="AN299">
        <f t="shared" si="292"/>
        <v>-8.2619868552604503E-2</v>
      </c>
      <c r="AO299" s="58" t="str">
        <f t="shared" si="293"/>
        <v>1,85854787708703-1,64598964418786i</v>
      </c>
      <c r="AP299">
        <f t="shared" si="294"/>
        <v>7.8982614046350177</v>
      </c>
      <c r="AQ299" s="60">
        <f t="shared" si="295"/>
        <v>-41.529131581325466</v>
      </c>
      <c r="AR299" t="str">
        <f t="shared" si="271"/>
        <v>-1,36472945891784</v>
      </c>
      <c r="AS299" t="str">
        <f t="shared" si="272"/>
        <v>1+0,911676835617853i</v>
      </c>
      <c r="AT299">
        <f t="shared" si="296"/>
        <v>1.3532016304313936</v>
      </c>
      <c r="AU299">
        <f t="shared" si="297"/>
        <v>0.73922906322150606</v>
      </c>
      <c r="AV299" t="str">
        <f t="shared" si="273"/>
        <v>1+0,911676835617853i</v>
      </c>
      <c r="AW299">
        <f t="shared" si="298"/>
        <v>1.3532016304313936</v>
      </c>
      <c r="AX299">
        <f t="shared" si="299"/>
        <v>0.73922906322150606</v>
      </c>
      <c r="AY299" t="str">
        <f t="shared" si="274"/>
        <v>1-0,0164531985611265i</v>
      </c>
      <c r="AZ299">
        <f t="shared" si="300"/>
        <v>1.0001353447123504</v>
      </c>
      <c r="BA299">
        <f t="shared" si="301"/>
        <v>-1.6451714132811508E-2</v>
      </c>
      <c r="BB299" s="58" t="str">
        <f t="shared" si="302"/>
        <v>-0,734104306877521+0,69172005627733i</v>
      </c>
      <c r="BC299">
        <f t="shared" si="303"/>
        <v>7.4856587785981935E-2</v>
      </c>
      <c r="BD299" s="60">
        <f t="shared" si="304"/>
        <v>136.70268079843237</v>
      </c>
      <c r="BE299" s="58" t="str">
        <f t="shared" si="305"/>
        <v>0,4507122054252+0,521931890076088i</v>
      </c>
      <c r="BF299" s="37">
        <f t="shared" si="306"/>
        <v>-3.2279980485697095</v>
      </c>
      <c r="BG299" s="60">
        <f t="shared" si="307"/>
        <v>49.187881209883052</v>
      </c>
      <c r="BH299" s="58" t="str">
        <f t="shared" si="308"/>
        <v>-0,225803951798133+2,49392292900686i</v>
      </c>
      <c r="BI299" s="37">
        <f t="shared" si="309"/>
        <v>7.9731179924210016</v>
      </c>
      <c r="BJ299" s="60">
        <f t="shared" si="310"/>
        <v>95.173549217106867</v>
      </c>
      <c r="BK299">
        <f t="shared" si="311"/>
        <v>-3.2279980485697095</v>
      </c>
      <c r="BL299" s="60">
        <f t="shared" si="312"/>
        <v>49.187881209883052</v>
      </c>
      <c r="BN299">
        <f t="shared" si="313"/>
        <v>0</v>
      </c>
      <c r="BO299">
        <f t="shared" si="314"/>
        <v>0</v>
      </c>
    </row>
    <row r="300" spans="13:67" x14ac:dyDescent="0.25">
      <c r="M300" s="66">
        <v>82</v>
      </c>
      <c r="N300" s="36">
        <f t="shared" si="315"/>
        <v>6606.9344800759654</v>
      </c>
      <c r="O300" s="91" t="str">
        <f t="shared" si="263"/>
        <v>22,5</v>
      </c>
      <c r="P300" s="67" t="str">
        <f t="shared" si="264"/>
        <v>1+44,8336011427684i</v>
      </c>
      <c r="Q300" s="67">
        <f t="shared" si="275"/>
        <v>44.844752105779826</v>
      </c>
      <c r="R300" s="67">
        <f t="shared" si="276"/>
        <v>1.5484953250731424</v>
      </c>
      <c r="S300" s="67" t="str">
        <f t="shared" si="265"/>
        <v>1+1,24537780952135i</v>
      </c>
      <c r="T300" s="67">
        <f t="shared" si="277"/>
        <v>1.5971743450381977</v>
      </c>
      <c r="U300" s="67">
        <f t="shared" si="278"/>
        <v>0.89424752866462676</v>
      </c>
      <c r="V300" t="str">
        <f t="shared" si="266"/>
        <v>1-0,259453710316947i</v>
      </c>
      <c r="W300" s="67">
        <f t="shared" si="279"/>
        <v>1.0331099785585416</v>
      </c>
      <c r="X300" s="67">
        <f t="shared" si="280"/>
        <v>-0.25385629167022666</v>
      </c>
      <c r="Y300" t="str">
        <f t="shared" si="267"/>
        <v>0,997206298673663+0,719551623278999i</v>
      </c>
      <c r="Z300" s="67">
        <f t="shared" si="281"/>
        <v>1.2297052251161125</v>
      </c>
      <c r="AA300" s="67">
        <f t="shared" si="282"/>
        <v>0.62505460100927457</v>
      </c>
      <c r="AB300" s="92" t="str">
        <f t="shared" si="283"/>
        <v>0,0253331135837898-0,672761410383275i</v>
      </c>
      <c r="AC300" s="37">
        <f t="shared" si="284"/>
        <v>-3.436624919863239</v>
      </c>
      <c r="AD300" s="60">
        <f t="shared" si="285"/>
        <v>-87.843522208553281</v>
      </c>
      <c r="AE300" t="str">
        <f t="shared" si="286"/>
        <v>34,4450883806789</v>
      </c>
      <c r="AF300" t="str">
        <f t="shared" si="268"/>
        <v>1+22,4168005713842i</v>
      </c>
      <c r="AG300">
        <f t="shared" si="287"/>
        <v>22.439094185309955</v>
      </c>
      <c r="AH300">
        <f t="shared" si="288"/>
        <v>1.526216483436458</v>
      </c>
      <c r="AI300" t="str">
        <f t="shared" si="269"/>
        <v>1+1,24537780952135i</v>
      </c>
      <c r="AJ300">
        <f t="shared" si="289"/>
        <v>1.5971743450381977</v>
      </c>
      <c r="AK300">
        <f t="shared" si="290"/>
        <v>0.89424752866462676</v>
      </c>
      <c r="AL300" t="str">
        <f t="shared" si="270"/>
        <v>1-0,0847372269531198i</v>
      </c>
      <c r="AM300">
        <f t="shared" si="291"/>
        <v>1.0035837770867486</v>
      </c>
      <c r="AN300">
        <f t="shared" si="292"/>
        <v>-8.453528061353166E-2</v>
      </c>
      <c r="AO300" s="58" t="str">
        <f t="shared" si="293"/>
        <v>1,85549779397304-1,61595656337161i</v>
      </c>
      <c r="AP300">
        <f t="shared" si="294"/>
        <v>7.8205587983798672</v>
      </c>
      <c r="AQ300" s="60">
        <f t="shared" si="295"/>
        <v>-41.052668690829464</v>
      </c>
      <c r="AR300" t="str">
        <f t="shared" si="271"/>
        <v>-1,36472945891784</v>
      </c>
      <c r="AS300" t="str">
        <f t="shared" si="272"/>
        <v>1+0,93291251711244i</v>
      </c>
      <c r="AT300">
        <f t="shared" si="296"/>
        <v>1.3675985392596282</v>
      </c>
      <c r="AU300">
        <f t="shared" si="297"/>
        <v>0.75070411340230359</v>
      </c>
      <c r="AV300" t="str">
        <f t="shared" si="273"/>
        <v>1+0,93291251711244i</v>
      </c>
      <c r="AW300">
        <f t="shared" si="298"/>
        <v>1.3675985392596282</v>
      </c>
      <c r="AX300">
        <f t="shared" si="299"/>
        <v>0.75070411340230359</v>
      </c>
      <c r="AY300" t="str">
        <f t="shared" si="274"/>
        <v>1-0,0160786780377094i</v>
      </c>
      <c r="AZ300">
        <f t="shared" si="300"/>
        <v>1.0001292535904749</v>
      </c>
      <c r="BA300">
        <f t="shared" si="301"/>
        <v>-1.6077292678475054E-2</v>
      </c>
      <c r="BB300" s="58" t="str">
        <f t="shared" si="302"/>
        <v>-0,718729615176047+0,692454899995659i</v>
      </c>
      <c r="BC300">
        <f t="shared" si="303"/>
        <v>-1.7118629383193338E-2</v>
      </c>
      <c r="BD300" s="60">
        <f t="shared" si="304"/>
        <v>136.06666162246447</v>
      </c>
      <c r="BE300" s="58" t="str">
        <f t="shared" si="305"/>
        <v>0,447649276170601+0,501075588223308i</v>
      </c>
      <c r="BF300" s="37">
        <f t="shared" si="306"/>
        <v>-3.4537435492464308</v>
      </c>
      <c r="BG300" s="60">
        <f t="shared" si="307"/>
        <v>48.223139413911184</v>
      </c>
      <c r="BH300" s="58" t="str">
        <f t="shared" si="308"/>
        <v>-0,21462417493543+2,44628437830105i</v>
      </c>
      <c r="BI300" s="37">
        <f t="shared" si="309"/>
        <v>7.8034401689966675</v>
      </c>
      <c r="BJ300" s="60">
        <f t="shared" si="310"/>
        <v>95.013992931634988</v>
      </c>
      <c r="BK300">
        <f t="shared" si="311"/>
        <v>-3.4537435492464308</v>
      </c>
      <c r="BL300" s="60">
        <f t="shared" si="312"/>
        <v>48.223139413911184</v>
      </c>
      <c r="BN300">
        <f t="shared" si="313"/>
        <v>0</v>
      </c>
      <c r="BO300">
        <f t="shared" si="314"/>
        <v>0</v>
      </c>
    </row>
    <row r="301" spans="13:67" x14ac:dyDescent="0.25">
      <c r="M301" s="66">
        <v>83</v>
      </c>
      <c r="N301" s="36">
        <f t="shared" si="315"/>
        <v>6760.8297539198229</v>
      </c>
      <c r="O301" s="91" t="str">
        <f t="shared" si="263"/>
        <v>22,5</v>
      </c>
      <c r="P301" s="67" t="str">
        <f t="shared" si="264"/>
        <v>1+45,8779098681053i</v>
      </c>
      <c r="Q301" s="67">
        <f t="shared" si="275"/>
        <v>45.888807065187407</v>
      </c>
      <c r="R301" s="67">
        <f t="shared" si="276"/>
        <v>1.5490027952560308</v>
      </c>
      <c r="S301" s="67" t="str">
        <f t="shared" si="265"/>
        <v>1+1,27438638522515i</v>
      </c>
      <c r="T301" s="67">
        <f t="shared" si="277"/>
        <v>1.6198952616904663</v>
      </c>
      <c r="U301" s="67">
        <f t="shared" si="278"/>
        <v>0.9054598683064442</v>
      </c>
      <c r="V301" t="str">
        <f t="shared" si="266"/>
        <v>1-0,265497163588573i</v>
      </c>
      <c r="W301" s="67">
        <f t="shared" si="279"/>
        <v>1.0346442595760039</v>
      </c>
      <c r="X301" s="67">
        <f t="shared" si="280"/>
        <v>-0.25951021446010125</v>
      </c>
      <c r="Y301" t="str">
        <f t="shared" si="267"/>
        <v>0,997074635586465+0,736312133685641i</v>
      </c>
      <c r="Z301" s="67">
        <f t="shared" si="281"/>
        <v>1.2394810959198139</v>
      </c>
      <c r="AA301" s="67">
        <f t="shared" si="282"/>
        <v>0.63608255374155021</v>
      </c>
      <c r="AB301" s="92" t="str">
        <f t="shared" si="283"/>
        <v>0,0209875066699023-0,662668194450923i</v>
      </c>
      <c r="AC301" s="37">
        <f t="shared" si="284"/>
        <v>-3.5697233915385409</v>
      </c>
      <c r="AD301" s="60">
        <f t="shared" si="285"/>
        <v>-88.185979430100076</v>
      </c>
      <c r="AE301" t="str">
        <f t="shared" si="286"/>
        <v>34,4450883806789</v>
      </c>
      <c r="AF301" t="str">
        <f t="shared" si="268"/>
        <v>1+22,9389549340527i</v>
      </c>
      <c r="AG301">
        <f t="shared" si="287"/>
        <v>22.960741570482881</v>
      </c>
      <c r="AH301">
        <f t="shared" si="288"/>
        <v>1.5272299460991012</v>
      </c>
      <c r="AI301" t="str">
        <f t="shared" si="269"/>
        <v>1+1,27438638522515i</v>
      </c>
      <c r="AJ301">
        <f t="shared" si="289"/>
        <v>1.6198952616904663</v>
      </c>
      <c r="AK301">
        <f t="shared" si="290"/>
        <v>0.9054598683064442</v>
      </c>
      <c r="AL301" t="str">
        <f t="shared" si="270"/>
        <v>1-0,0867110105264314i</v>
      </c>
      <c r="AM301">
        <f t="shared" si="291"/>
        <v>1.0037523595720783</v>
      </c>
      <c r="AN301">
        <f t="shared" si="292"/>
        <v>-8.6494664790652806E-2</v>
      </c>
      <c r="AO301" s="58" t="str">
        <f t="shared" si="293"/>
        <v>1,85258445416109-1,58676805647462i</v>
      </c>
      <c r="AP301">
        <f t="shared" si="294"/>
        <v>7.7450981439772884</v>
      </c>
      <c r="AQ301" s="60">
        <f t="shared" si="295"/>
        <v>-40.580580527943361</v>
      </c>
      <c r="AR301" t="str">
        <f t="shared" si="271"/>
        <v>-1,36472945891784</v>
      </c>
      <c r="AS301" t="str">
        <f t="shared" si="272"/>
        <v>1+0,954642841172159i</v>
      </c>
      <c r="AT301">
        <f t="shared" si="296"/>
        <v>1.3825132745117683</v>
      </c>
      <c r="AU301">
        <f t="shared" si="297"/>
        <v>0.76219749500288969</v>
      </c>
      <c r="AV301" t="str">
        <f t="shared" si="273"/>
        <v>1+0,954642841172159i</v>
      </c>
      <c r="AW301">
        <f t="shared" si="298"/>
        <v>1.3825132745117683</v>
      </c>
      <c r="AX301">
        <f t="shared" si="299"/>
        <v>0.76219749500288969</v>
      </c>
      <c r="AY301" t="str">
        <f t="shared" si="274"/>
        <v>1-0,0157126826422144i</v>
      </c>
      <c r="AZ301">
        <f t="shared" si="300"/>
        <v>1.0001234365796128</v>
      </c>
      <c r="BA301">
        <f t="shared" si="301"/>
        <v>-1.571138974072659E-2</v>
      </c>
      <c r="BB301" s="58" t="str">
        <f t="shared" si="302"/>
        <v>-0,703305764190203+0,692849373819749i</v>
      </c>
      <c r="BC301">
        <f t="shared" si="303"/>
        <v>-0.11138278332611265</v>
      </c>
      <c r="BD301" s="60">
        <f t="shared" si="304"/>
        <v>135.429104058462</v>
      </c>
      <c r="BE301" s="58" t="str">
        <f t="shared" si="305"/>
        <v>0,444368609158663+0,480599541757128i</v>
      </c>
      <c r="BF301" s="37">
        <f t="shared" si="306"/>
        <v>-3.6811061748646532</v>
      </c>
      <c r="BG301" s="60">
        <f t="shared" si="307"/>
        <v>47.243124628361926</v>
      </c>
      <c r="BH301" s="58" t="str">
        <f t="shared" si="308"/>
        <v>-0,203542070935035+2,3995450995652i</v>
      </c>
      <c r="BI301" s="37">
        <f t="shared" si="309"/>
        <v>7.6337153606511796</v>
      </c>
      <c r="BJ301" s="60">
        <f t="shared" si="310"/>
        <v>94.848523530518619</v>
      </c>
      <c r="BK301">
        <f t="shared" si="311"/>
        <v>-3.6811061748646532</v>
      </c>
      <c r="BL301" s="60">
        <f t="shared" si="312"/>
        <v>47.243124628361926</v>
      </c>
      <c r="BN301">
        <f t="shared" si="313"/>
        <v>0</v>
      </c>
      <c r="BO301">
        <f t="shared" si="314"/>
        <v>0</v>
      </c>
    </row>
    <row r="302" spans="13:67" x14ac:dyDescent="0.25">
      <c r="M302" s="66">
        <v>84</v>
      </c>
      <c r="N302" s="36">
        <f t="shared" si="315"/>
        <v>6918.3097091893687</v>
      </c>
      <c r="O302" s="91" t="str">
        <f t="shared" si="263"/>
        <v>22,5</v>
      </c>
      <c r="P302" s="67" t="str">
        <f t="shared" si="264"/>
        <v>1+46,9465436685202i</v>
      </c>
      <c r="Q302" s="67">
        <f t="shared" si="275"/>
        <v>46.957192872022006</v>
      </c>
      <c r="R302" s="67">
        <f t="shared" si="276"/>
        <v>1.5494987248555925</v>
      </c>
      <c r="S302" s="67" t="str">
        <f t="shared" si="265"/>
        <v>1+1,3040706574589i</v>
      </c>
      <c r="T302" s="67">
        <f t="shared" si="277"/>
        <v>1.6433503216433456</v>
      </c>
      <c r="U302" s="67">
        <f t="shared" si="278"/>
        <v>0.91661098388568674</v>
      </c>
      <c r="V302" t="str">
        <f t="shared" si="266"/>
        <v>1-0,271681386970603i</v>
      </c>
      <c r="W302" s="67">
        <f t="shared" si="279"/>
        <v>1.0362484142454793</v>
      </c>
      <c r="X302" s="67">
        <f t="shared" si="280"/>
        <v>-0.26527831265611773</v>
      </c>
      <c r="Y302" t="str">
        <f t="shared" si="267"/>
        <v>0,996936767409135+0,753463046531806i</v>
      </c>
      <c r="Z302" s="67">
        <f t="shared" si="281"/>
        <v>1.2496357392060962</v>
      </c>
      <c r="AA302" s="67">
        <f t="shared" si="282"/>
        <v>0.64718889322586881</v>
      </c>
      <c r="AB302" s="92" t="str">
        <f t="shared" si="283"/>
        <v>0,0166105800859255-0,652755320636693i</v>
      </c>
      <c r="AC302" s="37">
        <f t="shared" si="284"/>
        <v>-3.7021802564280346</v>
      </c>
      <c r="AD302" s="60">
        <f t="shared" si="285"/>
        <v>-88.542316304277151</v>
      </c>
      <c r="AE302" t="str">
        <f t="shared" si="286"/>
        <v>34,4450883806789</v>
      </c>
      <c r="AF302" t="str">
        <f t="shared" si="268"/>
        <v>1+23,4732718342601i</v>
      </c>
      <c r="AG302">
        <f t="shared" si="287"/>
        <v>23.494563000938502</v>
      </c>
      <c r="AH302">
        <f t="shared" si="288"/>
        <v>1.5282204260747201</v>
      </c>
      <c r="AI302" t="str">
        <f t="shared" si="269"/>
        <v>1+1,3040706574589i</v>
      </c>
      <c r="AJ302">
        <f t="shared" si="289"/>
        <v>1.6433503216433456</v>
      </c>
      <c r="AK302">
        <f t="shared" si="290"/>
        <v>0.91661098388568674</v>
      </c>
      <c r="AL302" t="str">
        <f t="shared" si="270"/>
        <v>1-0,0887307694252799i</v>
      </c>
      <c r="AM302">
        <f t="shared" si="291"/>
        <v>1.0039288567636664</v>
      </c>
      <c r="AN302">
        <f t="shared" si="292"/>
        <v>-8.8498999762448766E-2</v>
      </c>
      <c r="AO302" s="58" t="str">
        <f t="shared" si="293"/>
        <v>1,84980174996107-1,5584094604438i</v>
      </c>
      <c r="AP302">
        <f t="shared" si="294"/>
        <v>7.671860474279014</v>
      </c>
      <c r="AQ302" s="60">
        <f t="shared" si="295"/>
        <v>-40.113258925299775</v>
      </c>
      <c r="AR302" t="str">
        <f t="shared" si="271"/>
        <v>-1,36472945891784</v>
      </c>
      <c r="AS302" t="str">
        <f t="shared" si="272"/>
        <v>1+0,976879329502459i</v>
      </c>
      <c r="AT302">
        <f t="shared" si="296"/>
        <v>1.3979603801285549</v>
      </c>
      <c r="AU302">
        <f t="shared" si="297"/>
        <v>0.77370315700678771</v>
      </c>
      <c r="AV302" t="str">
        <f t="shared" si="273"/>
        <v>1+0,976879329502459i</v>
      </c>
      <c r="AW302">
        <f t="shared" si="298"/>
        <v>1.3979603801285549</v>
      </c>
      <c r="AX302">
        <f t="shared" si="299"/>
        <v>0.77370315700678771</v>
      </c>
      <c r="AY302" t="str">
        <f t="shared" si="274"/>
        <v>1-0,0153550183190382i</v>
      </c>
      <c r="AZ302">
        <f t="shared" si="300"/>
        <v>1.0001178813457832</v>
      </c>
      <c r="BA302">
        <f t="shared" si="301"/>
        <v>-1.5353811705121234E-2</v>
      </c>
      <c r="BB302" s="58" t="str">
        <f t="shared" si="302"/>
        <v>-0,687848937019403+0,692900854236708i</v>
      </c>
      <c r="BC302">
        <f t="shared" si="303"/>
        <v>-0.20794209336359398</v>
      </c>
      <c r="BD302" s="60">
        <f t="shared" si="304"/>
        <v>134.79036589742137</v>
      </c>
      <c r="BE302" s="58" t="str">
        <f t="shared" si="305"/>
        <v>0,440869149421341+0,460506538564614i</v>
      </c>
      <c r="BF302" s="37">
        <f t="shared" si="306"/>
        <v>-3.9101223497916306</v>
      </c>
      <c r="BG302" s="60">
        <f t="shared" si="307"/>
        <v>46.248049593144259</v>
      </c>
      <c r="BH302" s="58" t="str">
        <f t="shared" si="308"/>
        <v>-0,192560921015277+2,35367950352383i</v>
      </c>
      <c r="BI302" s="37">
        <f t="shared" si="309"/>
        <v>7.4639183809154108</v>
      </c>
      <c r="BJ302" s="60">
        <f t="shared" si="310"/>
        <v>94.677106972121592</v>
      </c>
      <c r="BK302">
        <f t="shared" si="311"/>
        <v>-3.9101223497916306</v>
      </c>
      <c r="BL302" s="60">
        <f t="shared" si="312"/>
        <v>46.248049593144259</v>
      </c>
      <c r="BN302">
        <f t="shared" si="313"/>
        <v>0</v>
      </c>
      <c r="BO302">
        <f t="shared" si="314"/>
        <v>0</v>
      </c>
    </row>
    <row r="303" spans="13:67" x14ac:dyDescent="0.25">
      <c r="M303" s="66">
        <v>85</v>
      </c>
      <c r="N303" s="36">
        <f t="shared" si="315"/>
        <v>7079.4578438413828</v>
      </c>
      <c r="O303" s="91" t="str">
        <f t="shared" si="263"/>
        <v>22,5</v>
      </c>
      <c r="P303" s="67" t="str">
        <f t="shared" si="264"/>
        <v>1+48,0400691477991i</v>
      </c>
      <c r="Q303" s="67">
        <f t="shared" si="275"/>
        <v>48.050475998946347</v>
      </c>
      <c r="R303" s="67">
        <f t="shared" si="276"/>
        <v>1.5499833758439296</v>
      </c>
      <c r="S303" s="67" t="str">
        <f t="shared" si="265"/>
        <v>1+1,33444636521664i</v>
      </c>
      <c r="T303" s="67">
        <f t="shared" si="277"/>
        <v>1.6675572258965814</v>
      </c>
      <c r="U303" s="67">
        <f t="shared" si="278"/>
        <v>0.92769569550095321</v>
      </c>
      <c r="V303" t="str">
        <f t="shared" si="266"/>
        <v>1-0,278009659420134i</v>
      </c>
      <c r="W303" s="67">
        <f t="shared" si="279"/>
        <v>1.0379255130937377</v>
      </c>
      <c r="X303" s="67">
        <f t="shared" si="280"/>
        <v>-0.27116210867269552</v>
      </c>
      <c r="Y303" t="str">
        <f t="shared" si="267"/>
        <v>0,996792401704785+0,771013455458504i</v>
      </c>
      <c r="Z303" s="67">
        <f t="shared" si="281"/>
        <v>1.2601812729105506</v>
      </c>
      <c r="AA303" s="67">
        <f t="shared" si="282"/>
        <v>0.65836882187676693</v>
      </c>
      <c r="AB303" s="92" t="str">
        <f t="shared" si="283"/>
        <v>0,0122044049191531-0,643014143157619i</v>
      </c>
      <c r="AC303" s="37">
        <f t="shared" si="284"/>
        <v>-3.834025270894589</v>
      </c>
      <c r="AD303" s="60">
        <f t="shared" si="285"/>
        <v>-88.91265697399092</v>
      </c>
      <c r="AE303" t="str">
        <f t="shared" si="286"/>
        <v>34,4450883806789</v>
      </c>
      <c r="AF303" t="str">
        <f t="shared" si="268"/>
        <v>1+24,0200345738996i</v>
      </c>
      <c r="AG303">
        <f t="shared" si="287"/>
        <v>24.040841518784909</v>
      </c>
      <c r="AH303">
        <f t="shared" si="288"/>
        <v>1.5291884407507934</v>
      </c>
      <c r="AI303" t="str">
        <f t="shared" si="269"/>
        <v>1+1,33444636521664i</v>
      </c>
      <c r="AJ303">
        <f t="shared" si="289"/>
        <v>1.6675572258965814</v>
      </c>
      <c r="AK303">
        <f t="shared" si="290"/>
        <v>0.92769569550095321</v>
      </c>
      <c r="AL303" t="str">
        <f t="shared" si="270"/>
        <v>1-0,0907975745525682i</v>
      </c>
      <c r="AM303">
        <f t="shared" si="291"/>
        <v>1.0041136387603891</v>
      </c>
      <c r="AN303">
        <f t="shared" si="292"/>
        <v>-9.0549283801079586E-2</v>
      </c>
      <c r="AO303" s="58" t="str">
        <f t="shared" si="293"/>
        <v>1,84714384447547-1,53086649831829i</v>
      </c>
      <c r="AP303">
        <f t="shared" si="294"/>
        <v>7.6008250121706613</v>
      </c>
      <c r="AQ303" s="60">
        <f t="shared" si="295"/>
        <v>-39.651087510287681</v>
      </c>
      <c r="AR303" t="str">
        <f t="shared" si="271"/>
        <v>-1,36472945891784</v>
      </c>
      <c r="AS303" t="str">
        <f t="shared" si="272"/>
        <v>1+0,999633772183788i</v>
      </c>
      <c r="AT303">
        <f t="shared" si="296"/>
        <v>1.4139546239149223</v>
      </c>
      <c r="AU303">
        <f t="shared" si="297"/>
        <v>0.78521501595454568</v>
      </c>
      <c r="AV303" t="str">
        <f t="shared" si="273"/>
        <v>1+0,999633772183788i</v>
      </c>
      <c r="AW303">
        <f t="shared" si="298"/>
        <v>1.4139546239149223</v>
      </c>
      <c r="AX303">
        <f t="shared" si="299"/>
        <v>0.78521501595454568</v>
      </c>
      <c r="AY303" t="str">
        <f t="shared" si="274"/>
        <v>1-0,0150054954298225i</v>
      </c>
      <c r="AZ303">
        <f t="shared" si="300"/>
        <v>1.000112576109857</v>
      </c>
      <c r="BA303">
        <f t="shared" si="301"/>
        <v>-1.5004369345026681E-2</v>
      </c>
      <c r="BB303" s="58" t="str">
        <f t="shared" si="302"/>
        <v>-0,672375456021526+0,692607655085328i</v>
      </c>
      <c r="BC303">
        <f t="shared" si="303"/>
        <v>-0.30680035505999925</v>
      </c>
      <c r="BD303" s="60">
        <f t="shared" si="304"/>
        <v>134.15080653778145</v>
      </c>
      <c r="BE303" s="58" t="str">
        <f t="shared" si="305"/>
        <v>0,437150575556113+0,440799792006661i</v>
      </c>
      <c r="BF303" s="37">
        <f t="shared" si="306"/>
        <v>-4.140825625954589</v>
      </c>
      <c r="BG303" s="60">
        <f t="shared" si="307"/>
        <v>45.238149563790515</v>
      </c>
      <c r="BH303" s="58" t="str">
        <f t="shared" si="308"/>
        <v>-0,181684329117631+2,30866302664229i</v>
      </c>
      <c r="BI303" s="37">
        <f t="shared" si="309"/>
        <v>7.2940246571106613</v>
      </c>
      <c r="BJ303" s="60">
        <f t="shared" si="310"/>
        <v>94.499719027493782</v>
      </c>
      <c r="BK303">
        <f t="shared" si="311"/>
        <v>-4.140825625954589</v>
      </c>
      <c r="BL303" s="60">
        <f t="shared" si="312"/>
        <v>45.238149563790515</v>
      </c>
      <c r="BN303">
        <f t="shared" si="313"/>
        <v>0</v>
      </c>
      <c r="BO303">
        <f t="shared" si="314"/>
        <v>0</v>
      </c>
    </row>
    <row r="304" spans="13:67" x14ac:dyDescent="0.25">
      <c r="M304" s="66">
        <v>86</v>
      </c>
      <c r="N304" s="36">
        <f t="shared" si="315"/>
        <v>7244.3596007499036</v>
      </c>
      <c r="O304" s="91" t="str">
        <f t="shared" si="263"/>
        <v>22,5</v>
      </c>
      <c r="P304" s="67" t="str">
        <f t="shared" si="264"/>
        <v>1+49,1590661076258i</v>
      </c>
      <c r="Q304" s="67">
        <f t="shared" si="275"/>
        <v>49.169236119487593</v>
      </c>
      <c r="R304" s="67">
        <f t="shared" si="276"/>
        <v>1.5504570042781858</v>
      </c>
      <c r="S304" s="67" t="str">
        <f t="shared" si="265"/>
        <v>1+1,36552961410072i</v>
      </c>
      <c r="T304" s="67">
        <f t="shared" si="277"/>
        <v>1.6925339367309777</v>
      </c>
      <c r="U304" s="67">
        <f t="shared" si="278"/>
        <v>0.93870898494692456</v>
      </c>
      <c r="V304" t="str">
        <f t="shared" si="266"/>
        <v>1-0,284485336270982i</v>
      </c>
      <c r="W304" s="67">
        <f t="shared" si="279"/>
        <v>1.0396787516118686</v>
      </c>
      <c r="X304" s="67">
        <f t="shared" si="280"/>
        <v>-0.2771630919907776</v>
      </c>
      <c r="Y304" t="str">
        <f t="shared" si="267"/>
        <v>0,996641232254401+0,788972665924858i</v>
      </c>
      <c r="Z304" s="67">
        <f t="shared" si="281"/>
        <v>1.2711300536948014</v>
      </c>
      <c r="AA304" s="67">
        <f t="shared" si="282"/>
        <v>0.66961737195685889</v>
      </c>
      <c r="AB304" s="92" t="str">
        <f t="shared" si="283"/>
        <v>0,00777128716822158-0,633436291769046i</v>
      </c>
      <c r="AC304" s="37">
        <f t="shared" si="284"/>
        <v>-3.9652875306642974</v>
      </c>
      <c r="AD304" s="60">
        <f t="shared" si="285"/>
        <v>-89.297104342806364</v>
      </c>
      <c r="AE304" t="str">
        <f t="shared" si="286"/>
        <v>34,4450883806789</v>
      </c>
      <c r="AF304" t="str">
        <f t="shared" si="268"/>
        <v>1+24,5795330538129i</v>
      </c>
      <c r="AG304">
        <f t="shared" si="287"/>
        <v>24.599866770848188</v>
      </c>
      <c r="AH304">
        <f t="shared" si="288"/>
        <v>1.5301344961207366</v>
      </c>
      <c r="AI304" t="str">
        <f t="shared" si="269"/>
        <v>1+1,36552961410072i</v>
      </c>
      <c r="AJ304">
        <f t="shared" si="289"/>
        <v>1.6925339367309777</v>
      </c>
      <c r="AK304">
        <f t="shared" si="290"/>
        <v>0.93870898494692456</v>
      </c>
      <c r="AL304" t="str">
        <f t="shared" si="270"/>
        <v>1-0,0929125217557326i</v>
      </c>
      <c r="AM304">
        <f t="shared" si="291"/>
        <v>1.0043070928252023</v>
      </c>
      <c r="AN304">
        <f t="shared" si="292"/>
        <v>-9.2646535006468286E-2</v>
      </c>
      <c r="AO304" s="58" t="str">
        <f t="shared" si="293"/>
        <v>1,84460515977037-1,50412527522383i</v>
      </c>
      <c r="AP304">
        <f t="shared" si="294"/>
        <v>7.53196927333149</v>
      </c>
      <c r="AQ304" s="60">
        <f t="shared" si="295"/>
        <v>-39.19444112900829</v>
      </c>
      <c r="AR304" t="str">
        <f t="shared" si="271"/>
        <v>-1,36472945891784</v>
      </c>
      <c r="AS304" t="str">
        <f t="shared" si="272"/>
        <v>1+1,02291823392285i</v>
      </c>
      <c r="AT304">
        <f t="shared" si="296"/>
        <v>1.4305109972635102</v>
      </c>
      <c r="AU304">
        <f t="shared" si="297"/>
        <v>0.79672697198375841</v>
      </c>
      <c r="AV304" t="str">
        <f t="shared" si="273"/>
        <v>1+1,02291823392285i</v>
      </c>
      <c r="AW304">
        <f t="shared" si="298"/>
        <v>1.4305109972635102</v>
      </c>
      <c r="AX304">
        <f t="shared" si="299"/>
        <v>0.79672697198375841</v>
      </c>
      <c r="AY304" t="str">
        <f t="shared" si="274"/>
        <v>1-0,0146639286529048i</v>
      </c>
      <c r="AZ304">
        <f t="shared" si="300"/>
        <v>1.0001075096226093</v>
      </c>
      <c r="BA304">
        <f t="shared" si="301"/>
        <v>-1.4662877723037093E-2</v>
      </c>
      <c r="BB304" s="58" t="str">
        <f t="shared" si="302"/>
        <v>-0,656901714053111+0,69196903661619i</v>
      </c>
      <c r="BC304">
        <f t="shared" si="303"/>
        <v>-0.40795892482391127</v>
      </c>
      <c r="BD304" s="60">
        <f t="shared" si="304"/>
        <v>133.51078607204641</v>
      </c>
      <c r="BE304" s="58" t="str">
        <f t="shared" si="305"/>
        <v>0,433213328711955+0,421482875901595i</v>
      </c>
      <c r="BF304" s="37">
        <f t="shared" si="306"/>
        <v>-4.373246455488208</v>
      </c>
      <c r="BG304" s="60">
        <f t="shared" si="307"/>
        <v>44.213681729240086</v>
      </c>
      <c r="BH304" s="58" t="str">
        <f t="shared" si="308"/>
        <v>-0,170916173557673+2,2644721267887i</v>
      </c>
      <c r="BI304" s="37">
        <f t="shared" si="309"/>
        <v>7.1240103485075901</v>
      </c>
      <c r="BJ304" s="60">
        <f t="shared" si="310"/>
        <v>94.316344943038132</v>
      </c>
      <c r="BK304">
        <f t="shared" si="311"/>
        <v>-4.373246455488208</v>
      </c>
      <c r="BL304" s="60">
        <f t="shared" si="312"/>
        <v>44.213681729240086</v>
      </c>
      <c r="BN304">
        <f t="shared" si="313"/>
        <v>0</v>
      </c>
      <c r="BO304">
        <f t="shared" si="314"/>
        <v>0</v>
      </c>
    </row>
    <row r="305" spans="13:67" x14ac:dyDescent="0.25">
      <c r="M305" s="66">
        <v>87</v>
      </c>
      <c r="N305" s="36">
        <f t="shared" si="315"/>
        <v>7413.1024130091773</v>
      </c>
      <c r="O305" s="91" t="str">
        <f t="shared" si="263"/>
        <v>22,5</v>
      </c>
      <c r="P305" s="67" t="str">
        <f t="shared" si="264"/>
        <v>1+50,3041278549997i</v>
      </c>
      <c r="Q305" s="67">
        <f t="shared" si="275"/>
        <v>50.314066415388815</v>
      </c>
      <c r="R305" s="67">
        <f t="shared" si="276"/>
        <v>1.5509198604319687</v>
      </c>
      <c r="S305" s="67" t="str">
        <f t="shared" si="265"/>
        <v>1+1,39733688486111i</v>
      </c>
      <c r="T305" s="67">
        <f t="shared" si="277"/>
        <v>1.7182986846859167</v>
      </c>
      <c r="U305" s="67">
        <f t="shared" si="278"/>
        <v>0.94964600531930254</v>
      </c>
      <c r="V305" t="str">
        <f t="shared" si="266"/>
        <v>1-0,29111185101273i</v>
      </c>
      <c r="W305" s="67">
        <f t="shared" si="279"/>
        <v>1.0415114544737651</v>
      </c>
      <c r="X305" s="67">
        <f t="shared" si="280"/>
        <v>-0.28328271487972306</v>
      </c>
      <c r="Y305" t="str">
        <f t="shared" si="267"/>
        <v>0,996482938407311+0,807350200141971i</v>
      </c>
      <c r="Z305" s="67">
        <f t="shared" si="281"/>
        <v>1.2824946753129813</v>
      </c>
      <c r="AA305" s="67">
        <f t="shared" si="282"/>
        <v>0.68092941520858274</v>
      </c>
      <c r="AB305" s="92" t="str">
        <f t="shared" si="283"/>
        <v>0,00331375697101916-0,624013684117131i</v>
      </c>
      <c r="AC305" s="37">
        <f t="shared" si="284"/>
        <v>-4.0959952592666253</v>
      </c>
      <c r="AD305" s="60">
        <f t="shared" si="285"/>
        <v>-89.695739838895321</v>
      </c>
      <c r="AE305" t="str">
        <f t="shared" si="286"/>
        <v>34,4450883806789</v>
      </c>
      <c r="AF305" t="str">
        <f t="shared" si="268"/>
        <v>1+25,1520639274999i</v>
      </c>
      <c r="AG305">
        <f t="shared" si="287"/>
        <v>25.1719351622604</v>
      </c>
      <c r="AH305">
        <f t="shared" si="288"/>
        <v>1.5310590870178542</v>
      </c>
      <c r="AI305" t="str">
        <f t="shared" si="269"/>
        <v>1+1,39733688486111i</v>
      </c>
      <c r="AJ305">
        <f t="shared" si="289"/>
        <v>1.7182986846859167</v>
      </c>
      <c r="AK305">
        <f t="shared" si="290"/>
        <v>0.94964600531930254</v>
      </c>
      <c r="AL305" t="str">
        <f t="shared" si="270"/>
        <v>1-0,0950767324077742i</v>
      </c>
      <c r="AM305">
        <f t="shared" si="291"/>
        <v>1.0045096241676033</v>
      </c>
      <c r="AN305">
        <f t="shared" si="292"/>
        <v>-9.4791791530743144E-2</v>
      </c>
      <c r="AO305" s="58" t="str">
        <f t="shared" si="293"/>
        <v>1,84218036554715-1,47817227433559i</v>
      </c>
      <c r="AP305">
        <f t="shared" si="294"/>
        <v>7.4652691742775721</v>
      </c>
      <c r="AQ305" s="60">
        <f t="shared" si="295"/>
        <v>-38.743685322217445</v>
      </c>
      <c r="AR305" t="str">
        <f t="shared" si="271"/>
        <v>-1,36472945891784</v>
      </c>
      <c r="AS305" t="str">
        <f t="shared" si="272"/>
        <v>1+1,04674506044945i</v>
      </c>
      <c r="AT305">
        <f t="shared" si="296"/>
        <v>1.4476447152444978</v>
      </c>
      <c r="AU305">
        <f t="shared" si="297"/>
        <v>0.80823292497487398</v>
      </c>
      <c r="AV305" t="str">
        <f t="shared" si="273"/>
        <v>1+1,04674506044945i</v>
      </c>
      <c r="AW305">
        <f t="shared" si="298"/>
        <v>1.4476447152444978</v>
      </c>
      <c r="AX305">
        <f t="shared" si="299"/>
        <v>0.80823292497487398</v>
      </c>
      <c r="AY305" t="str">
        <f t="shared" si="274"/>
        <v>1-0,014330136885059i</v>
      </c>
      <c r="AZ305">
        <f t="shared" si="300"/>
        <v>1.0001026711408907</v>
      </c>
      <c r="BA305">
        <f t="shared" si="301"/>
        <v>-1.4329156094545893E-2</v>
      </c>
      <c r="BB305" s="58" t="str">
        <f t="shared" si="302"/>
        <v>-0,641444105076354+0,690985208500457i</v>
      </c>
      <c r="BC305">
        <f t="shared" si="303"/>
        <v>-0.51141671478390416</v>
      </c>
      <c r="BD305" s="60">
        <f t="shared" si="304"/>
        <v>132.87066436722435</v>
      </c>
      <c r="BE305" s="58" t="str">
        <f t="shared" si="305"/>
        <v>0,429058635752098+0,402559656215451i</v>
      </c>
      <c r="BF305" s="37">
        <f t="shared" si="306"/>
        <v>-4.6074119740505335</v>
      </c>
      <c r="BG305" s="60">
        <f t="shared" si="307"/>
        <v>43.174924528329036</v>
      </c>
      <c r="BH305" s="58" t="str">
        <f t="shared" si="308"/>
        <v>-0,16026055878625+2,22108427564292i</v>
      </c>
      <c r="BI305" s="37">
        <f t="shared" si="309"/>
        <v>6.953852459493679</v>
      </c>
      <c r="BJ305" s="60">
        <f t="shared" si="310"/>
        <v>94.126979045006905</v>
      </c>
      <c r="BK305">
        <f t="shared" si="311"/>
        <v>-4.6074119740505335</v>
      </c>
      <c r="BL305" s="60">
        <f t="shared" si="312"/>
        <v>43.174924528329036</v>
      </c>
      <c r="BN305">
        <f t="shared" si="313"/>
        <v>0</v>
      </c>
      <c r="BO305">
        <f t="shared" si="314"/>
        <v>0</v>
      </c>
    </row>
    <row r="306" spans="13:67" x14ac:dyDescent="0.25">
      <c r="M306" s="66">
        <v>88</v>
      </c>
      <c r="N306" s="36">
        <f t="shared" si="315"/>
        <v>7585.7757502918394</v>
      </c>
      <c r="O306" s="91" t="str">
        <f t="shared" si="263"/>
        <v>22,5</v>
      </c>
      <c r="P306" s="67" t="str">
        <f t="shared" si="264"/>
        <v>1+51,4758615168163i</v>
      </c>
      <c r="Q306" s="67">
        <f t="shared" si="275"/>
        <v>51.485573891124581</v>
      </c>
      <c r="R306" s="67">
        <f t="shared" si="276"/>
        <v>1.5513721889240002</v>
      </c>
      <c r="S306" s="67" t="str">
        <f t="shared" si="265"/>
        <v>1+1,42988504213379i</v>
      </c>
      <c r="T306" s="67">
        <f t="shared" si="277"/>
        <v>1.7448699761638258</v>
      </c>
      <c r="U306" s="67">
        <f t="shared" si="278"/>
        <v>0.96050208966717532</v>
      </c>
      <c r="V306" t="str">
        <f t="shared" si="266"/>
        <v>1-0,297892717111206i</v>
      </c>
      <c r="W306" s="67">
        <f t="shared" si="279"/>
        <v>1.043427079822973</v>
      </c>
      <c r="X306" s="67">
        <f t="shared" si="280"/>
        <v>-0.28952238790638124</v>
      </c>
      <c r="Y306" t="str">
        <f t="shared" si="267"/>
        <v>0,996317184401042+0,826155802121743i</v>
      </c>
      <c r="Z306" s="67">
        <f t="shared" si="281"/>
        <v>1.2942879669193563</v>
      </c>
      <c r="AA306" s="67">
        <f t="shared" si="282"/>
        <v>0.69229967340709697</v>
      </c>
      <c r="AB306" s="92" t="str">
        <f t="shared" si="283"/>
        <v>-0,00116544347880135-0,614738537547633i</v>
      </c>
      <c r="AC306" s="37">
        <f t="shared" si="284"/>
        <v>-4.2261755985448541</v>
      </c>
      <c r="AD306" s="60">
        <f t="shared" si="285"/>
        <v>-90.108623273989224</v>
      </c>
      <c r="AE306" t="str">
        <f t="shared" si="286"/>
        <v>34,4450883806789</v>
      </c>
      <c r="AF306" t="str">
        <f t="shared" si="268"/>
        <v>1+25,7379307584082i</v>
      </c>
      <c r="AG306">
        <f t="shared" si="287"/>
        <v>25.757350013629406</v>
      </c>
      <c r="AH306">
        <f t="shared" si="288"/>
        <v>1.5319626973456453</v>
      </c>
      <c r="AI306" t="str">
        <f t="shared" si="269"/>
        <v>1+1,42988504213379i</v>
      </c>
      <c r="AJ306">
        <f t="shared" si="289"/>
        <v>1.7448699761638258</v>
      </c>
      <c r="AK306">
        <f t="shared" si="290"/>
        <v>0.96050208966717532</v>
      </c>
      <c r="AL306" t="str">
        <f t="shared" si="270"/>
        <v>1-0,0972913540018278i</v>
      </c>
      <c r="AM306">
        <f t="shared" si="291"/>
        <v>1.0047216567604726</v>
      </c>
      <c r="AN306">
        <f t="shared" si="292"/>
        <v>-9.6986111791834279E-2</v>
      </c>
      <c r="AO306" s="58" t="str">
        <f t="shared" si="293"/>
        <v>1,83986436829593-1,45299435282269i</v>
      </c>
      <c r="AP306">
        <f t="shared" si="294"/>
        <v>7.4006991449369739</v>
      </c>
      <c r="AQ306" s="60">
        <f t="shared" si="295"/>
        <v>-38.299175855013644</v>
      </c>
      <c r="AR306" t="str">
        <f t="shared" si="271"/>
        <v>-1,36472945891784</v>
      </c>
      <c r="AS306" t="str">
        <f t="shared" si="272"/>
        <v>1+1,07112688506242i</v>
      </c>
      <c r="AT306">
        <f t="shared" si="296"/>
        <v>1.46537121709945</v>
      </c>
      <c r="AU306">
        <f t="shared" si="297"/>
        <v>0.81972679069869825</v>
      </c>
      <c r="AV306" t="str">
        <f t="shared" si="273"/>
        <v>1+1,07112688506242i</v>
      </c>
      <c r="AW306">
        <f t="shared" si="298"/>
        <v>1.46537121709945</v>
      </c>
      <c r="AX306">
        <f t="shared" si="299"/>
        <v>0.81972679069869825</v>
      </c>
      <c r="AY306" t="str">
        <f t="shared" si="274"/>
        <v>1-0,0140039431454714i</v>
      </c>
      <c r="AZ306">
        <f t="shared" si="300"/>
        <v>1.00009805040487</v>
      </c>
      <c r="BA306">
        <f t="shared" si="301"/>
        <v>-1.4003027813431802E-2</v>
      </c>
      <c r="BB306" s="58" t="str">
        <f t="shared" si="302"/>
        <v>-0,6260189547561+0,689657326749568i</v>
      </c>
      <c r="BC306">
        <f t="shared" si="303"/>
        <v>-0.61717019798833794</v>
      </c>
      <c r="BD306" s="60">
        <f t="shared" si="304"/>
        <v>132.23080014504689</v>
      </c>
      <c r="BE306" s="58" t="str">
        <f t="shared" si="305"/>
        <v>0,424688526163466+0,384034220089795i</v>
      </c>
      <c r="BF306" s="37">
        <f t="shared" si="306"/>
        <v>-4.8433457965331934</v>
      </c>
      <c r="BG306" s="60">
        <f t="shared" si="307"/>
        <v>42.12217687105769</v>
      </c>
      <c r="BH306" s="58" t="str">
        <f t="shared" si="308"/>
        <v>-0,149721767583695+2,17847794784133i</v>
      </c>
      <c r="BI306" s="37">
        <f t="shared" si="309"/>
        <v>6.7835289469486346</v>
      </c>
      <c r="BJ306" s="60">
        <f t="shared" si="310"/>
        <v>93.931624290033241</v>
      </c>
      <c r="BK306">
        <f t="shared" si="311"/>
        <v>-4.8433457965331934</v>
      </c>
      <c r="BL306" s="60">
        <f t="shared" si="312"/>
        <v>42.12217687105769</v>
      </c>
      <c r="BN306">
        <f t="shared" si="313"/>
        <v>0</v>
      </c>
      <c r="BO306">
        <f t="shared" si="314"/>
        <v>0</v>
      </c>
    </row>
    <row r="307" spans="13:67" x14ac:dyDescent="0.25">
      <c r="M307" s="66">
        <v>89</v>
      </c>
      <c r="N307" s="36">
        <f t="shared" si="315"/>
        <v>7762.4711662869322</v>
      </c>
      <c r="O307" s="91" t="str">
        <f t="shared" si="263"/>
        <v>22,5</v>
      </c>
      <c r="P307" s="67" t="str">
        <f t="shared" si="264"/>
        <v>1+52,6748883617727i</v>
      </c>
      <c r="Q307" s="67">
        <f t="shared" si="275"/>
        <v>52.684379695743004</v>
      </c>
      <c r="R307" s="67">
        <f t="shared" si="276"/>
        <v>1.5518142288440344</v>
      </c>
      <c r="S307" s="67" t="str">
        <f t="shared" si="265"/>
        <v>1+1,46319134338258i</v>
      </c>
      <c r="T307" s="67">
        <f t="shared" si="277"/>
        <v>1.7722666016572448</v>
      </c>
      <c r="U307" s="67">
        <f t="shared" si="278"/>
        <v>0.97127275866988649</v>
      </c>
      <c r="V307" t="str">
        <f t="shared" si="266"/>
        <v>1-0,30483152987137i</v>
      </c>
      <c r="W307" s="67">
        <f t="shared" si="279"/>
        <v>1.0454292236223932</v>
      </c>
      <c r="X307" s="67">
        <f t="shared" si="280"/>
        <v>-0.2958834752306107</v>
      </c>
      <c r="Y307" t="str">
        <f t="shared" si="267"/>
        <v>0,996143618649124+0,845399442843266i</v>
      </c>
      <c r="Z307" s="67">
        <f t="shared" si="281"/>
        <v>1.3065229913534151</v>
      </c>
      <c r="AA307" s="67">
        <f t="shared" si="282"/>
        <v>0.70372272979289408</v>
      </c>
      <c r="AB307" s="92" t="str">
        <f t="shared" si="283"/>
        <v>-0,00566337328632907-0,60560338022222i</v>
      </c>
      <c r="AC307" s="37">
        <f t="shared" si="284"/>
        <v>-4.3558544029133763</v>
      </c>
      <c r="AD307" s="60">
        <f t="shared" si="285"/>
        <v>-90.535792796234375</v>
      </c>
      <c r="AE307" t="str">
        <f t="shared" si="286"/>
        <v>34,4450883806789</v>
      </c>
      <c r="AF307" t="str">
        <f t="shared" si="268"/>
        <v>1+26,3374441808864i</v>
      </c>
      <c r="AG307">
        <f t="shared" si="287"/>
        <v>26.356421721874671</v>
      </c>
      <c r="AH307">
        <f t="shared" si="288"/>
        <v>1.5328458003044323</v>
      </c>
      <c r="AI307" t="str">
        <f t="shared" si="269"/>
        <v>1+1,46319134338258i</v>
      </c>
      <c r="AJ307">
        <f t="shared" si="289"/>
        <v>1.7722666016572448</v>
      </c>
      <c r="AK307">
        <f t="shared" si="290"/>
        <v>0.97127275866988649</v>
      </c>
      <c r="AL307" t="str">
        <f t="shared" si="270"/>
        <v>1-0,0995575607595766i</v>
      </c>
      <c r="AM307">
        <f t="shared" si="291"/>
        <v>1.004943634192683</v>
      </c>
      <c r="AN307">
        <f t="shared" si="292"/>
        <v>-9.923057467492255E-2</v>
      </c>
      <c r="AO307" s="58" t="str">
        <f t="shared" si="293"/>
        <v>1,83765230091079-1,42857873778646i</v>
      </c>
      <c r="AP307">
        <f t="shared" si="294"/>
        <v>7.3382322449909285</v>
      </c>
      <c r="AQ307" s="60">
        <f t="shared" si="295"/>
        <v>-37.861258301514809</v>
      </c>
      <c r="AR307" t="str">
        <f t="shared" si="271"/>
        <v>-1,36472945891784</v>
      </c>
      <c r="AS307" t="str">
        <f t="shared" si="272"/>
        <v>1+1,09607663532789i</v>
      </c>
      <c r="AT307">
        <f t="shared" si="296"/>
        <v>1.4837061671745213</v>
      </c>
      <c r="AU307">
        <f t="shared" si="297"/>
        <v>0.83120251686134283</v>
      </c>
      <c r="AV307" t="str">
        <f t="shared" si="273"/>
        <v>1+1,09607663532789i</v>
      </c>
      <c r="AW307">
        <f t="shared" si="298"/>
        <v>1.4837061671745213</v>
      </c>
      <c r="AX307">
        <f t="shared" si="299"/>
        <v>0.83120251686134283</v>
      </c>
      <c r="AY307" t="str">
        <f t="shared" si="274"/>
        <v>1-0,0136851744819036i</v>
      </c>
      <c r="AZ307">
        <f t="shared" si="300"/>
        <v>1.0000936376162985</v>
      </c>
      <c r="BA307">
        <f t="shared" si="301"/>
        <v>-1.3684320239817777E-2</v>
      </c>
      <c r="BB307" s="58" t="str">
        <f t="shared" si="302"/>
        <v>-0,610642451670416+0,687987484581167i</v>
      </c>
      <c r="BC307">
        <f t="shared" si="303"/>
        <v>-0.72521342388354193</v>
      </c>
      <c r="BD307" s="60">
        <f t="shared" si="304"/>
        <v>131.59155006794643</v>
      </c>
      <c r="BE307" s="58" t="str">
        <f t="shared" si="305"/>
        <v>0,420105842361226+0,365910802897282i</v>
      </c>
      <c r="BF307" s="37">
        <f t="shared" si="306"/>
        <v>-5.0810678267969163</v>
      </c>
      <c r="BG307" s="60">
        <f t="shared" si="307"/>
        <v>41.055757271712068</v>
      </c>
      <c r="BH307" s="58" t="str">
        <f t="shared" si="308"/>
        <v>-0,139304214010101+2,13663260688456i</v>
      </c>
      <c r="BI307" s="37">
        <f t="shared" si="309"/>
        <v>6.6130188211073859</v>
      </c>
      <c r="BJ307" s="60">
        <f t="shared" si="310"/>
        <v>93.730291766431634</v>
      </c>
      <c r="BK307">
        <f t="shared" si="311"/>
        <v>-5.0810678267969163</v>
      </c>
      <c r="BL307" s="60">
        <f t="shared" si="312"/>
        <v>41.055757271712068</v>
      </c>
      <c r="BN307">
        <f t="shared" si="313"/>
        <v>0</v>
      </c>
      <c r="BO307">
        <f t="shared" si="314"/>
        <v>0</v>
      </c>
    </row>
    <row r="308" spans="13:67" x14ac:dyDescent="0.25">
      <c r="M308" s="66">
        <v>90</v>
      </c>
      <c r="N308" s="36">
        <f t="shared" si="315"/>
        <v>7943.2823472428154</v>
      </c>
      <c r="O308" s="91" t="str">
        <f t="shared" si="263"/>
        <v>22,5</v>
      </c>
      <c r="P308" s="67" t="str">
        <f t="shared" si="264"/>
        <v>1+53,901844129773i</v>
      </c>
      <c r="Q308" s="67">
        <f t="shared" si="275"/>
        <v>53.911119452208972</v>
      </c>
      <c r="R308" s="67">
        <f t="shared" si="276"/>
        <v>1.5522462138760971</v>
      </c>
      <c r="S308" s="67" t="str">
        <f t="shared" si="265"/>
        <v>1+1,49727344804925i</v>
      </c>
      <c r="T308" s="67">
        <f t="shared" si="277"/>
        <v>1.8005076445917385</v>
      </c>
      <c r="U308" s="67">
        <f t="shared" si="278"/>
        <v>0.98195372732478969</v>
      </c>
      <c r="V308" t="str">
        <f t="shared" si="266"/>
        <v>1-0,311931968343594i</v>
      </c>
      <c r="W308" s="67">
        <f t="shared" si="279"/>
        <v>1.0475216240606726</v>
      </c>
      <c r="X308" s="67">
        <f t="shared" si="280"/>
        <v>-0.30236728968763615</v>
      </c>
      <c r="Y308" t="str">
        <f t="shared" si="267"/>
        <v>0,995961872995327+0,865091325539566i</v>
      </c>
      <c r="Z308" s="67">
        <f t="shared" si="281"/>
        <v>1.3192130434407336</v>
      </c>
      <c r="AA308" s="67">
        <f t="shared" si="282"/>
        <v>0.71519304133360095</v>
      </c>
      <c r="AB308" s="92" t="str">
        <f t="shared" si="283"/>
        <v>-0,0101769074225819-0,596601061396877i</v>
      </c>
      <c r="AC308" s="37">
        <f t="shared" si="284"/>
        <v>-4.4850560390190974</v>
      </c>
      <c r="AD308" s="60">
        <f t="shared" si="285"/>
        <v>-90.977264934863001</v>
      </c>
      <c r="AE308" t="str">
        <f t="shared" si="286"/>
        <v>34,4450883806789</v>
      </c>
      <c r="AF308" t="str">
        <f t="shared" si="268"/>
        <v>1+26,9509220648865i</v>
      </c>
      <c r="AG308">
        <f t="shared" si="287"/>
        <v>26.969467924814275</v>
      </c>
      <c r="AH308">
        <f t="shared" si="288"/>
        <v>1.5337088586142995</v>
      </c>
      <c r="AI308" t="str">
        <f t="shared" si="269"/>
        <v>1+1,49727344804925i</v>
      </c>
      <c r="AJ308">
        <f t="shared" si="289"/>
        <v>1.8005076445917385</v>
      </c>
      <c r="AK308">
        <f t="shared" si="290"/>
        <v>0.98195372732478969</v>
      </c>
      <c r="AL308" t="str">
        <f t="shared" si="270"/>
        <v>1-0,10187655425384i</v>
      </c>
      <c r="AM308">
        <f t="shared" si="291"/>
        <v>1.0051760205589046</v>
      </c>
      <c r="AN308">
        <f t="shared" si="292"/>
        <v>-0.10152627972035706</v>
      </c>
      <c r="AO308" s="58" t="str">
        <f t="shared" si="293"/>
        <v>1,83553951274875-1,40491302220354i</v>
      </c>
      <c r="AP308">
        <f t="shared" si="294"/>
        <v>7.2778402832178042</v>
      </c>
      <c r="AQ308" s="60">
        <f t="shared" si="295"/>
        <v>-37.430267685216528</v>
      </c>
      <c r="AR308" t="str">
        <f t="shared" si="271"/>
        <v>-1,36472945891784</v>
      </c>
      <c r="AS308" t="str">
        <f t="shared" si="272"/>
        <v>1+1,12160753993369i</v>
      </c>
      <c r="AT308">
        <f t="shared" si="296"/>
        <v>1.5026654563262256</v>
      </c>
      <c r="AU308">
        <f t="shared" si="297"/>
        <v>0.84265409894380749</v>
      </c>
      <c r="AV308" t="str">
        <f t="shared" si="273"/>
        <v>1+1,12160753993369i</v>
      </c>
      <c r="AW308">
        <f t="shared" si="298"/>
        <v>1.5026654563262256</v>
      </c>
      <c r="AX308">
        <f t="shared" si="299"/>
        <v>0.84265409894380749</v>
      </c>
      <c r="AY308" t="str">
        <f t="shared" si="274"/>
        <v>1-0,0133736618789909i</v>
      </c>
      <c r="AZ308">
        <f t="shared" si="300"/>
        <v>1.0000894234177531</v>
      </c>
      <c r="BA308">
        <f t="shared" si="301"/>
        <v>-1.3372864649859017E-2</v>
      </c>
      <c r="BB308" s="58" t="str">
        <f t="shared" si="302"/>
        <v>-0,595330579748573+0,685978697338959i</v>
      </c>
      <c r="BC308">
        <f t="shared" si="303"/>
        <v>-0.83553804393481945</v>
      </c>
      <c r="BD308" s="60">
        <f t="shared" si="304"/>
        <v>130.95326783668395</v>
      </c>
      <c r="BE308" s="58" t="str">
        <f t="shared" si="305"/>
        <v>0,415314243124003+0,348193714063335i</v>
      </c>
      <c r="BF308" s="37">
        <f t="shared" si="306"/>
        <v>-5.3205940829539191</v>
      </c>
      <c r="BG308" s="60">
        <f t="shared" si="307"/>
        <v>39.976002901820983</v>
      </c>
      <c r="BH308" s="58" t="str">
        <f t="shared" si="308"/>
        <v>-0,129012397430402+2,09552868787433i</v>
      </c>
      <c r="BI308" s="37">
        <f t="shared" si="309"/>
        <v>6.4423022392829914</v>
      </c>
      <c r="BJ308" s="60">
        <f t="shared" si="310"/>
        <v>93.523000151467429</v>
      </c>
      <c r="BK308">
        <f t="shared" si="311"/>
        <v>-5.3205940829539191</v>
      </c>
      <c r="BL308" s="60">
        <f t="shared" si="312"/>
        <v>39.976002901820983</v>
      </c>
      <c r="BN308">
        <f t="shared" si="313"/>
        <v>0</v>
      </c>
      <c r="BO308">
        <f t="shared" si="314"/>
        <v>0</v>
      </c>
    </row>
    <row r="309" spans="13:67" x14ac:dyDescent="0.25">
      <c r="M309" s="66">
        <v>91</v>
      </c>
      <c r="N309" s="36">
        <f t="shared" si="315"/>
        <v>8128.3051616410066</v>
      </c>
      <c r="O309" s="91" t="str">
        <f t="shared" si="263"/>
        <v>22,5</v>
      </c>
      <c r="P309" s="67" t="str">
        <f t="shared" si="264"/>
        <v>1+55,1573793690064i</v>
      </c>
      <c r="Q309" s="67">
        <f t="shared" si="275"/>
        <v>55.166443594421537</v>
      </c>
      <c r="R309" s="67">
        <f t="shared" si="276"/>
        <v>1.5526683724190951</v>
      </c>
      <c r="S309" s="67" t="str">
        <f t="shared" si="265"/>
        <v>1+1,53214942691685i</v>
      </c>
      <c r="T309" s="67">
        <f t="shared" si="277"/>
        <v>1.8296124907754736</v>
      </c>
      <c r="U309" s="67">
        <f t="shared" si="278"/>
        <v>0.99254091064116312</v>
      </c>
      <c r="V309" t="str">
        <f t="shared" si="266"/>
        <v>1-0,319197797274342i</v>
      </c>
      <c r="W309" s="67">
        <f t="shared" si="279"/>
        <v>1.0497081660084349</v>
      </c>
      <c r="X309" s="67">
        <f t="shared" si="280"/>
        <v>-0.3089750876589259</v>
      </c>
      <c r="Y309" t="str">
        <f t="shared" si="267"/>
        <v>0,995771561932751+0,88524189110751i</v>
      </c>
      <c r="Z309" s="67">
        <f t="shared" si="281"/>
        <v>1.3323716483495103</v>
      </c>
      <c r="AA309" s="67">
        <f t="shared" si="282"/>
        <v>0.72670495175555683</v>
      </c>
      <c r="AB309" s="92" t="str">
        <f t="shared" si="283"/>
        <v>-0,0147027524283193-0,58772476072292i</v>
      </c>
      <c r="AC309" s="37">
        <f t="shared" si="284"/>
        <v>-4.6138031924242053</v>
      </c>
      <c r="AD309" s="60">
        <f t="shared" si="285"/>
        <v>-91.433034733643453</v>
      </c>
      <c r="AE309" t="str">
        <f t="shared" si="286"/>
        <v>34,4450883806789</v>
      </c>
      <c r="AF309" t="str">
        <f t="shared" si="268"/>
        <v>1+27,5786896845032i</v>
      </c>
      <c r="AG309">
        <f t="shared" si="287"/>
        <v>27.596813669590976</v>
      </c>
      <c r="AH309">
        <f t="shared" si="288"/>
        <v>1.5345523247343242</v>
      </c>
      <c r="AI309" t="str">
        <f t="shared" si="269"/>
        <v>1+1,53214942691685i</v>
      </c>
      <c r="AJ309">
        <f t="shared" si="289"/>
        <v>1.8296124907754736</v>
      </c>
      <c r="AK309">
        <f t="shared" si="290"/>
        <v>0.99254091064116312</v>
      </c>
      <c r="AL309" t="str">
        <f t="shared" si="270"/>
        <v>1-0,104249564045665i</v>
      </c>
      <c r="AM309">
        <f t="shared" si="291"/>
        <v>1.0054193013880881</v>
      </c>
      <c r="AN309">
        <f t="shared" si="292"/>
        <v>-0.10387434729655658</v>
      </c>
      <c r="AO309" s="58" t="str">
        <f t="shared" si="293"/>
        <v>1,83352156011441-1,3819851608843i</v>
      </c>
      <c r="AP309">
        <f t="shared" si="294"/>
        <v>7.2194939390833346</v>
      </c>
      <c r="AQ309" s="60">
        <f t="shared" si="295"/>
        <v>-37.006528175224631</v>
      </c>
      <c r="AR309" t="str">
        <f t="shared" si="271"/>
        <v>-1,36472945891784</v>
      </c>
      <c r="AS309" t="str">
        <f t="shared" si="272"/>
        <v>1+1,14773313570341i</v>
      </c>
      <c r="AT309">
        <f t="shared" si="296"/>
        <v>1.5222652038299969</v>
      </c>
      <c r="AU309">
        <f t="shared" si="297"/>
        <v>0.85407559573566616</v>
      </c>
      <c r="AV309" t="str">
        <f t="shared" si="273"/>
        <v>1+1,14773313570341i</v>
      </c>
      <c r="AW309">
        <f t="shared" si="298"/>
        <v>1.5222652038299969</v>
      </c>
      <c r="AX309">
        <f t="shared" si="299"/>
        <v>0.85407559573566616</v>
      </c>
      <c r="AY309" t="str">
        <f t="shared" si="274"/>
        <v>1-0,0130692401686277i</v>
      </c>
      <c r="AZ309">
        <f t="shared" si="300"/>
        <v>1.0000853988728089</v>
      </c>
      <c r="BA309">
        <f t="shared" si="301"/>
        <v>-1.3068496147518649E-2</v>
      </c>
      <c r="BB309" s="58" t="str">
        <f t="shared" si="302"/>
        <v>-0,580099052531688+0,68363488164457i</v>
      </c>
      <c r="BC309">
        <f t="shared" si="303"/>
        <v>-0.94813334716295261</v>
      </c>
      <c r="BD309" s="60">
        <f t="shared" si="304"/>
        <v>130.31630330538906</v>
      </c>
      <c r="BE309" s="58" t="str">
        <f t="shared" si="305"/>
        <v>0,410318199989673+0,330887262428596i</v>
      </c>
      <c r="BF309" s="37">
        <f t="shared" si="306"/>
        <v>-5.5619365395871441</v>
      </c>
      <c r="BG309" s="60">
        <f t="shared" si="307"/>
        <v>38.883268571745603</v>
      </c>
      <c r="BH309" s="58" t="str">
        <f t="shared" si="308"/>
        <v>-0,118850857923101+2,05514757718342i</v>
      </c>
      <c r="BI309" s="37">
        <f t="shared" si="309"/>
        <v>6.271360591920395</v>
      </c>
      <c r="BJ309" s="60">
        <f t="shared" si="310"/>
        <v>93.309775130164397</v>
      </c>
      <c r="BK309">
        <f t="shared" si="311"/>
        <v>-5.5619365395871441</v>
      </c>
      <c r="BL309" s="60">
        <f t="shared" si="312"/>
        <v>38.883268571745603</v>
      </c>
      <c r="BN309">
        <f t="shared" si="313"/>
        <v>0</v>
      </c>
      <c r="BO309">
        <f t="shared" si="314"/>
        <v>0</v>
      </c>
    </row>
    <row r="310" spans="13:67" x14ac:dyDescent="0.25">
      <c r="M310" s="66">
        <v>92</v>
      </c>
      <c r="N310" s="36">
        <f t="shared" si="315"/>
        <v>8317.6377110267094</v>
      </c>
      <c r="O310" s="91" t="str">
        <f t="shared" si="263"/>
        <v>22,5</v>
      </c>
      <c r="P310" s="67" t="str">
        <f t="shared" si="264"/>
        <v>1+56,4421597808752i</v>
      </c>
      <c r="Q310" s="67">
        <f t="shared" si="275"/>
        <v>56.451017712082439</v>
      </c>
      <c r="R310" s="67">
        <f t="shared" si="276"/>
        <v>1.5530809277048407</v>
      </c>
      <c r="S310" s="67" t="str">
        <f t="shared" si="265"/>
        <v>1+1,56783777169098i</v>
      </c>
      <c r="T310" s="67">
        <f t="shared" si="277"/>
        <v>1.8596008384438143</v>
      </c>
      <c r="U310" s="67">
        <f t="shared" si="278"/>
        <v>1.0030304283439899</v>
      </c>
      <c r="V310" t="str">
        <f t="shared" si="266"/>
        <v>1-0,326632869102287i</v>
      </c>
      <c r="W310" s="67">
        <f t="shared" si="279"/>
        <v>1.0519928855168137</v>
      </c>
      <c r="X310" s="67">
        <f t="shared" si="280"/>
        <v>-0.31570806373470384</v>
      </c>
      <c r="Y310" t="str">
        <f t="shared" si="267"/>
        <v>0,995572281786119+0,905861823643676i</v>
      </c>
      <c r="Z310" s="67">
        <f t="shared" si="281"/>
        <v>1.3460125600438748</v>
      </c>
      <c r="AA310" s="67">
        <f t="shared" si="282"/>
        <v>0.73825270527729592</v>
      </c>
      <c r="AB310" s="92" t="str">
        <f t="shared" si="283"/>
        <v>-0,0192374631614661-0,578967996439244i</v>
      </c>
      <c r="AC310" s="37">
        <f t="shared" si="284"/>
        <v>-4.7421166828714441</v>
      </c>
      <c r="AD310" s="60">
        <f t="shared" si="285"/>
        <v>-91.903075969190311</v>
      </c>
      <c r="AE310" t="str">
        <f t="shared" si="286"/>
        <v>34,4450883806789</v>
      </c>
      <c r="AF310" t="str">
        <f t="shared" si="268"/>
        <v>1+28,2210798904376i</v>
      </c>
      <c r="AG310">
        <f t="shared" si="287"/>
        <v>28.238791585024696</v>
      </c>
      <c r="AH310">
        <f t="shared" si="288"/>
        <v>1.5353766410780953</v>
      </c>
      <c r="AI310" t="str">
        <f t="shared" si="269"/>
        <v>1+1,56783777169098i</v>
      </c>
      <c r="AJ310">
        <f t="shared" si="289"/>
        <v>1.8596008384438143</v>
      </c>
      <c r="AK310">
        <f t="shared" si="290"/>
        <v>1.0030304283439899</v>
      </c>
      <c r="AL310" t="str">
        <f t="shared" si="270"/>
        <v>1-0,106677848336252i</v>
      </c>
      <c r="AM310">
        <f t="shared" si="291"/>
        <v>1.0056739846121368</v>
      </c>
      <c r="AN310">
        <f t="shared" si="292"/>
        <v>-0.1062759187562996</v>
      </c>
      <c r="AO310" s="58" t="str">
        <f t="shared" si="293"/>
        <v>1,83159419715295-1,35978346645583i</v>
      </c>
      <c r="AP310">
        <f t="shared" si="294"/>
        <v>7.1631628858363214</v>
      </c>
      <c r="AQ310" s="60">
        <f t="shared" si="295"/>
        <v>-36.59035283804905</v>
      </c>
      <c r="AR310" t="str">
        <f t="shared" si="271"/>
        <v>-1,36472945891784</v>
      </c>
      <c r="AS310" t="str">
        <f t="shared" si="272"/>
        <v>1+1,17446727477371i</v>
      </c>
      <c r="AT310">
        <f t="shared" si="296"/>
        <v>1.5425217598187668</v>
      </c>
      <c r="AU310">
        <f t="shared" si="297"/>
        <v>0.86546114446596267</v>
      </c>
      <c r="AV310" t="str">
        <f t="shared" si="273"/>
        <v>1+1,17446727477371i</v>
      </c>
      <c r="AW310">
        <f t="shared" si="298"/>
        <v>1.5425217598187668</v>
      </c>
      <c r="AX310">
        <f t="shared" si="299"/>
        <v>0.86546114446596267</v>
      </c>
      <c r="AY310" t="str">
        <f t="shared" si="274"/>
        <v>1-0,0127717479423938i</v>
      </c>
      <c r="AZ310">
        <f t="shared" si="300"/>
        <v>1.0000815554471065</v>
      </c>
      <c r="BA310">
        <f t="shared" si="301"/>
        <v>-1.2771053578291594E-2</v>
      </c>
      <c r="BB310" s="58" t="str">
        <f t="shared" si="302"/>
        <v>-0,564963249823543+0,680960829026413i</v>
      </c>
      <c r="BC310">
        <f t="shared" si="303"/>
        <v>-1.0629863052821846</v>
      </c>
      <c r="BD310" s="60">
        <f t="shared" si="304"/>
        <v>129.68100161956679</v>
      </c>
      <c r="BE310" s="58" t="str">
        <f t="shared" si="305"/>
        <v>0,405122986541092+0,313995681949344i</v>
      </c>
      <c r="BF310" s="37">
        <f t="shared" si="306"/>
        <v>-5.8051029881536191</v>
      </c>
      <c r="BG310" s="60">
        <f t="shared" si="307"/>
        <v>37.777925650376453</v>
      </c>
      <c r="BH310" s="58" t="str">
        <f t="shared" si="308"/>
        <v>-0,108824133367302+2,01547158919845i</v>
      </c>
      <c r="BI310" s="37">
        <f t="shared" si="309"/>
        <v>6.1001765805541446</v>
      </c>
      <c r="BJ310" s="60">
        <f t="shared" si="310"/>
        <v>93.090648781517714</v>
      </c>
      <c r="BK310">
        <f t="shared" si="311"/>
        <v>-5.8051029881536191</v>
      </c>
      <c r="BL310" s="60">
        <f t="shared" si="312"/>
        <v>37.777925650376453</v>
      </c>
      <c r="BN310">
        <f t="shared" si="313"/>
        <v>0</v>
      </c>
      <c r="BO310">
        <f t="shared" si="314"/>
        <v>0</v>
      </c>
    </row>
    <row r="311" spans="13:67" x14ac:dyDescent="0.25">
      <c r="M311" s="66">
        <v>93</v>
      </c>
      <c r="N311" s="36">
        <f t="shared" si="315"/>
        <v>8511.3803820237772</v>
      </c>
      <c r="O311" s="91" t="str">
        <f t="shared" si="263"/>
        <v>22,5</v>
      </c>
      <c r="P311" s="67" t="str">
        <f t="shared" si="264"/>
        <v>1+57,7568665729603i</v>
      </c>
      <c r="Q311" s="67">
        <f t="shared" si="275"/>
        <v>57.765522903603483</v>
      </c>
      <c r="R311" s="67">
        <f t="shared" si="276"/>
        <v>1.5534840979135442</v>
      </c>
      <c r="S311" s="67" t="str">
        <f t="shared" si="265"/>
        <v>1+1,60435740480445i</v>
      </c>
      <c r="T311" s="67">
        <f t="shared" si="277"/>
        <v>1.890492708885932</v>
      </c>
      <c r="U311" s="67">
        <f t="shared" si="278"/>
        <v>1.0134186085995587</v>
      </c>
      <c r="V311" t="str">
        <f t="shared" si="266"/>
        <v>1-0,334241126000927i</v>
      </c>
      <c r="W311" s="67">
        <f t="shared" si="279"/>
        <v>1.0543799743500288</v>
      </c>
      <c r="X311" s="67">
        <f t="shared" si="280"/>
        <v>-0.32256734517278379</v>
      </c>
      <c r="Y311" t="str">
        <f t="shared" si="267"/>
        <v>0,99536360985552+0,926962056109239i</v>
      </c>
      <c r="Z311" s="67">
        <f t="shared" si="281"/>
        <v>1.360149759876051</v>
      </c>
      <c r="AA311" s="67">
        <f t="shared" si="282"/>
        <v>0.74983046096933348</v>
      </c>
      <c r="AB311" s="92" t="str">
        <f t="shared" si="283"/>
        <v>-0,0237774604790304-0,570324632334826i</v>
      </c>
      <c r="AC311" s="37">
        <f t="shared" si="284"/>
        <v>-4.8700152896202784</v>
      </c>
      <c r="AD311" s="60">
        <f t="shared" si="285"/>
        <v>-92.387341449390945</v>
      </c>
      <c r="AE311" t="str">
        <f t="shared" si="286"/>
        <v>34,4450883806789</v>
      </c>
      <c r="AF311" t="str">
        <f t="shared" si="268"/>
        <v>1+28,8784332864802i</v>
      </c>
      <c r="AG311">
        <f t="shared" si="287"/>
        <v>28.89574205798646</v>
      </c>
      <c r="AH311">
        <f t="shared" si="288"/>
        <v>1.5361822402255241</v>
      </c>
      <c r="AI311" t="str">
        <f t="shared" si="269"/>
        <v>1+1,60435740480445i</v>
      </c>
      <c r="AJ311">
        <f t="shared" si="289"/>
        <v>1.890492708885932</v>
      </c>
      <c r="AK311">
        <f t="shared" si="290"/>
        <v>1.0134186085995587</v>
      </c>
      <c r="AL311" t="str">
        <f t="shared" si="270"/>
        <v>1-0,109162694634076i</v>
      </c>
      <c r="AM311">
        <f t="shared" si="291"/>
        <v>1.0059406015763419</v>
      </c>
      <c r="AN311">
        <f t="shared" si="292"/>
        <v>-0.10873215657472188</v>
      </c>
      <c r="AO311" s="58" t="str">
        <f t="shared" si="293"/>
        <v>1,829753367135-1,33829660537858i</v>
      </c>
      <c r="AP311">
        <f t="shared" si="294"/>
        <v>7.1088159143945751</v>
      </c>
      <c r="AQ311" s="60">
        <f t="shared" si="295"/>
        <v>-36.182043444186796</v>
      </c>
      <c r="AR311" t="str">
        <f t="shared" si="271"/>
        <v>-1,36472945891784</v>
      </c>
      <c r="AS311" t="str">
        <f t="shared" si="272"/>
        <v>1+1,20182413193902i</v>
      </c>
      <c r="AT311">
        <f t="shared" si="296"/>
        <v>1.5634517082759476</v>
      </c>
      <c r="AU311">
        <f t="shared" si="297"/>
        <v>0.87680497543935887</v>
      </c>
      <c r="AV311" t="str">
        <f t="shared" si="273"/>
        <v>1+1,20182413193902i</v>
      </c>
      <c r="AW311">
        <f t="shared" si="298"/>
        <v>1.5634517082759476</v>
      </c>
      <c r="AX311">
        <f t="shared" si="299"/>
        <v>0.87680497543935887</v>
      </c>
      <c r="AY311" t="str">
        <f t="shared" si="274"/>
        <v>1-0,012481027465973i</v>
      </c>
      <c r="AZ311">
        <f t="shared" si="300"/>
        <v>1.0000778849902674</v>
      </c>
      <c r="BA311">
        <f t="shared" si="301"/>
        <v>-1.2480379444834213E-2</v>
      </c>
      <c r="BB311" s="58" t="str">
        <f t="shared" si="302"/>
        <v>-0,549938157262771+0,67796217433285i</v>
      </c>
      <c r="BC311">
        <f t="shared" si="303"/>
        <v>-1.18008162704595</v>
      </c>
      <c r="BD311" s="60">
        <f t="shared" si="304"/>
        <v>129.0477023823421</v>
      </c>
      <c r="BE311" s="58" t="str">
        <f t="shared" si="305"/>
        <v>0,399734660613528+0,297523058541305i</v>
      </c>
      <c r="BF311" s="37">
        <f t="shared" si="306"/>
        <v>-6.0500969166662273</v>
      </c>
      <c r="BG311" s="60">
        <f t="shared" si="307"/>
        <v>36.660360932951214</v>
      </c>
      <c r="BH311" s="58" t="str">
        <f t="shared" si="308"/>
        <v>-0,098936718482838+1,97648394030862i</v>
      </c>
      <c r="BI311" s="37">
        <f t="shared" si="309"/>
        <v>5.9287342873486431</v>
      </c>
      <c r="BJ311" s="60">
        <f t="shared" si="310"/>
        <v>92.865658938155306</v>
      </c>
      <c r="BK311">
        <f t="shared" si="311"/>
        <v>-6.0500969166662273</v>
      </c>
      <c r="BL311" s="60">
        <f t="shared" si="312"/>
        <v>36.660360932951214</v>
      </c>
      <c r="BN311">
        <f t="shared" si="313"/>
        <v>0</v>
      </c>
      <c r="BO311">
        <f t="shared" si="314"/>
        <v>0</v>
      </c>
    </row>
    <row r="312" spans="13:67" x14ac:dyDescent="0.25">
      <c r="M312" s="66">
        <v>94</v>
      </c>
      <c r="N312" s="36">
        <f t="shared" si="315"/>
        <v>8709.6358995608189</v>
      </c>
      <c r="O312" s="91" t="str">
        <f t="shared" si="263"/>
        <v>22,5</v>
      </c>
      <c r="P312" s="67" t="str">
        <f t="shared" si="264"/>
        <v>1+59,1021968202047i</v>
      </c>
      <c r="Q312" s="67">
        <f t="shared" si="275"/>
        <v>59.110656137233114</v>
      </c>
      <c r="R312" s="67">
        <f t="shared" si="276"/>
        <v>1.5538780962868155</v>
      </c>
      <c r="S312" s="67" t="str">
        <f t="shared" si="265"/>
        <v>1+1,64172768945013i</v>
      </c>
      <c r="T312" s="67">
        <f t="shared" si="277"/>
        <v>1.9223084576381757</v>
      </c>
      <c r="U312" s="67">
        <f t="shared" si="278"/>
        <v>1.023701990782097</v>
      </c>
      <c r="V312" t="str">
        <f t="shared" si="266"/>
        <v>1-0,342026601968777i</v>
      </c>
      <c r="W312" s="67">
        <f t="shared" si="279"/>
        <v>1.0568737845430307</v>
      </c>
      <c r="X312" s="67">
        <f t="shared" si="280"/>
        <v>-0.32955398616012788</v>
      </c>
      <c r="Y312" t="str">
        <f t="shared" si="267"/>
        <v>0,995145103519813+0,948553776126743i</v>
      </c>
      <c r="Z312" s="67">
        <f t="shared" si="281"/>
        <v>1.374797455359793</v>
      </c>
      <c r="AA312" s="67">
        <f t="shared" si="282"/>
        <v>0.76143230765737557</v>
      </c>
      <c r="AB312" s="92" t="str">
        <f t="shared" si="283"/>
        <v>-0,0283190497296395-0,561788883373194i</v>
      </c>
      <c r="AC312" s="37">
        <f t="shared" si="284"/>
        <v>-4.9975155882517939</v>
      </c>
      <c r="AD312" s="60">
        <f t="shared" si="285"/>
        <v>-92.88576338646557</v>
      </c>
      <c r="AE312" t="str">
        <f t="shared" si="286"/>
        <v>34,4450883806789</v>
      </c>
      <c r="AF312" t="str">
        <f t="shared" si="268"/>
        <v>1+29,5510984101024i</v>
      </c>
      <c r="AG312">
        <f t="shared" si="287"/>
        <v>29.568013413882856</v>
      </c>
      <c r="AH312">
        <f t="shared" si="288"/>
        <v>1.536969545130946</v>
      </c>
      <c r="AI312" t="str">
        <f t="shared" si="269"/>
        <v>1+1,64172768945013i</v>
      </c>
      <c r="AJ312">
        <f t="shared" si="289"/>
        <v>1.9223084576381757</v>
      </c>
      <c r="AK312">
        <f t="shared" si="290"/>
        <v>1.023701990782097</v>
      </c>
      <c r="AL312" t="str">
        <f t="shared" si="270"/>
        <v>1-0,111705420437534i</v>
      </c>
      <c r="AM312">
        <f t="shared" si="291"/>
        <v>1.006219708093181</v>
      </c>
      <c r="AN312">
        <f t="shared" si="292"/>
        <v>-0.11124424446718804</v>
      </c>
      <c r="AO312" s="58" t="str">
        <f t="shared" si="293"/>
        <v>1,82799519411715-1,31751359400459i</v>
      </c>
      <c r="AP312">
        <f t="shared" si="294"/>
        <v>7.0564210573342212</v>
      </c>
      <c r="AQ312" s="60">
        <f t="shared" si="295"/>
        <v>-35.781890328282252</v>
      </c>
      <c r="AR312" t="str">
        <f t="shared" si="271"/>
        <v>-1,36472945891784</v>
      </c>
      <c r="AS312" t="str">
        <f t="shared" si="272"/>
        <v>1+1,2298182121671i</v>
      </c>
      <c r="AT312">
        <f t="shared" si="296"/>
        <v>1.5850718706033118</v>
      </c>
      <c r="AU312">
        <f t="shared" si="297"/>
        <v>0.88810142609100284</v>
      </c>
      <c r="AV312" t="str">
        <f t="shared" si="273"/>
        <v>1+1,2298182121671i</v>
      </c>
      <c r="AW312">
        <f t="shared" si="298"/>
        <v>1.5850718706033118</v>
      </c>
      <c r="AX312">
        <f t="shared" si="299"/>
        <v>0.88810142609100284</v>
      </c>
      <c r="AY312" t="str">
        <f t="shared" si="274"/>
        <v>1-0,0121969245955206i</v>
      </c>
      <c r="AZ312">
        <f t="shared" si="300"/>
        <v>1.0000743797186231</v>
      </c>
      <c r="BA312">
        <f t="shared" si="301"/>
        <v>-1.2196319824462088E-2</v>
      </c>
      <c r="BB312" s="58" t="str">
        <f t="shared" si="302"/>
        <v>-0,535038309304583+0,674645359293576i</v>
      </c>
      <c r="BC312">
        <f t="shared" si="303"/>
        <v>-1.2994018213271363</v>
      </c>
      <c r="BD312" s="60">
        <f t="shared" si="304"/>
        <v>128.41673885390253</v>
      </c>
      <c r="BE312" s="58" t="str">
        <f t="shared" si="305"/>
        <v>0,394160039558904+0,281473258866398i</v>
      </c>
      <c r="BF312" s="37">
        <f t="shared" si="306"/>
        <v>-6.2969174095789304</v>
      </c>
      <c r="BG312" s="60">
        <f t="shared" si="307"/>
        <v>35.530975467436967</v>
      </c>
      <c r="BH312" s="58" t="str">
        <f t="shared" si="308"/>
        <v>-0,0891930260759456+1,93816872034412i</v>
      </c>
      <c r="BI312" s="37">
        <f t="shared" si="309"/>
        <v>5.757019236007106</v>
      </c>
      <c r="BJ312" s="60">
        <f t="shared" si="310"/>
        <v>92.634848525620271</v>
      </c>
      <c r="BK312">
        <f t="shared" si="311"/>
        <v>-6.2969174095789304</v>
      </c>
      <c r="BL312" s="60">
        <f t="shared" si="312"/>
        <v>35.530975467436967</v>
      </c>
      <c r="BN312">
        <f t="shared" si="313"/>
        <v>0</v>
      </c>
      <c r="BO312">
        <f t="shared" si="314"/>
        <v>0</v>
      </c>
    </row>
    <row r="313" spans="13:67" x14ac:dyDescent="0.25">
      <c r="M313" s="66">
        <v>95</v>
      </c>
      <c r="N313" s="36">
        <f t="shared" si="315"/>
        <v>8912.5093813374679</v>
      </c>
      <c r="O313" s="91" t="str">
        <f t="shared" si="263"/>
        <v>22,5</v>
      </c>
      <c r="P313" s="67" t="str">
        <f t="shared" si="264"/>
        <v>1+60,4788638345134i</v>
      </c>
      <c r="Q313" s="67">
        <f t="shared" si="275"/>
        <v>60.487130620600716</v>
      </c>
      <c r="R313" s="67">
        <f t="shared" si="276"/>
        <v>1.5542631312382285</v>
      </c>
      <c r="S313" s="67" t="str">
        <f t="shared" si="265"/>
        <v>1+1,6799684398476i</v>
      </c>
      <c r="T313" s="67">
        <f t="shared" si="277"/>
        <v>1.9550687862282443</v>
      </c>
      <c r="U313" s="67">
        <f t="shared" si="278"/>
        <v>1.033877327307734</v>
      </c>
      <c r="V313" t="str">
        <f t="shared" si="266"/>
        <v>1-0,349993424968249i</v>
      </c>
      <c r="W313" s="67">
        <f t="shared" si="279"/>
        <v>1.0594788329744984</v>
      </c>
      <c r="X313" s="67">
        <f t="shared" si="280"/>
        <v>-0.33666896188540818</v>
      </c>
      <c r="Y313" t="str">
        <f t="shared" si="267"/>
        <v>0,994916299297765+0,970648431911943i</v>
      </c>
      <c r="Z313" s="67">
        <f t="shared" si="281"/>
        <v>1.3899700791677043</v>
      </c>
      <c r="AA313" s="67">
        <f t="shared" si="282"/>
        <v>0.77305227927996334</v>
      </c>
      <c r="AB313" s="92" t="str">
        <f t="shared" si="283"/>
        <v>-0,0328584399197192-0,553355319885039i</v>
      </c>
      <c r="AC313" s="37">
        <f t="shared" si="284"/>
        <v>-5.1246318002383244</v>
      </c>
      <c r="AD313" s="60">
        <f t="shared" si="285"/>
        <v>-93.398253838534899</v>
      </c>
      <c r="AE313" t="str">
        <f t="shared" si="286"/>
        <v>34,4450883806789</v>
      </c>
      <c r="AF313" t="str">
        <f t="shared" si="268"/>
        <v>1+30,2394319172567i</v>
      </c>
      <c r="AG313">
        <f t="shared" si="287"/>
        <v>30.255962101351251</v>
      </c>
      <c r="AH313">
        <f t="shared" si="288"/>
        <v>1.5377389693275307</v>
      </c>
      <c r="AI313" t="str">
        <f t="shared" si="269"/>
        <v>1+1,6799684398476i</v>
      </c>
      <c r="AJ313">
        <f t="shared" si="289"/>
        <v>1.9550687862282443</v>
      </c>
      <c r="AK313">
        <f t="shared" si="290"/>
        <v>1.033877327307734</v>
      </c>
      <c r="AL313" t="str">
        <f t="shared" si="270"/>
        <v>1-0,114307373933504i</v>
      </c>
      <c r="AM313">
        <f t="shared" si="291"/>
        <v>1.0065118855411366</v>
      </c>
      <c r="AN313">
        <f t="shared" si="292"/>
        <v>-0.11381338748513084</v>
      </c>
      <c r="AO313" s="58" t="str">
        <f t="shared" si="293"/>
        <v>1,82631597496273-1,29742379468474i</v>
      </c>
      <c r="AP313">
        <f t="shared" si="294"/>
        <v>7.0059457123328102</v>
      </c>
      <c r="AQ313" s="60">
        <f t="shared" si="295"/>
        <v>-35.390172301250992</v>
      </c>
      <c r="AR313" t="str">
        <f t="shared" si="271"/>
        <v>-1,36472945891784</v>
      </c>
      <c r="AS313" t="str">
        <f t="shared" si="272"/>
        <v>1+1,25846435828983i</v>
      </c>
      <c r="AT313">
        <f t="shared" si="296"/>
        <v>1.607399309781435</v>
      </c>
      <c r="AU313">
        <f t="shared" si="297"/>
        <v>0.89934495438061257</v>
      </c>
      <c r="AV313" t="str">
        <f t="shared" si="273"/>
        <v>1+1,25846435828983i</v>
      </c>
      <c r="AW313">
        <f t="shared" si="298"/>
        <v>1.607399309781435</v>
      </c>
      <c r="AX313">
        <f t="shared" si="299"/>
        <v>0.89934495438061257</v>
      </c>
      <c r="AY313" t="str">
        <f t="shared" si="274"/>
        <v>1-0,0119192886959341i</v>
      </c>
      <c r="AZ313">
        <f t="shared" si="300"/>
        <v>1.0000710321987218</v>
      </c>
      <c r="BA313">
        <f t="shared" si="301"/>
        <v>-1.191872428847562E-2</v>
      </c>
      <c r="BB313" s="58" t="str">
        <f t="shared" si="302"/>
        <v>-0,520277736049699+0,671017591642957i</v>
      </c>
      <c r="BC313">
        <f t="shared" si="303"/>
        <v>-1.4209272683946361</v>
      </c>
      <c r="BD313" s="60">
        <f t="shared" si="304"/>
        <v>127.78843718869564</v>
      </c>
      <c r="BE313" s="58" t="str">
        <f t="shared" si="305"/>
        <v>0,388406668803634+0,26584986184077i</v>
      </c>
      <c r="BF313" s="37">
        <f t="shared" si="306"/>
        <v>-6.5455590686329588</v>
      </c>
      <c r="BG313" s="60">
        <f t="shared" si="307"/>
        <v>34.390183350160683</v>
      </c>
      <c r="BH313" s="58" t="str">
        <f t="shared" si="308"/>
        <v>-0,0795973507153873+1,90051086169414i</v>
      </c>
      <c r="BI313" s="37">
        <f t="shared" si="309"/>
        <v>5.5850184439381927</v>
      </c>
      <c r="BJ313" s="60">
        <f t="shared" si="310"/>
        <v>92.398264887444654</v>
      </c>
      <c r="BK313">
        <f t="shared" si="311"/>
        <v>-6.5455590686329588</v>
      </c>
      <c r="BL313" s="60">
        <f t="shared" si="312"/>
        <v>34.390183350160683</v>
      </c>
      <c r="BN313">
        <f t="shared" si="313"/>
        <v>0</v>
      </c>
      <c r="BO313">
        <f t="shared" si="314"/>
        <v>0</v>
      </c>
    </row>
    <row r="314" spans="13:67" x14ac:dyDescent="0.25">
      <c r="M314" s="66">
        <v>96</v>
      </c>
      <c r="N314" s="36">
        <f t="shared" si="315"/>
        <v>9120.1083935591087</v>
      </c>
      <c r="O314" s="91" t="str">
        <f t="shared" si="263"/>
        <v>22,5</v>
      </c>
      <c r="P314" s="67" t="str">
        <f t="shared" si="264"/>
        <v>1+61,8875975429595i</v>
      </c>
      <c r="Q314" s="67">
        <f t="shared" si="275"/>
        <v>61.895676178868307</v>
      </c>
      <c r="R314" s="67">
        <f t="shared" si="276"/>
        <v>1.5546394064614919</v>
      </c>
      <c r="S314" s="67" t="str">
        <f t="shared" si="265"/>
        <v>1+1,71909993174888i</v>
      </c>
      <c r="T314" s="67">
        <f t="shared" si="277"/>
        <v>1.988794754452808</v>
      </c>
      <c r="U314" s="67">
        <f t="shared" si="278"/>
        <v>1.0439415845681268</v>
      </c>
      <c r="V314" t="str">
        <f t="shared" si="266"/>
        <v>1-0,358145819114349i</v>
      </c>
      <c r="W314" s="67">
        <f t="shared" si="279"/>
        <v>1.062199805944761</v>
      </c>
      <c r="X314" s="67">
        <f t="shared" si="280"/>
        <v>-0.34391316243287046</v>
      </c>
      <c r="Y314" t="str">
        <f t="shared" si="267"/>
        <v>0,994676711864943+0,993257738343794i</v>
      </c>
      <c r="Z314" s="67">
        <f t="shared" si="281"/>
        <v>1.4056822883946014</v>
      </c>
      <c r="AA314" s="67">
        <f t="shared" si="282"/>
        <v>0.78468437060613627</v>
      </c>
      <c r="AB314" s="92" t="str">
        <f t="shared" si="283"/>
        <v>-0,0373917634051208-0,545018870251542i</v>
      </c>
      <c r="AC314" s="37">
        <f t="shared" si="284"/>
        <v>-5.2513756564563465</v>
      </c>
      <c r="AD314" s="60">
        <f t="shared" si="285"/>
        <v>-93.92470521302522</v>
      </c>
      <c r="AE314" t="str">
        <f t="shared" si="286"/>
        <v>34,4450883806789</v>
      </c>
      <c r="AF314" t="str">
        <f t="shared" si="268"/>
        <v>1+30,9437987714798i</v>
      </c>
      <c r="AG314">
        <f t="shared" si="287"/>
        <v>30.95995288125992</v>
      </c>
      <c r="AH314">
        <f t="shared" si="288"/>
        <v>1.5384909171280128</v>
      </c>
      <c r="AI314" t="str">
        <f t="shared" si="269"/>
        <v>1+1,71909993174888i</v>
      </c>
      <c r="AJ314">
        <f t="shared" si="289"/>
        <v>1.988794754452808</v>
      </c>
      <c r="AK314">
        <f t="shared" si="290"/>
        <v>1.0439415845681268</v>
      </c>
      <c r="AL314" t="str">
        <f t="shared" si="270"/>
        <v>1-0,11696993471217i</v>
      </c>
      <c r="AM314">
        <f t="shared" si="291"/>
        <v>1.0068177420102256</v>
      </c>
      <c r="AN314">
        <f t="shared" si="292"/>
        <v>-0.11644081208778556</v>
      </c>
      <c r="AO314" s="58" t="str">
        <f t="shared" si="293"/>
        <v>1,82471217170787-1,27801691193205i</v>
      </c>
      <c r="AP314">
        <f t="shared" si="294"/>
        <v>6.9573567644576286</v>
      </c>
      <c r="AQ314" s="60">
        <f t="shared" si="295"/>
        <v>-35.007156612399399</v>
      </c>
      <c r="AR314" t="str">
        <f t="shared" si="271"/>
        <v>-1,36472945891784</v>
      </c>
      <c r="AS314" t="str">
        <f t="shared" si="272"/>
        <v>1+1,28777775887308i</v>
      </c>
      <c r="AT314">
        <f t="shared" si="296"/>
        <v>1.6304513351364316</v>
      </c>
      <c r="AU314">
        <f t="shared" si="297"/>
        <v>0.91053015145346161</v>
      </c>
      <c r="AV314" t="str">
        <f t="shared" si="273"/>
        <v>1+1,28777775887308i</v>
      </c>
      <c r="AW314">
        <f t="shared" si="298"/>
        <v>1.6304513351364316</v>
      </c>
      <c r="AX314">
        <f t="shared" si="299"/>
        <v>0.91053015145346161</v>
      </c>
      <c r="AY314" t="str">
        <f t="shared" si="274"/>
        <v>1-0,0116479725609847i</v>
      </c>
      <c r="AZ314">
        <f t="shared" si="300"/>
        <v>1.0000678353315746</v>
      </c>
      <c r="BA314">
        <f t="shared" si="301"/>
        <v>-1.1647445823276075E-2</v>
      </c>
      <c r="BB314" s="58" t="str">
        <f t="shared" si="302"/>
        <v>-0,505669914303198+0,667086800261557i</v>
      </c>
      <c r="BC314">
        <f t="shared" si="303"/>
        <v>-1.5446362987836295</v>
      </c>
      <c r="BD314" s="60">
        <f t="shared" si="304"/>
        <v>127.16311571452803</v>
      </c>
      <c r="BE314" s="58" t="str">
        <f t="shared" si="305"/>
        <v>0,382482784034983+0,250656093607664i</v>
      </c>
      <c r="BF314" s="37">
        <f t="shared" si="306"/>
        <v>-6.7960119552399725</v>
      </c>
      <c r="BG314" s="60">
        <f t="shared" si="307"/>
        <v>33.238410501502806</v>
      </c>
      <c r="BH314" s="58" t="str">
        <f t="shared" si="308"/>
        <v>-0,0701538350346136+1,86349610635764i</v>
      </c>
      <c r="BI314" s="37">
        <f t="shared" si="309"/>
        <v>5.4127204656740124</v>
      </c>
      <c r="BJ314" s="60">
        <f t="shared" si="310"/>
        <v>92.15595910212862</v>
      </c>
      <c r="BK314">
        <f t="shared" si="311"/>
        <v>-6.7960119552399725</v>
      </c>
      <c r="BL314" s="60">
        <f t="shared" si="312"/>
        <v>33.238410501502806</v>
      </c>
      <c r="BN314">
        <f t="shared" si="313"/>
        <v>0</v>
      </c>
      <c r="BO314">
        <f t="shared" si="314"/>
        <v>0</v>
      </c>
    </row>
    <row r="315" spans="13:67" x14ac:dyDescent="0.25">
      <c r="M315" s="66">
        <v>97</v>
      </c>
      <c r="N315" s="36">
        <f t="shared" si="315"/>
        <v>9332.5430079699217</v>
      </c>
      <c r="O315" s="91" t="str">
        <f t="shared" si="263"/>
        <v>22,5</v>
      </c>
      <c r="P315" s="67" t="str">
        <f t="shared" si="264"/>
        <v>1+63,3291448748021i</v>
      </c>
      <c r="Q315" s="67">
        <f t="shared" si="275"/>
        <v>63.33703964169522</v>
      </c>
      <c r="R315" s="67">
        <f t="shared" si="276"/>
        <v>1.5550071210362715</v>
      </c>
      <c r="S315" s="67" t="str">
        <f t="shared" si="265"/>
        <v>1+1,75914291318895i</v>
      </c>
      <c r="T315" s="67">
        <f t="shared" si="277"/>
        <v>2.0235077931707863</v>
      </c>
      <c r="U315" s="67">
        <f t="shared" si="278"/>
        <v>1.0538919430016314</v>
      </c>
      <c r="V315" t="str">
        <f t="shared" si="266"/>
        <v>1-0,366488106914364i</v>
      </c>
      <c r="W315" s="67">
        <f t="shared" si="279"/>
        <v>1.0650415637474784</v>
      </c>
      <c r="X315" s="67">
        <f t="shared" si="280"/>
        <v>-0.35128738650997937</v>
      </c>
      <c r="Y315" t="str">
        <f t="shared" si="267"/>
        <v>0,994425833024281+1,01639368317584i</v>
      </c>
      <c r="Z315" s="67">
        <f t="shared" si="281"/>
        <v>1.4219489641283842</v>
      </c>
      <c r="AA315" s="67">
        <f t="shared" si="282"/>
        <v>0.79632255321451584</v>
      </c>
      <c r="AB315" s="92" t="str">
        <f t="shared" si="283"/>
        <v>-0,0419150959509447-0,536774822018665i</v>
      </c>
      <c r="AC315" s="37">
        <f t="shared" si="284"/>
        <v>-5.3777562756955568</v>
      </c>
      <c r="AD315" s="60">
        <f t="shared" si="285"/>
        <v>-94.464990824808055</v>
      </c>
      <c r="AE315" t="str">
        <f t="shared" si="286"/>
        <v>34,4450883806789</v>
      </c>
      <c r="AF315" t="str">
        <f t="shared" si="268"/>
        <v>1+31,6645724374011i</v>
      </c>
      <c r="AG315">
        <f t="shared" si="287"/>
        <v>31.680359020115628</v>
      </c>
      <c r="AH315">
        <f t="shared" si="288"/>
        <v>1.5392257838217611</v>
      </c>
      <c r="AI315" t="str">
        <f t="shared" si="269"/>
        <v>1+1,75914291318895i</v>
      </c>
      <c r="AJ315">
        <f t="shared" si="289"/>
        <v>2.0235077931707863</v>
      </c>
      <c r="AK315">
        <f t="shared" si="290"/>
        <v>1.0538919430016314</v>
      </c>
      <c r="AL315" t="str">
        <f t="shared" si="270"/>
        <v>1-0,119694514498501i</v>
      </c>
      <c r="AM315">
        <f t="shared" si="291"/>
        <v>1.0071379134959779</v>
      </c>
      <c r="AN315">
        <f t="shared" si="292"/>
        <v>-0.11912776618764162</v>
      </c>
      <c r="AO315" s="58" t="str">
        <f t="shared" si="293"/>
        <v>1,82318040425878-1,25928298864721i</v>
      </c>
      <c r="AP315">
        <f t="shared" si="294"/>
        <v>6.9106207067363101</v>
      </c>
      <c r="AQ315" s="60">
        <f t="shared" si="295"/>
        <v>-34.633098959240563</v>
      </c>
      <c r="AR315" t="str">
        <f t="shared" si="271"/>
        <v>-1,36472945891784</v>
      </c>
      <c r="AS315" t="str">
        <f t="shared" si="272"/>
        <v>1+1,31777395626984i</v>
      </c>
      <c r="AT315">
        <f t="shared" si="296"/>
        <v>1.6542455077234051</v>
      </c>
      <c r="AU315">
        <f t="shared" si="297"/>
        <v>0.92165175350418826</v>
      </c>
      <c r="AV315" t="str">
        <f t="shared" si="273"/>
        <v>1+1,31777395626984i</v>
      </c>
      <c r="AW315">
        <f t="shared" si="298"/>
        <v>1.6542455077234051</v>
      </c>
      <c r="AX315">
        <f t="shared" si="299"/>
        <v>0.92165175350418826</v>
      </c>
      <c r="AY315" t="str">
        <f t="shared" si="274"/>
        <v>1-0,0113828323352662i</v>
      </c>
      <c r="AZ315">
        <f t="shared" si="300"/>
        <v>1.0000647823376108</v>
      </c>
      <c r="BA315">
        <f t="shared" si="301"/>
        <v>-1.1382340753233359E-2</v>
      </c>
      <c r="BB315" s="58" t="str">
        <f t="shared" si="302"/>
        <v>-0,491227723186257+0,66286158682644i</v>
      </c>
      <c r="BC315">
        <f t="shared" si="303"/>
        <v>-1.6705052791060024</v>
      </c>
      <c r="BD315" s="60">
        <f t="shared" si="304"/>
        <v>126.54108425723831</v>
      </c>
      <c r="BE315" s="58" t="str">
        <f t="shared" si="305"/>
        <v>0,376397267442888+0,235894766669911i</v>
      </c>
      <c r="BF315" s="37">
        <f t="shared" si="306"/>
        <v>-7.0482615548015701</v>
      </c>
      <c r="BG315" s="60">
        <f t="shared" si="307"/>
        <v>32.07609343243022</v>
      </c>
      <c r="BH315" s="58" t="str">
        <f t="shared" si="308"/>
        <v>-0,0608664388236086+1,8271109711982i</v>
      </c>
      <c r="BI315" s="37">
        <f t="shared" si="309"/>
        <v>5.2401154276303092</v>
      </c>
      <c r="BJ315" s="60">
        <f t="shared" si="310"/>
        <v>91.90798529799774</v>
      </c>
      <c r="BK315">
        <f t="shared" si="311"/>
        <v>-7.0482615548015701</v>
      </c>
      <c r="BL315" s="60">
        <f t="shared" si="312"/>
        <v>32.07609343243022</v>
      </c>
      <c r="BN315">
        <f t="shared" si="313"/>
        <v>0</v>
      </c>
      <c r="BO315">
        <f t="shared" si="314"/>
        <v>0</v>
      </c>
    </row>
    <row r="316" spans="13:67" x14ac:dyDescent="0.25">
      <c r="M316" s="66">
        <v>98</v>
      </c>
      <c r="N316" s="36">
        <f t="shared" si="315"/>
        <v>9549.9258602143691</v>
      </c>
      <c r="O316" s="91" t="str">
        <f t="shared" si="263"/>
        <v>22,5</v>
      </c>
      <c r="P316" s="67" t="str">
        <f t="shared" si="264"/>
        <v>1+64,8042701575176i</v>
      </c>
      <c r="Q316" s="67">
        <f t="shared" si="275"/>
        <v>64.811985239217336</v>
      </c>
      <c r="R316" s="67">
        <f t="shared" si="276"/>
        <v>1.5553664695317126</v>
      </c>
      <c r="S316" s="67" t="str">
        <f t="shared" si="265"/>
        <v>1+1,8001186154866i</v>
      </c>
      <c r="T316" s="67">
        <f t="shared" si="277"/>
        <v>2.0592297175937886</v>
      </c>
      <c r="U316" s="67">
        <f t="shared" si="278"/>
        <v>1.0637257963445201</v>
      </c>
      <c r="V316" t="str">
        <f t="shared" si="266"/>
        <v>1-0,375024711559708i</v>
      </c>
      <c r="W316" s="67">
        <f t="shared" si="279"/>
        <v>1.0680091452232243</v>
      </c>
      <c r="X316" s="67">
        <f t="shared" si="280"/>
        <v>-0.3587923350236159</v>
      </c>
      <c r="Y316" t="str">
        <f t="shared" si="267"/>
        <v>0,994163130628122+1,04006853339226i</v>
      </c>
      <c r="Z316" s="67">
        <f t="shared" si="281"/>
        <v>1.4387852113686168</v>
      </c>
      <c r="AA316" s="67">
        <f t="shared" si="282"/>
        <v>0.80796079163207934</v>
      </c>
      <c r="AB316" s="92" t="str">
        <f t="shared" si="283"/>
        <v>-0,046424476995698-0,528618821401538i</v>
      </c>
      <c r="AC316" s="37">
        <f t="shared" si="284"/>
        <v>-5.5037800590816124</v>
      </c>
      <c r="AD316" s="60">
        <f t="shared" si="285"/>
        <v>-95.018965501660887</v>
      </c>
      <c r="AE316" t="str">
        <f t="shared" si="286"/>
        <v>34,4450883806789</v>
      </c>
      <c r="AF316" t="str">
        <f t="shared" si="268"/>
        <v>1+32,4021350787588i</v>
      </c>
      <c r="AG316">
        <f t="shared" si="287"/>
        <v>32.417562487980675</v>
      </c>
      <c r="AH316">
        <f t="shared" si="288"/>
        <v>1.5399439558682131</v>
      </c>
      <c r="AI316" t="str">
        <f t="shared" si="269"/>
        <v>1+1,8001186154866i</v>
      </c>
      <c r="AJ316">
        <f t="shared" si="289"/>
        <v>2.0592297175937886</v>
      </c>
      <c r="AK316">
        <f t="shared" si="290"/>
        <v>1.0637257963445201</v>
      </c>
      <c r="AL316" t="str">
        <f t="shared" si="270"/>
        <v>1-0,122482557900763i</v>
      </c>
      <c r="AM316">
        <f t="shared" si="291"/>
        <v>1.0074730651436363</v>
      </c>
      <c r="AN316">
        <f t="shared" si="292"/>
        <v>-0.12187551916727658</v>
      </c>
      <c r="AO316" s="58" t="str">
        <f t="shared" si="293"/>
        <v>1,82171744340593-1,24121240241224i</v>
      </c>
      <c r="AP316">
        <f t="shared" si="294"/>
        <v>6.8657037584930816</v>
      </c>
      <c r="AQ316" s="60">
        <f t="shared" si="295"/>
        <v>-34.268243542446093</v>
      </c>
      <c r="AR316" t="str">
        <f t="shared" si="271"/>
        <v>-1,36472945891784</v>
      </c>
      <c r="AS316" t="str">
        <f t="shared" si="272"/>
        <v>1+1,34846885486101i</v>
      </c>
      <c r="AT316">
        <f t="shared" si="296"/>
        <v>1.6787996463337023</v>
      </c>
      <c r="AU316">
        <f t="shared" si="297"/>
        <v>0.93270465278802628</v>
      </c>
      <c r="AV316" t="str">
        <f t="shared" si="273"/>
        <v>1+1,34846885486101i</v>
      </c>
      <c r="AW316">
        <f t="shared" si="298"/>
        <v>1.6787996463337023</v>
      </c>
      <c r="AX316">
        <f t="shared" si="299"/>
        <v>0.93270465278802628</v>
      </c>
      <c r="AY316" t="str">
        <f t="shared" si="274"/>
        <v>1-0,0111237274379215i</v>
      </c>
      <c r="AZ316">
        <f t="shared" si="300"/>
        <v>1.0000618667423098</v>
      </c>
      <c r="BA316">
        <f t="shared" si="301"/>
        <v>-1.1123268665270112E-2</v>
      </c>
      <c r="BB316" s="58" t="str">
        <f t="shared" si="302"/>
        <v>-0,47696340456123+0,658351174486795i</v>
      </c>
      <c r="BC316">
        <f t="shared" si="303"/>
        <v>-1.798508704104119</v>
      </c>
      <c r="BD316" s="60">
        <f t="shared" si="304"/>
        <v>125.92264351412113</v>
      </c>
      <c r="BE316" s="58" t="str">
        <f t="shared" si="305"/>
        <v>0,370159598528371+0,221568223815769i</v>
      </c>
      <c r="BF316" s="37">
        <f t="shared" si="306"/>
        <v>-7.3022887631857278</v>
      </c>
      <c r="BG316" s="60">
        <f t="shared" si="307"/>
        <v>30.903678012460173</v>
      </c>
      <c r="BH316" s="58" t="str">
        <f t="shared" si="308"/>
        <v>-0,0517389110397976+1,79134271168754i</v>
      </c>
      <c r="BI316" s="37">
        <f t="shared" si="309"/>
        <v>5.0671950543889599</v>
      </c>
      <c r="BJ316" s="60">
        <f t="shared" si="310"/>
        <v>91.654399971675048</v>
      </c>
      <c r="BK316">
        <f t="shared" si="311"/>
        <v>-7.3022887631857278</v>
      </c>
      <c r="BL316" s="60">
        <f t="shared" si="312"/>
        <v>30.903678012460173</v>
      </c>
      <c r="BN316">
        <f t="shared" si="313"/>
        <v>0</v>
      </c>
      <c r="BO316">
        <f t="shared" si="314"/>
        <v>0</v>
      </c>
    </row>
    <row r="317" spans="13:67" x14ac:dyDescent="0.25">
      <c r="M317" s="66">
        <v>99</v>
      </c>
      <c r="N317" s="36">
        <f t="shared" si="315"/>
        <v>9772.3722095581161</v>
      </c>
      <c r="O317" s="91" t="str">
        <f t="shared" si="263"/>
        <v>22,5</v>
      </c>
      <c r="P317" s="67" t="str">
        <f t="shared" si="264"/>
        <v>1+66,3137555220566i</v>
      </c>
      <c r="Q317" s="67">
        <f t="shared" si="275"/>
        <v>66.321295007253084</v>
      </c>
      <c r="R317" s="67">
        <f t="shared" si="276"/>
        <v>1.5557176421077057</v>
      </c>
      <c r="S317" s="67" t="str">
        <f t="shared" si="265"/>
        <v>1+1,84204876450157i</v>
      </c>
      <c r="T317" s="67">
        <f t="shared" si="277"/>
        <v>2.0959827410553169</v>
      </c>
      <c r="U317" s="67">
        <f t="shared" si="278"/>
        <v>1.073440750108783</v>
      </c>
      <c r="V317" t="str">
        <f t="shared" si="266"/>
        <v>1-0,383760159271161i</v>
      </c>
      <c r="W317" s="67">
        <f t="shared" si="279"/>
        <v>1.0711077722824287</v>
      </c>
      <c r="X317" s="67">
        <f t="shared" si="280"/>
        <v>-0.36642860452207859</v>
      </c>
      <c r="Y317" t="str">
        <f t="shared" si="267"/>
        <v>0,993888047449463+1,06429484171202i</v>
      </c>
      <c r="Z317" s="67">
        <f t="shared" si="281"/>
        <v>1.4562063593315748</v>
      </c>
      <c r="AA317" s="67">
        <f t="shared" si="282"/>
        <v>0.81959305952903827</v>
      </c>
      <c r="AB317" s="92" t="str">
        <f t="shared" si="283"/>
        <v>-0,0509159299517451-0,520546871157753i</v>
      </c>
      <c r="AC317" s="37">
        <f t="shared" si="284"/>
        <v>-5.6294506011872425</v>
      </c>
      <c r="AD317" s="60">
        <f t="shared" si="285"/>
        <v>-95.586466229436709</v>
      </c>
      <c r="AE317" t="str">
        <f t="shared" si="286"/>
        <v>34,4450883806789</v>
      </c>
      <c r="AF317" t="str">
        <f t="shared" si="268"/>
        <v>1+33,1568777610283i</v>
      </c>
      <c r="AG317">
        <f t="shared" si="287"/>
        <v>33.171954161004336</v>
      </c>
      <c r="AH317">
        <f t="shared" si="288"/>
        <v>1.5406458110867005</v>
      </c>
      <c r="AI317" t="str">
        <f t="shared" si="269"/>
        <v>1+1,84204876450157i</v>
      </c>
      <c r="AJ317">
        <f t="shared" si="289"/>
        <v>2.0959827410553169</v>
      </c>
      <c r="AK317">
        <f t="shared" si="290"/>
        <v>1.073440750108783</v>
      </c>
      <c r="AL317" t="str">
        <f t="shared" si="270"/>
        <v>1-0,125335543176473i</v>
      </c>
      <c r="AM317">
        <f t="shared" si="291"/>
        <v>1.0078238925443976</v>
      </c>
      <c r="AN317">
        <f t="shared" si="292"/>
        <v>-0.12468536186511538</v>
      </c>
      <c r="AO317" s="58" t="str">
        <f t="shared" si="293"/>
        <v>1,82032020414242-1,22379586185754i</v>
      </c>
      <c r="AP317">
        <f t="shared" si="294"/>
        <v>6.8225719809875809</v>
      </c>
      <c r="AQ317" s="60">
        <f t="shared" si="295"/>
        <v>-33.912823163119626</v>
      </c>
      <c r="AR317" t="str">
        <f t="shared" si="271"/>
        <v>-1,36472945891784</v>
      </c>
      <c r="AS317" t="str">
        <f t="shared" si="272"/>
        <v>1+1,37987872948813i</v>
      </c>
      <c r="AT317">
        <f t="shared" si="296"/>
        <v>1.7041318341295593</v>
      </c>
      <c r="AU317">
        <f t="shared" si="297"/>
        <v>0.94368390773298083</v>
      </c>
      <c r="AV317" t="str">
        <f t="shared" si="273"/>
        <v>1+1,37987872948813i</v>
      </c>
      <c r="AW317">
        <f t="shared" si="298"/>
        <v>1.7041318341295593</v>
      </c>
      <c r="AX317">
        <f t="shared" si="299"/>
        <v>0.94368390773298083</v>
      </c>
      <c r="AY317" t="str">
        <f t="shared" si="274"/>
        <v>1-0,0108705204881043i</v>
      </c>
      <c r="AZ317">
        <f t="shared" si="300"/>
        <v>1.0000590823624784</v>
      </c>
      <c r="BA317">
        <f t="shared" si="301"/>
        <v>-1.0870092335123795E-2</v>
      </c>
      <c r="BB317" s="58" t="str">
        <f t="shared" si="302"/>
        <v>-0,462888528466476+0,653565354098837i</v>
      </c>
      <c r="BC317">
        <f t="shared" si="303"/>
        <v>-1.9286192942163336</v>
      </c>
      <c r="BD317" s="60">
        <f t="shared" si="304"/>
        <v>125.30808447876711</v>
      </c>
      <c r="BE317" s="58" t="str">
        <f t="shared" si="305"/>
        <v>0,363779800064124+0,207678287399857i</v>
      </c>
      <c r="BF317" s="37">
        <f t="shared" si="306"/>
        <v>-7.5580698954035705</v>
      </c>
      <c r="BG317" s="60">
        <f t="shared" si="307"/>
        <v>29.721618249330426</v>
      </c>
      <c r="BH317" s="58" t="str">
        <f t="shared" si="308"/>
        <v>-0,0427747648336655+1,75617928443221i</v>
      </c>
      <c r="BI317" s="37">
        <f t="shared" si="309"/>
        <v>4.8939526867712582</v>
      </c>
      <c r="BJ317" s="60">
        <f t="shared" si="310"/>
        <v>91.395261315647474</v>
      </c>
      <c r="BK317">
        <f t="shared" si="311"/>
        <v>-7.5580698954035705</v>
      </c>
      <c r="BL317" s="60">
        <f t="shared" si="312"/>
        <v>29.721618249330426</v>
      </c>
      <c r="BN317">
        <f t="shared" si="313"/>
        <v>0</v>
      </c>
      <c r="BO317">
        <f t="shared" si="314"/>
        <v>0</v>
      </c>
    </row>
    <row r="318" spans="13:67" x14ac:dyDescent="0.25">
      <c r="M318" s="66">
        <v>100</v>
      </c>
      <c r="N318" s="36">
        <f t="shared" si="315"/>
        <v>10000</v>
      </c>
      <c r="O318" s="91" t="str">
        <f t="shared" si="263"/>
        <v>22,5</v>
      </c>
      <c r="P318" s="67" t="str">
        <f t="shared" si="264"/>
        <v>1+67,8584013175396i</v>
      </c>
      <c r="Q318" s="67">
        <f t="shared" si="275"/>
        <v>67.865769201949377</v>
      </c>
      <c r="R318" s="67">
        <f t="shared" si="276"/>
        <v>1.5560608246139414</v>
      </c>
      <c r="S318" s="67" t="str">
        <f t="shared" si="265"/>
        <v>1+1,88495559215388i</v>
      </c>
      <c r="T318" s="67">
        <f t="shared" si="277"/>
        <v>2.1337894892402542</v>
      </c>
      <c r="U318" s="67">
        <f t="shared" si="278"/>
        <v>1.0830346193361864</v>
      </c>
      <c r="V318" t="str">
        <f t="shared" si="266"/>
        <v>1-0,392699081698724i</v>
      </c>
      <c r="W318" s="67">
        <f t="shared" si="279"/>
        <v>1.0743428543844935</v>
      </c>
      <c r="X318" s="67">
        <f t="shared" si="280"/>
        <v>-0.37419668052268479</v>
      </c>
      <c r="Y318" t="str">
        <f t="shared" si="267"/>
        <v>0,9936+1,08908545324446i</v>
      </c>
      <c r="Z318" s="67">
        <f t="shared" si="281"/>
        <v>1.4742279621784045</v>
      </c>
      <c r="AA318" s="67">
        <f t="shared" si="282"/>
        <v>0.83121335586548351</v>
      </c>
      <c r="AB318" s="92" t="str">
        <f t="shared" si="283"/>
        <v>-0,0553854823725065-0,512555326828426i</v>
      </c>
      <c r="AC318" s="37">
        <f t="shared" si="284"/>
        <v>-5.7547686184595506</v>
      </c>
      <c r="AD318" s="60">
        <f t="shared" si="285"/>
        <v>-96.167312829257284</v>
      </c>
      <c r="AE318" t="str">
        <f t="shared" si="286"/>
        <v>34,4450883806789</v>
      </c>
      <c r="AF318" t="str">
        <f t="shared" si="268"/>
        <v>1+33,9292006587698i</v>
      </c>
      <c r="AG318">
        <f t="shared" si="287"/>
        <v>33.943934028675358</v>
      </c>
      <c r="AH318">
        <f t="shared" si="288"/>
        <v>1.5413317188426929</v>
      </c>
      <c r="AI318" t="str">
        <f t="shared" si="269"/>
        <v>1+1,88495559215388i</v>
      </c>
      <c r="AJ318">
        <f t="shared" si="289"/>
        <v>2.1337894892402542</v>
      </c>
      <c r="AK318">
        <f t="shared" si="290"/>
        <v>1.0830346193361864</v>
      </c>
      <c r="AL318" t="str">
        <f t="shared" si="270"/>
        <v>1-0,128254983016186i</v>
      </c>
      <c r="AM318">
        <f t="shared" si="291"/>
        <v>1.0081911230855398</v>
      </c>
      <c r="AN318">
        <f t="shared" si="292"/>
        <v>-0.12755860652748</v>
      </c>
      <c r="AO318" s="58" t="str">
        <f t="shared" si="293"/>
        <v>1,81898573927339-1,20702440310736i</v>
      </c>
      <c r="AP318">
        <f t="shared" si="294"/>
        <v>6.7811913899424034</v>
      </c>
      <c r="AQ318" s="60">
        <f t="shared" si="295"/>
        <v>-33.567059359404581</v>
      </c>
      <c r="AR318" t="str">
        <f t="shared" si="271"/>
        <v>-1,36472945891784</v>
      </c>
      <c r="AS318" t="str">
        <f t="shared" si="272"/>
        <v>1+1,41202023408247i</v>
      </c>
      <c r="AT318">
        <f t="shared" si="296"/>
        <v>1.7302604259065493</v>
      </c>
      <c r="AU318">
        <f t="shared" si="297"/>
        <v>0.95458475211572846</v>
      </c>
      <c r="AV318" t="str">
        <f t="shared" si="273"/>
        <v>1+1,41202023408247i</v>
      </c>
      <c r="AW318">
        <f t="shared" si="298"/>
        <v>1.7302604259065493</v>
      </c>
      <c r="AX318">
        <f t="shared" si="299"/>
        <v>0.95458475211572846</v>
      </c>
      <c r="AY318" t="str">
        <f t="shared" si="274"/>
        <v>1-0,0106230772321383i</v>
      </c>
      <c r="AZ318">
        <f t="shared" si="300"/>
        <v>1.0000564232931459</v>
      </c>
      <c r="BA318">
        <f t="shared" si="301"/>
        <v>-1.0622677655252892E-2</v>
      </c>
      <c r="BB318" s="58" t="str">
        <f t="shared" si="302"/>
        <v>-0,449013963692749+0,648514428562791i</v>
      </c>
      <c r="BC318">
        <f t="shared" si="303"/>
        <v>-2.0608080978981889</v>
      </c>
      <c r="BD318" s="60">
        <f t="shared" si="304"/>
        <v>124.69768791945299</v>
      </c>
      <c r="BE318" s="58" t="str">
        <f t="shared" si="305"/>
        <v>0,357268379856065+0,194226214459583i</v>
      </c>
      <c r="BF318" s="37">
        <f t="shared" si="306"/>
        <v>-7.8155767163577501</v>
      </c>
      <c r="BG318" s="60">
        <f t="shared" si="307"/>
        <v>28.530375090195658</v>
      </c>
      <c r="BH318" s="58" t="str">
        <f t="shared" si="308"/>
        <v>-0,0339772556492166+1,72160930878186i</v>
      </c>
      <c r="BI318" s="37">
        <f t="shared" si="309"/>
        <v>4.7203832920442199</v>
      </c>
      <c r="BJ318" s="60">
        <f t="shared" si="310"/>
        <v>91.130628560048393</v>
      </c>
      <c r="BK318">
        <f t="shared" si="311"/>
        <v>-7.8155767163577501</v>
      </c>
      <c r="BL318" s="60">
        <f t="shared" si="312"/>
        <v>28.530375090195658</v>
      </c>
      <c r="BN318">
        <f t="shared" si="313"/>
        <v>0</v>
      </c>
      <c r="BO318">
        <f t="shared" si="314"/>
        <v>0</v>
      </c>
    </row>
    <row r="319" spans="13:67" x14ac:dyDescent="0.25">
      <c r="M319" s="66">
        <v>1</v>
      </c>
      <c r="N319" s="36">
        <f>10^(4+(M319/100))</f>
        <v>10232.929922807549</v>
      </c>
      <c r="O319" s="91" t="str">
        <f t="shared" si="263"/>
        <v>22,5</v>
      </c>
      <c r="P319" s="67" t="str">
        <f t="shared" si="264"/>
        <v>1+69,4390265356133i</v>
      </c>
      <c r="Q319" s="67">
        <f t="shared" si="275"/>
        <v>69.446226724089257</v>
      </c>
      <c r="R319" s="67">
        <f t="shared" si="276"/>
        <v>1.5563961986867967</v>
      </c>
      <c r="S319" s="67" t="str">
        <f t="shared" si="265"/>
        <v>1+1,92886184821148i</v>
      </c>
      <c r="T319" s="67">
        <f t="shared" si="277"/>
        <v>2.1726730148565401</v>
      </c>
      <c r="U319" s="67">
        <f t="shared" si="278"/>
        <v>1.0925054256807478</v>
      </c>
      <c r="V319" t="str">
        <f t="shared" si="266"/>
        <v>1-0,401846218377392i</v>
      </c>
      <c r="W319" s="67">
        <f t="shared" si="279"/>
        <v>1.077719992959308</v>
      </c>
      <c r="X319" s="67">
        <f t="shared" si="280"/>
        <v>-0.38209693074750217</v>
      </c>
      <c r="Y319" t="str">
        <f t="shared" si="267"/>
        <v>0,993298377292474+1,11445351229997i</v>
      </c>
      <c r="Z319" s="67">
        <f t="shared" si="281"/>
        <v>1.4928658002009427</v>
      </c>
      <c r="AA319" s="67">
        <f t="shared" si="282"/>
        <v>0.84281572088616163</v>
      </c>
      <c r="AB319" s="92" t="str">
        <f t="shared" si="283"/>
        <v>-0,0598291858180243-0,504640891365878i</v>
      </c>
      <c r="AC319" s="37">
        <f t="shared" si="284"/>
        <v>-5.8797318954428812</v>
      </c>
      <c r="AD319" s="60">
        <f t="shared" si="285"/>
        <v>-96.761308659095278</v>
      </c>
      <c r="AE319" t="str">
        <f t="shared" si="286"/>
        <v>34,4450883806789</v>
      </c>
      <c r="AF319" t="str">
        <f t="shared" si="268"/>
        <v>1+34,7195132678067i</v>
      </c>
      <c r="AG319">
        <f t="shared" si="287"/>
        <v>34.733911405907129</v>
      </c>
      <c r="AH319">
        <f t="shared" si="288"/>
        <v>1.542002040230495</v>
      </c>
      <c r="AI319" t="str">
        <f t="shared" si="269"/>
        <v>1+1,92886184821148i</v>
      </c>
      <c r="AJ319">
        <f t="shared" si="289"/>
        <v>2.1726730148565401</v>
      </c>
      <c r="AK319">
        <f t="shared" si="290"/>
        <v>1.0925054256807478</v>
      </c>
      <c r="AL319" t="str">
        <f t="shared" si="270"/>
        <v>1-0,131242425345551i</v>
      </c>
      <c r="AM319">
        <f t="shared" si="291"/>
        <v>1.0085755173563269</v>
      </c>
      <c r="AN319">
        <f t="shared" si="292"/>
        <v>-0.13049658672417391</v>
      </c>
      <c r="AO319" s="58" t="str">
        <f t="shared" si="293"/>
        <v>1,8177112333043-1,1908893863081i</v>
      </c>
      <c r="AP319">
        <f t="shared" si="294"/>
        <v>6.741528064599108</v>
      </c>
      <c r="AQ319" s="60">
        <f t="shared" si="295"/>
        <v>-33.231162579277303</v>
      </c>
      <c r="AR319" t="str">
        <f t="shared" si="271"/>
        <v>-1,36472945891784</v>
      </c>
      <c r="AS319" t="str">
        <f t="shared" si="272"/>
        <v>1+1,44491041049522i</v>
      </c>
      <c r="AT319">
        <f t="shared" si="296"/>
        <v>1.7572040559813946</v>
      </c>
      <c r="AU319">
        <f t="shared" si="297"/>
        <v>0.96540260327340854</v>
      </c>
      <c r="AV319" t="str">
        <f t="shared" si="273"/>
        <v>1+1,44491041049522i</v>
      </c>
      <c r="AW319">
        <f t="shared" si="298"/>
        <v>1.7572040559813946</v>
      </c>
      <c r="AX319">
        <f t="shared" si="299"/>
        <v>0.96540260327340854</v>
      </c>
      <c r="AY319" t="str">
        <f t="shared" si="274"/>
        <v>1-0,0103812664723337i</v>
      </c>
      <c r="AZ319">
        <f t="shared" si="300"/>
        <v>1.0000538838950477</v>
      </c>
      <c r="BA319">
        <f t="shared" si="301"/>
        <v>-1.0380893564350582E-2</v>
      </c>
      <c r="BB319" s="58" t="str">
        <f t="shared" si="302"/>
        <v>-0,435349853569074+0,643209155805194i</v>
      </c>
      <c r="BC319">
        <f t="shared" si="303"/>
        <v>-2.1950445979296354</v>
      </c>
      <c r="BD319" s="60">
        <f t="shared" si="304"/>
        <v>124.09172391267931</v>
      </c>
      <c r="BE319" s="58" t="str">
        <f t="shared" si="305"/>
        <v>0,350636269005261+0,181212658058578i</v>
      </c>
      <c r="BF319" s="37">
        <f t="shared" si="306"/>
        <v>-8.0747764933725144</v>
      </c>
      <c r="BG319" s="60">
        <f t="shared" si="307"/>
        <v>27.330415253583954</v>
      </c>
      <c r="BH319" s="58" t="str">
        <f t="shared" si="308"/>
        <v>-0,0253493624252893+1,68762202781747i</v>
      </c>
      <c r="BI319" s="37">
        <f t="shared" si="309"/>
        <v>4.5464834666694607</v>
      </c>
      <c r="BJ319" s="60">
        <f t="shared" si="310"/>
        <v>90.860561333402018</v>
      </c>
      <c r="BK319">
        <f t="shared" si="311"/>
        <v>-8.0747764933725144</v>
      </c>
      <c r="BL319" s="60">
        <f t="shared" si="312"/>
        <v>27.330415253583954</v>
      </c>
      <c r="BN319">
        <f t="shared" si="313"/>
        <v>0</v>
      </c>
      <c r="BO319">
        <f t="shared" si="314"/>
        <v>0</v>
      </c>
    </row>
    <row r="320" spans="13:67" x14ac:dyDescent="0.25">
      <c r="M320" s="66">
        <v>2</v>
      </c>
      <c r="N320" s="36">
        <f t="shared" ref="N320:N383" si="316">10^(4+(M320/100))</f>
        <v>10471.285480509003</v>
      </c>
      <c r="O320" s="91" t="str">
        <f t="shared" si="263"/>
        <v>22,5</v>
      </c>
      <c r="P320" s="67" t="str">
        <f t="shared" si="264"/>
        <v>1+71,0564692446905i</v>
      </c>
      <c r="Q320" s="67">
        <f t="shared" si="275"/>
        <v>71.063505553284159</v>
      </c>
      <c r="R320" s="67">
        <f t="shared" si="276"/>
        <v>1.5567239418440995</v>
      </c>
      <c r="S320" s="67" t="str">
        <f t="shared" si="265"/>
        <v>1+1,97379081235251i</v>
      </c>
      <c r="T320" s="67">
        <f t="shared" si="277"/>
        <v>2.2126568127315136</v>
      </c>
      <c r="U320" s="67">
        <f t="shared" si="278"/>
        <v>1.1018513938735395</v>
      </c>
      <c r="V320" t="str">
        <f t="shared" si="266"/>
        <v>1-0,411206419240107i</v>
      </c>
      <c r="W320" s="67">
        <f t="shared" si="279"/>
        <v>1.0812449857568223</v>
      </c>
      <c r="X320" s="67">
        <f t="shared" si="280"/>
        <v>-0.39012959829246485</v>
      </c>
      <c r="Y320" t="str">
        <f t="shared" si="267"/>
        <v>0,992982539544684+1,14041246935923i</v>
      </c>
      <c r="Z320" s="67">
        <f t="shared" si="281"/>
        <v>1.5121358814969728</v>
      </c>
      <c r="AA320" s="67">
        <f t="shared" si="282"/>
        <v>0.85439425186145879</v>
      </c>
      <c r="AB320" s="92" t="str">
        <f t="shared" si="283"/>
        <v>-0,0642431352542143-0,496800608186607i</v>
      </c>
      <c r="AC320" s="37">
        <f t="shared" si="284"/>
        <v>-6.004335249124038</v>
      </c>
      <c r="AD320" s="60">
        <f t="shared" si="285"/>
        <v>-97.368241332266663</v>
      </c>
      <c r="AE320" t="str">
        <f t="shared" si="286"/>
        <v>34,4450883806789</v>
      </c>
      <c r="AF320" t="str">
        <f t="shared" si="268"/>
        <v>1+35,5282346223453i</v>
      </c>
      <c r="AG320">
        <f t="shared" si="287"/>
        <v>35.542305150066099</v>
      </c>
      <c r="AH320">
        <f t="shared" si="288"/>
        <v>1.5426571282524328</v>
      </c>
      <c r="AI320" t="str">
        <f t="shared" si="269"/>
        <v>1+1,97379081235251i</v>
      </c>
      <c r="AJ320">
        <f t="shared" si="289"/>
        <v>2.2126568127315136</v>
      </c>
      <c r="AK320">
        <f t="shared" si="290"/>
        <v>1.1018513938735395</v>
      </c>
      <c r="AL320" t="str">
        <f t="shared" si="270"/>
        <v>1-0,134299454146032i</v>
      </c>
      <c r="AM320">
        <f t="shared" si="291"/>
        <v>1.0089778706116017</v>
      </c>
      <c r="AN320">
        <f t="shared" si="292"/>
        <v>-0.13350065722463433</v>
      </c>
      <c r="AO320" s="58" t="str">
        <f t="shared" si="293"/>
        <v>1,81649399659646-1,17538249224363i</v>
      </c>
      <c r="AP320">
        <f t="shared" si="294"/>
        <v>6.7035482529951116</v>
      </c>
      <c r="AQ320" s="60">
        <f t="shared" si="295"/>
        <v>-32.905332386269627</v>
      </c>
      <c r="AR320" t="str">
        <f t="shared" si="271"/>
        <v>-1,36472945891784</v>
      </c>
      <c r="AS320" t="str">
        <f t="shared" si="272"/>
        <v>1+1,47856669753327i</v>
      </c>
      <c r="AT320">
        <f t="shared" si="296"/>
        <v>1.7849816466996069</v>
      </c>
      <c r="AU320">
        <f t="shared" si="297"/>
        <v>0.97613306933260058</v>
      </c>
      <c r="AV320" t="str">
        <f t="shared" si="273"/>
        <v>1+1,47856669753327i</v>
      </c>
      <c r="AW320">
        <f t="shared" si="298"/>
        <v>1.7849816466996069</v>
      </c>
      <c r="AX320">
        <f t="shared" si="299"/>
        <v>0.97613306933260058</v>
      </c>
      <c r="AY320" t="str">
        <f t="shared" si="274"/>
        <v>1-0,0101449599974251i</v>
      </c>
      <c r="AZ320">
        <f t="shared" si="300"/>
        <v>1.0000514587826714</v>
      </c>
      <c r="BA320">
        <f t="shared" si="301"/>
        <v>-1.0144611978433308E-2</v>
      </c>
      <c r="BB320" s="58" t="str">
        <f t="shared" si="302"/>
        <v>-0,421905596964346+0,637660690942405i</v>
      </c>
      <c r="BC320">
        <f t="shared" si="303"/>
        <v>-2.3312968209311773</v>
      </c>
      <c r="BD320" s="60">
        <f t="shared" si="304"/>
        <v>123.49045143292894</v>
      </c>
      <c r="BE320" s="58" t="str">
        <f t="shared" si="305"/>
        <v>0,343894757407169+0,168637635154712i</v>
      </c>
      <c r="BF320" s="37">
        <f t="shared" si="306"/>
        <v>-8.3356320700552207</v>
      </c>
      <c r="BG320" s="60">
        <f t="shared" si="307"/>
        <v>26.122210100662301</v>
      </c>
      <c r="BH320" s="58" t="str">
        <f t="shared" si="308"/>
        <v>-0,016893771890501+1,65420726901392i</v>
      </c>
      <c r="BI320" s="37">
        <f t="shared" si="309"/>
        <v>4.3722514320639396</v>
      </c>
      <c r="BJ320" s="60">
        <f t="shared" si="310"/>
        <v>90.585119046659301</v>
      </c>
      <c r="BK320">
        <f t="shared" si="311"/>
        <v>-8.3356320700552207</v>
      </c>
      <c r="BL320" s="60">
        <f t="shared" si="312"/>
        <v>26.122210100662301</v>
      </c>
      <c r="BN320">
        <f t="shared" si="313"/>
        <v>0</v>
      </c>
      <c r="BO320">
        <f t="shared" si="314"/>
        <v>0</v>
      </c>
    </row>
    <row r="321" spans="13:67" x14ac:dyDescent="0.25">
      <c r="M321" s="66">
        <v>3</v>
      </c>
      <c r="N321" s="36">
        <f t="shared" si="316"/>
        <v>10715.193052376071</v>
      </c>
      <c r="O321" s="91" t="str">
        <f t="shared" si="263"/>
        <v>22,5</v>
      </c>
      <c r="P321" s="67" t="str">
        <f t="shared" si="264"/>
        <v>1+72,7115870343047i</v>
      </c>
      <c r="Q321" s="67">
        <f t="shared" si="275"/>
        <v>72.718463192281973</v>
      </c>
      <c r="R321" s="67">
        <f t="shared" si="276"/>
        <v>1.5570442275778105</v>
      </c>
      <c r="S321" s="67" t="str">
        <f t="shared" si="265"/>
        <v>1+2,01976630650847i</v>
      </c>
      <c r="T321" s="67">
        <f t="shared" si="277"/>
        <v>2.2537648353159798</v>
      </c>
      <c r="U321" s="67">
        <f t="shared" si="278"/>
        <v>1.1110709476247769</v>
      </c>
      <c r="V321" t="str">
        <f t="shared" si="266"/>
        <v>1-0,420784647189263i</v>
      </c>
      <c r="W321" s="67">
        <f t="shared" si="279"/>
        <v>1.0849238311099045</v>
      </c>
      <c r="X321" s="67">
        <f t="shared" si="280"/>
        <v>-0.3982947947580624</v>
      </c>
      <c r="Y321" t="str">
        <f t="shared" si="267"/>
        <v>0,99265181682242+1,16697608820489i</v>
      </c>
      <c r="Z321" s="67">
        <f t="shared" si="281"/>
        <v>1.5320544441640573</v>
      </c>
      <c r="AA321" s="67">
        <f t="shared" si="282"/>
        <v>0.8659431184758376</v>
      </c>
      <c r="AB321" s="92" t="str">
        <f t="shared" si="283"/>
        <v>-0,068623487827524-0,489031852707019i</v>
      </c>
      <c r="AC321" s="37">
        <f t="shared" si="284"/>
        <v>-6.128570511579845</v>
      </c>
      <c r="AD321" s="60">
        <f t="shared" si="285"/>
        <v>-97.987883445643959</v>
      </c>
      <c r="AE321" t="str">
        <f t="shared" si="286"/>
        <v>34,4450883806789</v>
      </c>
      <c r="AF321" t="str">
        <f t="shared" si="268"/>
        <v>1+36,3557935171524i</v>
      </c>
      <c r="AG321">
        <f t="shared" si="287"/>
        <v>36.369543883059904</v>
      </c>
      <c r="AH321">
        <f t="shared" si="288"/>
        <v>1.5432973279945619</v>
      </c>
      <c r="AI321" t="str">
        <f t="shared" si="269"/>
        <v>1+2,01976630650847i</v>
      </c>
      <c r="AJ321">
        <f t="shared" si="289"/>
        <v>2.2537648353159798</v>
      </c>
      <c r="AK321">
        <f t="shared" si="290"/>
        <v>1.1110709476247769</v>
      </c>
      <c r="AL321" t="str">
        <f t="shared" si="270"/>
        <v>1-0,137427690294765i</v>
      </c>
      <c r="AM321">
        <f t="shared" si="291"/>
        <v>1.009399014295018</v>
      </c>
      <c r="AN321">
        <f t="shared" si="292"/>
        <v>-0.1365721938315804</v>
      </c>
      <c r="AO321" s="58" t="str">
        <f t="shared" si="293"/>
        <v>1,8153314597782-1,16049571904132i</v>
      </c>
      <c r="AP321">
        <f t="shared" si="294"/>
        <v>6.6672184732034276</v>
      </c>
      <c r="AQ321" s="60">
        <f t="shared" si="295"/>
        <v>-32.589757694796994</v>
      </c>
      <c r="AR321" t="str">
        <f t="shared" si="271"/>
        <v>-1,36472945891784</v>
      </c>
      <c r="AS321" t="str">
        <f t="shared" si="272"/>
        <v>1+1,51300694020549i</v>
      </c>
      <c r="AT321">
        <f t="shared" si="296"/>
        <v>1.8136124175550794</v>
      </c>
      <c r="AU321">
        <f t="shared" si="297"/>
        <v>0.98677195544595642</v>
      </c>
      <c r="AV321" t="str">
        <f t="shared" si="273"/>
        <v>1+1,51300694020549i</v>
      </c>
      <c r="AW321">
        <f t="shared" si="298"/>
        <v>1.8136124175550794</v>
      </c>
      <c r="AX321">
        <f t="shared" si="299"/>
        <v>0.98677195544595642</v>
      </c>
      <c r="AY321" t="str">
        <f t="shared" si="274"/>
        <v>1-0,00991403251459162i</v>
      </c>
      <c r="AZ321">
        <f t="shared" si="300"/>
        <v>1.0000491428128422</v>
      </c>
      <c r="BA321">
        <f t="shared" si="301"/>
        <v>-9.9137077234681559E-3</v>
      </c>
      <c r="BB321" s="58" t="str">
        <f t="shared" si="302"/>
        <v>-0,408689834451775+0,631880528146301i</v>
      </c>
      <c r="BC321">
        <f t="shared" si="303"/>
        <v>-2.4695314493171101</v>
      </c>
      <c r="BD321" s="60">
        <f t="shared" si="304"/>
        <v>122.89411799919442</v>
      </c>
      <c r="BE321" s="58" t="str">
        <f t="shared" si="305"/>
        <v>0,337055427248609+0,156500501192779i</v>
      </c>
      <c r="BF321" s="37">
        <f t="shared" si="306"/>
        <v>-8.5981019608969689</v>
      </c>
      <c r="BG321" s="60">
        <f t="shared" si="307"/>
        <v>24.906234553550433</v>
      </c>
      <c r="BH321" s="58" t="str">
        <f t="shared" si="308"/>
        <v>-0,00861286591250088+1,62135540486224i</v>
      </c>
      <c r="BI321" s="37">
        <f t="shared" si="309"/>
        <v>4.1976870238863455</v>
      </c>
      <c r="BJ321" s="60">
        <f t="shared" si="310"/>
        <v>90.304360304397406</v>
      </c>
      <c r="BK321">
        <f t="shared" si="311"/>
        <v>-8.5981019608969689</v>
      </c>
      <c r="BL321" s="60">
        <f t="shared" si="312"/>
        <v>24.906234553550433</v>
      </c>
      <c r="BN321">
        <f t="shared" si="313"/>
        <v>0</v>
      </c>
      <c r="BO321">
        <f t="shared" si="314"/>
        <v>0</v>
      </c>
    </row>
    <row r="322" spans="13:67" x14ac:dyDescent="0.25">
      <c r="M322" s="66">
        <v>4</v>
      </c>
      <c r="N322" s="36">
        <f t="shared" si="316"/>
        <v>10964.781961431856</v>
      </c>
      <c r="O322" s="91" t="str">
        <f t="shared" si="263"/>
        <v>22,5</v>
      </c>
      <c r="P322" s="67" t="str">
        <f t="shared" si="264"/>
        <v>1+74,4052574698161i</v>
      </c>
      <c r="Q322" s="67">
        <f t="shared" si="275"/>
        <v>74.411977121627572</v>
      </c>
      <c r="R322" s="67">
        <f t="shared" si="276"/>
        <v>1.5573572254446677</v>
      </c>
      <c r="S322" s="67" t="str">
        <f t="shared" si="265"/>
        <v>1+2,06681270749489i</v>
      </c>
      <c r="T322" s="67">
        <f t="shared" si="277"/>
        <v>2.2960215085800826</v>
      </c>
      <c r="U322" s="67">
        <f t="shared" si="278"/>
        <v>1.1201627050186227</v>
      </c>
      <c r="V322" t="str">
        <f t="shared" si="266"/>
        <v>1-0,430585980728102i</v>
      </c>
      <c r="W322" s="67">
        <f t="shared" si="279"/>
        <v>1.0887627320952815</v>
      </c>
      <c r="X322" s="67">
        <f t="shared" si="280"/>
        <v>-0.40659249337264425</v>
      </c>
      <c r="Y322" t="str">
        <f t="shared" si="267"/>
        <v>0,992305507618449+1,19415845321927i</v>
      </c>
      <c r="Z322" s="67">
        <f t="shared" si="281"/>
        <v>1.5526379590377619</v>
      </c>
      <c r="AA322" s="67">
        <f t="shared" si="282"/>
        <v>0.87745657776897945</v>
      </c>
      <c r="AB322" s="92" t="str">
        <f t="shared" si="283"/>
        <v>-0,0729664808652783-0,481332322437352i</v>
      </c>
      <c r="AC322" s="37">
        <f t="shared" si="284"/>
        <v>-6.2524265309584699</v>
      </c>
      <c r="AD322" s="60">
        <f t="shared" si="285"/>
        <v>-98.619993310767114</v>
      </c>
      <c r="AE322" t="str">
        <f t="shared" si="286"/>
        <v>34,4450883806789</v>
      </c>
      <c r="AF322" t="str">
        <f t="shared" si="268"/>
        <v>1+37,2026287349081i</v>
      </c>
      <c r="AG322">
        <f t="shared" si="287"/>
        <v>37.216066218602556</v>
      </c>
      <c r="AH322">
        <f t="shared" si="288"/>
        <v>1.5439229767989413</v>
      </c>
      <c r="AI322" t="str">
        <f t="shared" si="269"/>
        <v>1+2,06681270749489i</v>
      </c>
      <c r="AJ322">
        <f t="shared" si="289"/>
        <v>2.2960215085800826</v>
      </c>
      <c r="AK322">
        <f t="shared" si="290"/>
        <v>1.1201627050186227</v>
      </c>
      <c r="AL322" t="str">
        <f t="shared" si="270"/>
        <v>1-0,140628792423963i</v>
      </c>
      <c r="AM322">
        <f t="shared" si="291"/>
        <v>1.0098398176238754</v>
      </c>
      <c r="AN322">
        <f t="shared" si="292"/>
        <v>-0.13971259316884493</v>
      </c>
      <c r="AO322" s="58" t="str">
        <f t="shared" si="293"/>
        <v>1,81422116840097-1,14622137897242i</v>
      </c>
      <c r="AP322">
        <f t="shared" si="294"/>
        <v>6.632505610329047</v>
      </c>
      <c r="AQ322" s="60">
        <f t="shared" si="295"/>
        <v>-32.284617031732111</v>
      </c>
      <c r="AR322" t="str">
        <f t="shared" si="271"/>
        <v>-1,36472945891784</v>
      </c>
      <c r="AS322" t="str">
        <f t="shared" si="272"/>
        <v>1+1,54824939918443i</v>
      </c>
      <c r="AT322">
        <f t="shared" si="296"/>
        <v>1.8431158949113722</v>
      </c>
      <c r="AU322">
        <f t="shared" si="297"/>
        <v>0.99731526903566536</v>
      </c>
      <c r="AV322" t="str">
        <f t="shared" si="273"/>
        <v>1+1,54824939918443i</v>
      </c>
      <c r="AW322">
        <f t="shared" si="298"/>
        <v>1.8431158949113722</v>
      </c>
      <c r="AX322">
        <f t="shared" si="299"/>
        <v>0.99731526903566536</v>
      </c>
      <c r="AY322" t="str">
        <f t="shared" si="274"/>
        <v>1-0,00968836158302507i</v>
      </c>
      <c r="AZ322">
        <f t="shared" si="300"/>
        <v>1.0000469310738189</v>
      </c>
      <c r="BA322">
        <f t="shared" si="301"/>
        <v>-9.6880584695077723E-3</v>
      </c>
      <c r="BB322" s="58" t="str">
        <f t="shared" si="302"/>
        <v>-0,395710439528261+0,625880442711638i</v>
      </c>
      <c r="BC322">
        <f t="shared" si="303"/>
        <v>-2.6097139349251557</v>
      </c>
      <c r="BD322" s="60">
        <f t="shared" si="304"/>
        <v>122.30295937832341</v>
      </c>
      <c r="BE322" s="58" t="str">
        <f t="shared" si="305"/>
        <v>0,330130085272541+0,144799931523773i</v>
      </c>
      <c r="BF322" s="37">
        <f t="shared" si="306"/>
        <v>-8.8621404658836092</v>
      </c>
      <c r="BG322" s="60">
        <f t="shared" si="307"/>
        <v>23.682966067556332</v>
      </c>
      <c r="BH322" s="58" t="str">
        <f t="shared" si="308"/>
        <v>-0,000508711832620579+1,58905731372549i</v>
      </c>
      <c r="BI322" s="37">
        <f t="shared" si="309"/>
        <v>4.0227916754038899</v>
      </c>
      <c r="BJ322" s="60">
        <f t="shared" si="310"/>
        <v>90.018342346591297</v>
      </c>
      <c r="BK322">
        <f t="shared" si="311"/>
        <v>-8.8621404658836092</v>
      </c>
      <c r="BL322" s="60">
        <f t="shared" si="312"/>
        <v>23.682966067556332</v>
      </c>
      <c r="BN322">
        <f t="shared" si="313"/>
        <v>0</v>
      </c>
      <c r="BO322">
        <f t="shared" si="314"/>
        <v>0</v>
      </c>
    </row>
    <row r="323" spans="13:67" x14ac:dyDescent="0.25">
      <c r="M323" s="66">
        <v>5</v>
      </c>
      <c r="N323" s="36">
        <f t="shared" si="316"/>
        <v>11220.184543019639</v>
      </c>
      <c r="O323" s="91" t="str">
        <f t="shared" si="263"/>
        <v>22,5</v>
      </c>
      <c r="P323" s="67" t="str">
        <f t="shared" si="264"/>
        <v>1+76,1383785577081i</v>
      </c>
      <c r="Q323" s="67">
        <f t="shared" si="275"/>
        <v>76.144945264914753</v>
      </c>
      <c r="R323" s="67">
        <f t="shared" si="276"/>
        <v>1.5576631011548328</v>
      </c>
      <c r="S323" s="67" t="str">
        <f t="shared" si="265"/>
        <v>1+2,11495495993634i</v>
      </c>
      <c r="T323" s="67">
        <f t="shared" si="277"/>
        <v>2.3394517482861934</v>
      </c>
      <c r="U323" s="67">
        <f t="shared" si="278"/>
        <v>1.1291254734560194</v>
      </c>
      <c r="V323" t="str">
        <f t="shared" si="266"/>
        <v>1-0,440615616653403i</v>
      </c>
      <c r="W323" s="67">
        <f t="shared" si="279"/>
        <v>1.0927681005770888</v>
      </c>
      <c r="X323" s="67">
        <f t="shared" si="280"/>
        <v>-0.41502252214234453</v>
      </c>
      <c r="Y323" t="str">
        <f t="shared" si="267"/>
        <v>0,991942877364517+1,2219739768521i</v>
      </c>
      <c r="Z323" s="67">
        <f t="shared" si="281"/>
        <v>1.5739031329970514</v>
      </c>
      <c r="AA323" s="67">
        <f t="shared" si="282"/>
        <v>0.88892898854030278</v>
      </c>
      <c r="AB323" s="92" t="str">
        <f t="shared" si="283"/>
        <v>-0,0772684489629325-0,47370002572559i</v>
      </c>
      <c r="AC323" s="37">
        <f t="shared" si="284"/>
        <v>-6.3758891906847257</v>
      </c>
      <c r="AD323" s="60">
        <f t="shared" si="285"/>
        <v>-99.264315681514134</v>
      </c>
      <c r="AE323" t="str">
        <f t="shared" si="286"/>
        <v>34,4450883806789</v>
      </c>
      <c r="AF323" t="str">
        <f t="shared" si="268"/>
        <v>1+38,0691892788541i</v>
      </c>
      <c r="AG323">
        <f t="shared" si="287"/>
        <v>38.082320994776822</v>
      </c>
      <c r="AH323">
        <f t="shared" si="288"/>
        <v>1.5445344044325136</v>
      </c>
      <c r="AI323" t="str">
        <f t="shared" si="269"/>
        <v>1+2,11495495993634i</v>
      </c>
      <c r="AJ323">
        <f t="shared" si="289"/>
        <v>2.3394517482861934</v>
      </c>
      <c r="AK323">
        <f t="shared" si="290"/>
        <v>1.1291254734560194</v>
      </c>
      <c r="AL323" t="str">
        <f t="shared" si="270"/>
        <v>1-0,143904457800346i</v>
      </c>
      <c r="AM323">
        <f t="shared" si="291"/>
        <v>1.010301189237552</v>
      </c>
      <c r="AN323">
        <f t="shared" si="292"/>
        <v>-0.14292327241995001</v>
      </c>
      <c r="AO323" s="58" t="str">
        <f t="shared" si="293"/>
        <v>1,81316077783003-1,13255209534982i</v>
      </c>
      <c r="AP323">
        <f t="shared" si="294"/>
        <v>6.5993770091026622</v>
      </c>
      <c r="AQ323" s="60">
        <f t="shared" si="295"/>
        <v>-31.990078820856034</v>
      </c>
      <c r="AR323" t="str">
        <f t="shared" si="271"/>
        <v>-1,36472945891784</v>
      </c>
      <c r="AS323" t="str">
        <f t="shared" si="272"/>
        <v>1+1,58431276048831i</v>
      </c>
      <c r="AT323">
        <f t="shared" si="296"/>
        <v>1.8735119223122361</v>
      </c>
      <c r="AU323">
        <f t="shared" si="297"/>
        <v>1.0077592240512112</v>
      </c>
      <c r="AV323" t="str">
        <f t="shared" si="273"/>
        <v>1+1,58431276048831i</v>
      </c>
      <c r="AW323">
        <f t="shared" si="298"/>
        <v>1.8735119223122361</v>
      </c>
      <c r="AX323">
        <f t="shared" si="299"/>
        <v>1.0077592240512112</v>
      </c>
      <c r="AY323" t="str">
        <f t="shared" si="274"/>
        <v>1-0,00946782754901045i</v>
      </c>
      <c r="AZ323">
        <f t="shared" si="300"/>
        <v>1.0000448188748832</v>
      </c>
      <c r="BA323">
        <f t="shared" si="301"/>
        <v>-9.4675446662998188E-3</v>
      </c>
      <c r="BB323" s="58" t="str">
        <f t="shared" si="302"/>
        <v>-0,382974514730275+0,619672433797082i</v>
      </c>
      <c r="BC323">
        <f t="shared" si="303"/>
        <v>-2.751808613581467</v>
      </c>
      <c r="BD323" s="60">
        <f t="shared" si="304"/>
        <v>121.71719934475625</v>
      </c>
      <c r="BE323" s="58" t="str">
        <f t="shared" si="305"/>
        <v>0,323130694576657+0,133533909655391i</v>
      </c>
      <c r="BF323" s="37">
        <f t="shared" si="306"/>
        <v>-9.1276978042661838</v>
      </c>
      <c r="BG323" s="60">
        <f t="shared" si="307"/>
        <v>22.452883663242179</v>
      </c>
      <c r="BH323" s="58" t="str">
        <f t="shared" si="308"/>
        <v>0,00741694430998419+1,5573043411867i</v>
      </c>
      <c r="BI323" s="37">
        <f t="shared" si="309"/>
        <v>3.8475683955212041</v>
      </c>
      <c r="BJ323" s="60">
        <f t="shared" si="310"/>
        <v>89.72712052390024</v>
      </c>
      <c r="BK323">
        <f t="shared" si="311"/>
        <v>-9.1276978042661838</v>
      </c>
      <c r="BL323" s="60">
        <f t="shared" si="312"/>
        <v>22.452883663242179</v>
      </c>
      <c r="BN323">
        <f t="shared" si="313"/>
        <v>0</v>
      </c>
      <c r="BO323">
        <f t="shared" si="314"/>
        <v>0</v>
      </c>
    </row>
    <row r="324" spans="13:67" x14ac:dyDescent="0.25">
      <c r="M324" s="66">
        <v>6</v>
      </c>
      <c r="N324" s="36">
        <f t="shared" si="316"/>
        <v>11481.536214968832</v>
      </c>
      <c r="O324" s="91" t="str">
        <f t="shared" si="263"/>
        <v>22,5</v>
      </c>
      <c r="P324" s="67" t="str">
        <f t="shared" si="264"/>
        <v>1+77,9118692217219i</v>
      </c>
      <c r="Q324" s="67">
        <f t="shared" si="275"/>
        <v>77.918286464877411</v>
      </c>
      <c r="R324" s="67">
        <f t="shared" si="276"/>
        <v>1.557962016658583</v>
      </c>
      <c r="S324" s="67" t="str">
        <f t="shared" si="265"/>
        <v>1+2,16421858949228i</v>
      </c>
      <c r="T324" s="67">
        <f t="shared" si="277"/>
        <v>2.3840809766247357</v>
      </c>
      <c r="U324" s="67">
        <f t="shared" si="278"/>
        <v>1.1379582442000997</v>
      </c>
      <c r="V324" t="str">
        <f t="shared" si="266"/>
        <v>1-0,450878872810891i</v>
      </c>
      <c r="W324" s="67">
        <f t="shared" si="279"/>
        <v>1.0969465611173679</v>
      </c>
      <c r="X324" s="67">
        <f t="shared" si="280"/>
        <v>-0.42358455706454706</v>
      </c>
      <c r="Y324" t="str">
        <f t="shared" si="267"/>
        <v>0,991563156873239+1,2504374072622i</v>
      </c>
      <c r="Z324" s="67">
        <f t="shared" si="281"/>
        <v>1.5958669128561558</v>
      </c>
      <c r="AA324" s="67">
        <f t="shared" si="282"/>
        <v>0.90035482513362641</v>
      </c>
      <c r="AB324" s="92" t="str">
        <f t="shared" si="283"/>
        <v>-0,0815258400322472-0,466133269257811i</v>
      </c>
      <c r="AC324" s="37">
        <f t="shared" si="284"/>
        <v>-6.4989414466441922</v>
      </c>
      <c r="AD324" s="60">
        <f t="shared" si="285"/>
        <v>-99.920582472556958</v>
      </c>
      <c r="AE324" t="str">
        <f t="shared" si="286"/>
        <v>34,4450883806789</v>
      </c>
      <c r="AF324" t="str">
        <f t="shared" si="268"/>
        <v>1+38,955934610861i</v>
      </c>
      <c r="AG324">
        <f t="shared" si="287"/>
        <v>38.968767512017592</v>
      </c>
      <c r="AH324">
        <f t="shared" si="288"/>
        <v>1.5451319332526285</v>
      </c>
      <c r="AI324" t="str">
        <f t="shared" si="269"/>
        <v>1+2,16421858949228i</v>
      </c>
      <c r="AJ324">
        <f t="shared" si="289"/>
        <v>2.3840809766247357</v>
      </c>
      <c r="AK324">
        <f t="shared" si="290"/>
        <v>1.1379582442000997</v>
      </c>
      <c r="AL324" t="str">
        <f t="shared" si="270"/>
        <v>1-0,147256423225056i</v>
      </c>
      <c r="AM324">
        <f t="shared" si="291"/>
        <v>1.0107840789115332</v>
      </c>
      <c r="AN324">
        <f t="shared" si="292"/>
        <v>-0.14620566901377663</v>
      </c>
      <c r="AO324" s="58" t="str">
        <f t="shared" si="293"/>
        <v>1,81214804835935-1,1194807995262i</v>
      </c>
      <c r="AP324">
        <f t="shared" si="294"/>
        <v>6.567800561956747</v>
      </c>
      <c r="AQ324" s="60">
        <f t="shared" si="295"/>
        <v>-31.706301686858044</v>
      </c>
      <c r="AR324" t="str">
        <f t="shared" si="271"/>
        <v>-1,36472945891784</v>
      </c>
      <c r="AS324" t="str">
        <f t="shared" si="272"/>
        <v>1+1,62121614538867i</v>
      </c>
      <c r="AT324">
        <f t="shared" si="296"/>
        <v>1.9048206713674902</v>
      </c>
      <c r="AU324">
        <f t="shared" si="297"/>
        <v>1.0181002442568106</v>
      </c>
      <c r="AV324" t="str">
        <f t="shared" si="273"/>
        <v>1+1,62121614538867i</v>
      </c>
      <c r="AW324">
        <f t="shared" si="298"/>
        <v>1.9048206713674902</v>
      </c>
      <c r="AX324">
        <f t="shared" si="299"/>
        <v>1.0181002442568106</v>
      </c>
      <c r="AY324" t="str">
        <f t="shared" si="274"/>
        <v>1-0,00925231348248384i</v>
      </c>
      <c r="AZ324">
        <f t="shared" si="300"/>
        <v>1.0000428017363947</v>
      </c>
      <c r="BA324">
        <f t="shared" si="301"/>
        <v>-9.2520494803385069E-3</v>
      </c>
      <c r="BB324" s="58" t="str">
        <f t="shared" si="302"/>
        <v>-0,370488392442363+0,613268668279341i</v>
      </c>
      <c r="BC324">
        <f t="shared" si="303"/>
        <v>-2.8957788198879619</v>
      </c>
      <c r="BD324" s="60">
        <f t="shared" si="304"/>
        <v>121.13704949577694</v>
      </c>
      <c r="BE324" s="58" t="str">
        <f t="shared" si="305"/>
        <v>0,316069306694494+0,122699722244299i</v>
      </c>
      <c r="BF324" s="37">
        <f t="shared" si="306"/>
        <v>-9.3947202665321434</v>
      </c>
      <c r="BG324" s="60">
        <f t="shared" si="307"/>
        <v>21.216467023219984</v>
      </c>
      <c r="BH324" s="58" t="str">
        <f t="shared" si="308"/>
        <v>0,0151626817855035+1,5260882621289i</v>
      </c>
      <c r="BI324" s="37">
        <f t="shared" si="309"/>
        <v>3.6720217420687966</v>
      </c>
      <c r="BJ324" s="60">
        <f t="shared" si="310"/>
        <v>89.430747808918895</v>
      </c>
      <c r="BK324">
        <f t="shared" si="311"/>
        <v>-9.3947202665321434</v>
      </c>
      <c r="BL324" s="60">
        <f t="shared" si="312"/>
        <v>21.216467023219984</v>
      </c>
      <c r="BN324">
        <f t="shared" si="313"/>
        <v>0</v>
      </c>
      <c r="BO324">
        <f t="shared" si="314"/>
        <v>0</v>
      </c>
    </row>
    <row r="325" spans="13:67" x14ac:dyDescent="0.25">
      <c r="M325" s="66">
        <v>7</v>
      </c>
      <c r="N325" s="36">
        <f t="shared" si="316"/>
        <v>11748.975549395318</v>
      </c>
      <c r="O325" s="91" t="str">
        <f t="shared" si="263"/>
        <v>22,5</v>
      </c>
      <c r="P325" s="67" t="str">
        <f t="shared" si="264"/>
        <v>1+79,7266697900827i</v>
      </c>
      <c r="Q325" s="67">
        <f t="shared" si="275"/>
        <v>79.73294097057304</v>
      </c>
      <c r="R325" s="67">
        <f t="shared" si="276"/>
        <v>1.5582541302310864</v>
      </c>
      <c r="S325" s="67" t="str">
        <f t="shared" si="265"/>
        <v>1+2,21462971639119i</v>
      </c>
      <c r="T325" s="67">
        <f t="shared" si="277"/>
        <v>2.4299351392008228</v>
      </c>
      <c r="U325" s="67">
        <f t="shared" si="278"/>
        <v>1.1466601865777428</v>
      </c>
      <c r="V325" t="str">
        <f t="shared" si="266"/>
        <v>1-0,461381190914831i</v>
      </c>
      <c r="W325" s="67">
        <f t="shared" si="279"/>
        <v>1.1013049547377818</v>
      </c>
      <c r="X325" s="67">
        <f t="shared" si="280"/>
        <v>-0.43227811544468675</v>
      </c>
      <c r="Y325" t="str">
        <f t="shared" si="267"/>
        <v>0,991165540706542+1,27956383613713i</v>
      </c>
      <c r="Z325" s="67">
        <f t="shared" si="281"/>
        <v>1.6185464898587436</v>
      </c>
      <c r="AA325" s="67">
        <f t="shared" si="282"/>
        <v>0.91172869052586747</v>
      </c>
      <c r="AB325" s="92" t="str">
        <f t="shared" si="283"/>
        <v>-0,0857352301987846-0,458630644434333i</v>
      </c>
      <c r="AC325" s="37">
        <f t="shared" si="284"/>
        <v>-6.6215633819689028</v>
      </c>
      <c r="AD325" s="60">
        <f t="shared" si="285"/>
        <v>-100.58851346345287</v>
      </c>
      <c r="AE325" t="str">
        <f t="shared" si="286"/>
        <v>34,4450883806789</v>
      </c>
      <c r="AF325" t="str">
        <f t="shared" si="268"/>
        <v>1+39,8633348950414i</v>
      </c>
      <c r="AG325">
        <f t="shared" si="287"/>
        <v>39.875875776642516</v>
      </c>
      <c r="AH325">
        <f t="shared" si="288"/>
        <v>1.5457158783692617</v>
      </c>
      <c r="AI325" t="str">
        <f t="shared" si="269"/>
        <v>1+2,21462971639119i</v>
      </c>
      <c r="AJ325">
        <f t="shared" si="289"/>
        <v>2.4299351392008228</v>
      </c>
      <c r="AK325">
        <f t="shared" si="290"/>
        <v>1.1466601865777428</v>
      </c>
      <c r="AL325" t="str">
        <f t="shared" si="270"/>
        <v>1-0,150686465954529i</v>
      </c>
      <c r="AM325">
        <f t="shared" si="291"/>
        <v>1.0112894793390592</v>
      </c>
      <c r="AN325">
        <f t="shared" si="292"/>
        <v>-0.14956124025348966</v>
      </c>
      <c r="AO325" s="58" t="str">
        <f t="shared" si="293"/>
        <v>1,81118084054158-1,10700072799518i</v>
      </c>
      <c r="AP325">
        <f t="shared" si="294"/>
        <v>6.5377447925138608</v>
      </c>
      <c r="AQ325" s="60">
        <f t="shared" si="295"/>
        <v>-31.43343477559452</v>
      </c>
      <c r="AR325" t="str">
        <f t="shared" si="271"/>
        <v>-1,36472945891784</v>
      </c>
      <c r="AS325" t="str">
        <f t="shared" si="272"/>
        <v>1+1,65897912054864i</v>
      </c>
      <c r="AT325">
        <f t="shared" si="296"/>
        <v>1.9370626531984811</v>
      </c>
      <c r="AU325">
        <f t="shared" si="297"/>
        <v>1.0283349655709821</v>
      </c>
      <c r="AV325" t="str">
        <f t="shared" si="273"/>
        <v>1+1,65897912054864i</v>
      </c>
      <c r="AW325">
        <f t="shared" si="298"/>
        <v>1.9370626531984811</v>
      </c>
      <c r="AX325">
        <f t="shared" si="299"/>
        <v>1.0283349655709821</v>
      </c>
      <c r="AY325" t="str">
        <f t="shared" si="274"/>
        <v>1-0,00904170511503447i</v>
      </c>
      <c r="AZ325">
        <f t="shared" si="300"/>
        <v>1.0000408753802952</v>
      </c>
      <c r="BA325">
        <f t="shared" si="301"/>
        <v>-9.0414587333273923E-3</v>
      </c>
      <c r="BB325" s="58" t="str">
        <f t="shared" si="302"/>
        <v>-0,358257640154805+0,606681426123185i</v>
      </c>
      <c r="BC325">
        <f t="shared" si="303"/>
        <v>-3.0415870015507322</v>
      </c>
      <c r="BD325" s="60">
        <f t="shared" si="304"/>
        <v>120.56270912099055</v>
      </c>
      <c r="BE325" s="58" t="str">
        <f t="shared" si="305"/>
        <v>0,308957994678362+0,112293960651723i</v>
      </c>
      <c r="BF325" s="37">
        <f t="shared" si="306"/>
        <v>-9.6631503835196426</v>
      </c>
      <c r="BG325" s="60">
        <f t="shared" si="307"/>
        <v>19.974195657537617</v>
      </c>
      <c r="BH325" s="58" t="str">
        <f t="shared" si="308"/>
        <v>0,0227274065534971+1,49540124376796i</v>
      </c>
      <c r="BI325" s="37">
        <f t="shared" si="309"/>
        <v>3.4961577909631352</v>
      </c>
      <c r="BJ325" s="60">
        <f t="shared" si="310"/>
        <v>89.129274345396041</v>
      </c>
      <c r="BK325">
        <f t="shared" si="311"/>
        <v>-9.6631503835196426</v>
      </c>
      <c r="BL325" s="60">
        <f t="shared" si="312"/>
        <v>19.974195657537617</v>
      </c>
      <c r="BN325">
        <f t="shared" si="313"/>
        <v>0</v>
      </c>
      <c r="BO325">
        <f t="shared" si="314"/>
        <v>0</v>
      </c>
    </row>
    <row r="326" spans="13:67" x14ac:dyDescent="0.25">
      <c r="M326" s="66">
        <v>8</v>
      </c>
      <c r="N326" s="36">
        <f t="shared" si="316"/>
        <v>12022.644346174151</v>
      </c>
      <c r="O326" s="91" t="str">
        <f t="shared" si="263"/>
        <v>22,5</v>
      </c>
      <c r="P326" s="67" t="str">
        <f t="shared" si="264"/>
        <v>1+81,5837424940733i</v>
      </c>
      <c r="Q326" s="67">
        <f t="shared" si="275"/>
        <v>81.589870935914973</v>
      </c>
      <c r="R326" s="67">
        <f t="shared" si="276"/>
        <v>1.5585395965553019</v>
      </c>
      <c r="S326" s="67" t="str">
        <f t="shared" si="265"/>
        <v>1+2,26621506927982i</v>
      </c>
      <c r="T326" s="67">
        <f t="shared" si="277"/>
        <v>2.4770407223602398</v>
      </c>
      <c r="U326" s="67">
        <f t="shared" si="278"/>
        <v>1.1552306418891436</v>
      </c>
      <c r="V326" t="str">
        <f t="shared" si="266"/>
        <v>1-0,472128139433294i</v>
      </c>
      <c r="W326" s="67">
        <f t="shared" si="279"/>
        <v>1.1058503425168995</v>
      </c>
      <c r="X326" s="67">
        <f t="shared" si="280"/>
        <v>-0.44110254935895665</v>
      </c>
      <c r="Y326" t="str">
        <f t="shared" si="267"/>
        <v>0,990749185467226+1,309368706695i</v>
      </c>
      <c r="Z326" s="67">
        <f t="shared" si="281"/>
        <v>1.6419593047868479</v>
      </c>
      <c r="AA326" s="67">
        <f t="shared" si="282"/>
        <v>0.92304532865146238</v>
      </c>
      <c r="AB326" s="92" t="str">
        <f t="shared" si="283"/>
        <v>-0,0898933374529542-0,451191012751433i</v>
      </c>
      <c r="AC326" s="37">
        <f t="shared" si="284"/>
        <v>-6.7437322789293406</v>
      </c>
      <c r="AD326" s="60">
        <f t="shared" si="285"/>
        <v>-101.26781698392793</v>
      </c>
      <c r="AE326" t="str">
        <f t="shared" si="286"/>
        <v>34,4450883806789</v>
      </c>
      <c r="AF326" t="str">
        <f t="shared" si="268"/>
        <v>1+40,7918712470367i</v>
      </c>
      <c r="AG326">
        <f t="shared" si="287"/>
        <v>40.804126750058252</v>
      </c>
      <c r="AH326">
        <f t="shared" si="288"/>
        <v>1.5462865478039662</v>
      </c>
      <c r="AI326" t="str">
        <f t="shared" si="269"/>
        <v>1+2,26621506927982i</v>
      </c>
      <c r="AJ326">
        <f t="shared" si="289"/>
        <v>2.4770407223602398</v>
      </c>
      <c r="AK326">
        <f t="shared" si="290"/>
        <v>1.1552306418891436</v>
      </c>
      <c r="AL326" t="str">
        <f t="shared" si="270"/>
        <v>1-0,154196404642821i</v>
      </c>
      <c r="AM326">
        <f t="shared" si="291"/>
        <v>1.0118184279823987</v>
      </c>
      <c r="AN326">
        <f t="shared" si="292"/>
        <v>-0.15299146288470056</v>
      </c>
      <c r="AO326" s="58" t="str">
        <f t="shared" si="293"/>
        <v>1,81025711072343-1,09510541959794i</v>
      </c>
      <c r="AP326">
        <f t="shared" si="294"/>
        <v>6.5091789344535265</v>
      </c>
      <c r="AQ326" s="60">
        <f t="shared" si="295"/>
        <v>-31.171618087409964</v>
      </c>
      <c r="AR326" t="str">
        <f t="shared" si="271"/>
        <v>-1,36472945891784</v>
      </c>
      <c r="AS326" t="str">
        <f t="shared" si="272"/>
        <v>1+1,69762170839751i</v>
      </c>
      <c r="AT326">
        <f t="shared" si="296"/>
        <v>1.9702587304266617</v>
      </c>
      <c r="AU326">
        <f t="shared" si="297"/>
        <v>1.038460237487435</v>
      </c>
      <c r="AV326" t="str">
        <f t="shared" si="273"/>
        <v>1+1,69762170839751i</v>
      </c>
      <c r="AW326">
        <f t="shared" si="298"/>
        <v>1.9702587304266617</v>
      </c>
      <c r="AX326">
        <f t="shared" si="299"/>
        <v>1.038460237487435</v>
      </c>
      <c r="AY326" t="str">
        <f t="shared" si="274"/>
        <v>1-0,00883589077931823i</v>
      </c>
      <c r="AZ326">
        <f t="shared" si="300"/>
        <v>1.0000390357210382</v>
      </c>
      <c r="BA326">
        <f t="shared" si="301"/>
        <v>-8.8356608420228685E-3</v>
      </c>
      <c r="BB326" s="58" t="str">
        <f t="shared" si="302"/>
        <v>-0,346287069893024+0,599923047630079i</v>
      </c>
      <c r="BC326">
        <f t="shared" si="303"/>
        <v>-3.1891948326091968</v>
      </c>
      <c r="BD326" s="60">
        <f t="shared" si="304"/>
        <v>119.99436512435992</v>
      </c>
      <c r="BE326" s="58" t="str">
        <f t="shared" si="305"/>
        <v>0,30180878786263+0,102312528801344i</v>
      </c>
      <c r="BF326" s="37">
        <f t="shared" si="306"/>
        <v>-9.932927111538536</v>
      </c>
      <c r="BG326" s="60">
        <f t="shared" si="307"/>
        <v>18.726548140431927</v>
      </c>
      <c r="BH326" s="58" t="str">
        <f t="shared" si="308"/>
        <v>0,0301103501759845+1,46523580983576i</v>
      </c>
      <c r="BI326" s="37">
        <f t="shared" si="309"/>
        <v>3.319984101844315</v>
      </c>
      <c r="BJ326" s="60">
        <f t="shared" si="310"/>
        <v>88.822747036949949</v>
      </c>
      <c r="BK326">
        <f t="shared" si="311"/>
        <v>-9.932927111538536</v>
      </c>
      <c r="BL326" s="60">
        <f t="shared" si="312"/>
        <v>18.726548140431927</v>
      </c>
      <c r="BN326">
        <f t="shared" si="313"/>
        <v>0</v>
      </c>
      <c r="BO326">
        <f t="shared" si="314"/>
        <v>0</v>
      </c>
    </row>
    <row r="327" spans="13:67" x14ac:dyDescent="0.25">
      <c r="M327" s="66">
        <v>9</v>
      </c>
      <c r="N327" s="36">
        <f t="shared" si="316"/>
        <v>12302.687708123816</v>
      </c>
      <c r="O327" s="91" t="str">
        <f t="shared" si="263"/>
        <v>22,5</v>
      </c>
      <c r="P327" s="67" t="str">
        <f t="shared" si="264"/>
        <v>1+83,4840719782227i</v>
      </c>
      <c r="Q327" s="67">
        <f t="shared" si="275"/>
        <v>83.490060929820061</v>
      </c>
      <c r="R327" s="67">
        <f t="shared" si="276"/>
        <v>1.558818566803043</v>
      </c>
      <c r="S327" s="67" t="str">
        <f t="shared" si="265"/>
        <v>1+2,31900199939508i</v>
      </c>
      <c r="T327" s="67">
        <f t="shared" si="277"/>
        <v>2.52542477084517</v>
      </c>
      <c r="U327" s="67">
        <f t="shared" si="278"/>
        <v>1.1636691170754603</v>
      </c>
      <c r="V327" t="str">
        <f t="shared" si="266"/>
        <v>1-0,483125416540641i</v>
      </c>
      <c r="W327" s="67">
        <f t="shared" si="279"/>
        <v>1.1105900090076302</v>
      </c>
      <c r="X327" s="67">
        <f t="shared" si="280"/>
        <v>-0.45005703930815205</v>
      </c>
      <c r="Y327" t="str">
        <f t="shared" si="267"/>
        <v>0,990313208010008+1,33986782187271i</v>
      </c>
      <c r="Z327" s="67">
        <f t="shared" si="281"/>
        <v>1.6661230536935119</v>
      </c>
      <c r="AA327" s="67">
        <f t="shared" si="282"/>
        <v>0.93429963590260012</v>
      </c>
      <c r="AB327" s="92" t="str">
        <f t="shared" si="283"/>
        <v>-0,0939970339755827-0,443813490326911i</v>
      </c>
      <c r="AC327" s="37">
        <f t="shared" si="284"/>
        <v>-6.8654227073220913</v>
      </c>
      <c r="AD327" s="60">
        <f t="shared" si="285"/>
        <v>-101.95819057664642</v>
      </c>
      <c r="AE327" t="str">
        <f t="shared" si="286"/>
        <v>34,4450883806789</v>
      </c>
      <c r="AF327" t="str">
        <f t="shared" si="268"/>
        <v>1+41,7420359891114i</v>
      </c>
      <c r="AG327">
        <f t="shared" si="287"/>
        <v>41.754012603775834</v>
      </c>
      <c r="AH327">
        <f t="shared" si="288"/>
        <v>1.5468442426456086</v>
      </c>
      <c r="AI327" t="str">
        <f t="shared" si="269"/>
        <v>1+2,31900199939508i</v>
      </c>
      <c r="AJ327">
        <f t="shared" si="289"/>
        <v>2.52542477084517</v>
      </c>
      <c r="AK327">
        <f t="shared" si="290"/>
        <v>1.1636691170754603</v>
      </c>
      <c r="AL327" t="str">
        <f t="shared" si="270"/>
        <v>1-0,157788100305886i</v>
      </c>
      <c r="AM327">
        <f t="shared" si="291"/>
        <v>1.0123720089957744</v>
      </c>
      <c r="AN327">
        <f t="shared" si="292"/>
        <v>-0.15649783259864397</v>
      </c>
      <c r="AO327" s="58" t="str">
        <f t="shared" si="293"/>
        <v>1,80937490677786-1,08378871283761i</v>
      </c>
      <c r="AP327">
        <f t="shared" si="294"/>
        <v>6.4820730057623095</v>
      </c>
      <c r="AQ327" s="60">
        <f t="shared" si="295"/>
        <v>-30.920982820412103</v>
      </c>
      <c r="AR327" t="str">
        <f t="shared" si="271"/>
        <v>-1,36472945891784</v>
      </c>
      <c r="AS327" t="str">
        <f t="shared" si="272"/>
        <v>1+1,73716439774685i</v>
      </c>
      <c r="AT327">
        <f t="shared" si="296"/>
        <v>2.004430129687532</v>
      </c>
      <c r="AU327">
        <f t="shared" si="297"/>
        <v>1.0484731236121545</v>
      </c>
      <c r="AV327" t="str">
        <f t="shared" si="273"/>
        <v>1+1,73716439774685i</v>
      </c>
      <c r="AW327">
        <f t="shared" si="298"/>
        <v>2.004430129687532</v>
      </c>
      <c r="AX327">
        <f t="shared" si="299"/>
        <v>1.0484731236121545</v>
      </c>
      <c r="AY327" t="str">
        <f t="shared" si="274"/>
        <v>1-0,00863476134985003i</v>
      </c>
      <c r="AZ327">
        <f t="shared" si="300"/>
        <v>1.0000372788569278</v>
      </c>
      <c r="BA327">
        <f t="shared" si="301"/>
        <v>-8.6345467594278243E-3</v>
      </c>
      <c r="BB327" s="58" t="str">
        <f t="shared" si="302"/>
        <v>-0,3345807515138+0,593005882886025i</v>
      </c>
      <c r="BC327">
        <f t="shared" si="303"/>
        <v>-3.3385633249665796</v>
      </c>
      <c r="BD327" s="60">
        <f t="shared" si="304"/>
        <v>119.43219199680171</v>
      </c>
      <c r="BE327" s="58" t="str">
        <f t="shared" si="305"/>
        <v>0,294633608935657+0,0927506570041824i</v>
      </c>
      <c r="BF327" s="37">
        <f t="shared" si="306"/>
        <v>-10.203986032288663</v>
      </c>
      <c r="BG327" s="60">
        <f t="shared" si="307"/>
        <v>17.474001420155258</v>
      </c>
      <c r="BH327" s="58" t="str">
        <f t="shared" si="308"/>
        <v>0,0373110664382272+1,43558480608901i</v>
      </c>
      <c r="BI327" s="37">
        <f t="shared" si="309"/>
        <v>3.1435096807957565</v>
      </c>
      <c r="BJ327" s="60">
        <f t="shared" si="310"/>
        <v>88.511209176389599</v>
      </c>
      <c r="BK327">
        <f t="shared" si="311"/>
        <v>-10.203986032288663</v>
      </c>
      <c r="BL327" s="60">
        <f t="shared" si="312"/>
        <v>17.474001420155258</v>
      </c>
      <c r="BN327">
        <f t="shared" si="313"/>
        <v>0</v>
      </c>
      <c r="BO327">
        <f t="shared" si="314"/>
        <v>0</v>
      </c>
    </row>
    <row r="328" spans="13:67" x14ac:dyDescent="0.25">
      <c r="M328" s="66">
        <v>10</v>
      </c>
      <c r="N328" s="36">
        <f t="shared" si="316"/>
        <v>12589.254117941671</v>
      </c>
      <c r="O328" s="91" t="str">
        <f t="shared" si="263"/>
        <v>22,5</v>
      </c>
      <c r="P328" s="67" t="str">
        <f t="shared" si="264"/>
        <v>1+85,4286658223773i</v>
      </c>
      <c r="Q328" s="67">
        <f t="shared" si="275"/>
        <v>85.434518458240376</v>
      </c>
      <c r="R328" s="67">
        <f t="shared" si="276"/>
        <v>1.5590911887142422</v>
      </c>
      <c r="S328" s="67" t="str">
        <f t="shared" si="265"/>
        <v>1+2,37301849506604i</v>
      </c>
      <c r="T328" s="67">
        <f t="shared" si="277"/>
        <v>2.5751149057712923</v>
      </c>
      <c r="U328" s="67">
        <f t="shared" si="278"/>
        <v>1.1719752781923602</v>
      </c>
      <c r="V328" t="str">
        <f t="shared" si="266"/>
        <v>1-0,494378853138758i</v>
      </c>
      <c r="W328" s="67">
        <f t="shared" si="279"/>
        <v>1.1155314654597572</v>
      </c>
      <c r="X328" s="67">
        <f t="shared" si="280"/>
        <v>-0.45914058811030489</v>
      </c>
      <c r="Y328" t="str">
        <f t="shared" si="267"/>
        <v>0,989856683568249+1,37107735270482i</v>
      </c>
      <c r="Z328" s="67">
        <f t="shared" si="281"/>
        <v>1.6910556942646182</v>
      </c>
      <c r="AA328" s="67">
        <f t="shared" si="282"/>
        <v>0.9454866717541297</v>
      </c>
      <c r="AB328" s="92" t="str">
        <f t="shared" si="283"/>
        <v>-0,0980433570763163-0,436497431713755i</v>
      </c>
      <c r="AC328" s="37">
        <f t="shared" si="284"/>
        <v>-6.9866066286394322</v>
      </c>
      <c r="AD328" s="60">
        <f t="shared" si="285"/>
        <v>-102.65932163452561</v>
      </c>
      <c r="AE328" t="str">
        <f t="shared" si="286"/>
        <v>34,4450883806789</v>
      </c>
      <c r="AF328" t="str">
        <f t="shared" si="268"/>
        <v>1+42,7143329111887i</v>
      </c>
      <c r="AG328">
        <f t="shared" si="287"/>
        <v>42.726036980368988</v>
      </c>
      <c r="AH328">
        <f t="shared" si="288"/>
        <v>1.5473892572029309</v>
      </c>
      <c r="AI328" t="str">
        <f t="shared" si="269"/>
        <v>1+2,37301849506604i</v>
      </c>
      <c r="AJ328">
        <f t="shared" si="289"/>
        <v>2.5751149057712923</v>
      </c>
      <c r="AK328">
        <f t="shared" si="290"/>
        <v>1.1719752781923602</v>
      </c>
      <c r="AL328" t="str">
        <f t="shared" si="270"/>
        <v>1-0,161463457308306i</v>
      </c>
      <c r="AM328">
        <f t="shared" si="291"/>
        <v>1.0129513552219331</v>
      </c>
      <c r="AN328">
        <f t="shared" si="292"/>
        <v>-0.16008186346593509</v>
      </c>
      <c r="AO328" s="58" t="str">
        <f t="shared" si="293"/>
        <v>1,80853236402456-1,07304474330329i</v>
      </c>
      <c r="AP328">
        <f t="shared" si="294"/>
        <v>6.4563978784026697</v>
      </c>
      <c r="AQ328" s="60">
        <f t="shared" si="295"/>
        <v>-30.681651720706117</v>
      </c>
      <c r="AR328" t="str">
        <f t="shared" si="271"/>
        <v>-1,36472945891784</v>
      </c>
      <c r="AS328" t="str">
        <f t="shared" si="272"/>
        <v>1+1,77762815465397i</v>
      </c>
      <c r="AT328">
        <f t="shared" si="296"/>
        <v>2.0395984546519146</v>
      </c>
      <c r="AU328">
        <f t="shared" si="297"/>
        <v>1.0583709013568054</v>
      </c>
      <c r="AV328" t="str">
        <f t="shared" si="273"/>
        <v>1+1,77762815465397i</v>
      </c>
      <c r="AW328">
        <f t="shared" si="298"/>
        <v>2.0395984546519146</v>
      </c>
      <c r="AX328">
        <f t="shared" si="299"/>
        <v>1.0583709013568054</v>
      </c>
      <c r="AY328" t="str">
        <f t="shared" si="274"/>
        <v>1-0,00843821018514409i</v>
      </c>
      <c r="AZ328">
        <f t="shared" si="300"/>
        <v>1.0000356010618465</v>
      </c>
      <c r="BA328">
        <f t="shared" si="301"/>
        <v>-8.438009917306458E-3</v>
      </c>
      <c r="BB328" s="58" t="str">
        <f t="shared" si="302"/>
        <v>-0,323142029541598+0,585942243685376i</v>
      </c>
      <c r="BC328">
        <f t="shared" si="303"/>
        <v>-3.4896529376718313</v>
      </c>
      <c r="BD328" s="60">
        <f t="shared" si="304"/>
        <v>118.8763518370471</v>
      </c>
      <c r="BE328" s="58" t="str">
        <f t="shared" si="305"/>
        <v>0,287444213889974+0,0836029213499346i</v>
      </c>
      <c r="BF328" s="37">
        <f t="shared" si="306"/>
        <v>-10.476259566311271</v>
      </c>
      <c r="BG328" s="60">
        <f t="shared" si="307"/>
        <v>16.217030202521499</v>
      </c>
      <c r="BH328" s="58" t="str">
        <f t="shared" si="308"/>
        <v>0,0443294258633675+1,40644136729414i</v>
      </c>
      <c r="BI328" s="37">
        <f t="shared" si="309"/>
        <v>2.9667449407308655</v>
      </c>
      <c r="BJ328" s="60">
        <f t="shared" si="310"/>
        <v>88.194700116340982</v>
      </c>
      <c r="BK328">
        <f t="shared" si="311"/>
        <v>-10.476259566311271</v>
      </c>
      <c r="BL328" s="60">
        <f t="shared" si="312"/>
        <v>16.217030202521499</v>
      </c>
      <c r="BN328">
        <f t="shared" si="313"/>
        <v>0</v>
      </c>
      <c r="BO328">
        <f t="shared" si="314"/>
        <v>0</v>
      </c>
    </row>
    <row r="329" spans="13:67" x14ac:dyDescent="0.25">
      <c r="M329" s="66">
        <v>11</v>
      </c>
      <c r="N329" s="36">
        <f t="shared" si="316"/>
        <v>12882.49551693136</v>
      </c>
      <c r="O329" s="91" t="str">
        <f t="shared" si="263"/>
        <v>22,5</v>
      </c>
      <c r="P329" s="67" t="str">
        <f t="shared" si="264"/>
        <v>1+87,4185550759332i</v>
      </c>
      <c r="Q329" s="67">
        <f t="shared" si="275"/>
        <v>87.424274498356397</v>
      </c>
      <c r="R329" s="67">
        <f t="shared" si="276"/>
        <v>1.5593576066744566</v>
      </c>
      <c r="S329" s="67" t="str">
        <f t="shared" si="265"/>
        <v>1+2,4282931965537i</v>
      </c>
      <c r="T329" s="67">
        <f t="shared" si="277"/>
        <v>2.6261393429193713</v>
      </c>
      <c r="U329" s="67">
        <f t="shared" si="278"/>
        <v>1.1801489437348374</v>
      </c>
      <c r="V329" t="str">
        <f t="shared" si="266"/>
        <v>1-0,505894415948687i</v>
      </c>
      <c r="W329" s="67">
        <f t="shared" si="279"/>
        <v>1.1206824528331221</v>
      </c>
      <c r="X329" s="67">
        <f t="shared" si="280"/>
        <v>-0.46835201508203927</v>
      </c>
      <c r="Y329" t="str">
        <f t="shared" si="267"/>
        <v>0,9893786437924+1,40301384689769i</v>
      </c>
      <c r="Z329" s="67">
        <f t="shared" si="281"/>
        <v>1.7167754528123773</v>
      </c>
      <c r="AA329" s="67">
        <f t="shared" si="282"/>
        <v>0.95660166847126349</v>
      </c>
      <c r="AB329" s="92" t="str">
        <f t="shared" si="283"/>
        <v>-0,102029518700987-0,429242413149707i</v>
      </c>
      <c r="AC329" s="37">
        <f t="shared" si="284"/>
        <v>-7.1072535152143521</v>
      </c>
      <c r="AD329" s="60">
        <f t="shared" si="285"/>
        <v>-103.37088801046372</v>
      </c>
      <c r="AE329" t="str">
        <f t="shared" si="286"/>
        <v>34,4450883806789</v>
      </c>
      <c r="AF329" t="str">
        <f t="shared" si="268"/>
        <v>1+43,7092775379666i</v>
      </c>
      <c r="AG329">
        <f t="shared" si="287"/>
        <v>43.720715260514567</v>
      </c>
      <c r="AH329">
        <f t="shared" si="288"/>
        <v>1.5479218791539904</v>
      </c>
      <c r="AI329" t="str">
        <f t="shared" si="269"/>
        <v>1+2,4282931965537i</v>
      </c>
      <c r="AJ329">
        <f t="shared" si="289"/>
        <v>2.6261393429193713</v>
      </c>
      <c r="AK329">
        <f t="shared" si="290"/>
        <v>1.1801489437348374</v>
      </c>
      <c r="AL329" t="str">
        <f t="shared" si="270"/>
        <v>1-0,165224424373013i</v>
      </c>
      <c r="AM329">
        <f t="shared" si="291"/>
        <v>1.0135576502643515</v>
      </c>
      <c r="AN329">
        <f t="shared" si="292"/>
        <v>-0.16374508729630302</v>
      </c>
      <c r="AO329" s="58" t="str">
        <f t="shared" si="293"/>
        <v>1,80772770133047-1,06286794120588i</v>
      </c>
      <c r="AP329">
        <f t="shared" si="294"/>
        <v>6.4321253434657413</v>
      </c>
      <c r="AQ329" s="60">
        <f t="shared" si="295"/>
        <v>-30.453739436734224</v>
      </c>
      <c r="AR329" t="str">
        <f t="shared" si="271"/>
        <v>-1,36472945891784</v>
      </c>
      <c r="AS329" t="str">
        <f t="shared" si="272"/>
        <v>1+1,81903443353838i</v>
      </c>
      <c r="AT329">
        <f t="shared" si="296"/>
        <v>2.0757856995360324</v>
      </c>
      <c r="AU329">
        <f t="shared" si="297"/>
        <v>1.0681510608328604</v>
      </c>
      <c r="AV329" t="str">
        <f t="shared" si="273"/>
        <v>1+1,81903443353838i</v>
      </c>
      <c r="AW329">
        <f t="shared" si="298"/>
        <v>2.0757856995360324</v>
      </c>
      <c r="AX329">
        <f t="shared" si="299"/>
        <v>1.0681510608328604</v>
      </c>
      <c r="AY329" t="str">
        <f t="shared" si="274"/>
        <v>1-0,00824613307117122i</v>
      </c>
      <c r="AZ329">
        <f t="shared" si="300"/>
        <v>1.0000339987773554</v>
      </c>
      <c r="BA329">
        <f t="shared" si="301"/>
        <v>-8.2459461699910825E-3</v>
      </c>
      <c r="BB329" s="58" t="str">
        <f t="shared" si="302"/>
        <v>-0,311973543202804+0,578744358163258i</v>
      </c>
      <c r="BC329">
        <f t="shared" si="303"/>
        <v>-3.6424236834507049</v>
      </c>
      <c r="BD329" s="60">
        <f t="shared" si="304"/>
        <v>118.32699441822288</v>
      </c>
      <c r="BE329" s="58" t="str">
        <f t="shared" si="305"/>
        <v>0,280252135355199+0,0748632682089271i</v>
      </c>
      <c r="BF329" s="37">
        <f t="shared" si="306"/>
        <v>-10.749677198665053</v>
      </c>
      <c r="BG329" s="60">
        <f t="shared" si="307"/>
        <v>14.95610640775916</v>
      </c>
      <c r="BH329" s="58" t="str">
        <f t="shared" si="308"/>
        <v>0,0511656083155735+1,37779888581511i</v>
      </c>
      <c r="BI329" s="37">
        <f t="shared" si="309"/>
        <v>2.7897016600150213</v>
      </c>
      <c r="BJ329" s="60">
        <f t="shared" si="310"/>
        <v>87.873254981488657</v>
      </c>
      <c r="BK329">
        <f t="shared" si="311"/>
        <v>-10.749677198665053</v>
      </c>
      <c r="BL329" s="60">
        <f t="shared" si="312"/>
        <v>14.95610640775916</v>
      </c>
      <c r="BN329">
        <f t="shared" si="313"/>
        <v>0</v>
      </c>
      <c r="BO329">
        <f t="shared" si="314"/>
        <v>0</v>
      </c>
    </row>
    <row r="330" spans="13:67" x14ac:dyDescent="0.25">
      <c r="M330" s="66">
        <v>12</v>
      </c>
      <c r="N330" s="36">
        <f t="shared" si="316"/>
        <v>13182.567385564091</v>
      </c>
      <c r="O330" s="91" t="str">
        <f t="shared" si="263"/>
        <v>22,5</v>
      </c>
      <c r="P330" s="67" t="str">
        <f t="shared" si="264"/>
        <v>1+89,4547948045116i</v>
      </c>
      <c r="Q330" s="67">
        <f t="shared" si="275"/>
        <v>89.460384045214525</v>
      </c>
      <c r="R330" s="67">
        <f t="shared" si="276"/>
        <v>1.5596179617906483</v>
      </c>
      <c r="S330" s="67" t="str">
        <f t="shared" si="265"/>
        <v>1+2,48485541123644i</v>
      </c>
      <c r="T330" s="67">
        <f t="shared" si="277"/>
        <v>2.6785269113359709</v>
      </c>
      <c r="U330" s="67">
        <f t="shared" si="278"/>
        <v>1.1881900778560635</v>
      </c>
      <c r="V330" t="str">
        <f t="shared" si="266"/>
        <v>1-0,517678210674257i</v>
      </c>
      <c r="W330" s="67">
        <f t="shared" si="279"/>
        <v>1.1260509445877218</v>
      </c>
      <c r="X330" s="67">
        <f t="shared" si="280"/>
        <v>-0.47768995056044294</v>
      </c>
      <c r="Y330" t="str">
        <f t="shared" si="267"/>
        <v>0,988878074696004+1,43569423760327i</v>
      </c>
      <c r="Z330" s="67">
        <f t="shared" si="281"/>
        <v>1.7433008318995635</v>
      </c>
      <c r="AA330" s="67">
        <f t="shared" si="282"/>
        <v>0.96764003986735703</v>
      </c>
      <c r="AB330" s="92" t="str">
        <f t="shared" si="283"/>
        <v>-0,105952913481581-0,422048215391954i</v>
      </c>
      <c r="AC330" s="37">
        <f t="shared" si="284"/>
        <v>-7.2273304834483456</v>
      </c>
      <c r="AD330" s="60">
        <f t="shared" si="285"/>
        <v>-104.09255859812329</v>
      </c>
      <c r="AE330" t="str">
        <f t="shared" si="286"/>
        <v>34,4450883806789</v>
      </c>
      <c r="AF330" t="str">
        <f t="shared" si="268"/>
        <v>1+44,7273974022558i</v>
      </c>
      <c r="AG330">
        <f t="shared" si="287"/>
        <v>44.738574836256447</v>
      </c>
      <c r="AH330">
        <f t="shared" si="288"/>
        <v>1.5484423896925232</v>
      </c>
      <c r="AI330" t="str">
        <f t="shared" si="269"/>
        <v>1+2,48485541123644i</v>
      </c>
      <c r="AJ330">
        <f t="shared" si="289"/>
        <v>2.6785269113359709</v>
      </c>
      <c r="AK330">
        <f t="shared" si="290"/>
        <v>1.1881900778560635</v>
      </c>
      <c r="AL330" t="str">
        <f t="shared" si="270"/>
        <v>1-0,169072995614525i</v>
      </c>
      <c r="AM330">
        <f t="shared" si="291"/>
        <v>1.0141921306370254</v>
      </c>
      <c r="AN330">
        <f t="shared" si="292"/>
        <v>-0.16748905291946461</v>
      </c>
      <c r="AO330" s="58" t="str">
        <f t="shared" si="293"/>
        <v>1,80695921738272-1,05325302902717i</v>
      </c>
      <c r="AP330">
        <f t="shared" si="294"/>
        <v>6.4092281718981656</v>
      </c>
      <c r="AQ330" s="60">
        <f t="shared" si="295"/>
        <v>-30.237352874988566</v>
      </c>
      <c r="AR330" t="str">
        <f t="shared" si="271"/>
        <v>-1,36472945891784</v>
      </c>
      <c r="AS330" t="str">
        <f t="shared" si="272"/>
        <v>1+1,86140518855721i</v>
      </c>
      <c r="AT330">
        <f t="shared" si="296"/>
        <v>2.1130142630819373</v>
      </c>
      <c r="AU330">
        <f t="shared" si="297"/>
        <v>1.0778113029945127</v>
      </c>
      <c r="AV330" t="str">
        <f t="shared" si="273"/>
        <v>1+1,86140518855721i</v>
      </c>
      <c r="AW330">
        <f t="shared" si="298"/>
        <v>2.1130142630819373</v>
      </c>
      <c r="AX330">
        <f t="shared" si="299"/>
        <v>1.0778113029945127</v>
      </c>
      <c r="AY330" t="str">
        <f t="shared" si="274"/>
        <v>1-0,00805842816610316i</v>
      </c>
      <c r="AZ330">
        <f t="shared" si="300"/>
        <v>1.0000324686051489</v>
      </c>
      <c r="BA330">
        <f t="shared" si="301"/>
        <v>-8.0582537394526983E-3</v>
      </c>
      <c r="BB330" s="58" t="str">
        <f t="shared" si="302"/>
        <v>-0,30107724930573+0,571424328325073i</v>
      </c>
      <c r="BC330">
        <f t="shared" si="303"/>
        <v>-3.7968352320372558</v>
      </c>
      <c r="BD330" s="60">
        <f t="shared" si="304"/>
        <v>117.78425729740229</v>
      </c>
      <c r="BE330" s="58" t="str">
        <f t="shared" si="305"/>
        <v>0,273068629748105+0,0665250433443048i</v>
      </c>
      <c r="BF330" s="37">
        <f t="shared" si="306"/>
        <v>-11.024165715485614</v>
      </c>
      <c r="BG330" s="60">
        <f t="shared" si="307"/>
        <v>13.691698699279019</v>
      </c>
      <c r="BH330" s="58" t="str">
        <f t="shared" si="308"/>
        <v>0,0578200938909752+1,34965098190615i</v>
      </c>
      <c r="BI330" s="37">
        <f t="shared" si="309"/>
        <v>2.6123929398609196</v>
      </c>
      <c r="BJ330" s="60">
        <f t="shared" si="310"/>
        <v>87.546904422413718</v>
      </c>
      <c r="BK330">
        <f t="shared" si="311"/>
        <v>-11.024165715485614</v>
      </c>
      <c r="BL330" s="60">
        <f t="shared" si="312"/>
        <v>13.691698699279019</v>
      </c>
      <c r="BN330">
        <f t="shared" si="313"/>
        <v>0</v>
      </c>
      <c r="BO330">
        <f t="shared" si="314"/>
        <v>0</v>
      </c>
    </row>
    <row r="331" spans="13:67" x14ac:dyDescent="0.25">
      <c r="M331" s="66">
        <v>13</v>
      </c>
      <c r="N331" s="36">
        <f t="shared" si="316"/>
        <v>13489.628825916556</v>
      </c>
      <c r="O331" s="91" t="str">
        <f t="shared" si="263"/>
        <v>22,5</v>
      </c>
      <c r="P331" s="67" t="str">
        <f t="shared" si="264"/>
        <v>1+91,5384646493695i</v>
      </c>
      <c r="Q331" s="67">
        <f t="shared" si="275"/>
        <v>91.543926671100749</v>
      </c>
      <c r="R331" s="67">
        <f t="shared" si="276"/>
        <v>1.5598723919652806</v>
      </c>
      <c r="S331" s="67" t="str">
        <f t="shared" si="265"/>
        <v>1+2,54273512914916i</v>
      </c>
      <c r="T331" s="67">
        <f t="shared" si="277"/>
        <v>2.7323070722393545</v>
      </c>
      <c r="U331" s="67">
        <f t="shared" si="278"/>
        <v>1.1960987835202341</v>
      </c>
      <c r="V331" t="str">
        <f t="shared" si="266"/>
        <v>1-0,529736485239407i</v>
      </c>
      <c r="W331" s="67">
        <f t="shared" si="279"/>
        <v>1.131645149237958</v>
      </c>
      <c r="X331" s="67">
        <f t="shared" si="280"/>
        <v>-0.48715283081886268</v>
      </c>
      <c r="Y331" t="str">
        <f t="shared" si="267"/>
        <v>0,988353914504896+1,46913585239729i</v>
      </c>
      <c r="Z331" s="67">
        <f t="shared" si="281"/>
        <v>1.7706506185908792</v>
      </c>
      <c r="AA331" s="67">
        <f t="shared" si="282"/>
        <v>0.97859738908844773</v>
      </c>
      <c r="AB331" s="92" t="str">
        <f t="shared" si="283"/>
        <v>-0,109811125319827-0,414914806285166i</v>
      </c>
      <c r="AC331" s="37">
        <f t="shared" si="284"/>
        <v>-7.3468024401554963</v>
      </c>
      <c r="AD331" s="60">
        <f t="shared" si="285"/>
        <v>-104.82399388320698</v>
      </c>
      <c r="AE331" t="str">
        <f t="shared" si="286"/>
        <v>34,4450883806789</v>
      </c>
      <c r="AF331" t="str">
        <f t="shared" si="268"/>
        <v>1+45,7692323246848i</v>
      </c>
      <c r="AG331">
        <f t="shared" si="287"/>
        <v>45.780155390638114</v>
      </c>
      <c r="AH331">
        <f t="shared" si="288"/>
        <v>1.5489510636712798</v>
      </c>
      <c r="AI331" t="str">
        <f t="shared" si="269"/>
        <v>1+2,54273512914916i</v>
      </c>
      <c r="AJ331">
        <f t="shared" si="289"/>
        <v>2.7323070722393545</v>
      </c>
      <c r="AK331">
        <f t="shared" si="290"/>
        <v>1.1960987835202341</v>
      </c>
      <c r="AL331" t="str">
        <f t="shared" si="270"/>
        <v>1-0,173011211596258i</v>
      </c>
      <c r="AM331">
        <f t="shared" si="291"/>
        <v>1.0148560879937634</v>
      </c>
      <c r="AN331">
        <f t="shared" si="292"/>
        <v>-0.1713153253821296</v>
      </c>
      <c r="AO331" s="58" t="str">
        <f t="shared" si="293"/>
        <v>1,80622528712626-1,04419501928392i</v>
      </c>
      <c r="AP331">
        <f t="shared" si="294"/>
        <v>6.387680170914094</v>
      </c>
      <c r="AQ331" s="60">
        <f t="shared" si="295"/>
        <v>-30.032591554529116</v>
      </c>
      <c r="AR331" t="str">
        <f t="shared" si="271"/>
        <v>-1,36472945891784</v>
      </c>
      <c r="AS331" t="str">
        <f t="shared" si="272"/>
        <v>1+1,90476288524563i</v>
      </c>
      <c r="AT331">
        <f t="shared" si="296"/>
        <v>2.1513069629900001</v>
      </c>
      <c r="AU331">
        <f t="shared" si="297"/>
        <v>1.0873495370812736</v>
      </c>
      <c r="AV331" t="str">
        <f t="shared" si="273"/>
        <v>1+1,90476288524563i</v>
      </c>
      <c r="AW331">
        <f t="shared" si="298"/>
        <v>2.1513069629900001</v>
      </c>
      <c r="AX331">
        <f t="shared" si="299"/>
        <v>1.0873495370812736</v>
      </c>
      <c r="AY331" t="str">
        <f t="shared" si="274"/>
        <v>1-0,00787499594631469i</v>
      </c>
      <c r="AZ331">
        <f t="shared" si="300"/>
        <v>1.0000310072998508</v>
      </c>
      <c r="BA331">
        <f t="shared" si="301"/>
        <v>-7.8748331616075255E-3</v>
      </c>
      <c r="BB331" s="58" t="str">
        <f t="shared" si="302"/>
        <v>-0,290454447609829+0,563994090618517i</v>
      </c>
      <c r="BC331">
        <f t="shared" si="303"/>
        <v>-3.952847009908691</v>
      </c>
      <c r="BD331" s="60">
        <f t="shared" si="304"/>
        <v>117.24826596520948</v>
      </c>
      <c r="BE331" s="58" t="str">
        <f t="shared" si="305"/>
        <v>0,265904628601144+0,0585810251001453i</v>
      </c>
      <c r="BF331" s="37">
        <f t="shared" si="306"/>
        <v>-11.2996494500642</v>
      </c>
      <c r="BG331" s="60">
        <f t="shared" si="307"/>
        <v>12.424272082002524</v>
      </c>
      <c r="BH331" s="58" t="str">
        <f t="shared" si="308"/>
        <v>0,0642936522982566+1,32199147578799i</v>
      </c>
      <c r="BI331" s="37">
        <f t="shared" si="309"/>
        <v>2.4348331610053999</v>
      </c>
      <c r="BJ331" s="60">
        <f t="shared" si="310"/>
        <v>87.215674410680364</v>
      </c>
      <c r="BK331">
        <f t="shared" si="311"/>
        <v>-11.2996494500642</v>
      </c>
      <c r="BL331" s="60">
        <f t="shared" si="312"/>
        <v>12.424272082002524</v>
      </c>
      <c r="BN331">
        <f t="shared" si="313"/>
        <v>0</v>
      </c>
      <c r="BO331">
        <f t="shared" si="314"/>
        <v>0</v>
      </c>
    </row>
    <row r="332" spans="13:67" x14ac:dyDescent="0.25">
      <c r="M332" s="66">
        <v>14</v>
      </c>
      <c r="N332" s="36">
        <f t="shared" si="316"/>
        <v>13803.842646028841</v>
      </c>
      <c r="O332" s="91" t="str">
        <f t="shared" si="263"/>
        <v>22,5</v>
      </c>
      <c r="P332" s="67" t="str">
        <f t="shared" si="264"/>
        <v>1+93,6706693998392i</v>
      </c>
      <c r="Q332" s="67">
        <f t="shared" si="275"/>
        <v>93.67600709794354</v>
      </c>
      <c r="R332" s="67">
        <f t="shared" si="276"/>
        <v>1.5601210319687602</v>
      </c>
      <c r="S332" s="67" t="str">
        <f t="shared" si="265"/>
        <v>1+2,60196303888442i</v>
      </c>
      <c r="T332" s="67">
        <f t="shared" si="277"/>
        <v>2.7875099382281392</v>
      </c>
      <c r="U332" s="67">
        <f t="shared" si="278"/>
        <v>1.2038752956265328</v>
      </c>
      <c r="V332" t="str">
        <f t="shared" si="266"/>
        <v>1-0,542075633100921i</v>
      </c>
      <c r="W332" s="67">
        <f t="shared" si="279"/>
        <v>1.137473512659422</v>
      </c>
      <c r="X332" s="67">
        <f t="shared" si="280"/>
        <v>-0.4967388934311866</v>
      </c>
      <c r="Y332" t="str">
        <f t="shared" si="267"/>
        <v>0,987805051405035+1,50335642246655i</v>
      </c>
      <c r="Z332" s="67">
        <f t="shared" si="281"/>
        <v>1.7988438933250235</v>
      </c>
      <c r="AA332" s="67">
        <f t="shared" si="282"/>
        <v>0.98946951541035655</v>
      </c>
      <c r="AB332" s="92" t="str">
        <f t="shared" si="283"/>
        <v>-0,113601932511987-0,407842323208053i</v>
      </c>
      <c r="AC332" s="37">
        <f t="shared" si="284"/>
        <v>-7.46563224099115</v>
      </c>
      <c r="AD332" s="60">
        <f t="shared" si="285"/>
        <v>-105.56484646541379</v>
      </c>
      <c r="AE332" t="str">
        <f t="shared" si="286"/>
        <v>34,4450883806789</v>
      </c>
      <c r="AF332" t="str">
        <f t="shared" si="268"/>
        <v>1+46,8353346999196i</v>
      </c>
      <c r="AG332">
        <f t="shared" si="287"/>
        <v>46.846009183851429</v>
      </c>
      <c r="AH332">
        <f t="shared" si="288"/>
        <v>1.5494481697423812</v>
      </c>
      <c r="AI332" t="str">
        <f t="shared" si="269"/>
        <v>1+2,60196303888442i</v>
      </c>
      <c r="AJ332">
        <f t="shared" si="289"/>
        <v>2.7875099382281392</v>
      </c>
      <c r="AK332">
        <f t="shared" si="290"/>
        <v>1.2038752956265328</v>
      </c>
      <c r="AL332" t="str">
        <f t="shared" si="270"/>
        <v>1-0,177041160412454i</v>
      </c>
      <c r="AM332">
        <f t="shared" si="291"/>
        <v>1.0155508714388404</v>
      </c>
      <c r="AN332">
        <f t="shared" si="292"/>
        <v>-0.1752254850558978</v>
      </c>
      <c r="AO332" s="58" t="str">
        <f t="shared" si="293"/>
        <v>1,80552435835934-1,03568921240838i</v>
      </c>
      <c r="AP332">
        <f t="shared" si="294"/>
        <v>6.3674562362232141</v>
      </c>
      <c r="AQ332" s="60">
        <f t="shared" si="295"/>
        <v>-29.839547957879336</v>
      </c>
      <c r="AR332" t="str">
        <f t="shared" si="271"/>
        <v>-1,36472945891784</v>
      </c>
      <c r="AS332" t="str">
        <f t="shared" si="272"/>
        <v>1+1,94913051242832i</v>
      </c>
      <c r="AT332">
        <f t="shared" si="296"/>
        <v>2.1906870507854577</v>
      </c>
      <c r="AU332">
        <f t="shared" si="297"/>
        <v>1.0967638774132624</v>
      </c>
      <c r="AV332" t="str">
        <f t="shared" si="273"/>
        <v>1+1,94913051242832i</v>
      </c>
      <c r="AW332">
        <f t="shared" si="298"/>
        <v>2.1906870507854577</v>
      </c>
      <c r="AX332">
        <f t="shared" si="299"/>
        <v>1.0967638774132624</v>
      </c>
      <c r="AY332" t="str">
        <f t="shared" si="274"/>
        <v>1-0,00769573915361485i</v>
      </c>
      <c r="AZ332">
        <f t="shared" si="300"/>
        <v>1.0000296117621319</v>
      </c>
      <c r="BA332">
        <f t="shared" si="301"/>
        <v>-7.6955872338323773E-3</v>
      </c>
      <c r="BB332" s="58" t="str">
        <f t="shared" si="302"/>
        <v>-0,280105808328191+0,556465379651962i</v>
      </c>
      <c r="BC332">
        <f t="shared" si="303"/>
        <v>-4.1104182960796036</v>
      </c>
      <c r="BD332" s="60">
        <f t="shared" si="304"/>
        <v>116.71913403244308</v>
      </c>
      <c r="BE332" s="58" t="str">
        <f t="shared" si="305"/>
        <v>0,258770694356022+0,0510234611081596i</v>
      </c>
      <c r="BF332" s="37">
        <f t="shared" si="306"/>
        <v>-11.576050537070754</v>
      </c>
      <c r="BG332" s="60">
        <f t="shared" si="307"/>
        <v>11.154287567029288</v>
      </c>
      <c r="BH332" s="58" t="str">
        <f t="shared" si="308"/>
        <v>0,0705873309297893+1,29481436156373i</v>
      </c>
      <c r="BI332" s="37">
        <f t="shared" si="309"/>
        <v>2.2570379401435976</v>
      </c>
      <c r="BJ332" s="60">
        <f t="shared" si="310"/>
        <v>86.879586074563747</v>
      </c>
      <c r="BK332">
        <f t="shared" si="311"/>
        <v>-11.576050537070754</v>
      </c>
      <c r="BL332" s="60">
        <f t="shared" si="312"/>
        <v>11.154287567029288</v>
      </c>
      <c r="BN332">
        <f t="shared" si="313"/>
        <v>0</v>
      </c>
      <c r="BO332">
        <f t="shared" si="314"/>
        <v>0</v>
      </c>
    </row>
    <row r="333" spans="13:67" x14ac:dyDescent="0.25">
      <c r="M333" s="66">
        <v>15</v>
      </c>
      <c r="N333" s="36">
        <f t="shared" si="316"/>
        <v>14125.375446227561</v>
      </c>
      <c r="O333" s="91" t="str">
        <f t="shared" si="263"/>
        <v>22,5</v>
      </c>
      <c r="P333" s="67" t="str">
        <f t="shared" si="264"/>
        <v>1+95,8525395791029i</v>
      </c>
      <c r="Q333" s="67">
        <f t="shared" si="275"/>
        <v>95.857755783053292</v>
      </c>
      <c r="R333" s="67">
        <f t="shared" si="276"/>
        <v>1.5603640135102663</v>
      </c>
      <c r="S333" s="67" t="str">
        <f t="shared" si="265"/>
        <v>1+2,66257054386397i</v>
      </c>
      <c r="T333" s="67">
        <f t="shared" si="277"/>
        <v>2.8441662927916287</v>
      </c>
      <c r="U333" s="67">
        <f t="shared" si="278"/>
        <v>1.2115199741383846</v>
      </c>
      <c r="V333" t="str">
        <f t="shared" si="266"/>
        <v>1-0,554702196638327i</v>
      </c>
      <c r="W333" s="67">
        <f t="shared" si="279"/>
        <v>1.1435447201379512</v>
      </c>
      <c r="X333" s="67">
        <f t="shared" si="280"/>
        <v>-0.50644617313986551</v>
      </c>
      <c r="Y333" t="str">
        <f t="shared" si="267"/>
        <v>0,987230321184199+1,53837409201029i</v>
      </c>
      <c r="Z333" s="67">
        <f t="shared" si="281"/>
        <v>1.827900039398747</v>
      </c>
      <c r="AA333" s="67">
        <f t="shared" si="282"/>
        <v>1.0002524200431293</v>
      </c>
      <c r="AB333" s="92" t="str">
        <f t="shared" si="283"/>
        <v>-0,117323311438168-0,400831055538589i</v>
      </c>
      <c r="AC333" s="37">
        <f t="shared" si="284"/>
        <v>-7.5837808598776029</v>
      </c>
      <c r="AD333" s="60">
        <f t="shared" si="285"/>
        <v>-106.31476155198852</v>
      </c>
      <c r="AE333" t="str">
        <f t="shared" si="286"/>
        <v>34,4450883806789</v>
      </c>
      <c r="AF333" t="str">
        <f t="shared" si="268"/>
        <v>1+47,9262697895515i</v>
      </c>
      <c r="AG333">
        <f t="shared" si="287"/>
        <v>47.936701346055052</v>
      </c>
      <c r="AH333">
        <f t="shared" si="288"/>
        <v>1.5499339704947461</v>
      </c>
      <c r="AI333" t="str">
        <f t="shared" si="269"/>
        <v>1+2,66257054386397i</v>
      </c>
      <c r="AJ333">
        <f t="shared" si="289"/>
        <v>2.8441662927916287</v>
      </c>
      <c r="AK333">
        <f t="shared" si="290"/>
        <v>1.2115199741383846</v>
      </c>
      <c r="AL333" t="str">
        <f t="shared" si="270"/>
        <v>1-0,181164978795317i</v>
      </c>
      <c r="AM333">
        <f t="shared" si="291"/>
        <v>1.0162778899208167</v>
      </c>
      <c r="AN333">
        <f t="shared" si="292"/>
        <v>-0.17922112665065348</v>
      </c>
      <c r="AO333" s="58" t="str">
        <f t="shared" si="293"/>
        <v>1,80485494847969-1,02773119474659i</v>
      </c>
      <c r="AP333">
        <f t="shared" si="294"/>
        <v>6.3485324002181276</v>
      </c>
      <c r="AQ333" s="60">
        <f t="shared" si="295"/>
        <v>-29.658307876037284</v>
      </c>
      <c r="AR333" t="str">
        <f t="shared" si="271"/>
        <v>-1,36472945891784</v>
      </c>
      <c r="AS333" t="str">
        <f t="shared" si="272"/>
        <v>1+1,9945315944085i</v>
      </c>
      <c r="AT333">
        <f t="shared" si="296"/>
        <v>2.2311782271019305</v>
      </c>
      <c r="AU333">
        <f t="shared" si="297"/>
        <v>1.1060526395937049</v>
      </c>
      <c r="AV333" t="str">
        <f t="shared" si="273"/>
        <v>1+1,9945315944085i</v>
      </c>
      <c r="AW333">
        <f t="shared" si="298"/>
        <v>2.2311782271019305</v>
      </c>
      <c r="AX333">
        <f t="shared" si="299"/>
        <v>1.1060526395937049</v>
      </c>
      <c r="AY333" t="str">
        <f t="shared" si="274"/>
        <v>1-0,00752056274367939i</v>
      </c>
      <c r="AZ333">
        <f t="shared" si="300"/>
        <v>1.0000282790321389</v>
      </c>
      <c r="BA333">
        <f t="shared" si="301"/>
        <v>-7.5204209636622809E-3</v>
      </c>
      <c r="BB333" s="58" t="str">
        <f t="shared" si="302"/>
        <v>-0,270031401412479+0,548849695123534i</v>
      </c>
      <c r="BC333">
        <f t="shared" si="303"/>
        <v>-4.2695083136650283</v>
      </c>
      <c r="BD333" s="60">
        <f t="shared" si="304"/>
        <v>116.19696345059677</v>
      </c>
      <c r="BE333" s="58" t="str">
        <f t="shared" si="305"/>
        <v>0,2516769808344+0,0438441079430065i</v>
      </c>
      <c r="BF333" s="37">
        <f t="shared" si="306"/>
        <v>-11.853289173542635</v>
      </c>
      <c r="BG333" s="60">
        <f t="shared" si="307"/>
        <v>9.8822018986082583</v>
      </c>
      <c r="BH333" s="58" t="str">
        <f t="shared" si="308"/>
        <v>0,076702441821393+1,26811378300802i</v>
      </c>
      <c r="BI333" s="37">
        <f t="shared" si="309"/>
        <v>2.0790240865530802</v>
      </c>
      <c r="BJ333" s="60">
        <f t="shared" si="310"/>
        <v>86.538655574559485</v>
      </c>
      <c r="BK333">
        <f t="shared" si="311"/>
        <v>-11.853289173542635</v>
      </c>
      <c r="BL333" s="60">
        <f t="shared" si="312"/>
        <v>9.8822018986082583</v>
      </c>
      <c r="BN333">
        <f t="shared" si="313"/>
        <v>0</v>
      </c>
      <c r="BO333">
        <f t="shared" si="314"/>
        <v>0</v>
      </c>
    </row>
    <row r="334" spans="13:67" x14ac:dyDescent="0.25">
      <c r="M334" s="66">
        <v>16</v>
      </c>
      <c r="N334" s="36">
        <f t="shared" si="316"/>
        <v>14454.397707459291</v>
      </c>
      <c r="O334" s="91" t="str">
        <f t="shared" si="263"/>
        <v>22,5</v>
      </c>
      <c r="P334" s="67" t="str">
        <f t="shared" si="264"/>
        <v>1+98,0852320436096i</v>
      </c>
      <c r="Q334" s="67">
        <f t="shared" si="275"/>
        <v>98.090329518504191</v>
      </c>
      <c r="R334" s="67">
        <f t="shared" si="276"/>
        <v>1.5606014653069977</v>
      </c>
      <c r="S334" s="67" t="str">
        <f t="shared" si="265"/>
        <v>1+2,72458977898916i</v>
      </c>
      <c r="T334" s="67">
        <f t="shared" si="277"/>
        <v>2.9023076101220218</v>
      </c>
      <c r="U334" s="67">
        <f t="shared" si="278"/>
        <v>1.219033297249241</v>
      </c>
      <c r="V334" t="str">
        <f t="shared" si="266"/>
        <v>1-0,567622870622741i</v>
      </c>
      <c r="W334" s="67">
        <f t="shared" si="279"/>
        <v>1.1498676981522704</v>
      </c>
      <c r="X334" s="67">
        <f t="shared" si="280"/>
        <v>-0.5162724982830923</v>
      </c>
      <c r="Y334" t="str">
        <f t="shared" si="267"/>
        <v>0,986628504762534+1,5742074278604i</v>
      </c>
      <c r="Z334" s="67">
        <f t="shared" si="281"/>
        <v>1.8578387530517306</v>
      </c>
      <c r="AA334" s="67">
        <f t="shared" si="282"/>
        <v>1.0109423109460591</v>
      </c>
      <c r="AB334" s="92" t="str">
        <f t="shared" si="283"/>
        <v>-0,120973438853923-0,393881427271394i</v>
      </c>
      <c r="AC334" s="37">
        <f t="shared" si="284"/>
        <v>-7.7012075682908421</v>
      </c>
      <c r="AD334" s="60">
        <f t="shared" si="285"/>
        <v>-107.07337742443231</v>
      </c>
      <c r="AE334" t="str">
        <f t="shared" si="286"/>
        <v>34,4450883806789</v>
      </c>
      <c r="AF334" t="str">
        <f t="shared" si="268"/>
        <v>1+49,0426160218048i</v>
      </c>
      <c r="AG334">
        <f t="shared" si="287"/>
        <v>49.052810177014166</v>
      </c>
      <c r="AH334">
        <f t="shared" si="288"/>
        <v>1.5504087225886369</v>
      </c>
      <c r="AI334" t="str">
        <f t="shared" si="269"/>
        <v>1+2,72458977898916i</v>
      </c>
      <c r="AJ334">
        <f t="shared" si="289"/>
        <v>2.9023076101220218</v>
      </c>
      <c r="AK334">
        <f t="shared" si="290"/>
        <v>1.219033297249241</v>
      </c>
      <c r="AL334" t="str">
        <f t="shared" si="270"/>
        <v>1-0,185384853247939i</v>
      </c>
      <c r="AM334">
        <f t="shared" si="291"/>
        <v>1.0170386147112409</v>
      </c>
      <c r="AN334">
        <f t="shared" si="292"/>
        <v>-0.18330385812785091</v>
      </c>
      <c r="AO334" s="58" t="str">
        <f t="shared" si="293"/>
        <v>1,80421564137498-1,02031683667567i</v>
      </c>
      <c r="AP334">
        <f t="shared" si="294"/>
        <v>6.3308858762772182</v>
      </c>
      <c r="AQ334" s="60">
        <f t="shared" si="295"/>
        <v>-29.488950745490541</v>
      </c>
      <c r="AR334" t="str">
        <f t="shared" si="271"/>
        <v>-1,36472945891784</v>
      </c>
      <c r="AS334" t="str">
        <f t="shared" si="272"/>
        <v>1+2,04099020344078i</v>
      </c>
      <c r="AT334">
        <f t="shared" si="296"/>
        <v>2.2728046573652643</v>
      </c>
      <c r="AU334">
        <f t="shared" si="297"/>
        <v>1.1152143361738451</v>
      </c>
      <c r="AV334" t="str">
        <f t="shared" si="273"/>
        <v>1+2,04099020344078i</v>
      </c>
      <c r="AW334">
        <f t="shared" si="298"/>
        <v>2.2728046573652643</v>
      </c>
      <c r="AX334">
        <f t="shared" si="299"/>
        <v>1.1152143361738451</v>
      </c>
      <c r="AY334" t="str">
        <f t="shared" si="274"/>
        <v>1-0,00734937383565705i</v>
      </c>
      <c r="AZ334">
        <f t="shared" si="300"/>
        <v>1.0000270062832184</v>
      </c>
      <c r="BA334">
        <f t="shared" si="301"/>
        <v>-7.349241518644232E-3</v>
      </c>
      <c r="BB334" s="58" t="str">
        <f t="shared" si="302"/>
        <v>-0,260230727278748+0,541158271988315i</v>
      </c>
      <c r="BC334">
        <f t="shared" si="303"/>
        <v>-4.4300763169724116</v>
      </c>
      <c r="BD334" s="60">
        <f t="shared" si="304"/>
        <v>115.6818447631143</v>
      </c>
      <c r="BE334" s="58" t="str">
        <f t="shared" si="305"/>
        <v>0,244633198524846+0,0370342731537531i</v>
      </c>
      <c r="BF334" s="37">
        <f t="shared" si="306"/>
        <v>-12.131283885263265</v>
      </c>
      <c r="BG334" s="60">
        <f t="shared" si="307"/>
        <v>8.6084673386819794</v>
      </c>
      <c r="BH334" s="58" t="str">
        <f t="shared" si="308"/>
        <v>0,0826405476932855+1,24188401124363i</v>
      </c>
      <c r="BI334" s="37">
        <f t="shared" si="309"/>
        <v>1.9008095593047736</v>
      </c>
      <c r="BJ334" s="60">
        <f t="shared" si="310"/>
        <v>86.192894017623743</v>
      </c>
      <c r="BK334">
        <f t="shared" si="311"/>
        <v>-12.131283885263265</v>
      </c>
      <c r="BL334" s="60">
        <f t="shared" si="312"/>
        <v>8.6084673386819794</v>
      </c>
      <c r="BN334">
        <f t="shared" si="313"/>
        <v>0</v>
      </c>
      <c r="BO334">
        <f t="shared" si="314"/>
        <v>0</v>
      </c>
    </row>
    <row r="335" spans="13:67" x14ac:dyDescent="0.25">
      <c r="M335" s="66">
        <v>17</v>
      </c>
      <c r="N335" s="36">
        <f t="shared" si="316"/>
        <v>14791.083881682089</v>
      </c>
      <c r="O335" s="91" t="str">
        <f t="shared" si="263"/>
        <v>22,5</v>
      </c>
      <c r="P335" s="67" t="str">
        <f t="shared" si="264"/>
        <v>1+100,369930596457i</v>
      </c>
      <c r="Q335" s="67">
        <f t="shared" si="275"/>
        <v>100.37491204448247</v>
      </c>
      <c r="R335" s="67">
        <f t="shared" si="276"/>
        <v>1.5608335131518718</v>
      </c>
      <c r="S335" s="67" t="str">
        <f t="shared" si="265"/>
        <v>1+2,78805362767937i</v>
      </c>
      <c r="T335" s="67">
        <f t="shared" si="277"/>
        <v>2.9619660752304533</v>
      </c>
      <c r="U335" s="67">
        <f t="shared" si="278"/>
        <v>1.2264158546132706</v>
      </c>
      <c r="V335" t="str">
        <f t="shared" si="266"/>
        <v>1-0,580844505766536i</v>
      </c>
      <c r="W335" s="67">
        <f t="shared" si="279"/>
        <v>1.1564516158833329</v>
      </c>
      <c r="X335" s="67">
        <f t="shared" si="280"/>
        <v>-0.52621548783619254</v>
      </c>
      <c r="Y335" t="str">
        <f t="shared" si="267"/>
        <v>0,985998325606723+1,61087542932586i</v>
      </c>
      <c r="Z335" s="67">
        <f t="shared" si="281"/>
        <v>1.8886800541396724</v>
      </c>
      <c r="AA335" s="67">
        <f t="shared" si="282"/>
        <v>1.0215356066647716</v>
      </c>
      <c r="AB335" s="92" t="str">
        <f t="shared" si="283"/>
        <v>-0,124550692835204-0,386993979912344i</v>
      </c>
      <c r="AC335" s="37">
        <f t="shared" si="284"/>
        <v>-7.8178701232360108</v>
      </c>
      <c r="AD335" s="60">
        <f t="shared" si="285"/>
        <v>-107.84032588056812</v>
      </c>
      <c r="AE335" t="str">
        <f t="shared" si="286"/>
        <v>34,4450883806789</v>
      </c>
      <c r="AF335" t="str">
        <f t="shared" si="268"/>
        <v>1+50,1849652982287i</v>
      </c>
      <c r="AG335">
        <f t="shared" si="287"/>
        <v>50.194927452725928</v>
      </c>
      <c r="AH335">
        <f t="shared" si="288"/>
        <v>1.550872676887374</v>
      </c>
      <c r="AI335" t="str">
        <f t="shared" si="269"/>
        <v>1+2,78805362767937i</v>
      </c>
      <c r="AJ335">
        <f t="shared" si="289"/>
        <v>2.9619660752304533</v>
      </c>
      <c r="AK335">
        <f t="shared" si="290"/>
        <v>1.2264158546132706</v>
      </c>
      <c r="AL335" t="str">
        <f t="shared" si="270"/>
        <v>1-0,189703021203612i</v>
      </c>
      <c r="AM335">
        <f t="shared" si="291"/>
        <v>1.0178345819698691</v>
      </c>
      <c r="AN335">
        <f t="shared" si="292"/>
        <v>-0.18747529950790881</v>
      </c>
      <c r="AO335" s="58" t="str">
        <f t="shared" si="293"/>
        <v>1,80360508445114-1,01344229084135i</v>
      </c>
      <c r="AP335">
        <f t="shared" si="294"/>
        <v>6.3144950993466011</v>
      </c>
      <c r="AQ335" s="60">
        <f t="shared" si="295"/>
        <v>-29.331549975286698</v>
      </c>
      <c r="AR335" t="str">
        <f t="shared" si="271"/>
        <v>-1,36472945891784</v>
      </c>
      <c r="AS335" t="str">
        <f t="shared" si="272"/>
        <v>1+2,08853097249462i</v>
      </c>
      <c r="AT335">
        <f t="shared" si="296"/>
        <v>2.3155909878623473</v>
      </c>
      <c r="AU335">
        <f t="shared" si="297"/>
        <v>1.1242476718357424</v>
      </c>
      <c r="AV335" t="str">
        <f t="shared" si="273"/>
        <v>1+2,08853097249462i</v>
      </c>
      <c r="AW335">
        <f t="shared" si="298"/>
        <v>2.3155909878623473</v>
      </c>
      <c r="AX335">
        <f t="shared" si="299"/>
        <v>1.1242476718357424</v>
      </c>
      <c r="AY335" t="str">
        <f t="shared" si="274"/>
        <v>1-0,00718208166292285i</v>
      </c>
      <c r="AZ335">
        <f t="shared" si="300"/>
        <v>1.0000257908159234</v>
      </c>
      <c r="BA335">
        <f t="shared" si="301"/>
        <v>-7.1819581773214609E-3</v>
      </c>
      <c r="BB335" s="58" t="str">
        <f t="shared" si="302"/>
        <v>-0,250702748645296+0,533402053856979i</v>
      </c>
      <c r="BC335">
        <f t="shared" si="303"/>
        <v>-4.5920816739330625</v>
      </c>
      <c r="BD335" s="60">
        <f t="shared" si="304"/>
        <v>115.17385738420319</v>
      </c>
      <c r="BE335" s="58" t="str">
        <f t="shared" si="305"/>
        <v>0,237648584754992+0,0305848591055996i</v>
      </c>
      <c r="BF335" s="37">
        <f t="shared" si="306"/>
        <v>-12.409951797169086</v>
      </c>
      <c r="BG335" s="60">
        <f t="shared" si="307"/>
        <v>7.333531503635081</v>
      </c>
      <c r="BH335" s="58" t="str">
        <f t="shared" si="308"/>
        <v>0,0884034472577659+1,21611942430044i</v>
      </c>
      <c r="BI335" s="37">
        <f t="shared" si="309"/>
        <v>1.7224134254135381</v>
      </c>
      <c r="BJ335" s="60">
        <f t="shared" si="310"/>
        <v>85.842307408916483</v>
      </c>
      <c r="BK335">
        <f t="shared" si="311"/>
        <v>-12.409951797169086</v>
      </c>
      <c r="BL335" s="60">
        <f t="shared" si="312"/>
        <v>7.333531503635081</v>
      </c>
      <c r="BN335">
        <f t="shared" si="313"/>
        <v>0</v>
      </c>
      <c r="BO335">
        <f t="shared" si="314"/>
        <v>0</v>
      </c>
    </row>
    <row r="336" spans="13:67" x14ac:dyDescent="0.25">
      <c r="M336" s="66">
        <v>18</v>
      </c>
      <c r="N336" s="36">
        <f t="shared" si="316"/>
        <v>15135.612484362096</v>
      </c>
      <c r="O336" s="91" t="str">
        <f t="shared" si="263"/>
        <v>22,5</v>
      </c>
      <c r="P336" s="67" t="str">
        <f t="shared" si="264"/>
        <v>1+102,70784661506i</v>
      </c>
      <c r="Q336" s="67">
        <f t="shared" si="275"/>
        <v>102.71271467692155</v>
      </c>
      <c r="R336" s="67">
        <f t="shared" si="276"/>
        <v>1.5610602799797111</v>
      </c>
      <c r="S336" s="67" t="str">
        <f t="shared" si="265"/>
        <v>1+2,85299573930724i</v>
      </c>
      <c r="T336" s="67">
        <f t="shared" si="277"/>
        <v>3.0231746043695957</v>
      </c>
      <c r="U336" s="67">
        <f t="shared" si="278"/>
        <v>1.2336683406663926</v>
      </c>
      <c r="V336" t="str">
        <f t="shared" si="266"/>
        <v>1-0,594374112355674i</v>
      </c>
      <c r="W336" s="67">
        <f t="shared" si="279"/>
        <v>1.1633058864454333</v>
      </c>
      <c r="X336" s="67">
        <f t="shared" si="280"/>
        <v>-0.53627254912118461</v>
      </c>
      <c r="Y336" t="str">
        <f t="shared" si="267"/>
        <v>0,985338447022286+1,6483975382664i</v>
      </c>
      <c r="Z336" s="67">
        <f t="shared" si="281"/>
        <v>1.9204442973809519</v>
      </c>
      <c r="AA336" s="67">
        <f t="shared" si="282"/>
        <v>1.0320289392092372</v>
      </c>
      <c r="AB336" s="92" t="str">
        <f t="shared" si="283"/>
        <v>-0,128053652439338-0,380169355766076i</v>
      </c>
      <c r="AC336" s="37">
        <f t="shared" si="284"/>
        <v>-7.93372496270631</v>
      </c>
      <c r="AD336" s="60">
        <f t="shared" si="285"/>
        <v>-108.61523265467507</v>
      </c>
      <c r="AE336" t="str">
        <f t="shared" si="286"/>
        <v>34,4450883806789</v>
      </c>
      <c r="AF336" t="str">
        <f t="shared" si="268"/>
        <v>1+51,3539233075303i</v>
      </c>
      <c r="AG336">
        <f t="shared" si="287"/>
        <v>51.363658739187414</v>
      </c>
      <c r="AH336">
        <f t="shared" si="288"/>
        <v>1.5513260785862666</v>
      </c>
      <c r="AI336" t="str">
        <f t="shared" si="269"/>
        <v>1+2,85299573930724i</v>
      </c>
      <c r="AJ336">
        <f t="shared" si="289"/>
        <v>3.0231746043695957</v>
      </c>
      <c r="AK336">
        <f t="shared" si="290"/>
        <v>1.2336683406663926</v>
      </c>
      <c r="AL336" t="str">
        <f t="shared" si="270"/>
        <v>1-0,194121772212144i</v>
      </c>
      <c r="AM336">
        <f t="shared" si="291"/>
        <v>1.0186673953979206</v>
      </c>
      <c r="AN336">
        <f t="shared" si="292"/>
        <v>-0.19173708156576927</v>
      </c>
      <c r="AO336" s="58" t="str">
        <f t="shared" si="293"/>
        <v>1,80302198579278-1,00710399051671i</v>
      </c>
      <c r="AP336">
        <f t="shared" si="294"/>
        <v>6.29933976297096</v>
      </c>
      <c r="AQ336" s="60">
        <f t="shared" si="295"/>
        <v>-29.186173262355826</v>
      </c>
      <c r="AR336" t="str">
        <f t="shared" si="271"/>
        <v>-1,36472945891784</v>
      </c>
      <c r="AS336" t="str">
        <f t="shared" si="272"/>
        <v>1+2,13717910831505i</v>
      </c>
      <c r="AT336">
        <f t="shared" si="296"/>
        <v>2.3595623621803923</v>
      </c>
      <c r="AU336">
        <f t="shared" si="297"/>
        <v>1.1331515381479695</v>
      </c>
      <c r="AV336" t="str">
        <f t="shared" si="273"/>
        <v>1+2,13717910831505i</v>
      </c>
      <c r="AW336">
        <f t="shared" si="298"/>
        <v>2.3595623621803923</v>
      </c>
      <c r="AX336">
        <f t="shared" si="299"/>
        <v>1.1331515381479695</v>
      </c>
      <c r="AY336" t="str">
        <f t="shared" si="274"/>
        <v>1-0,00701859752495241i</v>
      </c>
      <c r="AZ336">
        <f t="shared" si="300"/>
        <v>1.0000246300522888</v>
      </c>
      <c r="BA336">
        <f t="shared" si="301"/>
        <v>-7.0184822813233053E-3</v>
      </c>
      <c r="BB336" s="58" t="str">
        <f t="shared" si="302"/>
        <v>-0,241445923169469+0,52559166958822i</v>
      </c>
      <c r="BC336">
        <f t="shared" si="303"/>
        <v>-4.7554839437311998</v>
      </c>
      <c r="BD336" s="60">
        <f t="shared" si="304"/>
        <v>114.67306990205667</v>
      </c>
      <c r="BE336" s="58" t="str">
        <f t="shared" si="305"/>
        <v>0,230731878751808+0,0244864080812212i</v>
      </c>
      <c r="BF336" s="37">
        <f t="shared" si="306"/>
        <v>-12.689208906437518</v>
      </c>
      <c r="BG336" s="60">
        <f t="shared" si="307"/>
        <v>6.0578372473816016</v>
      </c>
      <c r="BH336" s="58" t="str">
        <f t="shared" si="308"/>
        <v>0,0939931599700495+1,19081448853506i</v>
      </c>
      <c r="BI336" s="37">
        <f t="shared" si="309"/>
        <v>1.5438558192397724</v>
      </c>
      <c r="BJ336" s="60">
        <f t="shared" si="310"/>
        <v>85.486896639700873</v>
      </c>
      <c r="BK336">
        <f t="shared" si="311"/>
        <v>-12.689208906437518</v>
      </c>
      <c r="BL336" s="60">
        <f t="shared" si="312"/>
        <v>6.0578372473816016</v>
      </c>
      <c r="BN336">
        <f t="shared" si="313"/>
        <v>0</v>
      </c>
      <c r="BO336">
        <f t="shared" si="314"/>
        <v>0</v>
      </c>
    </row>
    <row r="337" spans="13:67" x14ac:dyDescent="0.25">
      <c r="M337" s="66">
        <v>19</v>
      </c>
      <c r="N337" s="36">
        <f t="shared" si="316"/>
        <v>15488.166189124853</v>
      </c>
      <c r="O337" s="91" t="str">
        <f t="shared" si="263"/>
        <v>22,5</v>
      </c>
      <c r="P337" s="67" t="str">
        <f t="shared" si="264"/>
        <v>1+105,100219693438i</v>
      </c>
      <c r="Q337" s="67">
        <f t="shared" si="275"/>
        <v>105.10497694975693</v>
      </c>
      <c r="R337" s="67">
        <f t="shared" si="276"/>
        <v>1.5612818859319468</v>
      </c>
      <c r="S337" s="67" t="str">
        <f t="shared" si="265"/>
        <v>1+2,91945054703995i</v>
      </c>
      <c r="T337" s="67">
        <f t="shared" si="277"/>
        <v>3.0859668657670101</v>
      </c>
      <c r="U337" s="67">
        <f t="shared" si="278"/>
        <v>1.2407915480603384</v>
      </c>
      <c r="V337" t="str">
        <f t="shared" si="266"/>
        <v>1-0,608218863966656i</v>
      </c>
      <c r="W337" s="67">
        <f t="shared" si="279"/>
        <v>1.1704401678363954</v>
      </c>
      <c r="X337" s="67">
        <f t="shared" si="280"/>
        <v>-0.54644087623681703</v>
      </c>
      <c r="Y337" t="str">
        <f t="shared" si="267"/>
        <v>0,984647469318275+1,68679364940086i</v>
      </c>
      <c r="Z337" s="67">
        <f t="shared" si="281"/>
        <v>1.953152184161274</v>
      </c>
      <c r="AA337" s="67">
        <f t="shared" si="282"/>
        <v>1.0424191559985845</v>
      </c>
      <c r="AB337" s="92" t="str">
        <f t="shared" si="283"/>
        <v>-0,131481096154847-0,373408281721407i</v>
      </c>
      <c r="AC337" s="37">
        <f t="shared" si="284"/>
        <v>-8.0487274073983368</v>
      </c>
      <c r="AD337" s="60">
        <f t="shared" si="285"/>
        <v>-109.3977178188734</v>
      </c>
      <c r="AE337" t="str">
        <f t="shared" si="286"/>
        <v>34,4450883806789</v>
      </c>
      <c r="AF337" t="str">
        <f t="shared" si="268"/>
        <v>1+52,5501098467191i</v>
      </c>
      <c r="AG337">
        <f t="shared" si="287"/>
        <v>52.559623713476526</v>
      </c>
      <c r="AH337">
        <f t="shared" si="288"/>
        <v>1.5517691673388119</v>
      </c>
      <c r="AI337" t="str">
        <f t="shared" si="269"/>
        <v>1+2,91945054703995i</v>
      </c>
      <c r="AJ337">
        <f t="shared" si="289"/>
        <v>3.0859668657670101</v>
      </c>
      <c r="AK337">
        <f t="shared" si="290"/>
        <v>1.2407915480603384</v>
      </c>
      <c r="AL337" t="str">
        <f t="shared" si="270"/>
        <v>1-0,198643449153808i</v>
      </c>
      <c r="AM337">
        <f t="shared" si="291"/>
        <v>1.0195387289807687</v>
      </c>
      <c r="AN337">
        <f t="shared" si="292"/>
        <v>-0.19609084440852026</v>
      </c>
      <c r="AO337" s="58" t="str">
        <f t="shared" si="293"/>
        <v>1,8024651114495-1,00129864808326i</v>
      </c>
      <c r="AP337">
        <f t="shared" si="294"/>
        <v>6.2854008529434218</v>
      </c>
      <c r="AQ337" s="60">
        <f t="shared" si="295"/>
        <v>-29.052882893447411</v>
      </c>
      <c r="AR337" t="str">
        <f t="shared" si="271"/>
        <v>-1,36472945891784</v>
      </c>
      <c r="AS337" t="str">
        <f t="shared" si="272"/>
        <v>1+2,18696040478763i</v>
      </c>
      <c r="AT337">
        <f t="shared" si="296"/>
        <v>2.4047444380035219</v>
      </c>
      <c r="AU337">
        <f t="shared" si="297"/>
        <v>1.1419250079483818</v>
      </c>
      <c r="AV337" t="str">
        <f t="shared" si="273"/>
        <v>1+2,18696040478763i</v>
      </c>
      <c r="AW337">
        <f t="shared" si="298"/>
        <v>2.4047444380035219</v>
      </c>
      <c r="AX337">
        <f t="shared" si="299"/>
        <v>1.1419250079483818</v>
      </c>
      <c r="AY337" t="str">
        <f t="shared" si="274"/>
        <v>1-0,00685883474029182i</v>
      </c>
      <c r="AZ337">
        <f t="shared" si="300"/>
        <v>1.0000235215303661</v>
      </c>
      <c r="BA337">
        <f t="shared" si="301"/>
        <v>-6.8587271885362528E-3</v>
      </c>
      <c r="BB337" s="58" t="str">
        <f t="shared" si="302"/>
        <v>-0,232458236588479+0,517737413009685i</v>
      </c>
      <c r="BC337">
        <f t="shared" si="303"/>
        <v>-4.9202429495339821</v>
      </c>
      <c r="BD337" s="60">
        <f t="shared" si="304"/>
        <v>114.17954040337995</v>
      </c>
      <c r="BE337" s="58" t="str">
        <f t="shared" si="305"/>
        <v>0,223891301531709+0,0187291481136041i</v>
      </c>
      <c r="BF337" s="37">
        <f t="shared" si="306"/>
        <v>-12.968970356932317</v>
      </c>
      <c r="BG337" s="60">
        <f t="shared" si="307"/>
        <v>4.7818225845065294</v>
      </c>
      <c r="BH337" s="58" t="str">
        <f t="shared" si="308"/>
        <v>0,099411910388915+1,16596374187394i</v>
      </c>
      <c r="BI337" s="37">
        <f t="shared" si="309"/>
        <v>1.3651579034094328</v>
      </c>
      <c r="BJ337" s="60">
        <f t="shared" si="310"/>
        <v>85.126657509932528</v>
      </c>
      <c r="BK337">
        <f t="shared" si="311"/>
        <v>-12.968970356932317</v>
      </c>
      <c r="BL337" s="60">
        <f t="shared" si="312"/>
        <v>4.7818225845065294</v>
      </c>
      <c r="BN337">
        <f t="shared" si="313"/>
        <v>0</v>
      </c>
      <c r="BO337">
        <f t="shared" si="314"/>
        <v>0</v>
      </c>
    </row>
    <row r="338" spans="13:67" x14ac:dyDescent="0.25">
      <c r="M338" s="66">
        <v>20</v>
      </c>
      <c r="N338" s="36">
        <f t="shared" si="316"/>
        <v>15848.931924611146</v>
      </c>
      <c r="O338" s="91" t="str">
        <f t="shared" si="263"/>
        <v>22,5</v>
      </c>
      <c r="P338" s="67" t="str">
        <f t="shared" si="264"/>
        <v>1+107,548318299463i</v>
      </c>
      <c r="Q338" s="67">
        <f t="shared" si="275"/>
        <v>107.55296727214275</v>
      </c>
      <c r="R338" s="67">
        <f t="shared" si="276"/>
        <v>1.5614984484198753</v>
      </c>
      <c r="S338" s="67" t="str">
        <f t="shared" si="265"/>
        <v>1+2,98745328609619i</v>
      </c>
      <c r="T338" s="67">
        <f t="shared" si="277"/>
        <v>3.1503773006747817</v>
      </c>
      <c r="U338" s="67">
        <f t="shared" si="278"/>
        <v>1.2477863612297395</v>
      </c>
      <c r="V338" t="str">
        <f t="shared" si="266"/>
        <v>1-0,622386101270039i</v>
      </c>
      <c r="W338" s="67">
        <f t="shared" si="279"/>
        <v>1.1778643636064889</v>
      </c>
      <c r="X338" s="67">
        <f t="shared" si="280"/>
        <v>-0.55671744925894018</v>
      </c>
      <c r="Y338" t="str">
        <f t="shared" si="267"/>
        <v>0,983923926838339+1,72608412085557i</v>
      </c>
      <c r="Z338" s="67">
        <f t="shared" si="281"/>
        <v>1.9868247748794363</v>
      </c>
      <c r="AA338" s="67">
        <f t="shared" si="282"/>
        <v>1.0527033209047407</v>
      </c>
      <c r="AB338" s="92" t="str">
        <f t="shared" si="283"/>
        <v>-0,134831999221349-0,366711553628386i</v>
      </c>
      <c r="AC338" s="37">
        <f t="shared" si="284"/>
        <v>-8.1628318674402394</v>
      </c>
      <c r="AD338" s="60">
        <f t="shared" si="285"/>
        <v>-110.18739616930813</v>
      </c>
      <c r="AE338" t="str">
        <f t="shared" si="286"/>
        <v>34,4450883806789</v>
      </c>
      <c r="AF338" t="str">
        <f t="shared" si="268"/>
        <v>1+53,7741591497314i</v>
      </c>
      <c r="AG338">
        <f t="shared" si="287"/>
        <v>53.78345649231408</v>
      </c>
      <c r="AH338">
        <f t="shared" si="288"/>
        <v>1.5522021773802077</v>
      </c>
      <c r="AI338" t="str">
        <f t="shared" si="269"/>
        <v>1+2,98745328609619i</v>
      </c>
      <c r="AJ338">
        <f t="shared" si="289"/>
        <v>3.1503773006747817</v>
      </c>
      <c r="AK338">
        <f t="shared" si="290"/>
        <v>1.2477863612297395</v>
      </c>
      <c r="AL338" t="str">
        <f t="shared" si="270"/>
        <v>1-0,203270449481569i</v>
      </c>
      <c r="AM338">
        <f t="shared" si="291"/>
        <v>1.0204503298213192</v>
      </c>
      <c r="AN338">
        <f t="shared" si="292"/>
        <v>-0.20053823592884365</v>
      </c>
      <c r="AO338" s="58" t="str">
        <f t="shared" si="293"/>
        <v>1,80193328284296-0,996023253635187i</v>
      </c>
      <c r="AP338">
        <f t="shared" si="294"/>
        <v>6.2726606777469618</v>
      </c>
      <c r="AQ338" s="60">
        <f t="shared" si="295"/>
        <v>-28.931736032173692</v>
      </c>
      <c r="AR338" t="str">
        <f t="shared" si="271"/>
        <v>-1,36472945891784</v>
      </c>
      <c r="AS338" t="str">
        <f t="shared" si="272"/>
        <v>1+2,23790125661466i</v>
      </c>
      <c r="AT338">
        <f t="shared" si="296"/>
        <v>2.451163404254697</v>
      </c>
      <c r="AU338">
        <f t="shared" si="297"/>
        <v>1.1505673294067729</v>
      </c>
      <c r="AV338" t="str">
        <f t="shared" si="273"/>
        <v>1+2,23790125661466i</v>
      </c>
      <c r="AW338">
        <f t="shared" si="298"/>
        <v>2.451163404254697</v>
      </c>
      <c r="AX338">
        <f t="shared" si="299"/>
        <v>1.1505673294067729</v>
      </c>
      <c r="AY338" t="str">
        <f t="shared" si="274"/>
        <v>1-0,00670270860059795i</v>
      </c>
      <c r="AZ338">
        <f t="shared" si="300"/>
        <v>1.0000224628990013</v>
      </c>
      <c r="BA338">
        <f t="shared" si="301"/>
        <v>-6.7026082273320001E-3</v>
      </c>
      <c r="BB338" s="58" t="str">
        <f t="shared" si="302"/>
        <v>-0,223737236089437+0,509849225677819i</v>
      </c>
      <c r="BC338">
        <f t="shared" si="303"/>
        <v>-5.0863188462682274</v>
      </c>
      <c r="BD338" s="60">
        <f t="shared" si="304"/>
        <v>113.69331681619784</v>
      </c>
      <c r="BE338" s="58" t="str">
        <f t="shared" si="305"/>
        <v>0,21713454050674+0,0133030390512813i</v>
      </c>
      <c r="BF338" s="37">
        <f t="shared" si="306"/>
        <v>-13.249150713708481</v>
      </c>
      <c r="BG338" s="60">
        <f t="shared" si="307"/>
        <v>3.5059206468897006</v>
      </c>
      <c r="BH338" s="58" t="str">
        <f t="shared" si="308"/>
        <v>0,104662112302152+1,14156177882972i</v>
      </c>
      <c r="BI338" s="37">
        <f t="shared" si="309"/>
        <v>1.1863418314787444</v>
      </c>
      <c r="BJ338" s="60">
        <f t="shared" si="310"/>
        <v>84.761580784024176</v>
      </c>
      <c r="BK338">
        <f t="shared" si="311"/>
        <v>-13.249150713708481</v>
      </c>
      <c r="BL338" s="60">
        <f t="shared" si="312"/>
        <v>3.5059206468897006</v>
      </c>
      <c r="BN338">
        <f t="shared" si="313"/>
        <v>0</v>
      </c>
      <c r="BO338">
        <f t="shared" si="314"/>
        <v>0</v>
      </c>
    </row>
    <row r="339" spans="13:67" x14ac:dyDescent="0.25">
      <c r="M339" s="66">
        <v>21</v>
      </c>
      <c r="N339" s="36">
        <f t="shared" si="316"/>
        <v>16218.100973589309</v>
      </c>
      <c r="O339" s="91" t="str">
        <f t="shared" ref="O339:O402" si="317">COMPLEX(adc,0)</f>
        <v>22,5</v>
      </c>
      <c r="P339" s="67" t="str">
        <f t="shared" ref="P339:P402" si="318">IMSUM(COMPLEX(1,0),IMDIV(COMPLEX(0,2*PI()*N339),COMPLEX(wp_lf,0)))</f>
        <v>1+110,05344044742i</v>
      </c>
      <c r="Q339" s="67">
        <f t="shared" si="275"/>
        <v>110.05798360098109</v>
      </c>
      <c r="R339" s="67">
        <f t="shared" si="276"/>
        <v>1.5617100821864942</v>
      </c>
      <c r="S339" s="67" t="str">
        <f t="shared" ref="S339:S402" si="319">IMSUM(COMPLEX(1,0),IMDIV(COMPLEX(0,2*PI()*N339),COMPLEX(wz_esr,0)))</f>
        <v>1+3,05704001242833i</v>
      </c>
      <c r="T339" s="67">
        <f t="shared" si="277"/>
        <v>3.2164411447417787</v>
      </c>
      <c r="U339" s="67">
        <f t="shared" si="278"/>
        <v>1.2546537501096235</v>
      </c>
      <c r="V339" t="str">
        <f t="shared" ref="V339:V402" si="320">IMSUB(COMPLEX(1,0),IMDIV(COMPLEX(0,2*PI()*N339),COMPLEX(wz_rhp,0)))</f>
        <v>1-0,636883335922569i</v>
      </c>
      <c r="W339" s="67">
        <f t="shared" si="279"/>
        <v>1.1855886232483255</v>
      </c>
      <c r="X339" s="67">
        <f t="shared" si="280"/>
        <v>-0.56709903425796149</v>
      </c>
      <c r="Y339" t="str">
        <f t="shared" ref="Y339:Y402" si="321">IMSUM(COMPLEX(1,0),IMDIV(COMPLEX(0,2*PI()*N339),COMPLEX(Q*(wsl/2),0)),IMDIV(IMPOWER(COMPLEX(0,2*PI()*N339),2),IMPOWER(COMPLEX(wsl/2,0),2)))</f>
        <v>0,98316628485187+1,76628978495859i</v>
      </c>
      <c r="Z339" s="67">
        <f t="shared" si="281"/>
        <v>2.0214835018170416</v>
      </c>
      <c r="AA339" s="67">
        <f t="shared" si="282"/>
        <v>1.0628787144325234</v>
      </c>
      <c r="AB339" s="92" t="str">
        <f t="shared" si="283"/>
        <v>-0,138105529907586-0,360080021348786i</v>
      </c>
      <c r="AC339" s="37">
        <f t="shared" si="284"/>
        <v>-8.2759920528809854</v>
      </c>
      <c r="AD339" s="60">
        <f t="shared" si="285"/>
        <v>-110.98387760097253</v>
      </c>
      <c r="AE339" t="str">
        <f t="shared" si="286"/>
        <v>34,4450883806789</v>
      </c>
      <c r="AF339" t="str">
        <f t="shared" ref="AF339:AF402" si="322">IMSUM(COMPLEX(1,0),IMDIV(COMPLEX(0,2*PI()*N339),COMPLEX(wp_lf_DCM,0)))</f>
        <v>1+55,02672022371i</v>
      </c>
      <c r="AG339">
        <f t="shared" si="287"/>
        <v>55.035805968282645</v>
      </c>
      <c r="AH339">
        <f t="shared" si="288"/>
        <v>1.5526253376482302</v>
      </c>
      <c r="AI339" t="str">
        <f t="shared" ref="AI339:AI402" si="323">IMSUM(COMPLEX(1,0),IMDIV(COMPLEX(0,2*PI()*N339),COMPLEX(wz1_dcm,0)))</f>
        <v>1+3,05704001242833i</v>
      </c>
      <c r="AJ339">
        <f t="shared" si="289"/>
        <v>3.2164411447417787</v>
      </c>
      <c r="AK339">
        <f t="shared" si="290"/>
        <v>1.2546537501096235</v>
      </c>
      <c r="AL339" t="str">
        <f t="shared" ref="AL339:AL402" si="324">IMSUB(COMPLEX(1,0),IMDIV(COMPLEX(0,2*PI()*N339),COMPLEX(wz2_dcm,0)))</f>
        <v>1-0,208005226492249i</v>
      </c>
      <c r="AM339">
        <f t="shared" si="291"/>
        <v>1.0214040210651669</v>
      </c>
      <c r="AN339">
        <f t="shared" si="292"/>
        <v>-0.20508091012793347</v>
      </c>
      <c r="AO339" s="58" t="str">
        <f t="shared" si="293"/>
        <v>1,80142537428922-0,991275073707818i</v>
      </c>
      <c r="AP339">
        <f t="shared" si="294"/>
        <v>6.2611028959557942</v>
      </c>
      <c r="AQ339" s="60">
        <f t="shared" si="295"/>
        <v>-28.822784989807367</v>
      </c>
      <c r="AR339" t="str">
        <f t="shared" ref="AR339:AR402" si="325">COMPLEX(adc_ea,0)</f>
        <v>-1,36472945891784</v>
      </c>
      <c r="AS339" t="str">
        <f t="shared" ref="AS339:AS402" si="326">IMSUM(COMPLEX(1,0), IMDIV(COMPLEX(0,2*PI()*N339), COMPLEX(wp0_ea,0)))</f>
        <v>1+2,29002867331006i</v>
      </c>
      <c r="AT339">
        <f t="shared" si="296"/>
        <v>2.4988459985725879</v>
      </c>
      <c r="AU339">
        <f t="shared" si="297"/>
        <v>1.1590779198185563</v>
      </c>
      <c r="AV339" t="str">
        <f t="shared" ref="AV339:AV402" si="327">IMSUM(COMPLEX(1,0),IMDIV(COMPLEX(0,2*PI()*N339),COMPLEX(wp1_ea,0)))</f>
        <v>1+2,29002867331006i</v>
      </c>
      <c r="AW339">
        <f t="shared" si="298"/>
        <v>2.4988459985725879</v>
      </c>
      <c r="AX339">
        <f t="shared" si="299"/>
        <v>1.1590779198185563</v>
      </c>
      <c r="AY339" t="str">
        <f t="shared" ref="AY339:AY402" si="328">IMSUM(COMPLEX(1,0),IMDIV(COMPLEX(wz_ea,0),COMPLEX(0,2*PI()*N339)))</f>
        <v>1-0,00655013632572497i</v>
      </c>
      <c r="AZ339">
        <f t="shared" si="300"/>
        <v>1.0000214519128505</v>
      </c>
      <c r="BA339">
        <f t="shared" si="301"/>
        <v>-6.5500426518291955E-3</v>
      </c>
      <c r="BB339" s="58" t="str">
        <f t="shared" si="302"/>
        <v>-0,215280063655234+0,501936682566147i</v>
      </c>
      <c r="BC339">
        <f t="shared" si="303"/>
        <v>-5.2536721834293196</v>
      </c>
      <c r="BD339" s="60">
        <f t="shared" si="304"/>
        <v>113.21443726801334</v>
      </c>
      <c r="BE339" s="58" t="str">
        <f t="shared" si="305"/>
        <v>0,210468738643802+0,00819781839109114i</v>
      </c>
      <c r="BF339" s="37">
        <f t="shared" si="306"/>
        <v>-13.529664236310303</v>
      </c>
      <c r="BG339" s="60">
        <f t="shared" si="307"/>
        <v>2.2305596670408012</v>
      </c>
      <c r="BH339" s="58" t="str">
        <f t="shared" si="308"/>
        <v>0,109746352760278+1,11760323722888i</v>
      </c>
      <c r="BI339" s="37">
        <f t="shared" si="309"/>
        <v>1.0074307125265034</v>
      </c>
      <c r="BJ339" s="60">
        <f t="shared" si="310"/>
        <v>84.39165227820601</v>
      </c>
      <c r="BK339">
        <f t="shared" si="311"/>
        <v>-13.529664236310303</v>
      </c>
      <c r="BL339" s="60">
        <f t="shared" si="312"/>
        <v>2.2305596670408012</v>
      </c>
      <c r="BN339">
        <f t="shared" si="313"/>
        <v>0</v>
      </c>
      <c r="BO339">
        <f t="shared" si="314"/>
        <v>0</v>
      </c>
    </row>
    <row r="340" spans="13:67" x14ac:dyDescent="0.25">
      <c r="M340" s="66">
        <v>22</v>
      </c>
      <c r="N340" s="36">
        <f t="shared" si="316"/>
        <v>16595.869074375616</v>
      </c>
      <c r="O340" s="91" t="str">
        <f t="shared" si="317"/>
        <v>22,5</v>
      </c>
      <c r="P340" s="67" t="str">
        <f t="shared" si="318"/>
        <v>1+112,616914386232i</v>
      </c>
      <c r="Q340" s="67">
        <f t="shared" ref="Q340:Q403" si="329">IMABS(P340)</f>
        <v>112.62135412911668</v>
      </c>
      <c r="R340" s="67">
        <f t="shared" ref="R340:R403" si="330">IMARGUMENT(P340)</f>
        <v>1.5619168993669541</v>
      </c>
      <c r="S340" s="67" t="str">
        <f t="shared" si="319"/>
        <v>1+3,12824762183979i</v>
      </c>
      <c r="T340" s="67">
        <f t="shared" ref="T340:T403" si="331">IMABS(S340)</f>
        <v>3.2841944497161406</v>
      </c>
      <c r="U340" s="67">
        <f t="shared" ref="U340:U403" si="332">IMARGUMENT(S340)</f>
        <v>1.2613947640182641</v>
      </c>
      <c r="V340" t="str">
        <f t="shared" si="320"/>
        <v>1-0,651718254549956i</v>
      </c>
      <c r="W340" s="67">
        <f t="shared" ref="W340:W403" si="333">IMABS(V340)</f>
        <v>1.1936233423126581</v>
      </c>
      <c r="X340" s="67">
        <f t="shared" ref="X340:X403" si="334">IMARGUMENT(V340)</f>
        <v>-0.57758218417618001</v>
      </c>
      <c r="Y340" t="str">
        <f t="shared" si="321"/>
        <v>0,982372936298636+1,80743195928521i</v>
      </c>
      <c r="Z340" s="67">
        <f t="shared" ref="Z340:Z403" si="335">IMABS(Y340)</f>
        <v>2.057150182514047</v>
      </c>
      <c r="AA340" s="67">
        <f t="shared" ref="AA340:AA403" si="336">IMARGUMENT(Y340)</f>
        <v>1.0729428330784148</v>
      </c>
      <c r="AB340" s="92" t="str">
        <f t="shared" ref="AB340:AB403" si="337">(IMDIV(IMPRODUCT(O340,S340,V340),IMPRODUCT(P340,Y340)))</f>
        <v>-0,141301044840647-0,353514574549835i</v>
      </c>
      <c r="AC340" s="37">
        <f t="shared" ref="AC340:AC403" si="338">20*LOG(IMABS(AB340))</f>
        <v>-8.388161186684254</v>
      </c>
      <c r="AD340" s="60">
        <f t="shared" ref="AD340:AD403" si="339">(180/PI())*IMARGUMENT(AB340)</f>
        <v>-111.78676747518487</v>
      </c>
      <c r="AE340" t="str">
        <f t="shared" ref="AE340:AE403" si="340">COMPLEX($B$67,0)</f>
        <v>34,4450883806789</v>
      </c>
      <c r="AF340" t="str">
        <f t="shared" si="322"/>
        <v>1+56,3084571931163i</v>
      </c>
      <c r="AG340">
        <f t="shared" ref="AG340:AG403" si="341">IMABS(AF340)</f>
        <v>56.317336153879033</v>
      </c>
      <c r="AH340">
        <f t="shared" ref="AH340:AH403" si="342">IMARGUMENT(AF340)</f>
        <v>1.5530388719015225</v>
      </c>
      <c r="AI340" t="str">
        <f t="shared" si="323"/>
        <v>1+3,12824762183979i</v>
      </c>
      <c r="AJ340">
        <f t="shared" ref="AJ340:AJ403" si="343">IMABS(AI340)</f>
        <v>3.2841944497161406</v>
      </c>
      <c r="AK340">
        <f t="shared" ref="AK340:AK403" si="344">IMARGUMENT(AI340)</f>
        <v>1.2613947640182641</v>
      </c>
      <c r="AL340" t="str">
        <f t="shared" si="324"/>
        <v>1-0,21285029062729i</v>
      </c>
      <c r="AM340">
        <f t="shared" ref="AM340:AM403" si="345">IMABS(AL340)</f>
        <v>1.0224017049184346</v>
      </c>
      <c r="AN340">
        <f t="shared" ref="AN340:AN403" si="346">IMARGUMENT(AL340)</f>
        <v>-0.2097205253014198</v>
      </c>
      <c r="AO340" s="58" t="str">
        <f t="shared" ref="AO340:AO403" si="347">(IMDIV(IMPRODUCT(AE340,AI340,AL340),IMPRODUCT(AF340)))</f>
        <v>1,80094031063132-0,987051650131001i</v>
      </c>
      <c r="AP340">
        <f t="shared" ref="AP340:AP403" si="348">20*LOG(IMABS(AO340))</f>
        <v>6.2507125407606168</v>
      </c>
      <c r="AQ340" s="60">
        <f t="shared" ref="AQ340:AQ403" si="349">(180/PI())*IMARGUMENT(AO340)</f>
        <v>-28.726077478606648</v>
      </c>
      <c r="AR340" t="str">
        <f t="shared" si="325"/>
        <v>-1,36472945891784</v>
      </c>
      <c r="AS340" t="str">
        <f t="shared" si="326"/>
        <v>1+2,34337029352019i</v>
      </c>
      <c r="AT340">
        <f t="shared" ref="AT340:AT403" si="350">IMABS(AS340)</f>
        <v>2.5478195251141518</v>
      </c>
      <c r="AU340">
        <f t="shared" ref="AU340:AU403" si="351">IMARGUMENT(AS340)</f>
        <v>1.167456359178509</v>
      </c>
      <c r="AV340" t="str">
        <f t="shared" si="327"/>
        <v>1+2,34337029352019i</v>
      </c>
      <c r="AW340">
        <f t="shared" ref="AW340:AW403" si="352">IMABS(AV340)</f>
        <v>2.5478195251141518</v>
      </c>
      <c r="AX340">
        <f t="shared" ref="AX340:AX403" si="353">IMARGUMENT(AV340)</f>
        <v>1.167456359178509</v>
      </c>
      <c r="AY340" t="str">
        <f t="shared" si="328"/>
        <v>1-0,00640103701983316i</v>
      </c>
      <c r="AZ340">
        <f t="shared" ref="AZ340:AZ403" si="354">IMABS(AY340)</f>
        <v>1.0000204864276179</v>
      </c>
      <c r="BA340">
        <f t="shared" ref="BA340:BA403" si="355">IMARGUMENT(AY340)</f>
        <v>-6.4009495981657725E-3</v>
      </c>
      <c r="BB340" s="58" t="str">
        <f t="shared" ref="BB340:BB403" si="356">IMDIV(IMPRODUCT(AR340,AY340), AS340)</f>
        <v>-0,207083489155449+0,49400898055398i</v>
      </c>
      <c r="BC340">
        <f t="shared" ref="BC340:BC403" si="357">20*LOG(IMABS(BB340))</f>
        <v>-5.4222639629431768</v>
      </c>
      <c r="BD340" s="60">
        <f t="shared" ref="BD340:BD403" si="358">(180/PI())*IMARGUMENT(BB340)</f>
        <v>112.74293045651143</v>
      </c>
      <c r="BE340" s="58" t="str">
        <f t="shared" ref="BE340:BE403" si="359">IMPRODUCT(AB340,BB340)</f>
        <v>0,20390048797125+0,00340304645214366i</v>
      </c>
      <c r="BF340" s="37">
        <f t="shared" ref="BF340:BF403" si="360">20*LOG(IMABS(BE340))</f>
        <v>-13.810425149627418</v>
      </c>
      <c r="BG340" s="60">
        <f t="shared" ref="BG340:BG403" si="361">(180/PI())*IMARGUMENT(BE340)</f>
        <v>0.9561629813265522</v>
      </c>
      <c r="BH340" s="58" t="str">
        <f t="shared" ref="BH340:BH403" si="362">IMPRODUCT(AO340,BB340)</f>
        <v>0,114667376149108+1,09408278657932i</v>
      </c>
      <c r="BI340" s="37">
        <f t="shared" ref="BI340:BI403" si="363">20*LOG(IMABS(BH340))</f>
        <v>0.82844857781745596</v>
      </c>
      <c r="BJ340" s="60">
        <f t="shared" ref="BJ340:BJ403" si="364">(180/PI())*IMARGUMENT(BH340)</f>
        <v>84.01685297790479</v>
      </c>
      <c r="BK340">
        <f t="shared" ref="BK340:BK403" si="365">IF($B$19=0,BF340,BI340)</f>
        <v>-13.810425149627418</v>
      </c>
      <c r="BL340" s="60">
        <f t="shared" ref="BL340:BL403" si="366">IF($B$19=0,BG340,BJ340)</f>
        <v>0.9561629813265522</v>
      </c>
      <c r="BN340">
        <f t="shared" si="313"/>
        <v>0</v>
      </c>
      <c r="BO340">
        <f t="shared" si="314"/>
        <v>0</v>
      </c>
    </row>
    <row r="341" spans="13:67" x14ac:dyDescent="0.25">
      <c r="M341" s="66">
        <v>23</v>
      </c>
      <c r="N341" s="36">
        <f t="shared" si="316"/>
        <v>16982.436524617482</v>
      </c>
      <c r="O341" s="91" t="str">
        <f t="shared" si="317"/>
        <v>22,5</v>
      </c>
      <c r="P341" s="67" t="str">
        <f t="shared" si="318"/>
        <v>1+115,240099303714i</v>
      </c>
      <c r="Q341" s="67">
        <f t="shared" si="329"/>
        <v>115.24443798956139</v>
      </c>
      <c r="R341" s="67">
        <f t="shared" si="330"/>
        <v>1.5621190095476505</v>
      </c>
      <c r="S341" s="67" t="str">
        <f t="shared" si="319"/>
        <v>1+3,20111386954761i</v>
      </c>
      <c r="T341" s="67">
        <f t="shared" si="331"/>
        <v>3.3536741054864097</v>
      </c>
      <c r="U341" s="67">
        <f t="shared" si="332"/>
        <v>1.2680105257179872</v>
      </c>
      <c r="V341" t="str">
        <f t="shared" si="320"/>
        <v>1-0,666898722822419i</v>
      </c>
      <c r="W341" s="67">
        <f t="shared" si="333"/>
        <v>1.2019791622578877</v>
      </c>
      <c r="X341" s="67">
        <f t="shared" si="334"/>
        <v>-0.58816324060317537</v>
      </c>
      <c r="Y341" t="str">
        <f t="shared" si="321"/>
        <v>0,981542198379989+1,84953245796084i</v>
      </c>
      <c r="Z341" s="67">
        <f t="shared" si="335"/>
        <v>2.0938470336324211</v>
      </c>
      <c r="AA341" s="67">
        <f t="shared" si="336"/>
        <v>1.0828933879144054</v>
      </c>
      <c r="AB341" s="92" t="str">
        <f t="shared" si="337"/>
        <v>-0,144418083483037-0,347016129298644i</v>
      </c>
      <c r="AC341" s="37">
        <f t="shared" si="338"/>
        <v>-8.4992922189767324</v>
      </c>
      <c r="AD341" s="60">
        <f t="shared" si="339"/>
        <v>-112.59566698384921</v>
      </c>
      <c r="AE341" t="str">
        <f t="shared" si="340"/>
        <v>34,4450883806789</v>
      </c>
      <c r="AF341" t="str">
        <f t="shared" si="322"/>
        <v>1+57,620049651857i</v>
      </c>
      <c r="AG341">
        <f t="shared" si="341"/>
        <v>57.628726533582757</v>
      </c>
      <c r="AH341">
        <f t="shared" si="342"/>
        <v>1.5534429988353451</v>
      </c>
      <c r="AI341" t="str">
        <f t="shared" si="323"/>
        <v>1+3,20111386954761i</v>
      </c>
      <c r="AJ341">
        <f t="shared" si="343"/>
        <v>3.3536741054864097</v>
      </c>
      <c r="AK341">
        <f t="shared" si="344"/>
        <v>1.2680105257179872</v>
      </c>
      <c r="AL341" t="str">
        <f t="shared" si="324"/>
        <v>1-0,217808210803829i</v>
      </c>
      <c r="AM341">
        <f t="shared" si="345"/>
        <v>1.0234453657589959</v>
      </c>
      <c r="AN341">
        <f t="shared" si="346"/>
        <v>-0.21445874208180532</v>
      </c>
      <c r="AO341" s="58" t="str">
        <f t="shared" si="347"/>
        <v>1,80047706497722-0,983350799008366i</v>
      </c>
      <c r="AP341">
        <f t="shared" si="348"/>
        <v>6.2414760417753516</v>
      </c>
      <c r="AQ341" s="60">
        <f t="shared" si="349"/>
        <v>-28.64165684657808</v>
      </c>
      <c r="AR341" t="str">
        <f t="shared" si="325"/>
        <v>-1,36472945891784</v>
      </c>
      <c r="AS341" t="str">
        <f t="shared" si="326"/>
        <v>1+2,39795439967812i</v>
      </c>
      <c r="AT341">
        <f t="shared" si="350"/>
        <v>2.5981118726751649</v>
      </c>
      <c r="AU341">
        <f t="shared" si="351"/>
        <v>1.1757023835813101</v>
      </c>
      <c r="AV341" t="str">
        <f t="shared" si="327"/>
        <v>1+2,39795439967812i</v>
      </c>
      <c r="AW341">
        <f t="shared" si="352"/>
        <v>2.5981118726751649</v>
      </c>
      <c r="AX341">
        <f t="shared" si="353"/>
        <v>1.1757023835813101</v>
      </c>
      <c r="AY341" t="str">
        <f t="shared" si="328"/>
        <v>1-0,00625533162849698i</v>
      </c>
      <c r="AZ341">
        <f t="shared" si="354"/>
        <v>1.0000195643955085</v>
      </c>
      <c r="BA341">
        <f t="shared" si="355"/>
        <v>-6.2552500417596387E-3</v>
      </c>
      <c r="BB341" s="58" t="str">
        <f t="shared" si="356"/>
        <v>-0,199143942974344+0,486074929573287i</v>
      </c>
      <c r="BC341">
        <f t="shared" si="357"/>
        <v>-5.5920556921345197</v>
      </c>
      <c r="BD341" s="60">
        <f t="shared" si="358"/>
        <v>112.27881603012806</v>
      </c>
      <c r="BE341" s="58" t="str">
        <f t="shared" si="359"/>
        <v>0,197435827191243-0,00109184949389954i</v>
      </c>
      <c r="BF341" s="37">
        <f t="shared" si="360"/>
        <v>-14.091347911111257</v>
      </c>
      <c r="BG341" s="60">
        <f t="shared" si="361"/>
        <v>-0.3168509537211443</v>
      </c>
      <c r="BH341" s="58" t="str">
        <f t="shared" si="362"/>
        <v>0,119428068419389+1,07099511799862i</v>
      </c>
      <c r="BI341" s="37">
        <f t="shared" si="363"/>
        <v>0.6494203496408435</v>
      </c>
      <c r="BJ341" s="60">
        <f t="shared" si="364"/>
        <v>83.637159183550011</v>
      </c>
      <c r="BK341">
        <f t="shared" si="365"/>
        <v>-14.091347911111257</v>
      </c>
      <c r="BL341" s="60">
        <f t="shared" si="366"/>
        <v>-0.3168509537211443</v>
      </c>
      <c r="BN341">
        <f t="shared" ref="BN341:BN404" si="367">SUM((BK342&lt;0)*(BK341&gt;0))*N341</f>
        <v>0</v>
      </c>
      <c r="BO341">
        <f t="shared" ref="BO341:BO404" si="368">IF(BN341&gt;0,BL341,0)</f>
        <v>0</v>
      </c>
    </row>
    <row r="342" spans="13:67" x14ac:dyDescent="0.25">
      <c r="M342" s="66">
        <v>24</v>
      </c>
      <c r="N342" s="36">
        <f t="shared" si="316"/>
        <v>17378.008287493791</v>
      </c>
      <c r="O342" s="91" t="str">
        <f t="shared" si="317"/>
        <v>22,5</v>
      </c>
      <c r="P342" s="67" t="str">
        <f t="shared" si="318"/>
        <v>1+117,924386047228i</v>
      </c>
      <c r="Q342" s="67">
        <f t="shared" si="329"/>
        <v>117.92862597612024</v>
      </c>
      <c r="R342" s="67">
        <f t="shared" si="330"/>
        <v>1.5623165198239914</v>
      </c>
      <c r="S342" s="67" t="str">
        <f t="shared" si="319"/>
        <v>1+3,27567739020078i</v>
      </c>
      <c r="T342" s="67">
        <f t="shared" si="331"/>
        <v>3.4249178624709518</v>
      </c>
      <c r="U342" s="67">
        <f t="shared" si="332"/>
        <v>1.2745022256643859</v>
      </c>
      <c r="V342" t="str">
        <f t="shared" si="320"/>
        <v>1-0,682432789625163i</v>
      </c>
      <c r="W342" s="67">
        <f t="shared" si="333"/>
        <v>1.2106669700440258</v>
      </c>
      <c r="X342" s="67">
        <f t="shared" si="334"/>
        <v>-0.59883833648201013</v>
      </c>
      <c r="Y342" t="str">
        <f t="shared" si="321"/>
        <v>0,980672308989427+1,89261360322712i</v>
      </c>
      <c r="Z342" s="67">
        <f t="shared" si="335"/>
        <v>2.1315966852899253</v>
      </c>
      <c r="AA342" s="67">
        <f t="shared" si="336"/>
        <v>1.0927283024464138</v>
      </c>
      <c r="AB342" s="92" t="str">
        <f t="shared" si="337"/>
        <v>-0,147456361856099-0,34058561550296i</v>
      </c>
      <c r="AC342" s="37">
        <f t="shared" si="338"/>
        <v>-8.6093380413066782</v>
      </c>
      <c r="AD342" s="60">
        <f t="shared" si="339"/>
        <v>-113.41017351461078</v>
      </c>
      <c r="AE342" t="str">
        <f t="shared" si="340"/>
        <v>34,4450883806789</v>
      </c>
      <c r="AF342" t="str">
        <f t="shared" si="322"/>
        <v>1+58,9621930236141i</v>
      </c>
      <c r="AG342">
        <f t="shared" si="341"/>
        <v>58.970672424128992</v>
      </c>
      <c r="AH342">
        <f t="shared" si="342"/>
        <v>1.553837932194833</v>
      </c>
      <c r="AI342" t="str">
        <f t="shared" si="323"/>
        <v>1+3,27567739020078i</v>
      </c>
      <c r="AJ342">
        <f t="shared" si="343"/>
        <v>3.4249178624709518</v>
      </c>
      <c r="AK342">
        <f t="shared" si="344"/>
        <v>1.2745022256643859</v>
      </c>
      <c r="AL342" t="str">
        <f t="shared" si="324"/>
        <v>1-0,222881615776766i</v>
      </c>
      <c r="AM342">
        <f t="shared" si="345"/>
        <v>1.0245370733415466</v>
      </c>
      <c r="AN342">
        <f t="shared" si="346"/>
        <v>-0.21929722133083909</v>
      </c>
      <c r="AO342" s="58" t="str">
        <f t="shared" si="347"/>
        <v>1,80003465653855-0,980170609823173i</v>
      </c>
      <c r="AP342">
        <f t="shared" si="348"/>
        <v>6.2333812442746153</v>
      </c>
      <c r="AQ342" s="60">
        <f t="shared" si="349"/>
        <v>-28.569562292703058</v>
      </c>
      <c r="AR342" t="str">
        <f t="shared" si="325"/>
        <v>-1,36472945891784</v>
      </c>
      <c r="AS342" t="str">
        <f t="shared" si="326"/>
        <v>1+2,45380993299941i</v>
      </c>
      <c r="AT342">
        <f t="shared" si="350"/>
        <v>2.6497515331227883</v>
      </c>
      <c r="AU342">
        <f t="shared" si="351"/>
        <v>1.183815878493129</v>
      </c>
      <c r="AV342" t="str">
        <f t="shared" si="327"/>
        <v>1+2,45380993299941i</v>
      </c>
      <c r="AW342">
        <f t="shared" si="352"/>
        <v>2.6497515331227883</v>
      </c>
      <c r="AX342">
        <f t="shared" si="353"/>
        <v>1.183815878493129</v>
      </c>
      <c r="AY342" t="str">
        <f t="shared" si="328"/>
        <v>1-0,00611294289678941i</v>
      </c>
      <c r="AZ342">
        <f t="shared" si="354"/>
        <v>1.0000186838608864</v>
      </c>
      <c r="BA342">
        <f t="shared" si="355"/>
        <v>-6.1128667555354448E-3</v>
      </c>
      <c r="BB342" s="58" t="str">
        <f t="shared" si="356"/>
        <v>-0,191457547991079+0,478142946260151i</v>
      </c>
      <c r="BC342">
        <f t="shared" si="357"/>
        <v>-5.763009431885683</v>
      </c>
      <c r="BD342" s="60">
        <f t="shared" si="358"/>
        <v>111.82210497595385</v>
      </c>
      <c r="BE342" s="58" t="str">
        <f t="shared" si="359"/>
        <v>0,191080243127066-0,00529753247744898i</v>
      </c>
      <c r="BF342" s="37">
        <f t="shared" si="360"/>
        <v>-14.37234747319237</v>
      </c>
      <c r="BG342" s="60">
        <f t="shared" si="361"/>
        <v>-1.5880685386569231</v>
      </c>
      <c r="BH342" s="58" t="str">
        <f t="shared" si="362"/>
        <v>0,124031441578626+1,04833493561739i</v>
      </c>
      <c r="BI342" s="37">
        <f t="shared" si="363"/>
        <v>0.47037181238895948</v>
      </c>
      <c r="BJ342" s="60">
        <f t="shared" si="364"/>
        <v>83.252542683250823</v>
      </c>
      <c r="BK342">
        <f t="shared" si="365"/>
        <v>-14.37234747319237</v>
      </c>
      <c r="BL342" s="60">
        <f t="shared" si="366"/>
        <v>-1.5880685386569231</v>
      </c>
      <c r="BN342">
        <f t="shared" si="367"/>
        <v>0</v>
      </c>
      <c r="BO342">
        <f t="shared" si="368"/>
        <v>0</v>
      </c>
    </row>
    <row r="343" spans="13:67" x14ac:dyDescent="0.25">
      <c r="M343" s="66">
        <v>25</v>
      </c>
      <c r="N343" s="36">
        <f t="shared" si="316"/>
        <v>17782.794100389234</v>
      </c>
      <c r="O343" s="91" t="str">
        <f t="shared" si="317"/>
        <v>22,5</v>
      </c>
      <c r="P343" s="67" t="str">
        <f t="shared" si="318"/>
        <v>1+120,671197861138i</v>
      </c>
      <c r="Q343" s="67">
        <f t="shared" si="329"/>
        <v>120.67534128081809</v>
      </c>
      <c r="R343" s="67">
        <f t="shared" si="330"/>
        <v>1.5625095348568647</v>
      </c>
      <c r="S343" s="67" t="str">
        <f t="shared" si="319"/>
        <v>1+3,35197771836495i</v>
      </c>
      <c r="T343" s="67">
        <f t="shared" si="331"/>
        <v>3.4979643543659926</v>
      </c>
      <c r="U343" s="67">
        <f t="shared" si="332"/>
        <v>1.2808711164523463</v>
      </c>
      <c r="V343" t="str">
        <f t="shared" si="320"/>
        <v>1-0,698328691326031i</v>
      </c>
      <c r="W343" s="67">
        <f t="shared" si="333"/>
        <v>1.2196978974849171</v>
      </c>
      <c r="X343" s="67">
        <f t="shared" si="334"/>
        <v>-0.60960339977288569</v>
      </c>
      <c r="Y343" t="str">
        <f t="shared" si="321"/>
        <v>0,979761422974922+1,93669823727753i</v>
      </c>
      <c r="Z343" s="67">
        <f t="shared" si="335"/>
        <v>2.170422195846637</v>
      </c>
      <c r="AA343" s="67">
        <f t="shared" si="336"/>
        <v>1.1024457097993807</v>
      </c>
      <c r="AB343" s="92" t="str">
        <f t="shared" si="337"/>
        <v>-0,150415765608823-0,334223965231979i</v>
      </c>
      <c r="AC343" s="37">
        <f t="shared" si="338"/>
        <v>-8.7182516996884125</v>
      </c>
      <c r="AD343" s="60">
        <f t="shared" si="339"/>
        <v>-114.22988102094008</v>
      </c>
      <c r="AE343" t="str">
        <f t="shared" si="340"/>
        <v>34,4450883806789</v>
      </c>
      <c r="AF343" t="str">
        <f t="shared" si="322"/>
        <v>1+60,3355989305692i</v>
      </c>
      <c r="AG343">
        <f t="shared" si="341"/>
        <v>60.343885343177099</v>
      </c>
      <c r="AH343">
        <f t="shared" si="342"/>
        <v>1.5542238808858091</v>
      </c>
      <c r="AI343" t="str">
        <f t="shared" si="323"/>
        <v>1+3,35197771836495i</v>
      </c>
      <c r="AJ343">
        <f t="shared" si="343"/>
        <v>3.4979643543659926</v>
      </c>
      <c r="AK343">
        <f t="shared" si="344"/>
        <v>1.2808711164523463</v>
      </c>
      <c r="AL343" t="str">
        <f t="shared" si="324"/>
        <v>1-0,228073195532575i</v>
      </c>
      <c r="AM343">
        <f t="shared" si="345"/>
        <v>1.0256789860967417</v>
      </c>
      <c r="AN343">
        <f t="shared" si="346"/>
        <v>-0.22423762187530788</v>
      </c>
      <c r="AO343" s="58" t="str">
        <f t="shared" si="347"/>
        <v>1,79961214856563-0,977509444671562i</v>
      </c>
      <c r="AP343">
        <f t="shared" si="348"/>
        <v>6.2264174260005545</v>
      </c>
      <c r="AQ343" s="60">
        <f t="shared" si="349"/>
        <v>-28.509829061776671</v>
      </c>
      <c r="AR343" t="str">
        <f t="shared" si="325"/>
        <v>-1,36472945891784</v>
      </c>
      <c r="AS343" t="str">
        <f t="shared" si="326"/>
        <v>1+2,51096650882719i</v>
      </c>
      <c r="AT343">
        <f t="shared" si="350"/>
        <v>2.7027676201352953</v>
      </c>
      <c r="AU343">
        <f t="shared" si="351"/>
        <v>1.1917968719357372</v>
      </c>
      <c r="AV343" t="str">
        <f t="shared" si="327"/>
        <v>1+2,51096650882719i</v>
      </c>
      <c r="AW343">
        <f t="shared" si="352"/>
        <v>2.7027676201352953</v>
      </c>
      <c r="AX343">
        <f t="shared" si="353"/>
        <v>1.1917968719357372</v>
      </c>
      <c r="AY343" t="str">
        <f t="shared" si="328"/>
        <v>1-0,00597379532832008i</v>
      </c>
      <c r="AZ343">
        <f t="shared" si="354"/>
        <v>1.0000178429561268</v>
      </c>
      <c r="BA343">
        <f t="shared" si="355"/>
        <v>-5.9737242690956448E-3</v>
      </c>
      <c r="BB343" s="58" t="str">
        <f t="shared" si="356"/>
        <v>-0,184020150750155+0,470221049949075i</v>
      </c>
      <c r="BC343">
        <f t="shared" si="357"/>
        <v>-5.9350878400939173</v>
      </c>
      <c r="BD343" s="60">
        <f t="shared" si="358"/>
        <v>111.37280001259469</v>
      </c>
      <c r="BE343" s="58" t="str">
        <f t="shared" si="359"/>
        <v>0,18483867571206-0,00922471476717138i</v>
      </c>
      <c r="BF343" s="37">
        <f t="shared" si="360"/>
        <v>-14.653339539782323</v>
      </c>
      <c r="BG343" s="60">
        <f t="shared" si="361"/>
        <v>-2.857081008345383</v>
      </c>
      <c r="BH343" s="58" t="str">
        <f t="shared" si="362"/>
        <v>0,128480618537742+1,0260969493678i</v>
      </c>
      <c r="BI343" s="37">
        <f t="shared" si="363"/>
        <v>0.29132958590661795</v>
      </c>
      <c r="BJ343" s="60">
        <f t="shared" si="364"/>
        <v>82.862970950817996</v>
      </c>
      <c r="BK343">
        <f t="shared" si="365"/>
        <v>-14.653339539782323</v>
      </c>
      <c r="BL343" s="60">
        <f t="shared" si="366"/>
        <v>-2.857081008345383</v>
      </c>
      <c r="BN343">
        <f t="shared" si="367"/>
        <v>0</v>
      </c>
      <c r="BO343">
        <f t="shared" si="368"/>
        <v>0</v>
      </c>
    </row>
    <row r="344" spans="13:67" x14ac:dyDescent="0.25">
      <c r="M344" s="66">
        <v>26</v>
      </c>
      <c r="N344" s="36">
        <f t="shared" si="316"/>
        <v>18197.008586099837</v>
      </c>
      <c r="O344" s="91" t="str">
        <f t="shared" si="317"/>
        <v>22,5</v>
      </c>
      <c r="P344" s="67" t="str">
        <f t="shared" si="318"/>
        <v>1+123,481991141427i</v>
      </c>
      <c r="Q344" s="67">
        <f t="shared" si="329"/>
        <v>123.48604024848905</v>
      </c>
      <c r="R344" s="67">
        <f t="shared" si="330"/>
        <v>1.5626981569278371</v>
      </c>
      <c r="S344" s="67" t="str">
        <f t="shared" si="319"/>
        <v>1+3,43005530948409i</v>
      </c>
      <c r="T344" s="67">
        <f t="shared" si="331"/>
        <v>3.5728531212631731</v>
      </c>
      <c r="U344" s="67">
        <f t="shared" si="332"/>
        <v>1.2871185074653799</v>
      </c>
      <c r="V344" t="str">
        <f t="shared" si="320"/>
        <v>1-0,714594856142519i</v>
      </c>
      <c r="W344" s="67">
        <f t="shared" si="333"/>
        <v>1.229083320375534</v>
      </c>
      <c r="X344" s="67">
        <f t="shared" si="334"/>
        <v>-0.62045415809399496</v>
      </c>
      <c r="Y344" t="str">
        <f t="shared" si="321"/>
        <v>0,978807608225114+1,98180973436858i</v>
      </c>
      <c r="Z344" s="67">
        <f t="shared" si="335"/>
        <v>2.2103470671271128</v>
      </c>
      <c r="AA344" s="67">
        <f t="shared" si="336"/>
        <v>1.1120439492828309</v>
      </c>
      <c r="AB344" s="92" t="str">
        <f t="shared" si="337"/>
        <v>-0,153296342530254-0,327932101939989i</v>
      </c>
      <c r="AC344" s="37">
        <f t="shared" si="338"/>
        <v>-8.8259866052253386</v>
      </c>
      <c r="AD344" s="60">
        <f t="shared" si="339"/>
        <v>-115.05438040098859</v>
      </c>
      <c r="AE344" t="str">
        <f t="shared" si="340"/>
        <v>34,4450883806789</v>
      </c>
      <c r="AF344" t="str">
        <f t="shared" si="322"/>
        <v>1+61,7409955707137i</v>
      </c>
      <c r="AG344">
        <f t="shared" si="341"/>
        <v>61.749093386566322</v>
      </c>
      <c r="AH344">
        <f t="shared" si="342"/>
        <v>1.5546010490831979</v>
      </c>
      <c r="AI344" t="str">
        <f t="shared" si="323"/>
        <v>1+3,43005530948409i</v>
      </c>
      <c r="AJ344">
        <f t="shared" si="343"/>
        <v>3.5728531212631731</v>
      </c>
      <c r="AK344">
        <f t="shared" si="344"/>
        <v>1.2871185074653799</v>
      </c>
      <c r="AL344" t="str">
        <f t="shared" si="324"/>
        <v>1-0,233385702715563i</v>
      </c>
      <c r="AM344">
        <f t="shared" si="345"/>
        <v>1.0268733545243236</v>
      </c>
      <c r="AN344">
        <f t="shared" si="346"/>
        <v>-0.22928159807970955</v>
      </c>
      <c r="AO344" s="58" t="str">
        <f t="shared" si="347"/>
        <v>1,79920864637447-0,975365937623955i</v>
      </c>
      <c r="AP344">
        <f t="shared" si="348"/>
        <v>6.2205753116666145</v>
      </c>
      <c r="AQ344" s="60">
        <f t="shared" si="349"/>
        <v>-28.462488618115533</v>
      </c>
      <c r="AR344" t="str">
        <f t="shared" si="325"/>
        <v>-1,36472945891784</v>
      </c>
      <c r="AS344" t="str">
        <f t="shared" si="326"/>
        <v>1+2,56945443233453i</v>
      </c>
      <c r="AT344">
        <f t="shared" si="350"/>
        <v>2.7571898882455597</v>
      </c>
      <c r="AU344">
        <f t="shared" si="351"/>
        <v>1.1996455276218065</v>
      </c>
      <c r="AV344" t="str">
        <f t="shared" si="327"/>
        <v>1+2,56945443233453i</v>
      </c>
      <c r="AW344">
        <f t="shared" si="352"/>
        <v>2.7571898882455597</v>
      </c>
      <c r="AX344">
        <f t="shared" si="353"/>
        <v>1.1996455276218065</v>
      </c>
      <c r="AY344" t="str">
        <f t="shared" si="328"/>
        <v>1-0,00583781514520631i</v>
      </c>
      <c r="AZ344">
        <f t="shared" si="354"/>
        <v>1.0000170398976558</v>
      </c>
      <c r="BA344">
        <f t="shared" si="355"/>
        <v>-5.8377488288155885E-3</v>
      </c>
      <c r="BB344" s="58" t="str">
        <f t="shared" si="356"/>
        <v>-0,176827351682424+0,46231686084276i</v>
      </c>
      <c r="BC344">
        <f t="shared" si="357"/>
        <v>-6.1082542105581394</v>
      </c>
      <c r="BD344" s="60">
        <f t="shared" si="358"/>
        <v>110.93089598577713</v>
      </c>
      <c r="BE344" s="58" t="str">
        <f t="shared" si="359"/>
        <v>0,17871552621069-0,0128841187395646i</v>
      </c>
      <c r="BF344" s="37">
        <f t="shared" si="360"/>
        <v>-14.93424081578349</v>
      </c>
      <c r="BG344" s="60">
        <f t="shared" si="361"/>
        <v>-4.123484415211486</v>
      </c>
      <c r="BH344" s="58" t="str">
        <f t="shared" si="362"/>
        <v>0,132778818392746+1,00427586906428i</v>
      </c>
      <c r="BI344" s="37">
        <f t="shared" si="363"/>
        <v>0.1123211011084335</v>
      </c>
      <c r="BJ344" s="60">
        <f t="shared" si="364"/>
        <v>82.468407367661541</v>
      </c>
      <c r="BK344">
        <f t="shared" si="365"/>
        <v>-14.93424081578349</v>
      </c>
      <c r="BL344" s="60">
        <f t="shared" si="366"/>
        <v>-4.123484415211486</v>
      </c>
      <c r="BN344">
        <f t="shared" si="367"/>
        <v>0</v>
      </c>
      <c r="BO344">
        <f t="shared" si="368"/>
        <v>0</v>
      </c>
    </row>
    <row r="345" spans="13:67" x14ac:dyDescent="0.25">
      <c r="M345" s="66">
        <v>27</v>
      </c>
      <c r="N345" s="36">
        <f t="shared" si="316"/>
        <v>18620.871366628675</v>
      </c>
      <c r="O345" s="91" t="str">
        <f t="shared" si="317"/>
        <v>22,5</v>
      </c>
      <c r="P345" s="67" t="str">
        <f t="shared" si="318"/>
        <v>1+126,358256207897i</v>
      </c>
      <c r="Q345" s="67">
        <f t="shared" si="329"/>
        <v>126.36221314894946</v>
      </c>
      <c r="R345" s="67">
        <f t="shared" si="330"/>
        <v>1.5628824859931092</v>
      </c>
      <c r="S345" s="67" t="str">
        <f t="shared" si="319"/>
        <v>1+3,50995156133046i</v>
      </c>
      <c r="T345" s="67">
        <f t="shared" si="331"/>
        <v>3.6496246331487479</v>
      </c>
      <c r="U345" s="67">
        <f t="shared" si="332"/>
        <v>1.293245759733076</v>
      </c>
      <c r="V345" t="str">
        <f t="shared" si="320"/>
        <v>1-0,731239908610512i</v>
      </c>
      <c r="W345" s="67">
        <f t="shared" si="333"/>
        <v>1.2388348574143004</v>
      </c>
      <c r="X345" s="67">
        <f t="shared" si="334"/>
        <v>-0.6313861443519414</v>
      </c>
      <c r="Y345" t="str">
        <f t="shared" si="321"/>
        <v>0,977808841571038+2,02797201321315i</v>
      </c>
      <c r="Z345" s="67">
        <f t="shared" si="335"/>
        <v>2.2513952600621443</v>
      </c>
      <c r="AA345" s="67">
        <f t="shared" si="336"/>
        <v>1.1215215623919117</v>
      </c>
      <c r="AB345" s="92" t="str">
        <f t="shared" si="337"/>
        <v>-0,156098294601705-0,321710930604941i</v>
      </c>
      <c r="AC345" s="37">
        <f t="shared" si="338"/>
        <v>-8.9324967411340062</v>
      </c>
      <c r="AD345" s="60">
        <f t="shared" si="339"/>
        <v>-115.88325988880288</v>
      </c>
      <c r="AE345" t="str">
        <f t="shared" si="340"/>
        <v>34,4450883806789</v>
      </c>
      <c r="AF345" t="str">
        <f t="shared" si="322"/>
        <v>1+63,1791281039484i</v>
      </c>
      <c r="AG345">
        <f t="shared" si="341"/>
        <v>63.187041614362059</v>
      </c>
      <c r="AH345">
        <f t="shared" si="342"/>
        <v>1.5549696363370882</v>
      </c>
      <c r="AI345" t="str">
        <f t="shared" si="323"/>
        <v>1+3,50995156133046i</v>
      </c>
      <c r="AJ345">
        <f t="shared" si="343"/>
        <v>3.6496246331487479</v>
      </c>
      <c r="AK345">
        <f t="shared" si="344"/>
        <v>1.293245759733076</v>
      </c>
      <c r="AL345" t="str">
        <f t="shared" si="324"/>
        <v>1-0,238821954087354i</v>
      </c>
      <c r="AM345">
        <f t="shared" si="345"/>
        <v>1.0281225246798662</v>
      </c>
      <c r="AN345">
        <f t="shared" si="346"/>
        <v>-0.23443079724942142</v>
      </c>
      <c r="AO345" s="58" t="str">
        <f t="shared" si="347"/>
        <v>1,79882329546198-0,973738994215357i</v>
      </c>
      <c r="AP345">
        <f t="shared" si="348"/>
        <v>6.2158470852742322</v>
      </c>
      <c r="AQ345" s="60">
        <f t="shared" si="349"/>
        <v>-28.427568797491706</v>
      </c>
      <c r="AR345" t="str">
        <f t="shared" si="325"/>
        <v>-1,36472945891784</v>
      </c>
      <c r="AS345" t="str">
        <f t="shared" si="326"/>
        <v>1+2,62930471459265i</v>
      </c>
      <c r="AT345">
        <f t="shared" si="350"/>
        <v>2.8130487521866976</v>
      </c>
      <c r="AU345">
        <f t="shared" si="351"/>
        <v>1.2073621380772104</v>
      </c>
      <c r="AV345" t="str">
        <f t="shared" si="327"/>
        <v>1+2,62930471459265i</v>
      </c>
      <c r="AW345">
        <f t="shared" si="352"/>
        <v>2.8130487521866976</v>
      </c>
      <c r="AX345">
        <f t="shared" si="353"/>
        <v>1.2073621380772104</v>
      </c>
      <c r="AY345" t="str">
        <f t="shared" si="328"/>
        <v>1-0,00570493024895516i</v>
      </c>
      <c r="AZ345">
        <f t="shared" si="354"/>
        <v>1.0000162729821678</v>
      </c>
      <c r="BA345">
        <f t="shared" si="355"/>
        <v>-5.7048683588413491E-3</v>
      </c>
      <c r="BB345" s="58" t="str">
        <f t="shared" si="356"/>
        <v>-0,169874534258461+0,454437600186821i</v>
      </c>
      <c r="BC345">
        <f t="shared" si="357"/>
        <v>-6.2824725074462471</v>
      </c>
      <c r="BD345" s="60">
        <f t="shared" si="358"/>
        <v>110.49638026464523</v>
      </c>
      <c r="BE345" s="58" t="str">
        <f t="shared" si="359"/>
        <v>0,172714668351983-0,0162864398896838i</v>
      </c>
      <c r="BF345" s="37">
        <f t="shared" si="360"/>
        <v>-15.21496924858025</v>
      </c>
      <c r="BG345" s="60">
        <f t="shared" si="361"/>
        <v>-5.3868796241576522</v>
      </c>
      <c r="BH345" s="58" t="str">
        <f t="shared" si="362"/>
        <v>0,136929342209682+0,982866399681527i</v>
      </c>
      <c r="BI345" s="37">
        <f t="shared" si="363"/>
        <v>-6.6625422172017473E-2</v>
      </c>
      <c r="BJ345" s="60">
        <f t="shared" si="364"/>
        <v>82.068811467153509</v>
      </c>
      <c r="BK345">
        <f t="shared" si="365"/>
        <v>-15.21496924858025</v>
      </c>
      <c r="BL345" s="60">
        <f t="shared" si="366"/>
        <v>-5.3868796241576522</v>
      </c>
      <c r="BN345">
        <f t="shared" si="367"/>
        <v>0</v>
      </c>
      <c r="BO345">
        <f t="shared" si="368"/>
        <v>0</v>
      </c>
    </row>
    <row r="346" spans="13:67" x14ac:dyDescent="0.25">
      <c r="M346" s="66">
        <v>28</v>
      </c>
      <c r="N346" s="36">
        <f t="shared" si="316"/>
        <v>19054.607179632505</v>
      </c>
      <c r="O346" s="91" t="str">
        <f t="shared" si="317"/>
        <v>22,5</v>
      </c>
      <c r="P346" s="67" t="str">
        <f t="shared" si="318"/>
        <v>1+129,301518094358i</v>
      </c>
      <c r="Q346" s="67">
        <f t="shared" si="329"/>
        <v>129.30538496716056</v>
      </c>
      <c r="R346" s="67">
        <f t="shared" si="330"/>
        <v>1.5630626197362592</v>
      </c>
      <c r="S346" s="67" t="str">
        <f t="shared" si="319"/>
        <v>1+3,59170883595438i</v>
      </c>
      <c r="T346" s="67">
        <f t="shared" si="331"/>
        <v>3.7283203137971883</v>
      </c>
      <c r="U346" s="67">
        <f t="shared" si="332"/>
        <v>1.2992542809998886</v>
      </c>
      <c r="V346" t="str">
        <f t="shared" si="320"/>
        <v>1-0,748272674157162i</v>
      </c>
      <c r="W346" s="67">
        <f t="shared" si="333"/>
        <v>1.24896436894345</v>
      </c>
      <c r="X346" s="67">
        <f t="shared" si="334"/>
        <v>-0.64239470336606663</v>
      </c>
      <c r="Y346" t="str">
        <f t="shared" si="321"/>
        <v>0,976763004494713+2,07520954966253i</v>
      </c>
      <c r="Z346" s="67">
        <f t="shared" si="335"/>
        <v>2.2935912107348373</v>
      </c>
      <c r="AA346" s="67">
        <f t="shared" si="336"/>
        <v>1.1308772882993379</v>
      </c>
      <c r="AB346" s="92" t="str">
        <f t="shared" si="337"/>
        <v>-0,158821969681884-0,315561328784273i</v>
      </c>
      <c r="AC346" s="37">
        <f t="shared" si="338"/>
        <v>-9.0377368650249839</v>
      </c>
      <c r="AD346" s="60">
        <f t="shared" si="339"/>
        <v>-116.71610546113693</v>
      </c>
      <c r="AE346" t="str">
        <f t="shared" si="340"/>
        <v>34,4450883806789</v>
      </c>
      <c r="AF346" t="str">
        <f t="shared" si="322"/>
        <v>1+64,6507590471789i</v>
      </c>
      <c r="AG346">
        <f t="shared" si="341"/>
        <v>64.658492445899043</v>
      </c>
      <c r="AH346">
        <f t="shared" si="342"/>
        <v>1.5553298376764917</v>
      </c>
      <c r="AI346" t="str">
        <f t="shared" si="323"/>
        <v>1+3,59170883595438i</v>
      </c>
      <c r="AJ346">
        <f t="shared" si="343"/>
        <v>3.7283203137971883</v>
      </c>
      <c r="AK346">
        <f t="shared" si="344"/>
        <v>1.2992542809998886</v>
      </c>
      <c r="AL346" t="str">
        <f t="shared" si="324"/>
        <v>1-0,244384832020388i</v>
      </c>
      <c r="AM346">
        <f t="shared" si="345"/>
        <v>1.029428941754424</v>
      </c>
      <c r="AN346">
        <f t="shared" si="346"/>
        <v>-0.23968685685811744</v>
      </c>
      <c r="AO346" s="58" t="str">
        <f t="shared" si="347"/>
        <v>1,79845527970507-0,972627791065322i</v>
      </c>
      <c r="AP346">
        <f t="shared" si="348"/>
        <v>6.2122264003423089</v>
      </c>
      <c r="AQ346" s="60">
        <f t="shared" si="349"/>
        <v>-28.405093936758952</v>
      </c>
      <c r="AR346" t="str">
        <f t="shared" si="325"/>
        <v>-1,36472945891784</v>
      </c>
      <c r="AS346" t="str">
        <f t="shared" si="326"/>
        <v>1+2,69054908901343i</v>
      </c>
      <c r="AT346">
        <f t="shared" si="350"/>
        <v>2.8703753065393727</v>
      </c>
      <c r="AU346">
        <f t="shared" si="351"/>
        <v>1.2149471177831739</v>
      </c>
      <c r="AV346" t="str">
        <f t="shared" si="327"/>
        <v>1+2,69054908901343i</v>
      </c>
      <c r="AW346">
        <f t="shared" si="352"/>
        <v>2.8703753065393727</v>
      </c>
      <c r="AX346">
        <f t="shared" si="353"/>
        <v>1.2149471177831739</v>
      </c>
      <c r="AY346" t="str">
        <f t="shared" si="328"/>
        <v>1-0,00557507018223564i</v>
      </c>
      <c r="AZ346">
        <f t="shared" si="354"/>
        <v>1.0000155405830136</v>
      </c>
      <c r="BA346">
        <f t="shared" si="355"/>
        <v>-5.5750124229699861E-3</v>
      </c>
      <c r="BB346" s="58" t="str">
        <f t="shared" si="356"/>
        <v>-0,163156892976733+0,446590092278041i</v>
      </c>
      <c r="BC346">
        <f t="shared" si="357"/>
        <v>-6.4577073955090292</v>
      </c>
      <c r="BD346" s="60">
        <f t="shared" si="358"/>
        <v>110.06923313687129</v>
      </c>
      <c r="BE346" s="58" t="str">
        <f t="shared" si="359"/>
        <v>0,166839462050891-0,0194423121479615i</v>
      </c>
      <c r="BF346" s="37">
        <f t="shared" si="360"/>
        <v>-15.495444260534001</v>
      </c>
      <c r="BG346" s="60">
        <f t="shared" si="361"/>
        <v>-6.6468723242656349</v>
      </c>
      <c r="BH346" s="58" t="str">
        <f t="shared" si="362"/>
        <v>0,140935559369769+0,961863237734458i</v>
      </c>
      <c r="BI346" s="37">
        <f t="shared" si="363"/>
        <v>-0.24548099516672198</v>
      </c>
      <c r="BJ346" s="60">
        <f t="shared" si="364"/>
        <v>81.664139200112317</v>
      </c>
      <c r="BK346">
        <f t="shared" si="365"/>
        <v>-15.495444260534001</v>
      </c>
      <c r="BL346" s="60">
        <f t="shared" si="366"/>
        <v>-6.6468723242656349</v>
      </c>
      <c r="BN346">
        <f t="shared" si="367"/>
        <v>0</v>
      </c>
      <c r="BO346">
        <f t="shared" si="368"/>
        <v>0</v>
      </c>
    </row>
    <row r="347" spans="13:67" x14ac:dyDescent="0.25">
      <c r="M347" s="66">
        <v>29</v>
      </c>
      <c r="N347" s="36">
        <f t="shared" si="316"/>
        <v>19498.445997580486</v>
      </c>
      <c r="O347" s="91" t="str">
        <f t="shared" si="317"/>
        <v>22,5</v>
      </c>
      <c r="P347" s="67" t="str">
        <f t="shared" si="318"/>
        <v>1+132,313337357219i</v>
      </c>
      <c r="Q347" s="67">
        <f t="shared" si="329"/>
        <v>132.31711621179343</v>
      </c>
      <c r="R347" s="67">
        <f t="shared" si="330"/>
        <v>1.5632386536197944</v>
      </c>
      <c r="S347" s="67" t="str">
        <f t="shared" si="319"/>
        <v>1+3,67537048214496i</v>
      </c>
      <c r="T347" s="67">
        <f t="shared" si="331"/>
        <v>3.8089825650720002</v>
      </c>
      <c r="U347" s="67">
        <f t="shared" si="332"/>
        <v>1.3051455210069942</v>
      </c>
      <c r="V347" t="str">
        <f t="shared" si="320"/>
        <v>1-0,7657021837802i</v>
      </c>
      <c r="W347" s="67">
        <f t="shared" si="333"/>
        <v>1.259483955533284</v>
      </c>
      <c r="X347" s="67">
        <f t="shared" si="334"/>
        <v>-0.65347499948240717</v>
      </c>
      <c r="Y347" t="str">
        <f t="shared" si="321"/>
        <v>0,975667878635484+2,12354738968375i</v>
      </c>
      <c r="Z347" s="67">
        <f t="shared" si="335"/>
        <v>2.3369598468167427</v>
      </c>
      <c r="AA347" s="67">
        <f t="shared" si="336"/>
        <v>1.140110058893564</v>
      </c>
      <c r="AB347" s="92" t="str">
        <f t="shared" si="337"/>
        <v>-0,161467852914115-0,309484138581396i</v>
      </c>
      <c r="AC347" s="37">
        <f t="shared" si="338"/>
        <v>-9.1416627053344239</v>
      </c>
      <c r="AD347" s="60">
        <f t="shared" si="339"/>
        <v>-117.55250126269219</v>
      </c>
      <c r="AE347" t="str">
        <f t="shared" si="340"/>
        <v>34,4450883806789</v>
      </c>
      <c r="AF347" t="str">
        <f t="shared" si="322"/>
        <v>1+66,1566686786093i</v>
      </c>
      <c r="AG347">
        <f t="shared" si="341"/>
        <v>66.164226064024078</v>
      </c>
      <c r="AH347">
        <f t="shared" si="342"/>
        <v>1.5556818437108366</v>
      </c>
      <c r="AI347" t="str">
        <f t="shared" si="323"/>
        <v>1+3,67537048214496i</v>
      </c>
      <c r="AJ347">
        <f t="shared" si="343"/>
        <v>3.8089825650720002</v>
      </c>
      <c r="AK347">
        <f t="shared" si="344"/>
        <v>1.3051455210069942</v>
      </c>
      <c r="AL347" t="str">
        <f t="shared" si="324"/>
        <v>1-0,25007728602617i</v>
      </c>
      <c r="AM347">
        <f t="shared" si="345"/>
        <v>1.0307951537459878</v>
      </c>
      <c r="AN347">
        <f t="shared" si="346"/>
        <v>-0.24505140159332717</v>
      </c>
      <c r="AO347" s="58" t="str">
        <f t="shared" si="347"/>
        <v>1,7981038196402-0,972031775628287i</v>
      </c>
      <c r="AP347">
        <f t="shared" si="348"/>
        <v>6.2097083881371944</v>
      </c>
      <c r="AQ347" s="60">
        <f t="shared" si="349"/>
        <v>-28.395084980720757</v>
      </c>
      <c r="AR347" t="str">
        <f t="shared" si="325"/>
        <v>-1,36472945891784</v>
      </c>
      <c r="AS347" t="str">
        <f t="shared" si="326"/>
        <v>1+2,75322002817479i</v>
      </c>
      <c r="AT347">
        <f t="shared" si="350"/>
        <v>2.9292013456815815</v>
      </c>
      <c r="AU347">
        <f t="shared" si="351"/>
        <v>1.2224009963681743</v>
      </c>
      <c r="AV347" t="str">
        <f t="shared" si="327"/>
        <v>1+2,75322002817479i</v>
      </c>
      <c r="AW347">
        <f t="shared" si="352"/>
        <v>2.9292013456815815</v>
      </c>
      <c r="AX347">
        <f t="shared" si="353"/>
        <v>1.2224009963681743</v>
      </c>
      <c r="AY347" t="str">
        <f t="shared" si="328"/>
        <v>1-0,00544816609152159i</v>
      </c>
      <c r="AZ347">
        <f t="shared" si="354"/>
        <v>1.0000148411467507</v>
      </c>
      <c r="BA347">
        <f t="shared" si="355"/>
        <v>-5.4481121873932647E-3</v>
      </c>
      <c r="BB347" s="58" t="str">
        <f t="shared" si="356"/>
        <v>-0,156669460108355+0,43878076813583i</v>
      </c>
      <c r="BC347">
        <f t="shared" si="357"/>
        <v>-6.6339242662199629</v>
      </c>
      <c r="BD347" s="60">
        <f t="shared" si="358"/>
        <v>109.64942820086556</v>
      </c>
      <c r="BE347" s="58" t="str">
        <f t="shared" si="359"/>
        <v>0,16109276939351-0,022362275627252i</v>
      </c>
      <c r="BF347" s="37">
        <f t="shared" si="360"/>
        <v>-15.775586971554398</v>
      </c>
      <c r="BG347" s="60">
        <f t="shared" si="361"/>
        <v>-7.9030730618266842</v>
      </c>
      <c r="BH347" s="58" t="str">
        <f t="shared" si="362"/>
        <v>0,144800894520814+0,941261068665546i</v>
      </c>
      <c r="BI347" s="37">
        <f t="shared" si="363"/>
        <v>-0.42421587808276923</v>
      </c>
      <c r="BJ347" s="60">
        <f t="shared" si="364"/>
        <v>81.254343220144776</v>
      </c>
      <c r="BK347">
        <f t="shared" si="365"/>
        <v>-15.775586971554398</v>
      </c>
      <c r="BL347" s="60">
        <f t="shared" si="366"/>
        <v>-7.9030730618266842</v>
      </c>
      <c r="BN347">
        <f t="shared" si="367"/>
        <v>0</v>
      </c>
      <c r="BO347">
        <f t="shared" si="368"/>
        <v>0</v>
      </c>
    </row>
    <row r="348" spans="13:67" x14ac:dyDescent="0.25">
      <c r="M348" s="66">
        <v>30</v>
      </c>
      <c r="N348" s="36">
        <f t="shared" si="316"/>
        <v>19952.623149688792</v>
      </c>
      <c r="O348" s="91" t="str">
        <f t="shared" si="317"/>
        <v>22,5</v>
      </c>
      <c r="P348" s="67" t="str">
        <f t="shared" si="318"/>
        <v>1+135,395310902921i</v>
      </c>
      <c r="Q348" s="67">
        <f t="shared" si="329"/>
        <v>135.39900374263706</v>
      </c>
      <c r="R348" s="67">
        <f t="shared" si="330"/>
        <v>1.5634106809355461</v>
      </c>
      <c r="S348" s="67" t="str">
        <f t="shared" si="319"/>
        <v>1+3,76098085841448i</v>
      </c>
      <c r="T348" s="67">
        <f t="shared" si="331"/>
        <v>3.8916547916484214</v>
      </c>
      <c r="U348" s="67">
        <f t="shared" si="332"/>
        <v>1.3109209669877548</v>
      </c>
      <c r="V348" t="str">
        <f t="shared" si="320"/>
        <v>1-0,78353767883635i</v>
      </c>
      <c r="W348" s="67">
        <f t="shared" si="333"/>
        <v>1.2704059564392223</v>
      </c>
      <c r="X348" s="67">
        <f t="shared" si="334"/>
        <v>-0.66462202516432289</v>
      </c>
      <c r="Y348" t="str">
        <f t="shared" si="321"/>
        <v>0,974521141084576+2,17301116263948i</v>
      </c>
      <c r="Z348" s="67">
        <f t="shared" si="335"/>
        <v>2.3815266043814352</v>
      </c>
      <c r="AA348" s="67">
        <f t="shared" si="336"/>
        <v>1.1492189934179631</v>
      </c>
      <c r="AB348" s="92" t="str">
        <f t="shared" si="337"/>
        <v>-0,164036557940127-0,3034801595081i</v>
      </c>
      <c r="AC348" s="37">
        <f t="shared" si="338"/>
        <v>-9.2442311508473125</v>
      </c>
      <c r="AD348" s="60">
        <f t="shared" si="339"/>
        <v>-118.39203005214914</v>
      </c>
      <c r="AE348" t="str">
        <f t="shared" si="340"/>
        <v>34,4450883806789</v>
      </c>
      <c r="AF348" t="str">
        <f t="shared" si="322"/>
        <v>1+67,6976554514607i</v>
      </c>
      <c r="AG348">
        <f t="shared" si="341"/>
        <v>67.705040828764638</v>
      </c>
      <c r="AH348">
        <f t="shared" si="342"/>
        <v>1.5560258407292502</v>
      </c>
      <c r="AI348" t="str">
        <f t="shared" si="323"/>
        <v>1+3,76098085841448i</v>
      </c>
      <c r="AJ348">
        <f t="shared" si="343"/>
        <v>3.8916547916484214</v>
      </c>
      <c r="AK348">
        <f t="shared" si="344"/>
        <v>1.3109209669877548</v>
      </c>
      <c r="AL348" t="str">
        <f t="shared" si="324"/>
        <v>1-0,25590233431917i</v>
      </c>
      <c r="AM348">
        <f t="shared" si="345"/>
        <v>1.0322238152212921</v>
      </c>
      <c r="AN348">
        <f t="shared" si="346"/>
        <v>-0.25052604021444447</v>
      </c>
      <c r="AO348" s="58" t="str">
        <f t="shared" si="347"/>
        <v>1,79776817081975-0,971950666075093i</v>
      </c>
      <c r="AP348">
        <f t="shared" si="348"/>
        <v>6.2082896639745417</v>
      </c>
      <c r="AQ348" s="60">
        <f t="shared" si="349"/>
        <v>-28.397559565886894</v>
      </c>
      <c r="AR348" t="str">
        <f t="shared" si="325"/>
        <v>-1,36472945891784</v>
      </c>
      <c r="AS348" t="str">
        <f t="shared" si="326"/>
        <v>1+2,81735076103829i</v>
      </c>
      <c r="AT348">
        <f t="shared" si="350"/>
        <v>2.9895593840435808</v>
      </c>
      <c r="AU348">
        <f t="shared" si="351"/>
        <v>1.2297244118766806</v>
      </c>
      <c r="AV348" t="str">
        <f t="shared" si="327"/>
        <v>1+2,81735076103829i</v>
      </c>
      <c r="AW348">
        <f t="shared" si="352"/>
        <v>2.9895593840435808</v>
      </c>
      <c r="AX348">
        <f t="shared" si="353"/>
        <v>1.2297244118766806</v>
      </c>
      <c r="AY348" t="str">
        <f t="shared" si="328"/>
        <v>1-0,00532415069058423i</v>
      </c>
      <c r="AZ348">
        <f t="shared" si="354"/>
        <v>1.0000141731898484</v>
      </c>
      <c r="BA348">
        <f t="shared" si="355"/>
        <v>-5.3241003842843179E-3</v>
      </c>
      <c r="BB348" s="58" t="str">
        <f t="shared" si="356"/>
        <v>-0,150407131138316+0,43101567066928i</v>
      </c>
      <c r="BC348">
        <f t="shared" si="357"/>
        <v>-6.8110892600316699</v>
      </c>
      <c r="BD348" s="60">
        <f t="shared" si="358"/>
        <v>109.23693275353534</v>
      </c>
      <c r="BE348" s="58" t="str">
        <f t="shared" si="359"/>
        <v>0,155476972566782-0,0250567468858322i</v>
      </c>
      <c r="BF348" s="37">
        <f t="shared" si="360"/>
        <v>-16.055320410879006</v>
      </c>
      <c r="BG348" s="60">
        <f t="shared" si="361"/>
        <v>-9.1550972986138373</v>
      </c>
      <c r="BH348" s="58" t="str">
        <f t="shared" si="362"/>
        <v>0,148528815171033+0,921054565146089i</v>
      </c>
      <c r="BI348" s="37">
        <f t="shared" si="363"/>
        <v>-0.60279959605712796</v>
      </c>
      <c r="BJ348" s="60">
        <f t="shared" si="364"/>
        <v>80.839373187648448</v>
      </c>
      <c r="BK348">
        <f t="shared" si="365"/>
        <v>-16.055320410879006</v>
      </c>
      <c r="BL348" s="60">
        <f t="shared" si="366"/>
        <v>-9.1550972986138373</v>
      </c>
      <c r="BN348">
        <f t="shared" si="367"/>
        <v>0</v>
      </c>
      <c r="BO348">
        <f t="shared" si="368"/>
        <v>0</v>
      </c>
    </row>
    <row r="349" spans="13:67" x14ac:dyDescent="0.25">
      <c r="M349" s="66">
        <v>31</v>
      </c>
      <c r="N349" s="36">
        <f t="shared" si="316"/>
        <v>20417.379446695286</v>
      </c>
      <c r="O349" s="91" t="str">
        <f t="shared" si="317"/>
        <v>22,5</v>
      </c>
      <c r="P349" s="67" t="str">
        <f t="shared" si="318"/>
        <v>1+138,549072834633i</v>
      </c>
      <c r="Q349" s="67">
        <f t="shared" si="329"/>
        <v>138.55268161726949</v>
      </c>
      <c r="R349" s="67">
        <f t="shared" si="330"/>
        <v>1.5635787928539235</v>
      </c>
      <c r="S349" s="67" t="str">
        <f t="shared" si="319"/>
        <v>1+3,84858535651758i</v>
      </c>
      <c r="T349" s="67">
        <f t="shared" si="331"/>
        <v>3.976381426171482</v>
      </c>
      <c r="U349" s="67">
        <f t="shared" si="332"/>
        <v>1.3165821393760295</v>
      </c>
      <c r="V349" t="str">
        <f t="shared" si="320"/>
        <v>1-0,801788615941162i</v>
      </c>
      <c r="W349" s="67">
        <f t="shared" si="333"/>
        <v>1.2817429479629854</v>
      </c>
      <c r="X349" s="67">
        <f t="shared" si="334"/>
        <v>-0.67583061053742344</v>
      </c>
      <c r="Y349" t="str">
        <f t="shared" si="321"/>
        <v>0,973320359457899+2,22362709487682i</v>
      </c>
      <c r="Z349" s="67">
        <f t="shared" si="335"/>
        <v>2.4273174450832711</v>
      </c>
      <c r="AA349" s="67">
        <f t="shared" si="336"/>
        <v>1.1582033927644786</v>
      </c>
      <c r="AB349" s="92" t="str">
        <f t="shared" si="337"/>
        <v>-0,166528817999543-0,297550142221072i</v>
      </c>
      <c r="AC349" s="37">
        <f t="shared" si="338"/>
        <v>-9.3454004323037427</v>
      </c>
      <c r="AD349" s="60">
        <f t="shared" si="339"/>
        <v>-119.23427367082012</v>
      </c>
      <c r="AE349" t="str">
        <f t="shared" si="340"/>
        <v>34,4450883806789</v>
      </c>
      <c r="AF349" t="str">
        <f t="shared" si="322"/>
        <v>1+69,2745364173165i</v>
      </c>
      <c r="AG349">
        <f t="shared" si="341"/>
        <v>69.281753700625316</v>
      </c>
      <c r="AH349">
        <f t="shared" si="342"/>
        <v>1.5563620107976657</v>
      </c>
      <c r="AI349" t="str">
        <f t="shared" si="323"/>
        <v>1+3,84858535651758i</v>
      </c>
      <c r="AJ349">
        <f t="shared" si="343"/>
        <v>3.976381426171482</v>
      </c>
      <c r="AK349">
        <f t="shared" si="344"/>
        <v>1.3165821393760295</v>
      </c>
      <c r="AL349" t="str">
        <f t="shared" si="324"/>
        <v>1-0,261863065417093i</v>
      </c>
      <c r="AM349">
        <f t="shared" si="345"/>
        <v>1.0337176911660344</v>
      </c>
      <c r="AN349">
        <f t="shared" si="346"/>
        <v>-0.25611236221765121</v>
      </c>
      <c r="AO349" s="58" t="str">
        <f t="shared" si="347"/>
        <v>1,79744762224187-0,972384451306399i</v>
      </c>
      <c r="AP349">
        <f t="shared" si="348"/>
        <v>6.2079683316488907</v>
      </c>
      <c r="AQ349" s="60">
        <f t="shared" si="349"/>
        <v>-28.412532080846592</v>
      </c>
      <c r="AR349" t="str">
        <f t="shared" si="325"/>
        <v>-1,36472945891784</v>
      </c>
      <c r="AS349" t="str">
        <f t="shared" si="326"/>
        <v>1+2,88297529056732i</v>
      </c>
      <c r="AT349">
        <f t="shared" si="350"/>
        <v>3.0514826766707563</v>
      </c>
      <c r="AU349">
        <f t="shared" si="351"/>
        <v>1.2369181041388237</v>
      </c>
      <c r="AV349" t="str">
        <f t="shared" si="327"/>
        <v>1+2,88297529056732i</v>
      </c>
      <c r="AW349">
        <f t="shared" si="352"/>
        <v>3.0514826766707563</v>
      </c>
      <c r="AX349">
        <f t="shared" si="353"/>
        <v>1.2369181041388237</v>
      </c>
      <c r="AY349" t="str">
        <f t="shared" si="328"/>
        <v>1-0,00520295822481651i</v>
      </c>
      <c r="AZ349">
        <f t="shared" si="354"/>
        <v>1.0000135352955424</v>
      </c>
      <c r="BA349">
        <f t="shared" si="355"/>
        <v>-5.2029112762098217E-3</v>
      </c>
      <c r="BB349" s="58" t="str">
        <f t="shared" si="356"/>
        <v>-0,14436468885995+0,4233004611766i</v>
      </c>
      <c r="BC349">
        <f t="shared" si="357"/>
        <v>-6.9891692849444107</v>
      </c>
      <c r="BD349" s="60">
        <f t="shared" si="358"/>
        <v>108.83170817221435</v>
      </c>
      <c r="BE349" s="58" t="str">
        <f t="shared" si="359"/>
        <v>0,149993993422062-0,0275359917564217i</v>
      </c>
      <c r="BF349" s="37">
        <f t="shared" si="360"/>
        <v>-16.334569717248154</v>
      </c>
      <c r="BG349" s="60">
        <f t="shared" si="361"/>
        <v>-10.402565498605757</v>
      </c>
      <c r="BH349" s="58" t="str">
        <f t="shared" si="362"/>
        <v>0,152122819951949+0,901238386200868i</v>
      </c>
      <c r="BI349" s="37">
        <f t="shared" si="363"/>
        <v>-0.78120095329552042</v>
      </c>
      <c r="BJ349" s="60">
        <f t="shared" si="364"/>
        <v>80.419176091367774</v>
      </c>
      <c r="BK349">
        <f t="shared" si="365"/>
        <v>-16.334569717248154</v>
      </c>
      <c r="BL349" s="60">
        <f t="shared" si="366"/>
        <v>-10.402565498605757</v>
      </c>
      <c r="BN349">
        <f t="shared" si="367"/>
        <v>0</v>
      </c>
      <c r="BO349">
        <f t="shared" si="368"/>
        <v>0</v>
      </c>
    </row>
    <row r="350" spans="13:67" x14ac:dyDescent="0.25">
      <c r="M350" s="66">
        <v>32</v>
      </c>
      <c r="N350" s="36">
        <f t="shared" si="316"/>
        <v>20892.961308540423</v>
      </c>
      <c r="O350" s="91" t="str">
        <f t="shared" si="317"/>
        <v>22,5</v>
      </c>
      <c r="P350" s="67" t="str">
        <f t="shared" si="318"/>
        <v>1+141,776295318676i</v>
      </c>
      <c r="Q350" s="67">
        <f t="shared" si="329"/>
        <v>141.77982195745778</v>
      </c>
      <c r="R350" s="67">
        <f t="shared" si="330"/>
        <v>1.5637430784720605</v>
      </c>
      <c r="S350" s="67" t="str">
        <f t="shared" si="319"/>
        <v>1+3,93823042551879i</v>
      </c>
      <c r="T350" s="67">
        <f t="shared" si="331"/>
        <v>4.0632079548654545</v>
      </c>
      <c r="U350" s="67">
        <f t="shared" si="332"/>
        <v>1.3221305877256981</v>
      </c>
      <c r="V350" t="str">
        <f t="shared" si="320"/>
        <v>1-0,820464671983081i</v>
      </c>
      <c r="W350" s="67">
        <f t="shared" si="333"/>
        <v>1.2935077417519791</v>
      </c>
      <c r="X350" s="67">
        <f t="shared" si="334"/>
        <v>-0.6870954338574069</v>
      </c>
      <c r="Y350" t="str">
        <f t="shared" si="321"/>
        <v>0,972062986736629+2,27542202363308i</v>
      </c>
      <c r="Z350" s="67">
        <f t="shared" si="335"/>
        <v>2.47435887369189</v>
      </c>
      <c r="AA350" s="67">
        <f t="shared" si="336"/>
        <v>1.1670627334739869</v>
      </c>
      <c r="AB350" s="92" t="str">
        <f t="shared" si="337"/>
        <v>-0,168945476988491-0,291694783104375i</v>
      </c>
      <c r="AC350" s="37">
        <f t="shared" si="338"/>
        <v>-9.4451302951399896</v>
      </c>
      <c r="AD350" s="60">
        <f t="shared" si="339"/>
        <v>-120.07881353521041</v>
      </c>
      <c r="AE350" t="str">
        <f t="shared" si="340"/>
        <v>34,4450883806789</v>
      </c>
      <c r="AF350" t="str">
        <f t="shared" si="322"/>
        <v>1+70,8881476593383i</v>
      </c>
      <c r="AG350">
        <f t="shared" si="341"/>
        <v>70.895200673756122</v>
      </c>
      <c r="AH350">
        <f t="shared" si="342"/>
        <v>1.5566905318538036</v>
      </c>
      <c r="AI350" t="str">
        <f t="shared" si="323"/>
        <v>1+3,93823042551879i</v>
      </c>
      <c r="AJ350">
        <f t="shared" si="343"/>
        <v>4.0632079548654545</v>
      </c>
      <c r="AK350">
        <f t="shared" si="344"/>
        <v>1.3221305877256981</v>
      </c>
      <c r="AL350" t="str">
        <f t="shared" si="324"/>
        <v>1-0,267962639778469i</v>
      </c>
      <c r="AM350">
        <f t="shared" si="345"/>
        <v>1.0352796609211665</v>
      </c>
      <c r="AN350">
        <f t="shared" si="346"/>
        <v>-0.26181193430285032</v>
      </c>
      <c r="AO350" s="58" t="str">
        <f t="shared" si="347"/>
        <v>1,79714149485045-0,973333391098799i</v>
      </c>
      <c r="AP350">
        <f t="shared" si="348"/>
        <v>6.2087439860299201</v>
      </c>
      <c r="AQ350" s="60">
        <f t="shared" si="349"/>
        <v>-28.440013703074548</v>
      </c>
      <c r="AR350" t="str">
        <f t="shared" si="325"/>
        <v>-1,36472945891784</v>
      </c>
      <c r="AS350" t="str">
        <f t="shared" si="326"/>
        <v>1+2,95012841175613i</v>
      </c>
      <c r="AT350">
        <f t="shared" si="350"/>
        <v>3.1150052401000461</v>
      </c>
      <c r="AU350">
        <f t="shared" si="351"/>
        <v>1.2439829082625584</v>
      </c>
      <c r="AV350" t="str">
        <f t="shared" si="327"/>
        <v>1+2,95012841175613i</v>
      </c>
      <c r="AW350">
        <f t="shared" si="352"/>
        <v>3.1150052401000461</v>
      </c>
      <c r="AX350">
        <f t="shared" si="353"/>
        <v>1.2439829082625584</v>
      </c>
      <c r="AY350" t="str">
        <f t="shared" si="328"/>
        <v>1-0,00508452443636884i</v>
      </c>
      <c r="AZ350">
        <f t="shared" si="354"/>
        <v>1.0000129261108299</v>
      </c>
      <c r="BA350">
        <f t="shared" si="355"/>
        <v>-5.0844806213477031E-3</v>
      </c>
      <c r="BB350" s="58" t="str">
        <f t="shared" si="356"/>
        <v>-0,138536826094574+0,415640427019022i</v>
      </c>
      <c r="BC350">
        <f t="shared" si="357"/>
        <v>-7.168132031591786</v>
      </c>
      <c r="BD350" s="60">
        <f t="shared" si="358"/>
        <v>108.43371028952622</v>
      </c>
      <c r="BE350" s="58" t="str">
        <f t="shared" si="359"/>
        <v>0,144645314373743-0,0298101007588035i</v>
      </c>
      <c r="BF350" s="37">
        <f t="shared" si="360"/>
        <v>-16.613262326731768</v>
      </c>
      <c r="BG350" s="60">
        <f t="shared" si="361"/>
        <v>-11.64510324568419</v>
      </c>
      <c r="BH350" s="58" t="str">
        <f t="shared" si="362"/>
        <v>0,155586427568738+0,881807177067941i</v>
      </c>
      <c r="BI350" s="37">
        <f t="shared" si="363"/>
        <v>-0.9593880455618673</v>
      </c>
      <c r="BJ350" s="60">
        <f t="shared" si="364"/>
        <v>79.993696586451691</v>
      </c>
      <c r="BK350">
        <f t="shared" si="365"/>
        <v>-16.613262326731768</v>
      </c>
      <c r="BL350" s="60">
        <f t="shared" si="366"/>
        <v>-11.64510324568419</v>
      </c>
      <c r="BN350">
        <f t="shared" si="367"/>
        <v>0</v>
      </c>
      <c r="BO350">
        <f t="shared" si="368"/>
        <v>0</v>
      </c>
    </row>
    <row r="351" spans="13:67" x14ac:dyDescent="0.25">
      <c r="M351" s="66">
        <v>33</v>
      </c>
      <c r="N351" s="36">
        <f t="shared" si="316"/>
        <v>21379.620895022348</v>
      </c>
      <c r="O351" s="91" t="str">
        <f t="shared" si="317"/>
        <v>22,5</v>
      </c>
      <c r="P351" s="67" t="str">
        <f t="shared" si="318"/>
        <v>1+145,078689471128i</v>
      </c>
      <c r="Q351" s="67">
        <f t="shared" si="329"/>
        <v>145.08213583573956</v>
      </c>
      <c r="R351" s="67">
        <f t="shared" si="330"/>
        <v>1.5639036248608735</v>
      </c>
      <c r="S351" s="67" t="str">
        <f t="shared" si="319"/>
        <v>1+4,02996359642022i</v>
      </c>
      <c r="T351" s="67">
        <f t="shared" si="331"/>
        <v>4.1521809436092978</v>
      </c>
      <c r="U351" s="67">
        <f t="shared" si="332"/>
        <v>1.3275678868387175</v>
      </c>
      <c r="V351" t="str">
        <f t="shared" si="320"/>
        <v>1-0,839575749254213i</v>
      </c>
      <c r="W351" s="67">
        <f t="shared" si="333"/>
        <v>1.3057133830729366</v>
      </c>
      <c r="X351" s="67">
        <f t="shared" si="334"/>
        <v>-0.69841103285986306</v>
      </c>
      <c r="Y351" t="str">
        <f t="shared" si="321"/>
        <v>0,970746355864648+2,32842341126502i</v>
      </c>
      <c r="Z351" s="67">
        <f t="shared" si="335"/>
        <v>2.5226779559728838</v>
      </c>
      <c r="AA351" s="67">
        <f t="shared" si="336"/>
        <v>1.1757966614933941</v>
      </c>
      <c r="AB351" s="92" t="str">
        <f t="shared" si="337"/>
        <v>-0,171287480544604-0,285914719664568i</v>
      </c>
      <c r="AC351" s="37">
        <f t="shared" si="338"/>
        <v>-9.5433821624788209</v>
      </c>
      <c r="AD351" s="60">
        <f t="shared" si="339"/>
        <v>-120.92523115416574</v>
      </c>
      <c r="AE351" t="str">
        <f t="shared" si="340"/>
        <v>34,4450883806789</v>
      </c>
      <c r="AF351" t="str">
        <f t="shared" si="322"/>
        <v>1+72,539344735564i</v>
      </c>
      <c r="AG351">
        <f t="shared" si="341"/>
        <v>72.546237219203846</v>
      </c>
      <c r="AH351">
        <f t="shared" si="342"/>
        <v>1.5570115778000648</v>
      </c>
      <c r="AI351" t="str">
        <f t="shared" si="323"/>
        <v>1+4,02996359642022i</v>
      </c>
      <c r="AJ351">
        <f t="shared" si="343"/>
        <v>4.1521809436092978</v>
      </c>
      <c r="AK351">
        <f t="shared" si="344"/>
        <v>1.3275678868387175</v>
      </c>
      <c r="AL351" t="str">
        <f t="shared" si="324"/>
        <v>1-0,274204291478359i</v>
      </c>
      <c r="AM351">
        <f t="shared" si="345"/>
        <v>1.0369127222023795</v>
      </c>
      <c r="AN351">
        <f t="shared" si="346"/>
        <v>-0.26762629663805743</v>
      </c>
      <c r="AO351" s="58" t="str">
        <f t="shared" si="347"/>
        <v>1,79684914010205-0,97479801638445i</v>
      </c>
      <c r="AP351">
        <f t="shared" si="348"/>
        <v>6.210617713848043</v>
      </c>
      <c r="AQ351" s="60">
        <f t="shared" si="349"/>
        <v>-28.480012412066003</v>
      </c>
      <c r="AR351" t="str">
        <f t="shared" si="325"/>
        <v>-1,36472945891784</v>
      </c>
      <c r="AS351" t="str">
        <f t="shared" si="326"/>
        <v>1+3,01884573007839i</v>
      </c>
      <c r="AT351">
        <f t="shared" si="350"/>
        <v>3.1801618735549497</v>
      </c>
      <c r="AU351">
        <f t="shared" si="351"/>
        <v>1.250919748267002</v>
      </c>
      <c r="AV351" t="str">
        <f t="shared" si="327"/>
        <v>1+3,01884573007839i</v>
      </c>
      <c r="AW351">
        <f t="shared" si="352"/>
        <v>3.1801618735549497</v>
      </c>
      <c r="AX351">
        <f t="shared" si="353"/>
        <v>1.250919748267002</v>
      </c>
      <c r="AY351" t="str">
        <f t="shared" si="328"/>
        <v>1-0,004968786530079i</v>
      </c>
      <c r="AZ351">
        <f t="shared" si="354"/>
        <v>1.0000123443435993</v>
      </c>
      <c r="BA351">
        <f t="shared" si="355"/>
        <v>-4.9687456394935381E-3</v>
      </c>
      <c r="BB351" s="58" t="str">
        <f t="shared" si="356"/>
        <v>-0,132918167022358+0,408040490317965i</v>
      </c>
      <c r="BC351">
        <f t="shared" si="357"/>
        <v>-7.3479459850472857</v>
      </c>
      <c r="BD351" s="60">
        <f t="shared" si="358"/>
        <v>108.04288976011638</v>
      </c>
      <c r="BE351" s="58" t="str">
        <f t="shared" si="359"/>
        <v>0,13943200034892-0,0318889670842234i</v>
      </c>
      <c r="BF351" s="37">
        <f t="shared" si="360"/>
        <v>-16.891328147526131</v>
      </c>
      <c r="BG351" s="60">
        <f t="shared" si="361"/>
        <v>-12.882341394049398</v>
      </c>
      <c r="BH351" s="58" t="str">
        <f t="shared" si="362"/>
        <v>0,158923166448426+0,862755569709506i</v>
      </c>
      <c r="BI351" s="37">
        <f t="shared" si="363"/>
        <v>-1.137328271199241</v>
      </c>
      <c r="BJ351" s="60">
        <f t="shared" si="364"/>
        <v>79.562877348050378</v>
      </c>
      <c r="BK351">
        <f t="shared" si="365"/>
        <v>-16.891328147526131</v>
      </c>
      <c r="BL351" s="60">
        <f t="shared" si="366"/>
        <v>-12.882341394049398</v>
      </c>
      <c r="BN351">
        <f t="shared" si="367"/>
        <v>0</v>
      </c>
      <c r="BO351">
        <f t="shared" si="368"/>
        <v>0</v>
      </c>
    </row>
    <row r="352" spans="13:67" x14ac:dyDescent="0.25">
      <c r="M352" s="66">
        <v>34</v>
      </c>
      <c r="N352" s="36">
        <f t="shared" si="316"/>
        <v>21877.61623949555</v>
      </c>
      <c r="O352" s="91" t="str">
        <f t="shared" si="317"/>
        <v>22,5</v>
      </c>
      <c r="P352" s="67" t="str">
        <f t="shared" si="318"/>
        <v>1+148,458006265081i</v>
      </c>
      <c r="Q352" s="67">
        <f t="shared" si="329"/>
        <v>148.46137418265678</v>
      </c>
      <c r="R352" s="67">
        <f t="shared" si="330"/>
        <v>1.5640605171110591</v>
      </c>
      <c r="S352" s="67" t="str">
        <f t="shared" si="319"/>
        <v>1+4,12383350736336i</v>
      </c>
      <c r="T352" s="67">
        <f t="shared" si="331"/>
        <v>4.2433480644949206</v>
      </c>
      <c r="U352" s="67">
        <f t="shared" si="332"/>
        <v>1.3328956330983595</v>
      </c>
      <c r="V352" t="str">
        <f t="shared" si="320"/>
        <v>1-0,8591319807007i</v>
      </c>
      <c r="W352" s="67">
        <f t="shared" si="333"/>
        <v>1.3183731490980495</v>
      </c>
      <c r="X352" s="67">
        <f t="shared" si="334"/>
        <v>-0.70977181694216906</v>
      </c>
      <c r="Y352" t="str">
        <f t="shared" si="321"/>
        <v>0,969367674091351+2,38265935980994i</v>
      </c>
      <c r="Z352" s="67">
        <f t="shared" si="335"/>
        <v>2.5723023369081615</v>
      </c>
      <c r="AA352" s="67">
        <f t="shared" si="336"/>
        <v>1.1844049857376289</v>
      </c>
      <c r="AB352" s="92" t="str">
        <f t="shared" si="337"/>
        <v>-0,173555867219452-0,280210526700673i</v>
      </c>
      <c r="AC352" s="37">
        <f t="shared" si="338"/>
        <v>-9.6401192875559367</v>
      </c>
      <c r="AD352" s="60">
        <f t="shared" si="339"/>
        <v>-121.77310867069571</v>
      </c>
      <c r="AE352" t="str">
        <f t="shared" si="340"/>
        <v>34,4450883806789</v>
      </c>
      <c r="AF352" t="str">
        <f t="shared" si="322"/>
        <v>1+74,2290031325406i</v>
      </c>
      <c r="AG352">
        <f t="shared" si="341"/>
        <v>74.235738738499279</v>
      </c>
      <c r="AH352">
        <f t="shared" si="342"/>
        <v>1.5573253185943856</v>
      </c>
      <c r="AI352" t="str">
        <f t="shared" si="323"/>
        <v>1+4,12383350736336i</v>
      </c>
      <c r="AJ352">
        <f t="shared" si="343"/>
        <v>4.2433480644949206</v>
      </c>
      <c r="AK352">
        <f t="shared" si="344"/>
        <v>1.3328956330983595</v>
      </c>
      <c r="AL352" t="str">
        <f t="shared" si="324"/>
        <v>1-0,280591329923114i</v>
      </c>
      <c r="AM352">
        <f t="shared" si="345"/>
        <v>1.0386199951994097</v>
      </c>
      <c r="AN352">
        <f t="shared" si="346"/>
        <v>-0.27355695891742637</v>
      </c>
      <c r="AO352" s="58" t="str">
        <f t="shared" si="347"/>
        <v>1,79656993859703-0,976779129664981i</v>
      </c>
      <c r="AP352">
        <f t="shared" si="348"/>
        <v>6.2135920926759871</v>
      </c>
      <c r="AQ352" s="60">
        <f t="shared" si="349"/>
        <v>-28.532532978772881</v>
      </c>
      <c r="AR352" t="str">
        <f t="shared" si="325"/>
        <v>-1,36472945891784</v>
      </c>
      <c r="AS352" t="str">
        <f t="shared" si="326"/>
        <v>1+3,0891636803659i</v>
      </c>
      <c r="AT352">
        <f t="shared" si="350"/>
        <v>3.2469881804669067</v>
      </c>
      <c r="AU352">
        <f t="shared" si="351"/>
        <v>1.2577296308733119</v>
      </c>
      <c r="AV352" t="str">
        <f t="shared" si="327"/>
        <v>1+3,0891636803659i</v>
      </c>
      <c r="AW352">
        <f t="shared" si="352"/>
        <v>3.2469881804669067</v>
      </c>
      <c r="AX352">
        <f t="shared" si="353"/>
        <v>1.2577296308733119</v>
      </c>
      <c r="AY352" t="str">
        <f t="shared" si="328"/>
        <v>1-0,00485568314017707i</v>
      </c>
      <c r="AZ352">
        <f t="shared" si="354"/>
        <v>1.0000117887598914</v>
      </c>
      <c r="BA352">
        <f t="shared" si="355"/>
        <v>-4.8556449788368832E-3</v>
      </c>
      <c r="BB352" s="58" t="str">
        <f t="shared" si="356"/>
        <v>-0,127503287122744+0,400505217531416i</v>
      </c>
      <c r="BC352">
        <f t="shared" si="357"/>
        <v>-7.5285804335603963</v>
      </c>
      <c r="BD352" s="60">
        <f t="shared" si="358"/>
        <v>107.65919241831108</v>
      </c>
      <c r="BE352" s="58" t="str">
        <f t="shared" si="359"/>
        <v>0,134354721520764-0,0337822671138489i</v>
      </c>
      <c r="BF352" s="37">
        <f t="shared" si="360"/>
        <v>-17.168699721116351</v>
      </c>
      <c r="BG352" s="60">
        <f t="shared" si="361"/>
        <v>-14.113916252384668</v>
      </c>
      <c r="BH352" s="58" t="str">
        <f t="shared" si="362"/>
        <v>0,162136565089593+0,844078183893384i</v>
      </c>
      <c r="BI352" s="37">
        <f t="shared" si="363"/>
        <v>-1.314988340884413</v>
      </c>
      <c r="BJ352" s="60">
        <f t="shared" si="364"/>
        <v>79.126659439538173</v>
      </c>
      <c r="BK352">
        <f t="shared" si="365"/>
        <v>-17.168699721116351</v>
      </c>
      <c r="BL352" s="60">
        <f t="shared" si="366"/>
        <v>-14.113916252384668</v>
      </c>
      <c r="BN352">
        <f t="shared" si="367"/>
        <v>0</v>
      </c>
      <c r="BO352">
        <f t="shared" si="368"/>
        <v>0</v>
      </c>
    </row>
    <row r="353" spans="13:67" x14ac:dyDescent="0.25">
      <c r="M353" s="66">
        <v>35</v>
      </c>
      <c r="N353" s="36">
        <f t="shared" si="316"/>
        <v>22387.211385683382</v>
      </c>
      <c r="O353" s="91" t="str">
        <f t="shared" si="317"/>
        <v>22,5</v>
      </c>
      <c r="P353" s="67" t="str">
        <f t="shared" si="318"/>
        <v>1+151,916037459029i</v>
      </c>
      <c r="Q353" s="67">
        <f t="shared" si="329"/>
        <v>151.9193287151214</v>
      </c>
      <c r="R353" s="67">
        <f t="shared" si="330"/>
        <v>1.5642138383780517</v>
      </c>
      <c r="S353" s="67" t="str">
        <f t="shared" si="319"/>
        <v>1+4,21988992941747i</v>
      </c>
      <c r="T353" s="67">
        <f t="shared" si="331"/>
        <v>4.3367581228838414</v>
      </c>
      <c r="U353" s="67">
        <f t="shared" si="332"/>
        <v>1.3381154410034879</v>
      </c>
      <c r="V353" t="str">
        <f t="shared" si="320"/>
        <v>1-0,879143735295306i</v>
      </c>
      <c r="W353" s="67">
        <f t="shared" si="333"/>
        <v>1.3315005472432158</v>
      </c>
      <c r="X353" s="67">
        <f t="shared" si="334"/>
        <v>-0.72117208011849432</v>
      </c>
      <c r="Y353" t="str">
        <f t="shared" si="321"/>
        <v>0,967924017047855+2,43815862588565i</v>
      </c>
      <c r="Z353" s="67">
        <f t="shared" si="335"/>
        <v>2.6232602592496725</v>
      </c>
      <c r="AA353" s="67">
        <f t="shared" si="336"/>
        <v>1.1928876715019718</v>
      </c>
      <c r="AB353" s="92" t="str">
        <f t="shared" si="337"/>
        <v>-0,17575175979304-0,274582713207727i</v>
      </c>
      <c r="AC353" s="37">
        <f t="shared" si="338"/>
        <v>-9.7353068948458716</v>
      </c>
      <c r="AD353" s="60">
        <f t="shared" si="339"/>
        <v>-122.62202942794571</v>
      </c>
      <c r="AE353" t="str">
        <f t="shared" si="340"/>
        <v>34,4450883806789</v>
      </c>
      <c r="AF353" t="str">
        <f t="shared" si="322"/>
        <v>1+75,9580187295145i</v>
      </c>
      <c r="AG353">
        <f t="shared" si="341"/>
        <v>75.964601027802928</v>
      </c>
      <c r="AH353">
        <f t="shared" si="342"/>
        <v>1.5576319203390852</v>
      </c>
      <c r="AI353" t="str">
        <f t="shared" si="323"/>
        <v>1+4,21988992941747i</v>
      </c>
      <c r="AJ353">
        <f t="shared" si="343"/>
        <v>4.3367581228838414</v>
      </c>
      <c r="AK353">
        <f t="shared" si="344"/>
        <v>1.3381154410034879</v>
      </c>
      <c r="AL353" t="str">
        <f t="shared" si="324"/>
        <v>1-0,287127141605059i</v>
      </c>
      <c r="AM353">
        <f t="shared" si="345"/>
        <v>1.0404047267512253</v>
      </c>
      <c r="AN353">
        <f t="shared" si="346"/>
        <v>-0.27960539620972169</v>
      </c>
      <c r="AO353" s="58" t="str">
        <f t="shared" si="347"/>
        <v>1,7963032987719-0,979277805560623i</v>
      </c>
      <c r="AP353">
        <f t="shared" si="348"/>
        <v>6.2176711880951707</v>
      </c>
      <c r="AQ353" s="60">
        <f t="shared" si="349"/>
        <v>-28.597576931400614</v>
      </c>
      <c r="AR353" t="str">
        <f t="shared" si="325"/>
        <v>-1,36472945891784</v>
      </c>
      <c r="AS353" t="str">
        <f t="shared" si="326"/>
        <v>1+3,16111954612663i</v>
      </c>
      <c r="AT353">
        <f t="shared" si="350"/>
        <v>3.3155205903302472</v>
      </c>
      <c r="AU353">
        <f t="shared" si="351"/>
        <v>1.2644136394668763</v>
      </c>
      <c r="AV353" t="str">
        <f t="shared" si="327"/>
        <v>1+3,16111954612663i</v>
      </c>
      <c r="AW353">
        <f t="shared" si="352"/>
        <v>3.3155205903302472</v>
      </c>
      <c r="AX353">
        <f t="shared" si="353"/>
        <v>1.2644136394668763</v>
      </c>
      <c r="AY353" t="str">
        <f t="shared" si="328"/>
        <v>1-0,00474515429774864i</v>
      </c>
      <c r="AZ353">
        <f t="shared" si="354"/>
        <v>1.0000112581812814</v>
      </c>
      <c r="BA353">
        <f t="shared" si="355"/>
        <v>-4.7451186834911114E-3</v>
      </c>
      <c r="BB353" s="58" t="str">
        <f t="shared" si="356"/>
        <v>-0,122286731733997+0,39303882977353i</v>
      </c>
      <c r="BC353">
        <f t="shared" si="357"/>
        <v>-7.7100054744270041</v>
      </c>
      <c r="BD353" s="60">
        <f t="shared" si="358"/>
        <v>107.28255962591916</v>
      </c>
      <c r="BE353" s="58" t="str">
        <f t="shared" si="359"/>
        <v>0,129413776576795-0,0354994434108686i</v>
      </c>
      <c r="BF353" s="37">
        <f t="shared" si="360"/>
        <v>-17.445312369272884</v>
      </c>
      <c r="BG353" s="60">
        <f t="shared" si="361"/>
        <v>-15.339469802026542</v>
      </c>
      <c r="BH353" s="58" t="str">
        <f t="shared" si="362"/>
        <v>0,165230143110925+0,825769628769288i</v>
      </c>
      <c r="BI353" s="37">
        <f t="shared" si="363"/>
        <v>-1.4923342863318354</v>
      </c>
      <c r="BJ353" s="60">
        <f t="shared" si="364"/>
        <v>78.68498269451851</v>
      </c>
      <c r="BK353">
        <f t="shared" si="365"/>
        <v>-17.445312369272884</v>
      </c>
      <c r="BL353" s="60">
        <f t="shared" si="366"/>
        <v>-15.339469802026542</v>
      </c>
      <c r="BN353">
        <f t="shared" si="367"/>
        <v>0</v>
      </c>
      <c r="BO353">
        <f t="shared" si="368"/>
        <v>0</v>
      </c>
    </row>
    <row r="354" spans="13:67" x14ac:dyDescent="0.25">
      <c r="M354" s="66">
        <v>36</v>
      </c>
      <c r="N354" s="36">
        <f t="shared" si="316"/>
        <v>22908.676527677751</v>
      </c>
      <c r="O354" s="91" t="str">
        <f t="shared" si="317"/>
        <v>22,5</v>
      </c>
      <c r="P354" s="67" t="str">
        <f t="shared" si="318"/>
        <v>1+155,454616546886i</v>
      </c>
      <c r="Q354" s="67">
        <f t="shared" si="329"/>
        <v>155.45783288641124</v>
      </c>
      <c r="R354" s="67">
        <f t="shared" si="330"/>
        <v>1.5643636699259669</v>
      </c>
      <c r="S354" s="67" t="str">
        <f t="shared" si="319"/>
        <v>1+4,31818379296905i</v>
      </c>
      <c r="T354" s="67">
        <f t="shared" si="331"/>
        <v>4.4324610849798294</v>
      </c>
      <c r="U354" s="67">
        <f t="shared" si="332"/>
        <v>1.3432289398992567</v>
      </c>
      <c r="V354" t="str">
        <f t="shared" si="320"/>
        <v>1-0,899621623535219i</v>
      </c>
      <c r="W354" s="67">
        <f t="shared" si="333"/>
        <v>1.3451093135995094</v>
      </c>
      <c r="X354" s="67">
        <f t="shared" si="334"/>
        <v>-0.73260601468068176</v>
      </c>
      <c r="Y354" t="str">
        <f t="shared" si="321"/>
        <v>0,966412322544014+2,49495063593767i</v>
      </c>
      <c r="Z354" s="67">
        <f t="shared" si="335"/>
        <v>2.6755805824027612</v>
      </c>
      <c r="AA354" s="67">
        <f t="shared" si="336"/>
        <v>1.2012448337677601</v>
      </c>
      <c r="AB354" s="92" t="str">
        <f t="shared" si="337"/>
        <v>-0,177876356778634-0,269031719969983i</v>
      </c>
      <c r="AC354" s="37">
        <f t="shared" si="338"/>
        <v>-9.8289123092339388</v>
      </c>
      <c r="AD354" s="60">
        <f t="shared" si="339"/>
        <v>-123.47157855818433</v>
      </c>
      <c r="AE354" t="str">
        <f t="shared" si="340"/>
        <v>34,4450883806789</v>
      </c>
      <c r="AF354" t="str">
        <f t="shared" si="322"/>
        <v>1+77,727308273443i</v>
      </c>
      <c r="AG354">
        <f t="shared" si="341"/>
        <v>77.733740752872819</v>
      </c>
      <c r="AH354">
        <f t="shared" si="342"/>
        <v>1.5579315453677591</v>
      </c>
      <c r="AI354" t="str">
        <f t="shared" si="323"/>
        <v>1+4,31818379296905i</v>
      </c>
      <c r="AJ354">
        <f t="shared" si="343"/>
        <v>4.4324610849798294</v>
      </c>
      <c r="AK354">
        <f t="shared" si="344"/>
        <v>1.3432289398992567</v>
      </c>
      <c r="AL354" t="str">
        <f t="shared" si="324"/>
        <v>1-0,293815191898062i</v>
      </c>
      <c r="AM354">
        <f t="shared" si="345"/>
        <v>1.0422702945925759</v>
      </c>
      <c r="AN354">
        <f t="shared" si="346"/>
        <v>-0.28577304459493985</v>
      </c>
      <c r="AO354" s="58" t="str">
        <f t="shared" si="347"/>
        <v>1,79604865565005-0,98229539149533i</v>
      </c>
      <c r="AP354">
        <f t="shared" si="348"/>
        <v>6.2228605490186784</v>
      </c>
      <c r="AQ354" s="60">
        <f t="shared" si="349"/>
        <v>-28.675142497701604</v>
      </c>
      <c r="AR354" t="str">
        <f t="shared" si="325"/>
        <v>-1,36472945891784</v>
      </c>
      <c r="AS354" t="str">
        <f t="shared" si="326"/>
        <v>1+3,23475147931312i</v>
      </c>
      <c r="AT354">
        <f t="shared" si="350"/>
        <v>3.385796380900425</v>
      </c>
      <c r="AU354">
        <f t="shared" si="351"/>
        <v>1.2709729282425095</v>
      </c>
      <c r="AV354" t="str">
        <f t="shared" si="327"/>
        <v>1+3,23475147931312i</v>
      </c>
      <c r="AW354">
        <f t="shared" si="352"/>
        <v>3.385796380900425</v>
      </c>
      <c r="AX354">
        <f t="shared" si="353"/>
        <v>1.2709729282425095</v>
      </c>
      <c r="AY354" t="str">
        <f t="shared" si="328"/>
        <v>1-0,00463714139893838i</v>
      </c>
      <c r="AZ354">
        <f t="shared" si="354"/>
        <v>1.0000107514823797</v>
      </c>
      <c r="BA354">
        <f t="shared" si="355"/>
        <v>-4.6371081617591616E-3</v>
      </c>
      <c r="BB354" s="58" t="str">
        <f t="shared" si="356"/>
        <v>-0,117263033250994+0,385645213749694i</v>
      </c>
      <c r="BC354">
        <f t="shared" si="357"/>
        <v>-7.8921920171999238</v>
      </c>
      <c r="BD354" s="60">
        <f t="shared" si="358"/>
        <v>106.91292860950615</v>
      </c>
      <c r="BE354" s="58" t="str">
        <f t="shared" si="359"/>
        <v>0,124609116292771-0,0370496901065009i</v>
      </c>
      <c r="BF354" s="37">
        <f t="shared" si="360"/>
        <v>-17.721104326433835</v>
      </c>
      <c r="BG354" s="60">
        <f t="shared" si="361"/>
        <v>-16.558649948678092</v>
      </c>
      <c r="BH354" s="58" t="str">
        <f t="shared" si="362"/>
        <v>0,168207402990661+0,807824504868229i</v>
      </c>
      <c r="BI354" s="37">
        <f t="shared" si="363"/>
        <v>-1.6693314681812468</v>
      </c>
      <c r="BJ354" s="60">
        <f t="shared" si="364"/>
        <v>78.237786111804553</v>
      </c>
      <c r="BK354">
        <f t="shared" si="365"/>
        <v>-17.721104326433835</v>
      </c>
      <c r="BL354" s="60">
        <f t="shared" si="366"/>
        <v>-16.558649948678092</v>
      </c>
      <c r="BN354">
        <f t="shared" si="367"/>
        <v>0</v>
      </c>
      <c r="BO354">
        <f t="shared" si="368"/>
        <v>0</v>
      </c>
    </row>
    <row r="355" spans="13:67" x14ac:dyDescent="0.25">
      <c r="M355" s="66">
        <v>37</v>
      </c>
      <c r="N355" s="36">
        <f t="shared" si="316"/>
        <v>23442.288153199243</v>
      </c>
      <c r="O355" s="91" t="str">
        <f t="shared" si="317"/>
        <v>22,5</v>
      </c>
      <c r="P355" s="67" t="str">
        <f t="shared" si="318"/>
        <v>1+159,07561973012i</v>
      </c>
      <c r="Q355" s="67">
        <f t="shared" si="329"/>
        <v>159.07876285828269</v>
      </c>
      <c r="R355" s="67">
        <f t="shared" si="330"/>
        <v>1.5645100911705498</v>
      </c>
      <c r="S355" s="67" t="str">
        <f t="shared" si="319"/>
        <v>1+4,41876721472557i</v>
      </c>
      <c r="T355" s="67">
        <f t="shared" si="331"/>
        <v>4.530508105933988</v>
      </c>
      <c r="U355" s="67">
        <f t="shared" si="332"/>
        <v>1.3482377708990254</v>
      </c>
      <c r="V355" t="str">
        <f t="shared" si="320"/>
        <v>1-0,920576503067825i</v>
      </c>
      <c r="W355" s="67">
        <f t="shared" si="333"/>
        <v>1.3592134114996752</v>
      </c>
      <c r="X355" s="67">
        <f t="shared" si="334"/>
        <v>-0.74406772548970468</v>
      </c>
      <c r="Y355" t="str">
        <f t="shared" si="321"/>
        <v>0,964829384073112+2,55306550184143i</v>
      </c>
      <c r="Z355" s="67">
        <f t="shared" si="335"/>
        <v>2.7292928016363014</v>
      </c>
      <c r="AA355" s="67">
        <f t="shared" si="336"/>
        <v>1.2094767304415897</v>
      </c>
      <c r="AB355" s="92" t="str">
        <f t="shared" si="337"/>
        <v>-0,179930924159999-0,263557917797912i</v>
      </c>
      <c r="AC355" s="37">
        <f t="shared" si="338"/>
        <v>-9.9209050726679333</v>
      </c>
      <c r="AD355" s="60">
        <f t="shared" si="339"/>
        <v>-124.32134359310362</v>
      </c>
      <c r="AE355" t="str">
        <f t="shared" si="340"/>
        <v>34,4450883806789</v>
      </c>
      <c r="AF355" t="str">
        <f t="shared" si="322"/>
        <v>1+79,5378098650602i</v>
      </c>
      <c r="AG355">
        <f t="shared" si="341"/>
        <v>79.54409593508791</v>
      </c>
      <c r="AH355">
        <f t="shared" si="342"/>
        <v>1.558224352330249</v>
      </c>
      <c r="AI355" t="str">
        <f t="shared" si="323"/>
        <v>1+4,41876721472557i</v>
      </c>
      <c r="AJ355">
        <f t="shared" si="343"/>
        <v>4.530508105933988</v>
      </c>
      <c r="AK355">
        <f t="shared" si="344"/>
        <v>1.3482377708990254</v>
      </c>
      <c r="AL355" t="str">
        <f t="shared" si="324"/>
        <v>1-0,300659026894912i</v>
      </c>
      <c r="AM355">
        <f t="shared" si="345"/>
        <v>1.0442202116667707</v>
      </c>
      <c r="AN355">
        <f t="shared" si="346"/>
        <v>-0.29206129658767715</v>
      </c>
      <c r="AO355" s="58" t="str">
        <f t="shared" si="347"/>
        <v>1,79580546964857-0,985833508518891i</v>
      </c>
      <c r="AP355">
        <f t="shared" si="348"/>
        <v>6.2291672011280186</v>
      </c>
      <c r="AQ355" s="60">
        <f t="shared" si="349"/>
        <v>-28.765224523981836</v>
      </c>
      <c r="AR355" t="str">
        <f t="shared" si="325"/>
        <v>-1,36472945891784</v>
      </c>
      <c r="AS355" t="str">
        <f t="shared" si="326"/>
        <v>1+3,31009852055092i</v>
      </c>
      <c r="AT355">
        <f t="shared" si="350"/>
        <v>3.4578537007446379</v>
      </c>
      <c r="AU355">
        <f t="shared" si="351"/>
        <v>1.2774087165420616</v>
      </c>
      <c r="AV355" t="str">
        <f t="shared" si="327"/>
        <v>1+3,31009852055092i</v>
      </c>
      <c r="AW355">
        <f t="shared" si="352"/>
        <v>3.4578537007446379</v>
      </c>
      <c r="AX355">
        <f t="shared" si="353"/>
        <v>1.2774087165420616</v>
      </c>
      <c r="AY355" t="str">
        <f t="shared" si="328"/>
        <v>1-0,00453158717387768i</v>
      </c>
      <c r="AZ355">
        <f t="shared" si="354"/>
        <v>1.0000102675884455</v>
      </c>
      <c r="BA355">
        <f t="shared" si="355"/>
        <v>-4.5315561551192169E-3</v>
      </c>
      <c r="BB355" s="58" t="str">
        <f t="shared" si="356"/>
        <v>-0,11242672698887+0,378327933188086i</v>
      </c>
      <c r="BC355">
        <f t="shared" si="357"/>
        <v>-8.0751117844383149</v>
      </c>
      <c r="BD355" s="60">
        <f t="shared" si="358"/>
        <v>106.55023278660171</v>
      </c>
      <c r="BE355" s="58" t="str">
        <f t="shared" si="359"/>
        <v>0,119940367203231-0,0384419405840538i</v>
      </c>
      <c r="BF355" s="37">
        <f t="shared" si="360"/>
        <v>-17.996016857106238</v>
      </c>
      <c r="BG355" s="60">
        <f t="shared" si="361"/>
        <v>-17.771110806501891</v>
      </c>
      <c r="BH355" s="58" t="str">
        <f t="shared" si="362"/>
        <v>0,171071822484212+0,790237406458737i</v>
      </c>
      <c r="BI355" s="37">
        <f t="shared" si="363"/>
        <v>-1.8459445833102961</v>
      </c>
      <c r="BJ355" s="60">
        <f t="shared" si="364"/>
        <v>77.785008262619883</v>
      </c>
      <c r="BK355">
        <f t="shared" si="365"/>
        <v>-17.996016857106238</v>
      </c>
      <c r="BL355" s="60">
        <f t="shared" si="366"/>
        <v>-17.771110806501891</v>
      </c>
      <c r="BN355">
        <f t="shared" si="367"/>
        <v>0</v>
      </c>
      <c r="BO355">
        <f t="shared" si="368"/>
        <v>0</v>
      </c>
    </row>
    <row r="356" spans="13:67" x14ac:dyDescent="0.25">
      <c r="M356" s="66">
        <v>38</v>
      </c>
      <c r="N356" s="36">
        <f t="shared" si="316"/>
        <v>23988.329190194923</v>
      </c>
      <c r="O356" s="91" t="str">
        <f t="shared" si="317"/>
        <v>22,5</v>
      </c>
      <c r="P356" s="67" t="str">
        <f t="shared" si="318"/>
        <v>1+162,78096691255i</v>
      </c>
      <c r="Q356" s="67">
        <f t="shared" si="329"/>
        <v>162.78403849574656</v>
      </c>
      <c r="R356" s="67">
        <f t="shared" si="330"/>
        <v>1.5646531797211547</v>
      </c>
      <c r="S356" s="67" t="str">
        <f t="shared" si="319"/>
        <v>1+4,5216935253486i</v>
      </c>
      <c r="T356" s="67">
        <f t="shared" si="331"/>
        <v>4.6309515585006347</v>
      </c>
      <c r="U356" s="67">
        <f t="shared" si="332"/>
        <v>1.3531435839919819</v>
      </c>
      <c r="V356" t="str">
        <f t="shared" si="320"/>
        <v>1-0,942019484447625i</v>
      </c>
      <c r="W356" s="67">
        <f t="shared" si="333"/>
        <v>1.3738270302621685</v>
      </c>
      <c r="X356" s="67">
        <f t="shared" si="334"/>
        <v>-0.7555512448154309</v>
      </c>
      <c r="Y356" t="str">
        <f t="shared" si="321"/>
        <v>0,963171844010422+2,61253403686808i</v>
      </c>
      <c r="Z356" s="67">
        <f t="shared" si="335"/>
        <v>2.7844270676188776</v>
      </c>
      <c r="AA356" s="67">
        <f t="shared" si="336"/>
        <v>1.2175837555653948</v>
      </c>
      <c r="AB356" s="92" t="str">
        <f t="shared" si="337"/>
        <v>-0,181916787396961-0,25816160636192i</v>
      </c>
      <c r="AC356" s="37">
        <f t="shared" si="338"/>
        <v>-10.011257047818937</v>
      </c>
      <c r="AD356" s="60">
        <f t="shared" si="339"/>
        <v>-125.17091509316545</v>
      </c>
      <c r="AE356" t="str">
        <f t="shared" si="340"/>
        <v>34,4450883806789</v>
      </c>
      <c r="AF356" t="str">
        <f t="shared" si="322"/>
        <v>1+81,3904834562749i</v>
      </c>
      <c r="AG356">
        <f t="shared" si="341"/>
        <v>81.396626448804113</v>
      </c>
      <c r="AH356">
        <f t="shared" si="342"/>
        <v>1.5585104962757339</v>
      </c>
      <c r="AI356" t="str">
        <f t="shared" si="323"/>
        <v>1+4,5216935253486i</v>
      </c>
      <c r="AJ356">
        <f t="shared" si="343"/>
        <v>4.6309515585006347</v>
      </c>
      <c r="AK356">
        <f t="shared" si="344"/>
        <v>1.3531435839919819</v>
      </c>
      <c r="AL356" t="str">
        <f t="shared" si="324"/>
        <v>1-0,307662275287514i</v>
      </c>
      <c r="AM356">
        <f t="shared" si="345"/>
        <v>1.0462581304989176</v>
      </c>
      <c r="AN356">
        <f t="shared" si="346"/>
        <v>-0.29847149634696812</v>
      </c>
      <c r="AO356" s="58" t="str">
        <f t="shared" si="347"/>
        <v>1,79557322543827-0,989894052266933i</v>
      </c>
      <c r="AP356">
        <f t="shared" si="348"/>
        <v>6.2365996383618185</v>
      </c>
      <c r="AQ356" s="60">
        <f t="shared" si="349"/>
        <v>-28.867814371128048</v>
      </c>
      <c r="AR356" t="str">
        <f t="shared" si="325"/>
        <v>-1,36472945891784</v>
      </c>
      <c r="AS356" t="str">
        <f t="shared" si="326"/>
        <v>1+3,38720061983864i</v>
      </c>
      <c r="AT356">
        <f t="shared" si="350"/>
        <v>3.5317315921563557</v>
      </c>
      <c r="AU356">
        <f t="shared" si="351"/>
        <v>1.2837222833920583</v>
      </c>
      <c r="AV356" t="str">
        <f t="shared" si="327"/>
        <v>1+3,38720061983864i</v>
      </c>
      <c r="AW356">
        <f t="shared" si="352"/>
        <v>3.5317315921563557</v>
      </c>
      <c r="AX356">
        <f t="shared" si="353"/>
        <v>1.2837222833920583</v>
      </c>
      <c r="AY356" t="str">
        <f t="shared" si="328"/>
        <v>1-0,00442843565631923i</v>
      </c>
      <c r="AZ356">
        <f t="shared" si="354"/>
        <v>1.0000098054731075</v>
      </c>
      <c r="BA356">
        <f t="shared" si="355"/>
        <v>-4.4284067079134364E-3</v>
      </c>
      <c r="BB356" s="58" t="str">
        <f t="shared" si="356"/>
        <v>-0,107772365747161+0,37109024065736i</v>
      </c>
      <c r="BC356">
        <f t="shared" si="357"/>
        <v>-8.2587373101941601</v>
      </c>
      <c r="BD356" s="60">
        <f t="shared" si="358"/>
        <v>106.19440208040723</v>
      </c>
      <c r="BE356" s="58" t="str">
        <f t="shared" si="359"/>
        <v>0,115406855180229-0,0396848573520406i</v>
      </c>
      <c r="BF356" s="37">
        <f t="shared" si="360"/>
        <v>-18.269994358013122</v>
      </c>
      <c r="BG356" s="60">
        <f t="shared" si="361"/>
        <v>-18.97651301275825</v>
      </c>
      <c r="BH356" s="58" t="str">
        <f t="shared" si="362"/>
        <v>0,173826847703283+0,773002924197651i</v>
      </c>
      <c r="BI356" s="37">
        <f t="shared" si="363"/>
        <v>-2.0221376718323407</v>
      </c>
      <c r="BJ356" s="60">
        <f t="shared" si="364"/>
        <v>77.326587709279181</v>
      </c>
      <c r="BK356">
        <f t="shared" si="365"/>
        <v>-18.269994358013122</v>
      </c>
      <c r="BL356" s="60">
        <f t="shared" si="366"/>
        <v>-18.97651301275825</v>
      </c>
      <c r="BN356">
        <f t="shared" si="367"/>
        <v>0</v>
      </c>
      <c r="BO356">
        <f t="shared" si="368"/>
        <v>0</v>
      </c>
    </row>
    <row r="357" spans="13:67" x14ac:dyDescent="0.25">
      <c r="M357" s="66">
        <v>39</v>
      </c>
      <c r="N357" s="36">
        <f t="shared" si="316"/>
        <v>24547.089156850321</v>
      </c>
      <c r="O357" s="91" t="str">
        <f t="shared" si="317"/>
        <v>22,5</v>
      </c>
      <c r="P357" s="67" t="str">
        <f t="shared" si="318"/>
        <v>1+166,572622718297i</v>
      </c>
      <c r="Q357" s="67">
        <f t="shared" si="329"/>
        <v>166.57562438499855</v>
      </c>
      <c r="R357" s="67">
        <f t="shared" si="330"/>
        <v>1.5647930114217747</v>
      </c>
      <c r="S357" s="67" t="str">
        <f t="shared" si="319"/>
        <v>1+4,62701729773047i</v>
      </c>
      <c r="T357" s="67">
        <f t="shared" si="331"/>
        <v>4.7338450622614356</v>
      </c>
      <c r="U357" s="67">
        <f t="shared" si="332"/>
        <v>1.3579480353305642</v>
      </c>
      <c r="V357" t="str">
        <f t="shared" si="320"/>
        <v>1-0,963961937027181i</v>
      </c>
      <c r="W357" s="67">
        <f t="shared" si="333"/>
        <v>1.3889645841551161</v>
      </c>
      <c r="X357" s="67">
        <f t="shared" si="334"/>
        <v>-0.76705054763588898</v>
      </c>
      <c r="Y357" t="str">
        <f t="shared" si="321"/>
        <v>0,961436186491241+2,67338777202205i</v>
      </c>
      <c r="Z357" s="67">
        <f t="shared" si="335"/>
        <v>2.8410142062812427</v>
      </c>
      <c r="AA357" s="67">
        <f t="shared" si="336"/>
        <v>1.225566432531749</v>
      </c>
      <c r="AB357" s="92" t="str">
        <f t="shared" si="337"/>
        <v>-0,183835323729477-0,252843013575265i</v>
      </c>
      <c r="AC357" s="37">
        <f t="shared" si="338"/>
        <v>-10.099942508373516</v>
      </c>
      <c r="AD357" s="60">
        <f t="shared" si="339"/>
        <v>-126.0198872932197</v>
      </c>
      <c r="AE357" t="str">
        <f t="shared" si="340"/>
        <v>34,4450883806789</v>
      </c>
      <c r="AF357" t="str">
        <f t="shared" si="322"/>
        <v>1+83,2863113591485i</v>
      </c>
      <c r="AG357">
        <f t="shared" si="341"/>
        <v>83.292314530291605</v>
      </c>
      <c r="AH357">
        <f t="shared" si="342"/>
        <v>1.5587901287339818</v>
      </c>
      <c r="AI357" t="str">
        <f t="shared" si="323"/>
        <v>1+4,62701729773047i</v>
      </c>
      <c r="AJ357">
        <f t="shared" si="343"/>
        <v>4.7338450622614356</v>
      </c>
      <c r="AK357">
        <f t="shared" si="344"/>
        <v>1.3579480353305642</v>
      </c>
      <c r="AL357" t="str">
        <f t="shared" si="324"/>
        <v>1-0,314828650290864i</v>
      </c>
      <c r="AM357">
        <f t="shared" si="345"/>
        <v>1.0483878476231814</v>
      </c>
      <c r="AN357">
        <f t="shared" si="346"/>
        <v>-0.30500493467346218</v>
      </c>
      <c r="AO357" s="58" t="str">
        <f t="shared" si="347"/>
        <v>1,79535143085493-0,994479194059819i</v>
      </c>
      <c r="AP357">
        <f t="shared" si="348"/>
        <v>6.2451678123820802</v>
      </c>
      <c r="AQ357" s="60">
        <f t="shared" si="349"/>
        <v>-28.982899788040982</v>
      </c>
      <c r="AR357" t="str">
        <f t="shared" si="325"/>
        <v>-1,36472945891784</v>
      </c>
      <c r="AS357" t="str">
        <f t="shared" si="326"/>
        <v>1+3,4660986577299i</v>
      </c>
      <c r="AT357">
        <f t="shared" si="350"/>
        <v>3.6074700144446128</v>
      </c>
      <c r="AU357">
        <f t="shared" si="351"/>
        <v>1.2899149622470196</v>
      </c>
      <c r="AV357" t="str">
        <f t="shared" si="327"/>
        <v>1+3,4660986577299i</v>
      </c>
      <c r="AW357">
        <f t="shared" si="352"/>
        <v>3.6074700144446128</v>
      </c>
      <c r="AX357">
        <f t="shared" si="353"/>
        <v>1.2899149622470196</v>
      </c>
      <c r="AY357" t="str">
        <f t="shared" si="328"/>
        <v>1-0,00432763215396303i</v>
      </c>
      <c r="AZ357">
        <f t="shared" si="354"/>
        <v>1.0000093641561862</v>
      </c>
      <c r="BA357">
        <f t="shared" si="355"/>
        <v>-4.3276051377245149E-3</v>
      </c>
      <c r="BB357" s="58" t="str">
        <f t="shared" si="356"/>
        <v>-0,103294533115127+0,363935089669052i</v>
      </c>
      <c r="BC357">
        <f t="shared" si="357"/>
        <v>-8.443041936424569</v>
      </c>
      <c r="BD357" s="60">
        <f t="shared" si="358"/>
        <v>105.8453632226781</v>
      </c>
      <c r="BE357" s="58" t="str">
        <f t="shared" si="359"/>
        <v>0,111007628752412-0,0407868239871477i</v>
      </c>
      <c r="BF357" s="37">
        <f t="shared" si="360"/>
        <v>-18.54298444479808</v>
      </c>
      <c r="BG357" s="60">
        <f t="shared" si="361"/>
        <v>-20.17452407054158</v>
      </c>
      <c r="BH357" s="58" t="str">
        <f t="shared" si="362"/>
        <v>0,176475886836432+0,756115648018767i</v>
      </c>
      <c r="BI357" s="37">
        <f t="shared" si="363"/>
        <v>-2.1978741240424848</v>
      </c>
      <c r="BJ357" s="60">
        <f t="shared" si="364"/>
        <v>76.862463434637107</v>
      </c>
      <c r="BK357">
        <f t="shared" si="365"/>
        <v>-18.54298444479808</v>
      </c>
      <c r="BL357" s="60">
        <f t="shared" si="366"/>
        <v>-20.17452407054158</v>
      </c>
      <c r="BN357">
        <f t="shared" si="367"/>
        <v>0</v>
      </c>
      <c r="BO357">
        <f t="shared" si="368"/>
        <v>0</v>
      </c>
    </row>
    <row r="358" spans="13:67" x14ac:dyDescent="0.25">
      <c r="M358" s="66">
        <v>40</v>
      </c>
      <c r="N358" s="36">
        <f t="shared" si="316"/>
        <v>25118.86431509586</v>
      </c>
      <c r="O358" s="91" t="str">
        <f t="shared" si="317"/>
        <v>22,5</v>
      </c>
      <c r="P358" s="67" t="str">
        <f t="shared" si="318"/>
        <v>1+170,45259753346i</v>
      </c>
      <c r="Q358" s="67">
        <f t="shared" si="329"/>
        <v>170.45553087507514</v>
      </c>
      <c r="R358" s="67">
        <f t="shared" si="330"/>
        <v>1.5649296603911429</v>
      </c>
      <c r="S358" s="67" t="str">
        <f t="shared" si="319"/>
        <v>1+4,73479437592944i</v>
      </c>
      <c r="T358" s="67">
        <f t="shared" si="331"/>
        <v>4.8392435134360676</v>
      </c>
      <c r="U358" s="67">
        <f t="shared" si="332"/>
        <v>1.3626527846915517</v>
      </c>
      <c r="V358" t="str">
        <f t="shared" si="320"/>
        <v>1-0,9864154949853i</v>
      </c>
      <c r="W358" s="67">
        <f t="shared" si="333"/>
        <v>1.4046407116224042</v>
      </c>
      <c r="X358" s="67">
        <f t="shared" si="334"/>
        <v>-0.77855956730201048</v>
      </c>
      <c r="Y358" t="str">
        <f t="shared" si="321"/>
        <v>0,959618729953267+2,73565897275923i</v>
      </c>
      <c r="Z358" s="67">
        <f t="shared" si="335"/>
        <v>2.8990857390072486</v>
      </c>
      <c r="AA358" s="67">
        <f t="shared" si="336"/>
        <v>1.2334254073358972</v>
      </c>
      <c r="AB358" s="92" t="str">
        <f t="shared" si="337"/>
        <v>-0,185687954804816-0,247602295478523i</v>
      </c>
      <c r="AC358" s="37">
        <f t="shared" si="338"/>
        <v>-10.186938215684396</v>
      </c>
      <c r="AD358" s="60">
        <f t="shared" si="339"/>
        <v>-126.86785876116686</v>
      </c>
      <c r="AE358" t="str">
        <f t="shared" si="340"/>
        <v>34,4450883806789</v>
      </c>
      <c r="AF358" t="str">
        <f t="shared" si="322"/>
        <v>1+85,22629876673i</v>
      </c>
      <c r="AG358">
        <f t="shared" si="341"/>
        <v>85.232165298529893</v>
      </c>
      <c r="AH358">
        <f t="shared" si="342"/>
        <v>1.5590633977947981</v>
      </c>
      <c r="AI358" t="str">
        <f t="shared" si="323"/>
        <v>1+4,73479437592944i</v>
      </c>
      <c r="AJ358">
        <f t="shared" si="343"/>
        <v>4.8392435134360676</v>
      </c>
      <c r="AK358">
        <f t="shared" si="344"/>
        <v>1.3626527846915517</v>
      </c>
      <c r="AL358" t="str">
        <f t="shared" si="324"/>
        <v>1-0,322161951611851i</v>
      </c>
      <c r="AM358">
        <f t="shared" si="345"/>
        <v>1.0506133080569446</v>
      </c>
      <c r="AN358">
        <f t="shared" si="346"/>
        <v>-0.31166284379620401</v>
      </c>
      <c r="AO358" s="58" t="str">
        <f t="shared" si="347"/>
        <v>1,79513961585922-0,999591382141469i</v>
      </c>
      <c r="AP358">
        <f t="shared" si="348"/>
        <v>6.2548831199259141</v>
      </c>
      <c r="AQ358" s="60">
        <f t="shared" si="349"/>
        <v>-29.110464762960362</v>
      </c>
      <c r="AR358" t="str">
        <f t="shared" si="325"/>
        <v>-1,36472945891784</v>
      </c>
      <c r="AS358" t="str">
        <f t="shared" si="326"/>
        <v>1+3,54683446700875i</v>
      </c>
      <c r="AT358">
        <f t="shared" si="350"/>
        <v>3.6851098676106315</v>
      </c>
      <c r="AU358">
        <f t="shared" si="351"/>
        <v>1.2959881359425429</v>
      </c>
      <c r="AV358" t="str">
        <f t="shared" si="327"/>
        <v>1+3,54683446700875i</v>
      </c>
      <c r="AW358">
        <f t="shared" si="352"/>
        <v>3.6851098676106315</v>
      </c>
      <c r="AX358">
        <f t="shared" si="353"/>
        <v>1.2959881359425429</v>
      </c>
      <c r="AY358" t="str">
        <f t="shared" si="328"/>
        <v>1-0,00422912321945783i</v>
      </c>
      <c r="AZ358">
        <f t="shared" si="354"/>
        <v>1.0000089427016168</v>
      </c>
      <c r="BA358">
        <f t="shared" si="355"/>
        <v>-4.2290980064242931E-3</v>
      </c>
      <c r="BB358" s="58" t="str">
        <f t="shared" si="356"/>
        <v>-0,0989878555637822+0,356865146971894i</v>
      </c>
      <c r="BC358">
        <f t="shared" si="357"/>
        <v>-8.6279998075145929</v>
      </c>
      <c r="BD358" s="60">
        <f t="shared" si="358"/>
        <v>105.5030400445502</v>
      </c>
      <c r="BE358" s="58" t="str">
        <f t="shared" si="359"/>
        <v>0,106741482016675-0,0417559390202421i</v>
      </c>
      <c r="BF358" s="37">
        <f t="shared" si="360"/>
        <v>-18.814938023198966</v>
      </c>
      <c r="BG358" s="60">
        <f t="shared" si="361"/>
        <v>-21.36481871661659</v>
      </c>
      <c r="BH358" s="58" t="str">
        <f t="shared" si="362"/>
        <v>0,179022304488258+0,739570170206891i</v>
      </c>
      <c r="BI358" s="37">
        <f t="shared" si="363"/>
        <v>-2.3731166875886793</v>
      </c>
      <c r="BJ358" s="60">
        <f t="shared" si="364"/>
        <v>76.392575281589842</v>
      </c>
      <c r="BK358">
        <f t="shared" si="365"/>
        <v>-18.814938023198966</v>
      </c>
      <c r="BL358" s="60">
        <f t="shared" si="366"/>
        <v>-21.36481871661659</v>
      </c>
      <c r="BN358">
        <f t="shared" si="367"/>
        <v>0</v>
      </c>
      <c r="BO358">
        <f t="shared" si="368"/>
        <v>0</v>
      </c>
    </row>
    <row r="359" spans="13:67" x14ac:dyDescent="0.25">
      <c r="M359" s="66">
        <v>41</v>
      </c>
      <c r="N359" s="36">
        <f t="shared" si="316"/>
        <v>25703.95782768865</v>
      </c>
      <c r="O359" s="91" t="str">
        <f t="shared" si="317"/>
        <v>22,5</v>
      </c>
      <c r="P359" s="67" t="str">
        <f t="shared" si="318"/>
        <v>1+174,422948572041i</v>
      </c>
      <c r="Q359" s="67">
        <f t="shared" si="329"/>
        <v>174.42581514375922</v>
      </c>
      <c r="R359" s="67">
        <f t="shared" si="330"/>
        <v>1.5650631990619266</v>
      </c>
      <c r="S359" s="67" t="str">
        <f t="shared" si="319"/>
        <v>1+4,84508190477892i</v>
      </c>
      <c r="T359" s="67">
        <f t="shared" si="331"/>
        <v>4.9472031152981915</v>
      </c>
      <c r="U359" s="67">
        <f t="shared" si="332"/>
        <v>1.3672594931045192</v>
      </c>
      <c r="V359" t="str">
        <f t="shared" si="320"/>
        <v>1-1,00939206349561i</v>
      </c>
      <c r="W359" s="67">
        <f t="shared" si="333"/>
        <v>1.4208702748132658</v>
      </c>
      <c r="X359" s="67">
        <f t="shared" si="334"/>
        <v>-0.79007221146942808</v>
      </c>
      <c r="Y359" t="str">
        <f t="shared" si="321"/>
        <v>0,957715619327514+2,79938065609448i</v>
      </c>
      <c r="Z359" s="67">
        <f t="shared" si="335"/>
        <v>2.9586739031565887</v>
      </c>
      <c r="AA359" s="67">
        <f t="shared" si="336"/>
        <v>1.241161441893041</v>
      </c>
      <c r="AB359" s="92" t="str">
        <f t="shared" si="337"/>
        <v>-0,187476139647248-0,242439536578662i</v>
      </c>
      <c r="AC359" s="37">
        <f t="shared" si="338"/>
        <v>-10.272223481605762</v>
      </c>
      <c r="AD359" s="60">
        <f t="shared" si="339"/>
        <v>-127.71443306601488</v>
      </c>
      <c r="AE359" t="str">
        <f t="shared" si="340"/>
        <v>34,4450883806789</v>
      </c>
      <c r="AF359" t="str">
        <f t="shared" si="322"/>
        <v>1+87,2114742860205i</v>
      </c>
      <c r="AG359">
        <f t="shared" si="341"/>
        <v>87.217207288133324</v>
      </c>
      <c r="AH359">
        <f t="shared" si="342"/>
        <v>1.5593304481857087</v>
      </c>
      <c r="AI359" t="str">
        <f t="shared" si="323"/>
        <v>1+4,84508190477892i</v>
      </c>
      <c r="AJ359">
        <f t="shared" si="343"/>
        <v>4.9472031152981915</v>
      </c>
      <c r="AK359">
        <f t="shared" si="344"/>
        <v>1.3672594931045192</v>
      </c>
      <c r="AL359" t="str">
        <f t="shared" si="324"/>
        <v>1-0,329666067463898i</v>
      </c>
      <c r="AM359">
        <f t="shared" si="345"/>
        <v>1.0529386098140343</v>
      </c>
      <c r="AN359">
        <f t="shared" si="346"/>
        <v>-0.31844639195271274</v>
      </c>
      <c r="AO359" s="58" t="str">
        <f t="shared" si="347"/>
        <v>1,79493733154313-1,00523334305915i</v>
      </c>
      <c r="AP359">
        <f t="shared" si="348"/>
        <v>6.265758387937554</v>
      </c>
      <c r="AQ359" s="60">
        <f t="shared" si="349"/>
        <v>-29.250489353258267</v>
      </c>
      <c r="AR359" t="str">
        <f t="shared" si="325"/>
        <v>-1,36472945891784</v>
      </c>
      <c r="AS359" t="str">
        <f t="shared" si="326"/>
        <v>1+3,62945085486989i</v>
      </c>
      <c r="AT359">
        <f t="shared" si="350"/>
        <v>3.7646930164245496</v>
      </c>
      <c r="AU359">
        <f t="shared" si="351"/>
        <v>1.3019432318606778</v>
      </c>
      <c r="AV359" t="str">
        <f t="shared" si="327"/>
        <v>1+3,62945085486989i</v>
      </c>
      <c r="AW359">
        <f t="shared" si="352"/>
        <v>3.7646930164245496</v>
      </c>
      <c r="AX359">
        <f t="shared" si="353"/>
        <v>1.3019432318606778</v>
      </c>
      <c r="AY359" t="str">
        <f t="shared" si="328"/>
        <v>1-0,00413285662206267i</v>
      </c>
      <c r="AZ359">
        <f t="shared" si="354"/>
        <v>1.0000085402154617</v>
      </c>
      <c r="BA359">
        <f t="shared" si="355"/>
        <v>-4.1328330918793208E-3</v>
      </c>
      <c r="BB359" s="58" t="str">
        <f t="shared" si="356"/>
        <v>-0,0948470133740169+0,349882804953794i</v>
      </c>
      <c r="BC359">
        <f t="shared" si="357"/>
        <v>-8.8135858630873223</v>
      </c>
      <c r="BD359" s="60">
        <f t="shared" si="358"/>
        <v>105.1673537551641</v>
      </c>
      <c r="BE359" s="58" t="str">
        <f t="shared" si="359"/>
        <v>0,102606977014272-0,0426000116334215i</v>
      </c>
      <c r="BF359" s="37">
        <f t="shared" si="360"/>
        <v>-19.085809344693068</v>
      </c>
      <c r="BG359" s="60">
        <f t="shared" si="361"/>
        <v>-22.547079310850723</v>
      </c>
      <c r="BH359" s="58" t="str">
        <f t="shared" si="362"/>
        <v>0,181469416612221+0,723361088609727i</v>
      </c>
      <c r="BI359" s="37">
        <f t="shared" si="363"/>
        <v>-2.5478274751497714</v>
      </c>
      <c r="BJ359" s="60">
        <f t="shared" si="364"/>
        <v>75.916864401905855</v>
      </c>
      <c r="BK359">
        <f t="shared" si="365"/>
        <v>-19.085809344693068</v>
      </c>
      <c r="BL359" s="60">
        <f t="shared" si="366"/>
        <v>-22.547079310850723</v>
      </c>
      <c r="BN359">
        <f t="shared" si="367"/>
        <v>0</v>
      </c>
      <c r="BO359">
        <f t="shared" si="368"/>
        <v>0</v>
      </c>
    </row>
    <row r="360" spans="13:67" x14ac:dyDescent="0.25">
      <c r="M360" s="66">
        <v>42</v>
      </c>
      <c r="N360" s="36">
        <f t="shared" si="316"/>
        <v>26302.679918953829</v>
      </c>
      <c r="O360" s="91" t="str">
        <f t="shared" si="317"/>
        <v>22,5</v>
      </c>
      <c r="P360" s="67" t="str">
        <f t="shared" si="318"/>
        <v>1+178,485780966715i</v>
      </c>
      <c r="Q360" s="67">
        <f t="shared" si="329"/>
        <v>178.48858228833058</v>
      </c>
      <c r="R360" s="67">
        <f t="shared" si="330"/>
        <v>1.5651936982190349</v>
      </c>
      <c r="S360" s="67" t="str">
        <f t="shared" si="319"/>
        <v>1+4,95793836018654i</v>
      </c>
      <c r="T360" s="67">
        <f t="shared" si="331"/>
        <v>5.0577814092158233</v>
      </c>
      <c r="U360" s="67">
        <f t="shared" si="332"/>
        <v>1.371769820641211</v>
      </c>
      <c r="V360" t="str">
        <f t="shared" si="320"/>
        <v>1-1,03290382503886i</v>
      </c>
      <c r="W360" s="67">
        <f t="shared" si="333"/>
        <v>1.4376683594556527</v>
      </c>
      <c r="X360" s="67">
        <f t="shared" si="334"/>
        <v>-0.80158237819578859</v>
      </c>
      <c r="Y360" t="str">
        <f t="shared" si="321"/>
        <v>0,955722817861188+2,86458660810778i</v>
      </c>
      <c r="Z360" s="67">
        <f t="shared" si="335"/>
        <v>3.0198116729244835</v>
      </c>
      <c r="AA360" s="67">
        <f t="shared" si="336"/>
        <v>1.2487754074466004</v>
      </c>
      <c r="AB360" s="92" t="str">
        <f t="shared" si="337"/>
        <v>-0,18920136798486-0,237354750596628i</v>
      </c>
      <c r="AC360" s="37">
        <f t="shared" si="338"/>
        <v>-10.355780217445353</v>
      </c>
      <c r="AD360" s="60">
        <f t="shared" si="339"/>
        <v>-128.55921945136231</v>
      </c>
      <c r="AE360" t="str">
        <f t="shared" si="340"/>
        <v>34,4450883806789</v>
      </c>
      <c r="AF360" t="str">
        <f t="shared" si="322"/>
        <v>1+89,2428904833578i</v>
      </c>
      <c r="AG360">
        <f t="shared" si="341"/>
        <v>89.248492994697642</v>
      </c>
      <c r="AH360">
        <f t="shared" si="342"/>
        <v>1.5595914213479187</v>
      </c>
      <c r="AI360" t="str">
        <f t="shared" si="323"/>
        <v>1+4,95793836018654i</v>
      </c>
      <c r="AJ360">
        <f t="shared" si="343"/>
        <v>5.0577814092158233</v>
      </c>
      <c r="AK360">
        <f t="shared" si="344"/>
        <v>1.371769820641211</v>
      </c>
      <c r="AL360" t="str">
        <f t="shared" si="324"/>
        <v>1-0,33734497662856i</v>
      </c>
      <c r="AM360">
        <f t="shared" si="345"/>
        <v>1.055368008448486</v>
      </c>
      <c r="AN360">
        <f t="shared" si="346"/>
        <v>-0.32535667776776539</v>
      </c>
      <c r="AO360" s="58" t="str">
        <f t="shared" si="347"/>
        <v>1,79474414918115-1,01140808318541i</v>
      </c>
      <c r="AP360">
        <f t="shared" si="348"/>
        <v>6.2778078563633466</v>
      </c>
      <c r="AQ360" s="60">
        <f t="shared" si="349"/>
        <v>-29.402949494376447</v>
      </c>
      <c r="AR360" t="str">
        <f t="shared" si="325"/>
        <v>-1,36472945891784</v>
      </c>
      <c r="AS360" t="str">
        <f t="shared" si="326"/>
        <v>1+3,71399162561574i</v>
      </c>
      <c r="AT360">
        <f t="shared" si="350"/>
        <v>3.8462623149161117</v>
      </c>
      <c r="AU360">
        <f t="shared" si="351"/>
        <v>1.3077817173087782</v>
      </c>
      <c r="AV360" t="str">
        <f t="shared" si="327"/>
        <v>1+3,71399162561574i</v>
      </c>
      <c r="AW360">
        <f t="shared" si="352"/>
        <v>3.8462623149161117</v>
      </c>
      <c r="AX360">
        <f t="shared" si="353"/>
        <v>1.3077817173087782</v>
      </c>
      <c r="AY360" t="str">
        <f t="shared" si="328"/>
        <v>1-0,00403878131995335i</v>
      </c>
      <c r="AZ360">
        <f t="shared" si="354"/>
        <v>1.0000081558440164</v>
      </c>
      <c r="BA360">
        <f t="shared" si="355"/>
        <v>-4.038759360298412E-3</v>
      </c>
      <c r="BB360" s="58" t="str">
        <f t="shared" si="356"/>
        <v>-0,0908667504531773+0,342990194075483i</v>
      </c>
      <c r="BC360">
        <f t="shared" si="357"/>
        <v>-8.9997758292710266</v>
      </c>
      <c r="BD360" s="60">
        <f t="shared" si="358"/>
        <v>104.83822320802204</v>
      </c>
      <c r="BE360" s="58" t="str">
        <f t="shared" si="359"/>
        <v>0,0986024654619553-0,0433265590331341i</v>
      </c>
      <c r="BF360" s="37">
        <f t="shared" si="360"/>
        <v>-19.355556046716384</v>
      </c>
      <c r="BG360" s="60">
        <f t="shared" si="361"/>
        <v>-23.720996243340291</v>
      </c>
      <c r="BH360" s="58" t="str">
        <f t="shared" si="362"/>
        <v>0,183820486010332+0,707483009944615i</v>
      </c>
      <c r="BI360" s="37">
        <f t="shared" si="363"/>
        <v>-2.721967972907684</v>
      </c>
      <c r="BJ360" s="60">
        <f t="shared" si="364"/>
        <v>75.435273713645628</v>
      </c>
      <c r="BK360">
        <f t="shared" si="365"/>
        <v>-19.355556046716384</v>
      </c>
      <c r="BL360" s="60">
        <f t="shared" si="366"/>
        <v>-23.720996243340291</v>
      </c>
      <c r="BN360">
        <f t="shared" si="367"/>
        <v>0</v>
      </c>
      <c r="BO360">
        <f t="shared" si="368"/>
        <v>0</v>
      </c>
    </row>
    <row r="361" spans="13:67" x14ac:dyDescent="0.25">
      <c r="M361" s="66">
        <v>43</v>
      </c>
      <c r="N361" s="36">
        <f t="shared" si="316"/>
        <v>26915.348039269167</v>
      </c>
      <c r="O361" s="91" t="str">
        <f t="shared" si="317"/>
        <v>22,5</v>
      </c>
      <c r="P361" s="67" t="str">
        <f t="shared" si="318"/>
        <v>1+182,643248884998i</v>
      </c>
      <c r="Q361" s="67">
        <f t="shared" si="329"/>
        <v>182.64598644171554</v>
      </c>
      <c r="R361" s="67">
        <f t="shared" si="330"/>
        <v>1.5653212270370591</v>
      </c>
      <c r="S361" s="67" t="str">
        <f t="shared" si="319"/>
        <v>1+5,07342358013883i</v>
      </c>
      <c r="T361" s="67">
        <f t="shared" si="331"/>
        <v>5.1710373063350357</v>
      </c>
      <c r="U361" s="67">
        <f t="shared" si="332"/>
        <v>1.3761854243593008</v>
      </c>
      <c r="V361" t="str">
        <f t="shared" si="320"/>
        <v>1-1,05696324586226i</v>
      </c>
      <c r="W361" s="67">
        <f t="shared" si="333"/>
        <v>1.4550502751120609</v>
      </c>
      <c r="X361" s="67">
        <f t="shared" si="334"/>
        <v>-0.81308397210001215</v>
      </c>
      <c r="Y361" t="str">
        <f t="shared" si="321"/>
        <v>0,9536360985552+2,93131140185799i</v>
      </c>
      <c r="Z361" s="67">
        <f t="shared" si="335"/>
        <v>3.0825327805443106</v>
      </c>
      <c r="AA361" s="67">
        <f t="shared" si="336"/>
        <v>1.2562682780902923</v>
      </c>
      <c r="AB361" s="92" t="str">
        <f t="shared" si="337"/>
        <v>-0,190865153943653-0,232347881578788i</v>
      </c>
      <c r="AC361" s="37">
        <f t="shared" si="338"/>
        <v>-10.437592969067834</v>
      </c>
      <c r="AD361" s="60">
        <f t="shared" si="339"/>
        <v>-129.40183351005905</v>
      </c>
      <c r="AE361" t="str">
        <f t="shared" si="340"/>
        <v>34,4450883806789</v>
      </c>
      <c r="AF361" t="str">
        <f t="shared" si="322"/>
        <v>1+91,321624442499i</v>
      </c>
      <c r="AG361">
        <f t="shared" si="341"/>
        <v>91.327099432845401</v>
      </c>
      <c r="AH361">
        <f t="shared" si="342"/>
        <v>1.5598464555105791</v>
      </c>
      <c r="AI361" t="str">
        <f t="shared" si="323"/>
        <v>1+5,07342358013883i</v>
      </c>
      <c r="AJ361">
        <f t="shared" si="343"/>
        <v>5.1710373063350357</v>
      </c>
      <c r="AK361">
        <f t="shared" si="344"/>
        <v>1.3761854243593008</v>
      </c>
      <c r="AL361" t="str">
        <f t="shared" si="324"/>
        <v>1-0,345202750565121i</v>
      </c>
      <c r="AM361">
        <f t="shared" si="345"/>
        <v>1.0579059216195574</v>
      </c>
      <c r="AN361">
        <f t="shared" si="346"/>
        <v>-0.33239472443797458</v>
      </c>
      <c r="AO361" s="58" t="str">
        <f t="shared" si="347"/>
        <v>1,79455965932368-1,01811889038331i</v>
      </c>
      <c r="AP361">
        <f t="shared" si="348"/>
        <v>6.2910471584769665</v>
      </c>
      <c r="AQ361" s="60">
        <f t="shared" si="349"/>
        <v>-29.56781678869913</v>
      </c>
      <c r="AR361" t="str">
        <f t="shared" si="325"/>
        <v>-1,36472945891784</v>
      </c>
      <c r="AS361" t="str">
        <f t="shared" si="326"/>
        <v>1+3,800501603882i</v>
      </c>
      <c r="AT361">
        <f t="shared" si="350"/>
        <v>3.9298616312930985</v>
      </c>
      <c r="AU361">
        <f t="shared" si="351"/>
        <v>1.3135050951117353</v>
      </c>
      <c r="AV361" t="str">
        <f t="shared" si="327"/>
        <v>1+3,800501603882i</v>
      </c>
      <c r="AW361">
        <f t="shared" si="352"/>
        <v>3.9298616312930985</v>
      </c>
      <c r="AX361">
        <f t="shared" si="353"/>
        <v>1.3135050951117353</v>
      </c>
      <c r="AY361" t="str">
        <f t="shared" si="328"/>
        <v>1-0,00394684743315944i</v>
      </c>
      <c r="AZ361">
        <f t="shared" si="354"/>
        <v>1.0000077887719978</v>
      </c>
      <c r="BA361">
        <f t="shared" si="355"/>
        <v>-3.9468269392079975E-3</v>
      </c>
      <c r="BB361" s="58" t="str">
        <f t="shared" si="356"/>
        <v>-0,087041883094605+0,336189195267843i</v>
      </c>
      <c r="BC361">
        <f t="shared" si="357"/>
        <v>-9.1865462085838949</v>
      </c>
      <c r="BD361" s="60">
        <f t="shared" si="358"/>
        <v>104.51556515508263</v>
      </c>
      <c r="BE361" s="58" t="str">
        <f t="shared" si="359"/>
        <v>0,0947261097465581-0,0439428053633297i</v>
      </c>
      <c r="BF361" s="37">
        <f t="shared" si="360"/>
        <v>-19.624139177651728</v>
      </c>
      <c r="BG361" s="60">
        <f t="shared" si="361"/>
        <v>-24.886268354976437</v>
      </c>
      <c r="BH361" s="58" t="str">
        <f t="shared" si="362"/>
        <v>0,186078718371808+0,691930553161316i</v>
      </c>
      <c r="BI361" s="37">
        <f t="shared" si="363"/>
        <v>-2.8954990501069258</v>
      </c>
      <c r="BJ361" s="60">
        <f t="shared" si="364"/>
        <v>74.947748366383536</v>
      </c>
      <c r="BK361">
        <f t="shared" si="365"/>
        <v>-19.624139177651728</v>
      </c>
      <c r="BL361" s="60">
        <f t="shared" si="366"/>
        <v>-24.886268354976437</v>
      </c>
      <c r="BN361">
        <f t="shared" si="367"/>
        <v>0</v>
      </c>
      <c r="BO361">
        <f t="shared" si="368"/>
        <v>0</v>
      </c>
    </row>
    <row r="362" spans="13:67" x14ac:dyDescent="0.25">
      <c r="M362" s="66">
        <v>44</v>
      </c>
      <c r="N362" s="36">
        <f t="shared" si="316"/>
        <v>27542.287033381719</v>
      </c>
      <c r="O362" s="91" t="str">
        <f t="shared" si="317"/>
        <v>22,5</v>
      </c>
      <c r="P362" s="67" t="str">
        <f t="shared" si="318"/>
        <v>1+186,897556671408i</v>
      </c>
      <c r="Q362" s="67">
        <f t="shared" si="329"/>
        <v>186.90023191462916</v>
      </c>
      <c r="R362" s="67">
        <f t="shared" si="330"/>
        <v>1.5654458531168642</v>
      </c>
      <c r="S362" s="67" t="str">
        <f t="shared" si="319"/>
        <v>1+5,19159879642802i</v>
      </c>
      <c r="T362" s="67">
        <f t="shared" si="331"/>
        <v>5.2870311199266515</v>
      </c>
      <c r="U362" s="67">
        <f t="shared" si="332"/>
        <v>1.380507956393987</v>
      </c>
      <c r="V362" t="str">
        <f t="shared" si="320"/>
        <v>1-1,08158308258917i</v>
      </c>
      <c r="W362" s="67">
        <f t="shared" si="333"/>
        <v>1.4730315558544871</v>
      </c>
      <c r="X362" s="67">
        <f t="shared" si="334"/>
        <v>-0.82457092047914748</v>
      </c>
      <c r="Y362" t="str">
        <f t="shared" si="321"/>
        <v>0,951451035198132+2,99959041571396i</v>
      </c>
      <c r="Z362" s="67">
        <f t="shared" si="335"/>
        <v>3.1468717378410331</v>
      </c>
      <c r="AA362" s="67">
        <f t="shared" si="336"/>
        <v>1.2636411244242465</v>
      </c>
      <c r="AB362" s="92" t="str">
        <f t="shared" si="337"/>
        <v>-0,192469030114966-0,227418805329202i</v>
      </c>
      <c r="AC362" s="37">
        <f t="shared" si="338"/>
        <v>-10.517648938288644</v>
      </c>
      <c r="AD362" s="60">
        <f t="shared" si="339"/>
        <v>-130.24189785559471</v>
      </c>
      <c r="AE362" t="str">
        <f t="shared" si="340"/>
        <v>34,4450883806789</v>
      </c>
      <c r="AF362" t="str">
        <f t="shared" si="322"/>
        <v>1+93,4487783357043i</v>
      </c>
      <c r="AG362">
        <f t="shared" si="341"/>
        <v>93.454128707273284</v>
      </c>
      <c r="AH362">
        <f t="shared" si="342"/>
        <v>1.5600956857633979</v>
      </c>
      <c r="AI362" t="str">
        <f t="shared" si="323"/>
        <v>1+5,19159879642802i</v>
      </c>
      <c r="AJ362">
        <f t="shared" si="343"/>
        <v>5.2870311199266515</v>
      </c>
      <c r="AK362">
        <f t="shared" si="344"/>
        <v>1.380507956393987</v>
      </c>
      <c r="AL362" t="str">
        <f t="shared" si="324"/>
        <v>1-0,35324355556933i</v>
      </c>
      <c r="AM362">
        <f t="shared" si="345"/>
        <v>1.0605569336679961</v>
      </c>
      <c r="AN362">
        <f t="shared" si="346"/>
        <v>-0.33956147373125489</v>
      </c>
      <c r="AO362" s="58" t="str">
        <f t="shared" si="347"/>
        <v>1,79438347093135-1,02536933581605i</v>
      </c>
      <c r="AP362">
        <f t="shared" si="348"/>
        <v>6.3054932985950609</v>
      </c>
      <c r="AQ362" s="60">
        <f t="shared" si="349"/>
        <v>-29.745058275247938</v>
      </c>
      <c r="AR362" t="str">
        <f t="shared" si="325"/>
        <v>-1,36472945891784</v>
      </c>
      <c r="AS362" t="str">
        <f t="shared" si="326"/>
        <v>1+3,88902665840423i</v>
      </c>
      <c r="AT362">
        <f t="shared" si="350"/>
        <v>4.0155358733024382</v>
      </c>
      <c r="AU362">
        <f t="shared" si="351"/>
        <v>1.3191148994164483</v>
      </c>
      <c r="AV362" t="str">
        <f t="shared" si="327"/>
        <v>1+3,88902665840423i</v>
      </c>
      <c r="AW362">
        <f t="shared" si="352"/>
        <v>4.0155358733024382</v>
      </c>
      <c r="AX362">
        <f t="shared" si="353"/>
        <v>1.3191148994164483</v>
      </c>
      <c r="AY362" t="str">
        <f t="shared" si="328"/>
        <v>1-0,0038570062171173i</v>
      </c>
      <c r="AZ362">
        <f t="shared" si="354"/>
        <v>1.0000074382208159</v>
      </c>
      <c r="BA362">
        <f t="shared" si="355"/>
        <v>-3.8569870910409305E-3</v>
      </c>
      <c r="BB362" s="58" t="str">
        <f t="shared" si="356"/>
        <v>-0,083367307736013+0,329481452232473i</v>
      </c>
      <c r="BC362">
        <f t="shared" si="357"/>
        <v>-9.3738742685902423</v>
      </c>
      <c r="BD362" s="60">
        <f t="shared" si="358"/>
        <v>104.19929448866031</v>
      </c>
      <c r="BE362" s="58" t="str">
        <f t="shared" si="359"/>
        <v>0,0909759031080859-0,0444556820232186i</v>
      </c>
      <c r="BF362" s="37">
        <f t="shared" si="360"/>
        <v>-19.891523206878883</v>
      </c>
      <c r="BG362" s="60">
        <f t="shared" si="361"/>
        <v>-26.042603366934411</v>
      </c>
      <c r="BH362" s="58" t="str">
        <f t="shared" si="362"/>
        <v>0,188247258821769+0,676698352826455i</v>
      </c>
      <c r="BI362" s="37">
        <f t="shared" si="363"/>
        <v>-3.0683809699951792</v>
      </c>
      <c r="BJ362" s="60">
        <f t="shared" si="364"/>
        <v>74.454236213412443</v>
      </c>
      <c r="BK362">
        <f t="shared" si="365"/>
        <v>-19.891523206878883</v>
      </c>
      <c r="BL362" s="60">
        <f t="shared" si="366"/>
        <v>-26.042603366934411</v>
      </c>
      <c r="BN362">
        <f t="shared" si="367"/>
        <v>0</v>
      </c>
      <c r="BO362">
        <f t="shared" si="368"/>
        <v>0</v>
      </c>
    </row>
    <row r="363" spans="13:67" x14ac:dyDescent="0.25">
      <c r="M363" s="66">
        <v>45</v>
      </c>
      <c r="N363" s="36">
        <f t="shared" si="316"/>
        <v>28183.829312644593</v>
      </c>
      <c r="O363" s="91" t="str">
        <f t="shared" si="317"/>
        <v>22,5</v>
      </c>
      <c r="P363" s="67" t="str">
        <f t="shared" si="318"/>
        <v>1+191,250960016247i</v>
      </c>
      <c r="Q363" s="67">
        <f t="shared" si="329"/>
        <v>191.25357436433998</v>
      </c>
      <c r="R363" s="67">
        <f t="shared" si="330"/>
        <v>1.5655676425213534</v>
      </c>
      <c r="S363" s="67" t="str">
        <f t="shared" si="319"/>
        <v>1+5,31252666711798i</v>
      </c>
      <c r="T363" s="67">
        <f t="shared" si="331"/>
        <v>5.4058245984160145</v>
      </c>
      <c r="U363" s="67">
        <f t="shared" si="332"/>
        <v>1.3847390621908877</v>
      </c>
      <c r="V363" t="str">
        <f t="shared" si="320"/>
        <v>1-1,10677638898291i</v>
      </c>
      <c r="W363" s="67">
        <f t="shared" si="333"/>
        <v>1.4916279613932055</v>
      </c>
      <c r="X363" s="67">
        <f t="shared" si="334"/>
        <v>-0.83603718927916515</v>
      </c>
      <c r="Y363" t="str">
        <f t="shared" si="321"/>
        <v>0,949162992977646+3,06945985211261i</v>
      </c>
      <c r="Z363" s="67">
        <f t="shared" si="335"/>
        <v>3.2128638581442335</v>
      </c>
      <c r="AA363" s="67">
        <f t="shared" si="336"/>
        <v>1.2708951073627375</v>
      </c>
      <c r="AB363" s="92" t="str">
        <f t="shared" si="337"/>
        <v>-0,194014541998729-0,222567331121591i</v>
      </c>
      <c r="AC363" s="37">
        <f t="shared" si="338"/>
        <v>-10.595937990796745</v>
      </c>
      <c r="AD363" s="60">
        <f t="shared" si="339"/>
        <v>-131.07904278566477</v>
      </c>
      <c r="AE363" t="str">
        <f t="shared" si="340"/>
        <v>34,4450883806789</v>
      </c>
      <c r="AF363" t="str">
        <f t="shared" si="322"/>
        <v>1+95,6254800081237i</v>
      </c>
      <c r="AG363">
        <f t="shared" si="341"/>
        <v>95.63070859710318</v>
      </c>
      <c r="AH363">
        <f t="shared" si="342"/>
        <v>1.5603392441276338</v>
      </c>
      <c r="AI363" t="str">
        <f t="shared" si="323"/>
        <v>1+5,31252666711798i</v>
      </c>
      <c r="AJ363">
        <f t="shared" si="343"/>
        <v>5.4058245984160145</v>
      </c>
      <c r="AK363">
        <f t="shared" si="344"/>
        <v>1.3847390621908877</v>
      </c>
      <c r="AL363" t="str">
        <f t="shared" si="324"/>
        <v>1-0,361471654982433i</v>
      </c>
      <c r="AM363">
        <f t="shared" si="345"/>
        <v>1.0633258001928381</v>
      </c>
      <c r="AN363">
        <f t="shared" si="346"/>
        <v>-0.34685777981234095</v>
      </c>
      <c r="AO363" s="58" t="str">
        <f t="shared" si="347"/>
        <v>1,79421521054785-1,03316327590256i</v>
      </c>
      <c r="AP363">
        <f t="shared" si="348"/>
        <v>6.3211646270305586</v>
      </c>
      <c r="AQ363" s="60">
        <f t="shared" si="349"/>
        <v>-29.934636181229884</v>
      </c>
      <c r="AR363" t="str">
        <f t="shared" si="325"/>
        <v>-1,36472945891784</v>
      </c>
      <c r="AS363" t="str">
        <f t="shared" si="326"/>
        <v>1+3,97961372633808i</v>
      </c>
      <c r="AT363">
        <f t="shared" si="350"/>
        <v>4.1033310140492514</v>
      </c>
      <c r="AU363">
        <f t="shared" si="351"/>
        <v>1.3246126917063905</v>
      </c>
      <c r="AV363" t="str">
        <f t="shared" si="327"/>
        <v>1+3,97961372633808i</v>
      </c>
      <c r="AW363">
        <f t="shared" si="352"/>
        <v>4.1033310140492514</v>
      </c>
      <c r="AX363">
        <f t="shared" si="353"/>
        <v>1.3246126917063905</v>
      </c>
      <c r="AY363" t="str">
        <f t="shared" si="328"/>
        <v>1-0,003769210036825i</v>
      </c>
      <c r="AZ363">
        <f t="shared" si="354"/>
        <v>1.0000071034469213</v>
      </c>
      <c r="BA363">
        <f t="shared" si="355"/>
        <v>-3.7691921873248004E-3</v>
      </c>
      <c r="BB363" s="58" t="str">
        <f t="shared" si="356"/>
        <v>-0,0798380077733222+0,322868383592303i</v>
      </c>
      <c r="BC363">
        <f t="shared" si="357"/>
        <v>-9.5617380294725489</v>
      </c>
      <c r="BD363" s="60">
        <f t="shared" si="358"/>
        <v>103.88932447125276</v>
      </c>
      <c r="BE363" s="58" t="str">
        <f t="shared" si="359"/>
        <v>0,087349688951913-0,0448718292563575i</v>
      </c>
      <c r="BF363" s="37">
        <f t="shared" si="360"/>
        <v>-20.157676020269292</v>
      </c>
      <c r="BG363" s="60">
        <f t="shared" si="361"/>
        <v>-27.189718314412033</v>
      </c>
      <c r="BH363" s="58" t="str">
        <f t="shared" si="362"/>
        <v>0,190329188950856+0,661781062498928i</v>
      </c>
      <c r="BI363" s="37">
        <f t="shared" si="363"/>
        <v>-3.2405734024419859</v>
      </c>
      <c r="BJ363" s="60">
        <f t="shared" si="364"/>
        <v>73.954688290022901</v>
      </c>
      <c r="BK363">
        <f t="shared" si="365"/>
        <v>-20.157676020269292</v>
      </c>
      <c r="BL363" s="60">
        <f t="shared" si="366"/>
        <v>-27.189718314412033</v>
      </c>
      <c r="BN363">
        <f t="shared" si="367"/>
        <v>0</v>
      </c>
      <c r="BO363">
        <f t="shared" si="368"/>
        <v>0</v>
      </c>
    </row>
    <row r="364" spans="13:67" x14ac:dyDescent="0.25">
      <c r="M364" s="66">
        <v>46</v>
      </c>
      <c r="N364" s="36">
        <f t="shared" si="316"/>
        <v>28840.315031266062</v>
      </c>
      <c r="O364" s="91" t="str">
        <f t="shared" si="317"/>
        <v>22,5</v>
      </c>
      <c r="P364" s="67" t="str">
        <f t="shared" si="318"/>
        <v>1+195,705767151591i</v>
      </c>
      <c r="Q364" s="67">
        <f t="shared" si="329"/>
        <v>195.70832199064188</v>
      </c>
      <c r="R364" s="67">
        <f t="shared" si="330"/>
        <v>1.5656866598104211</v>
      </c>
      <c r="S364" s="67" t="str">
        <f t="shared" si="319"/>
        <v>1+5,43627130976644i</v>
      </c>
      <c r="T364" s="67">
        <f t="shared" si="331"/>
        <v>5.527480959115981</v>
      </c>
      <c r="U364" s="67">
        <f t="shared" si="332"/>
        <v>1.3888803788737361</v>
      </c>
      <c r="V364" t="str">
        <f t="shared" si="320"/>
        <v>1-1,13255652286801i</v>
      </c>
      <c r="W364" s="67">
        <f t="shared" si="333"/>
        <v>1.5108554786910882</v>
      </c>
      <c r="X364" s="67">
        <f t="shared" si="334"/>
        <v>-0.84747679881752158</v>
      </c>
      <c r="Y364" t="str">
        <f t="shared" si="321"/>
        <v>0,946767118649429+3,14095675675394i</v>
      </c>
      <c r="Z364" s="67">
        <f t="shared" si="335"/>
        <v>3.2805452785709224</v>
      </c>
      <c r="AA364" s="67">
        <f t="shared" si="336"/>
        <v>1.2780314721086599</v>
      </c>
      <c r="AB364" s="92" t="str">
        <f t="shared" si="337"/>
        <v>-0,195503242821696-0,217793203652067i</v>
      </c>
      <c r="AC364" s="37">
        <f t="shared" si="338"/>
        <v>-10.672452650941313</v>
      </c>
      <c r="AD364" s="60">
        <f t="shared" si="339"/>
        <v>-131.91290693329577</v>
      </c>
      <c r="AE364" t="str">
        <f t="shared" si="340"/>
        <v>34,4450883806789</v>
      </c>
      <c r="AF364" t="str">
        <f t="shared" si="322"/>
        <v>1+97,8528835757958i</v>
      </c>
      <c r="AG364">
        <f t="shared" si="341"/>
        <v>97.857993153846394</v>
      </c>
      <c r="AH364">
        <f t="shared" si="342"/>
        <v>1.560577259625505</v>
      </c>
      <c r="AI364" t="str">
        <f t="shared" si="323"/>
        <v>1+5,43627130976644i</v>
      </c>
      <c r="AJ364">
        <f t="shared" si="343"/>
        <v>5.527480959115981</v>
      </c>
      <c r="AK364">
        <f t="shared" si="344"/>
        <v>1.3888803788737361</v>
      </c>
      <c r="AL364" t="str">
        <f t="shared" si="324"/>
        <v>1-0,369891411451648i</v>
      </c>
      <c r="AM364">
        <f t="shared" si="345"/>
        <v>1.066217452617285</v>
      </c>
      <c r="AN364">
        <f t="shared" si="346"/>
        <v>-0.35428440290771995</v>
      </c>
      <c r="AO364" s="58" t="str">
        <f t="shared" si="347"/>
        <v>1,7940545215102-1,04150485442004i</v>
      </c>
      <c r="AP364">
        <f t="shared" si="348"/>
        <v>6.3380808121263676</v>
      </c>
      <c r="AQ364" s="60">
        <f t="shared" si="349"/>
        <v>-30.136507656562099</v>
      </c>
      <c r="AR364" t="str">
        <f t="shared" si="325"/>
        <v>-1,36472945891784</v>
      </c>
      <c r="AS364" t="str">
        <f t="shared" si="326"/>
        <v>1+4,07231083814604i</v>
      </c>
      <c r="AT364">
        <f t="shared" si="350"/>
        <v>4.1932941182895451</v>
      </c>
      <c r="AU364">
        <f t="shared" si="351"/>
        <v>1.3300000570232837</v>
      </c>
      <c r="AV364" t="str">
        <f t="shared" si="327"/>
        <v>1+4,07231083814604i</v>
      </c>
      <c r="AW364">
        <f t="shared" si="352"/>
        <v>4.1932941182895451</v>
      </c>
      <c r="AX364">
        <f t="shared" si="353"/>
        <v>1.3300000570232837</v>
      </c>
      <c r="AY364" t="str">
        <f t="shared" si="328"/>
        <v>1-0,00368341234158563i</v>
      </c>
      <c r="AZ364">
        <f t="shared" si="354"/>
        <v>1.0000067837402296</v>
      </c>
      <c r="BA364">
        <f t="shared" si="355"/>
        <v>-3.6833956834564107E-3</v>
      </c>
      <c r="BB364" s="58" t="str">
        <f t="shared" si="356"/>
        <v>-0,0764490594867396+0,316351194845824i</v>
      </c>
      <c r="BC364">
        <f t="shared" si="357"/>
        <v>-9.7501162506561396</v>
      </c>
      <c r="BD364" s="60">
        <f t="shared" si="358"/>
        <v>103.58556695346827</v>
      </c>
      <c r="BE364" s="58" t="str">
        <f t="shared" si="359"/>
        <v>0,0838451792449576-0,0451975988810723i</v>
      </c>
      <c r="BF364" s="37">
        <f t="shared" si="360"/>
        <v>-20.422568901597455</v>
      </c>
      <c r="BG364" s="60">
        <f t="shared" si="361"/>
        <v>-28.327339979827489</v>
      </c>
      <c r="BH364" s="58" t="str">
        <f t="shared" si="362"/>
        <v>0,192327524296118+0,647173358069591i</v>
      </c>
      <c r="BI364" s="37">
        <f t="shared" si="363"/>
        <v>-3.4120354385297693</v>
      </c>
      <c r="BJ364" s="60">
        <f t="shared" si="364"/>
        <v>73.449059296906213</v>
      </c>
      <c r="BK364">
        <f t="shared" si="365"/>
        <v>-20.422568901597455</v>
      </c>
      <c r="BL364" s="60">
        <f t="shared" si="366"/>
        <v>-28.327339979827489</v>
      </c>
      <c r="BN364">
        <f t="shared" si="367"/>
        <v>0</v>
      </c>
      <c r="BO364">
        <f t="shared" si="368"/>
        <v>0</v>
      </c>
    </row>
    <row r="365" spans="13:67" x14ac:dyDescent="0.25">
      <c r="M365" s="66">
        <v>47</v>
      </c>
      <c r="N365" s="36">
        <f t="shared" si="316"/>
        <v>29512.092266663854</v>
      </c>
      <c r="O365" s="91" t="str">
        <f t="shared" si="317"/>
        <v>22,5</v>
      </c>
      <c r="P365" s="67" t="str">
        <f t="shared" si="318"/>
        <v>1+200,264340075153i</v>
      </c>
      <c r="Q365" s="67">
        <f t="shared" si="329"/>
        <v>200.26683675970054</v>
      </c>
      <c r="R365" s="67">
        <f t="shared" si="330"/>
        <v>1.5658029680751142</v>
      </c>
      <c r="S365" s="67" t="str">
        <f t="shared" si="319"/>
        <v>1+5,56289833542094i</v>
      </c>
      <c r="T365" s="67">
        <f t="shared" si="331"/>
        <v>5.6520649226834854</v>
      </c>
      <c r="U365" s="67">
        <f t="shared" si="332"/>
        <v>1.392933533740444</v>
      </c>
      <c r="V365" t="str">
        <f t="shared" si="320"/>
        <v>1-1,15893715321269i</v>
      </c>
      <c r="W365" s="67">
        <f t="shared" si="333"/>
        <v>1.530730324092632</v>
      </c>
      <c r="X365" s="67">
        <f t="shared" si="334"/>
        <v>-0.85888383915847311</v>
      </c>
      <c r="Y365" t="str">
        <f t="shared" si="321"/>
        <v>0,944258330242811+3,2141190382432i</v>
      </c>
      <c r="Z365" s="67">
        <f t="shared" si="335"/>
        <v>3.3499529826895085</v>
      </c>
      <c r="AA365" s="67">
        <f t="shared" si="336"/>
        <v>1.2850515423075468</v>
      </c>
      <c r="AB365" s="92" t="str">
        <f t="shared" si="337"/>
        <v>-0,196936688726951-0,213096105195797i</v>
      </c>
      <c r="AC365" s="37">
        <f t="shared" si="338"/>
        <v>-10.747188083813008</v>
      </c>
      <c r="AD365" s="60">
        <f t="shared" si="339"/>
        <v>-132.74313790096363</v>
      </c>
      <c r="AE365" t="str">
        <f t="shared" si="340"/>
        <v>34,4450883806789</v>
      </c>
      <c r="AF365" t="str">
        <f t="shared" si="322"/>
        <v>1+100,132170037577i</v>
      </c>
      <c r="AG365">
        <f t="shared" si="341"/>
        <v>100.13716331329859</v>
      </c>
      <c r="AH365">
        <f t="shared" si="342"/>
        <v>1.5608098583480459</v>
      </c>
      <c r="AI365" t="str">
        <f t="shared" si="323"/>
        <v>1+5,56289833542094i</v>
      </c>
      <c r="AJ365">
        <f t="shared" si="343"/>
        <v>5.6520649226834854</v>
      </c>
      <c r="AK365">
        <f t="shared" si="344"/>
        <v>1.392933533740444</v>
      </c>
      <c r="AL365" t="str">
        <f t="shared" si="324"/>
        <v>1-0,37850728924331i</v>
      </c>
      <c r="AM365">
        <f t="shared" si="345"/>
        <v>1.0692370027315361</v>
      </c>
      <c r="AN365">
        <f t="shared" si="346"/>
        <v>-0.36184200282575579</v>
      </c>
      <c r="AO365" s="58" t="str">
        <f t="shared" si="347"/>
        <v>1,79390106319412-1,05039850475506i</v>
      </c>
      <c r="AP365">
        <f t="shared" si="348"/>
        <v>6.3562628092024118</v>
      </c>
      <c r="AQ365" s="60">
        <f t="shared" si="349"/>
        <v>-30.350624492660568</v>
      </c>
      <c r="AR365" t="str">
        <f t="shared" si="325"/>
        <v>-1,36472945891784</v>
      </c>
      <c r="AS365" t="str">
        <f t="shared" si="326"/>
        <v>1+4,16716714306382i</v>
      </c>
      <c r="AT365">
        <f t="shared" si="350"/>
        <v>4.2854733692126343</v>
      </c>
      <c r="AU365">
        <f t="shared" si="351"/>
        <v>1.3352786003921446</v>
      </c>
      <c r="AV365" t="str">
        <f t="shared" si="327"/>
        <v>1+4,16716714306382i</v>
      </c>
      <c r="AW365">
        <f t="shared" si="352"/>
        <v>4.2854733692126343</v>
      </c>
      <c r="AX365">
        <f t="shared" si="353"/>
        <v>1.3352786003921446</v>
      </c>
      <c r="AY365" t="str">
        <f t="shared" si="328"/>
        <v>1-0,00359956764032546i</v>
      </c>
      <c r="AZ365">
        <f t="shared" si="354"/>
        <v>1.0000064784226137</v>
      </c>
      <c r="BA365">
        <f t="shared" si="355"/>
        <v>-3.599552094049027E-3</v>
      </c>
      <c r="BB365" s="58" t="str">
        <f t="shared" si="356"/>
        <v>-0,0731956371355245+0,309930890084899i</v>
      </c>
      <c r="BC365">
        <f t="shared" si="357"/>
        <v>-9.9389884166138156</v>
      </c>
      <c r="BD365" s="60">
        <f t="shared" si="358"/>
        <v>103.28793258026805</v>
      </c>
      <c r="BE365" s="58" t="str">
        <f t="shared" si="359"/>
        <v>0,0804599719636883-0,0454390580366115i</v>
      </c>
      <c r="BF365" s="37">
        <f t="shared" si="360"/>
        <v>-20.686176500426821</v>
      </c>
      <c r="BG365" s="60">
        <f t="shared" si="361"/>
        <v>-29.455205320695587</v>
      </c>
      <c r="BH365" s="58" t="str">
        <f t="shared" si="362"/>
        <v>0,194245212243994+0,632869941041749i</v>
      </c>
      <c r="BI365" s="37">
        <f t="shared" si="363"/>
        <v>-3.5827256074114051</v>
      </c>
      <c r="BJ365" s="60">
        <f t="shared" si="364"/>
        <v>72.937308087607505</v>
      </c>
      <c r="BK365">
        <f t="shared" si="365"/>
        <v>-20.686176500426821</v>
      </c>
      <c r="BL365" s="60">
        <f t="shared" si="366"/>
        <v>-29.455205320695587</v>
      </c>
      <c r="BN365">
        <f t="shared" si="367"/>
        <v>0</v>
      </c>
      <c r="BO365">
        <f t="shared" si="368"/>
        <v>0</v>
      </c>
    </row>
    <row r="366" spans="13:67" x14ac:dyDescent="0.25">
      <c r="M366" s="66">
        <v>48</v>
      </c>
      <c r="N366" s="36">
        <f t="shared" si="316"/>
        <v>30199.517204020212</v>
      </c>
      <c r="O366" s="91" t="str">
        <f t="shared" si="317"/>
        <v>22,5</v>
      </c>
      <c r="P366" s="67" t="str">
        <f t="shared" si="318"/>
        <v>1+204,929095802634i</v>
      </c>
      <c r="Q366" s="67">
        <f t="shared" si="329"/>
        <v>204.93153565638733</v>
      </c>
      <c r="R366" s="67">
        <f t="shared" si="330"/>
        <v>1.56591662897102</v>
      </c>
      <c r="S366" s="67" t="str">
        <f t="shared" si="319"/>
        <v>1+5,69247488340652i</v>
      </c>
      <c r="T366" s="67">
        <f t="shared" si="331"/>
        <v>5.779642748320529</v>
      </c>
      <c r="U366" s="67">
        <f t="shared" si="332"/>
        <v>1.3969001428812211</v>
      </c>
      <c r="V366" t="str">
        <f t="shared" si="320"/>
        <v>1-1,18593226737636i</v>
      </c>
      <c r="W366" s="67">
        <f t="shared" si="333"/>
        <v>1.5512689459937092</v>
      </c>
      <c r="X366" s="67">
        <f t="shared" si="334"/>
        <v>-0.87025248504617592</v>
      </c>
      <c r="Y366" t="str">
        <f t="shared" si="321"/>
        <v>0,941631306281221+3,28898548819043i</v>
      </c>
      <c r="Z366" s="67">
        <f t="shared" si="335"/>
        <v>3.4211248235771992</v>
      </c>
      <c r="AA366" s="67">
        <f t="shared" si="336"/>
        <v>1.2919567143917241</v>
      </c>
      <c r="AB366" s="92" t="str">
        <f t="shared" si="337"/>
        <v>-0,198316434328533-0,208475657933302i</v>
      </c>
      <c r="AC366" s="37">
        <f t="shared" si="338"/>
        <v>-10.820142065131954</v>
      </c>
      <c r="AD366" s="60">
        <f t="shared" si="339"/>
        <v>-133.56939287322916</v>
      </c>
      <c r="AE366" t="str">
        <f t="shared" si="340"/>
        <v>34,4450883806789</v>
      </c>
      <c r="AF366" t="str">
        <f t="shared" si="322"/>
        <v>1+102,464547901317i</v>
      </c>
      <c r="AG366">
        <f t="shared" si="341"/>
        <v>102.46942752168222</v>
      </c>
      <c r="AH366">
        <f t="shared" si="342"/>
        <v>1.5610371635214471</v>
      </c>
      <c r="AI366" t="str">
        <f t="shared" si="323"/>
        <v>1+5,69247488340652i</v>
      </c>
      <c r="AJ366">
        <f t="shared" si="343"/>
        <v>5.779642748320529</v>
      </c>
      <c r="AK366">
        <f t="shared" si="344"/>
        <v>1.3969001428812211</v>
      </c>
      <c r="AL366" t="str">
        <f t="shared" si="324"/>
        <v>1-0,387323856609864i</v>
      </c>
      <c r="AM366">
        <f t="shared" si="345"/>
        <v>1.0723897471997477</v>
      </c>
      <c r="AN366">
        <f t="shared" si="346"/>
        <v>-0.36953113235021989</v>
      </c>
      <c r="AO366" s="58" t="str">
        <f t="shared" si="347"/>
        <v>1,79375451029343-1,05984895230462i</v>
      </c>
      <c r="AP366">
        <f t="shared" si="348"/>
        <v>6.3757328262488242</v>
      </c>
      <c r="AQ366" s="60">
        <f t="shared" si="349"/>
        <v>-30.576932826894421</v>
      </c>
      <c r="AR366" t="str">
        <f t="shared" si="325"/>
        <v>-1,36472945891784</v>
      </c>
      <c r="AS366" t="str">
        <f t="shared" si="326"/>
        <v>1+4,26423293515982i</v>
      </c>
      <c r="AT366">
        <f t="shared" si="350"/>
        <v>4.3799180957298427</v>
      </c>
      <c r="AU366">
        <f t="shared" si="351"/>
        <v>1.3404499434453385</v>
      </c>
      <c r="AV366" t="str">
        <f t="shared" si="327"/>
        <v>1+4,26423293515982i</v>
      </c>
      <c r="AW366">
        <f t="shared" si="352"/>
        <v>4.3799180957298427</v>
      </c>
      <c r="AX366">
        <f t="shared" si="353"/>
        <v>1.3404499434453385</v>
      </c>
      <c r="AY366" t="str">
        <f t="shared" si="328"/>
        <v>1-0,00351763147747411i</v>
      </c>
      <c r="AZ366">
        <f t="shared" si="354"/>
        <v>1.0000061868464671</v>
      </c>
      <c r="BA366">
        <f t="shared" si="355"/>
        <v>-3.5176169688396911E-3</v>
      </c>
      <c r="BB366" s="58" t="str">
        <f t="shared" si="356"/>
        <v>-0,0700730172771106+0,303608283442004i</v>
      </c>
      <c r="BC366">
        <f t="shared" si="357"/>
        <v>-10.128334721970205</v>
      </c>
      <c r="BD366" s="60">
        <f t="shared" si="358"/>
        <v>102.99633098577409</v>
      </c>
      <c r="BE366" s="58" t="str">
        <f t="shared" si="359"/>
        <v>0,0771915675736105-0,0456019938246076i</v>
      </c>
      <c r="BF366" s="37">
        <f t="shared" si="360"/>
        <v>-20.948476787102159</v>
      </c>
      <c r="BG366" s="60">
        <f t="shared" si="361"/>
        <v>-30.573061887455101</v>
      </c>
      <c r="BH366" s="58" t="str">
        <f t="shared" si="362"/>
        <v>0,196085130326325+0,61886554173251i</v>
      </c>
      <c r="BI366" s="37">
        <f t="shared" si="363"/>
        <v>-3.7526018957213854</v>
      </c>
      <c r="BJ366" s="60">
        <f t="shared" si="364"/>
        <v>72.419398158879716</v>
      </c>
      <c r="BK366">
        <f t="shared" si="365"/>
        <v>-20.948476787102159</v>
      </c>
      <c r="BL366" s="60">
        <f t="shared" si="366"/>
        <v>-30.573061887455101</v>
      </c>
      <c r="BN366">
        <f t="shared" si="367"/>
        <v>0</v>
      </c>
      <c r="BO366">
        <f t="shared" si="368"/>
        <v>0</v>
      </c>
    </row>
    <row r="367" spans="13:67" x14ac:dyDescent="0.25">
      <c r="M367" s="66">
        <v>49</v>
      </c>
      <c r="N367" s="36">
        <f t="shared" si="316"/>
        <v>30902.954325135954</v>
      </c>
      <c r="O367" s="91" t="str">
        <f t="shared" si="317"/>
        <v>22,5</v>
      </c>
      <c r="P367" s="67" t="str">
        <f t="shared" si="318"/>
        <v>1+209,702507649267i</v>
      </c>
      <c r="Q367" s="67">
        <f t="shared" si="329"/>
        <v>209.70489196580724</v>
      </c>
      <c r="R367" s="67">
        <f t="shared" si="330"/>
        <v>1.5660277027508964</v>
      </c>
      <c r="S367" s="67" t="str">
        <f t="shared" si="319"/>
        <v>1+5,82506965692409i</v>
      </c>
      <c r="T367" s="67">
        <f t="shared" si="331"/>
        <v>5.9102822697412458</v>
      </c>
      <c r="U367" s="67">
        <f t="shared" si="332"/>
        <v>1.4007818099125635</v>
      </c>
      <c r="V367" t="str">
        <f t="shared" si="320"/>
        <v>1-1,21355617852585i</v>
      </c>
      <c r="W367" s="67">
        <f t="shared" si="333"/>
        <v>1.572488028074702</v>
      </c>
      <c r="X367" s="67">
        <f t="shared" si="334"/>
        <v>-0.88157701030572688</v>
      </c>
      <c r="Y367" t="str">
        <f t="shared" si="321"/>
        <v>0,938880474494628+3,36559580177836i</v>
      </c>
      <c r="Z367" s="67">
        <f t="shared" si="335"/>
        <v>3.4940995472847338</v>
      </c>
      <c r="AA367" s="67">
        <f t="shared" si="336"/>
        <v>1.2987484521231893</v>
      </c>
      <c r="AB367" s="92" t="str">
        <f t="shared" si="337"/>
        <v>-0,199644028622768-0,203931426414333i</v>
      </c>
      <c r="AC367" s="37">
        <f t="shared" si="338"/>
        <v>-10.89131493954029</v>
      </c>
      <c r="AD367" s="60">
        <f t="shared" si="339"/>
        <v>-134.3913392035941</v>
      </c>
      <c r="AE367" t="str">
        <f t="shared" si="340"/>
        <v>34,4450883806789</v>
      </c>
      <c r="AF367" t="str">
        <f t="shared" si="322"/>
        <v>1+104,851253824634i</v>
      </c>
      <c r="AG367">
        <f t="shared" si="341"/>
        <v>104.85602237638915</v>
      </c>
      <c r="AH367">
        <f t="shared" si="342"/>
        <v>1.5612592955719118</v>
      </c>
      <c r="AI367" t="str">
        <f t="shared" si="323"/>
        <v>1+5,82506965692409i</v>
      </c>
      <c r="AJ367">
        <f t="shared" si="343"/>
        <v>5.9102822697412458</v>
      </c>
      <c r="AK367">
        <f t="shared" si="344"/>
        <v>1.4007818099125635</v>
      </c>
      <c r="AL367" t="str">
        <f t="shared" si="324"/>
        <v>1-0,396345788212029i</v>
      </c>
      <c r="AM367">
        <f t="shared" si="345"/>
        <v>1.0756811720177195</v>
      </c>
      <c r="AN367">
        <f t="shared" si="346"/>
        <v>-0.37735223052816841</v>
      </c>
      <c r="AO367" s="58" t="str">
        <f t="shared" si="347"/>
        <v>1,79361455213169-1,0698612170287i</v>
      </c>
      <c r="AP367">
        <f t="shared" si="348"/>
        <v>6.3965142861935824</v>
      </c>
      <c r="AQ367" s="60">
        <f t="shared" si="349"/>
        <v>-30.815372834263435</v>
      </c>
      <c r="AR367" t="str">
        <f t="shared" si="325"/>
        <v>-1,36472945891784</v>
      </c>
      <c r="AS367" t="str">
        <f t="shared" si="326"/>
        <v>1+4,36355968000183i</v>
      </c>
      <c r="AT367">
        <f t="shared" si="350"/>
        <v>4.4766788002868454</v>
      </c>
      <c r="AU367">
        <f t="shared" si="351"/>
        <v>1.3455157212407576</v>
      </c>
      <c r="AV367" t="str">
        <f t="shared" si="327"/>
        <v>1+4,36355968000183i</v>
      </c>
      <c r="AW367">
        <f t="shared" si="352"/>
        <v>4.4766788002868454</v>
      </c>
      <c r="AX367">
        <f t="shared" si="353"/>
        <v>1.3455157212407576</v>
      </c>
      <c r="AY367" t="str">
        <f t="shared" si="328"/>
        <v>1-0,00343756040939349i</v>
      </c>
      <c r="AZ367">
        <f t="shared" si="354"/>
        <v>1.0000059083933295</v>
      </c>
      <c r="BA367">
        <f t="shared" si="355"/>
        <v>-3.4375468691434955E-3</v>
      </c>
      <c r="BB367" s="58" t="str">
        <f t="shared" si="356"/>
        <v>-0,067076582365108+0,297384010238216i</v>
      </c>
      <c r="BC367">
        <f t="shared" si="357"/>
        <v>-10.31813605601765</v>
      </c>
      <c r="BD367" s="60">
        <f t="shared" si="358"/>
        <v>102.71067097692328</v>
      </c>
      <c r="BE367" s="58" t="str">
        <f t="shared" si="359"/>
        <v>0,0740373845303111-0,045691918731237i</v>
      </c>
      <c r="BF367" s="37">
        <f t="shared" si="360"/>
        <v>-21.20945099555794</v>
      </c>
      <c r="BG367" s="60">
        <f t="shared" si="361"/>
        <v>-31.680668226670846</v>
      </c>
      <c r="BH367" s="58" t="str">
        <f t="shared" si="362"/>
        <v>0,197850084881016+0,605154922377804i</v>
      </c>
      <c r="BI367" s="37">
        <f t="shared" si="363"/>
        <v>-3.9216217698240663</v>
      </c>
      <c r="BJ367" s="60">
        <f t="shared" si="364"/>
        <v>71.895298142659811</v>
      </c>
      <c r="BK367">
        <f t="shared" si="365"/>
        <v>-21.20945099555794</v>
      </c>
      <c r="BL367" s="60">
        <f t="shared" si="366"/>
        <v>-31.680668226670846</v>
      </c>
      <c r="BN367">
        <f t="shared" si="367"/>
        <v>0</v>
      </c>
      <c r="BO367">
        <f t="shared" si="368"/>
        <v>0</v>
      </c>
    </row>
    <row r="368" spans="13:67" x14ac:dyDescent="0.25">
      <c r="M368" s="66">
        <v>50</v>
      </c>
      <c r="N368" s="36">
        <f t="shared" si="316"/>
        <v>31622.77660168384</v>
      </c>
      <c r="O368" s="91" t="str">
        <f t="shared" si="317"/>
        <v>22,5</v>
      </c>
      <c r="P368" s="67" t="str">
        <f t="shared" si="318"/>
        <v>1+214,587106541196i</v>
      </c>
      <c r="Q368" s="67">
        <f t="shared" si="329"/>
        <v>214.58943658466185</v>
      </c>
      <c r="R368" s="67">
        <f t="shared" si="330"/>
        <v>1.5661362482965626</v>
      </c>
      <c r="S368" s="67" t="str">
        <f t="shared" si="319"/>
        <v>1+5,96075295947767i</v>
      </c>
      <c r="T368" s="67">
        <f t="shared" si="331"/>
        <v>6.0440529319258784</v>
      </c>
      <c r="U368" s="67">
        <f t="shared" si="332"/>
        <v>1.4045801248210432</v>
      </c>
      <c r="V368" t="str">
        <f t="shared" si="320"/>
        <v>1-1,24182353322451i</v>
      </c>
      <c r="W368" s="67">
        <f t="shared" si="333"/>
        <v>1.5944044931165382</v>
      </c>
      <c r="X368" s="67">
        <f t="shared" si="334"/>
        <v>-0.89285180162859312</v>
      </c>
      <c r="Y368" t="str">
        <f t="shared" si="321"/>
        <v>0,936+3,44399059880931i</v>
      </c>
      <c r="Z368" s="67">
        <f t="shared" si="335"/>
        <v>3.5689168167228154</v>
      </c>
      <c r="AA368" s="67">
        <f t="shared" si="336"/>
        <v>1.3054282813418796</v>
      </c>
      <c r="AB368" s="92" t="str">
        <f t="shared" si="337"/>
        <v>-0,200921011246215-0,199462920129836i</v>
      </c>
      <c r="AC368" s="37">
        <f t="shared" si="338"/>
        <v>-10.960709567963365</v>
      </c>
      <c r="AD368" s="60">
        <f t="shared" si="339"/>
        <v>-135.20865497151817</v>
      </c>
      <c r="AE368" t="str">
        <f t="shared" si="340"/>
        <v>34,4450883806789</v>
      </c>
      <c r="AF368" t="str">
        <f t="shared" si="322"/>
        <v>1+107,293553270598i</v>
      </c>
      <c r="AG368">
        <f t="shared" si="341"/>
        <v>107.29821328163227</v>
      </c>
      <c r="AH368">
        <f t="shared" si="342"/>
        <v>1.5614763721890585</v>
      </c>
      <c r="AI368" t="str">
        <f t="shared" si="323"/>
        <v>1+5,96075295947767i</v>
      </c>
      <c r="AJ368">
        <f t="shared" si="343"/>
        <v>6.0440529319258784</v>
      </c>
      <c r="AK368">
        <f t="shared" si="344"/>
        <v>1.4045801248210432</v>
      </c>
      <c r="AL368" t="str">
        <f t="shared" si="324"/>
        <v>1-0,405577867597361i</v>
      </c>
      <c r="AM368">
        <f t="shared" si="345"/>
        <v>1.0791169569072772</v>
      </c>
      <c r="AN368">
        <f t="shared" si="346"/>
        <v>-0.38530561587572898</v>
      </c>
      <c r="AO368" s="58" t="str">
        <f t="shared" si="347"/>
        <v>1,79348089200482-1,08044061615582i</v>
      </c>
      <c r="AP368">
        <f t="shared" si="348"/>
        <v>6.4186317855752595</v>
      </c>
      <c r="AQ368" s="60">
        <f t="shared" si="349"/>
        <v>-31.065878407995925</v>
      </c>
      <c r="AR368" t="str">
        <f t="shared" si="325"/>
        <v>-1,36472945891784</v>
      </c>
      <c r="AS368" t="str">
        <f t="shared" si="326"/>
        <v>1+4,46520004194472i</v>
      </c>
      <c r="AT368">
        <f t="shared" si="350"/>
        <v>4.5758071872166042</v>
      </c>
      <c r="AU368">
        <f t="shared" si="351"/>
        <v>1.3504775792687553</v>
      </c>
      <c r="AV368" t="str">
        <f t="shared" si="327"/>
        <v>1+4,46520004194472i</v>
      </c>
      <c r="AW368">
        <f t="shared" si="352"/>
        <v>4.5758071872166042</v>
      </c>
      <c r="AX368">
        <f t="shared" si="353"/>
        <v>1.3504775792687553</v>
      </c>
      <c r="AY368" t="str">
        <f t="shared" si="328"/>
        <v>1-0,00335931198134342i</v>
      </c>
      <c r="AZ368">
        <f t="shared" si="354"/>
        <v>1.0000056424725752</v>
      </c>
      <c r="BA368">
        <f t="shared" si="355"/>
        <v>-3.3592993448428466E-3</v>
      </c>
      <c r="BB368" s="58" t="str">
        <f t="shared" si="356"/>
        <v>-0,0642018236792921+0,291258537808338i</v>
      </c>
      <c r="BC368">
        <f t="shared" si="357"/>
        <v>-10.508373986746143</v>
      </c>
      <c r="BD368" s="60">
        <f t="shared" si="358"/>
        <v>102.43086070627567</v>
      </c>
      <c r="BE368" s="58" t="str">
        <f t="shared" si="359"/>
        <v>0,0709947738014919-0,0457140767218128i</v>
      </c>
      <c r="BF368" s="37">
        <f t="shared" si="360"/>
        <v>-21.469083554709506</v>
      </c>
      <c r="BG368" s="60">
        <f t="shared" si="361"/>
        <v>-32.77779426524252</v>
      </c>
      <c r="BH368" s="58" t="str">
        <f t="shared" si="362"/>
        <v>0,199542810049611+0,591732880126899i</v>
      </c>
      <c r="BI368" s="37">
        <f t="shared" si="363"/>
        <v>-4.0897422011708873</v>
      </c>
      <c r="BJ368" s="60">
        <f t="shared" si="364"/>
        <v>71.364982298279742</v>
      </c>
      <c r="BK368">
        <f t="shared" si="365"/>
        <v>-21.469083554709506</v>
      </c>
      <c r="BL368" s="60">
        <f t="shared" si="366"/>
        <v>-32.77779426524252</v>
      </c>
      <c r="BN368">
        <f t="shared" si="367"/>
        <v>0</v>
      </c>
      <c r="BO368">
        <f t="shared" si="368"/>
        <v>0</v>
      </c>
    </row>
    <row r="369" spans="13:67" x14ac:dyDescent="0.25">
      <c r="M369" s="66">
        <v>51</v>
      </c>
      <c r="N369" s="36">
        <f t="shared" si="316"/>
        <v>32359.365692962871</v>
      </c>
      <c r="O369" s="91" t="str">
        <f t="shared" si="317"/>
        <v>22,5</v>
      </c>
      <c r="P369" s="67" t="str">
        <f t="shared" si="318"/>
        <v>1+219,585482357409i</v>
      </c>
      <c r="Q369" s="67">
        <f t="shared" si="329"/>
        <v>219.58775936316667</v>
      </c>
      <c r="R369" s="67">
        <f t="shared" si="330"/>
        <v>1.5662423231500666</v>
      </c>
      <c r="S369" s="67" t="str">
        <f t="shared" si="319"/>
        <v>1+6,09959673215026i</v>
      </c>
      <c r="T369" s="67">
        <f t="shared" si="331"/>
        <v>6.1810258286839517</v>
      </c>
      <c r="U369" s="67">
        <f t="shared" si="332"/>
        <v>1.4082966629110221</v>
      </c>
      <c r="V369" t="str">
        <f t="shared" si="320"/>
        <v>1-1,27074931919797i</v>
      </c>
      <c r="W369" s="67">
        <f t="shared" si="333"/>
        <v>1.6170355074153764</v>
      </c>
      <c r="X369" s="67">
        <f t="shared" si="334"/>
        <v>-0.9040713716657206</v>
      </c>
      <c r="Y369" t="str">
        <f t="shared" si="321"/>
        <v>0,932983772924743+3,52421144524237i</v>
      </c>
      <c r="Z369" s="67">
        <f t="shared" si="335"/>
        <v>3.6456172359859997</v>
      </c>
      <c r="AA369" s="67">
        <f t="shared" si="336"/>
        <v>1.3119977849242619</v>
      </c>
      <c r="AB369" s="92" t="str">
        <f t="shared" si="337"/>
        <v>-0,202148909068482-0,19506959616482i</v>
      </c>
      <c r="AC369" s="37">
        <f t="shared" si="338"/>
        <v>-11.028331264772667</v>
      </c>
      <c r="AD369" s="60">
        <f t="shared" si="339"/>
        <v>-136.02102950582631</v>
      </c>
      <c r="AE369" t="str">
        <f t="shared" si="340"/>
        <v>34,4450883806789</v>
      </c>
      <c r="AF369" t="str">
        <f t="shared" si="322"/>
        <v>1+109,792741178705i</v>
      </c>
      <c r="AG369">
        <f t="shared" si="341"/>
        <v>109.79729511938855</v>
      </c>
      <c r="AH369">
        <f t="shared" si="342"/>
        <v>1.5616885083879029</v>
      </c>
      <c r="AI369" t="str">
        <f t="shared" si="323"/>
        <v>1+6,09959673215026i</v>
      </c>
      <c r="AJ369">
        <f t="shared" si="343"/>
        <v>6.1810258286839517</v>
      </c>
      <c r="AK369">
        <f t="shared" si="344"/>
        <v>1.4082966629110221</v>
      </c>
      <c r="AL369" t="str">
        <f t="shared" si="324"/>
        <v>1-0,41502498973655i</v>
      </c>
      <c r="AM369">
        <f t="shared" si="345"/>
        <v>1.0827029796328369</v>
      </c>
      <c r="AN369">
        <f t="shared" si="346"/>
        <v>-0.39339147952824671</v>
      </c>
      <c r="AO369" s="58" t="str">
        <f t="shared" si="347"/>
        <v>1,79335324655309-1,09159276704323i</v>
      </c>
      <c r="AP369">
        <f t="shared" si="348"/>
        <v>6.4421110494533433</v>
      </c>
      <c r="AQ369" s="60">
        <f t="shared" si="349"/>
        <v>-31.328376830923741</v>
      </c>
      <c r="AR369" t="str">
        <f t="shared" si="325"/>
        <v>-1,36472945891784</v>
      </c>
      <c r="AS369" t="str">
        <f t="shared" si="326"/>
        <v>1+4,56920791205376i</v>
      </c>
      <c r="AT369">
        <f t="shared" si="350"/>
        <v>4.6773561916508646</v>
      </c>
      <c r="AU369">
        <f t="shared" si="351"/>
        <v>1.355337170642132</v>
      </c>
      <c r="AV369" t="str">
        <f t="shared" si="327"/>
        <v>1+4,56920791205376i</v>
      </c>
      <c r="AW369">
        <f t="shared" si="352"/>
        <v>4.6773561916508646</v>
      </c>
      <c r="AX369">
        <f t="shared" si="353"/>
        <v>1.355337170642132</v>
      </c>
      <c r="AY369" t="str">
        <f t="shared" si="328"/>
        <v>1-0,0032828447049716i</v>
      </c>
      <c r="AZ369">
        <f t="shared" si="354"/>
        <v>1.0000053885201603</v>
      </c>
      <c r="BA369">
        <f t="shared" si="355"/>
        <v>-3.2828329118994989E-3</v>
      </c>
      <c r="BB369" s="58" t="str">
        <f t="shared" si="356"/>
        <v>-0,061444343638979+0,2852321759841i</v>
      </c>
      <c r="BC369">
        <f t="shared" si="357"/>
        <v>-10.699030744483707</v>
      </c>
      <c r="BD369" s="60">
        <f t="shared" si="358"/>
        <v>102.15680783430508</v>
      </c>
      <c r="BE369" s="58" t="str">
        <f t="shared" si="359"/>
        <v>0,0680610324174798-0,045673449906147i</v>
      </c>
      <c r="BF369" s="37">
        <f t="shared" si="360"/>
        <v>-21.727362009256375</v>
      </c>
      <c r="BG369" s="60">
        <f t="shared" si="361"/>
        <v>-33.864221671521186</v>
      </c>
      <c r="BH369" s="58" t="str">
        <f t="shared" si="362"/>
        <v>0,201165967084959+0,578594249914516i</v>
      </c>
      <c r="BI369" s="37">
        <f t="shared" si="363"/>
        <v>-4.2569196950303647</v>
      </c>
      <c r="BJ369" s="60">
        <f t="shared" si="364"/>
        <v>70.828431003381311</v>
      </c>
      <c r="BK369">
        <f t="shared" si="365"/>
        <v>-21.727362009256375</v>
      </c>
      <c r="BL369" s="60">
        <f t="shared" si="366"/>
        <v>-33.864221671521186</v>
      </c>
      <c r="BN369">
        <f t="shared" si="367"/>
        <v>0</v>
      </c>
      <c r="BO369">
        <f t="shared" si="368"/>
        <v>0</v>
      </c>
    </row>
    <row r="370" spans="13:67" x14ac:dyDescent="0.25">
      <c r="M370" s="66">
        <v>52</v>
      </c>
      <c r="N370" s="36">
        <f t="shared" si="316"/>
        <v>33113.11214825909</v>
      </c>
      <c r="O370" s="91" t="str">
        <f t="shared" si="317"/>
        <v>22,5</v>
      </c>
      <c r="P370" s="67" t="str">
        <f t="shared" si="318"/>
        <v>1+224,700285302925i</v>
      </c>
      <c r="Q370" s="67">
        <f t="shared" si="329"/>
        <v>224.70251047822293</v>
      </c>
      <c r="R370" s="67">
        <f t="shared" si="330"/>
        <v>1.566345983544146</v>
      </c>
      <c r="S370" s="67" t="str">
        <f t="shared" si="319"/>
        <v>1+6,24167459174794i</v>
      </c>
      <c r="T370" s="67">
        <f t="shared" si="331"/>
        <v>6.3212737410486994</v>
      </c>
      <c r="U370" s="67">
        <f t="shared" si="332"/>
        <v>1.4119329838505601</v>
      </c>
      <c r="V370" t="str">
        <f t="shared" si="320"/>
        <v>1-1,30034887328082i</v>
      </c>
      <c r="W370" s="67">
        <f t="shared" si="333"/>
        <v>1.6403984858084628</v>
      </c>
      <c r="X370" s="67">
        <f t="shared" si="334"/>
        <v>-0.91523037135952445</v>
      </c>
      <c r="Y370" t="str">
        <f t="shared" si="321"/>
        <v>0,929825395446836+3,60630087523214i</v>
      </c>
      <c r="Z370" s="67">
        <f t="shared" si="335"/>
        <v>3.7242423751305398</v>
      </c>
      <c r="AA370" s="67">
        <f t="shared" si="336"/>
        <v>1.3184585979555949</v>
      </c>
      <c r="AB370" s="92" t="str">
        <f t="shared" si="337"/>
        <v>-0,203329233107067-0,190750861907435i</v>
      </c>
      <c r="AC370" s="37">
        <f t="shared" si="338"/>
        <v>-11.094187725533198</v>
      </c>
      <c r="AD370" s="60">
        <f t="shared" si="339"/>
        <v>-136.82816387108056</v>
      </c>
      <c r="AE370" t="str">
        <f t="shared" si="340"/>
        <v>34,4450883806789</v>
      </c>
      <c r="AF370" t="str">
        <f t="shared" si="322"/>
        <v>1+112,350142651463i</v>
      </c>
      <c r="AG370">
        <f t="shared" si="341"/>
        <v>112.35459293595474</v>
      </c>
      <c r="AH370">
        <f t="shared" si="342"/>
        <v>1.5618958165694496</v>
      </c>
      <c r="AI370" t="str">
        <f t="shared" si="323"/>
        <v>1+6,24167459174794i</v>
      </c>
      <c r="AJ370">
        <f t="shared" si="343"/>
        <v>6.3212737410486994</v>
      </c>
      <c r="AK370">
        <f t="shared" si="344"/>
        <v>1.4119329838505601</v>
      </c>
      <c r="AL370" t="str">
        <f t="shared" si="324"/>
        <v>1-0,424692163618803i</v>
      </c>
      <c r="AM370">
        <f t="shared" si="345"/>
        <v>1.086445320225192</v>
      </c>
      <c r="AN370">
        <f t="shared" si="346"/>
        <v>-0.40160987836411299</v>
      </c>
      <c r="AO370" s="58" t="str">
        <f t="shared" si="347"/>
        <v>1,7932313451614-1,10332359019365i</v>
      </c>
      <c r="AP370">
        <f t="shared" si="348"/>
        <v>6.4669788823971119</v>
      </c>
      <c r="AQ370" s="60">
        <f t="shared" si="349"/>
        <v>-31.602788439644893</v>
      </c>
      <c r="AR370" t="str">
        <f t="shared" si="325"/>
        <v>-1,36472945891784</v>
      </c>
      <c r="AS370" t="str">
        <f t="shared" si="326"/>
        <v>1+4,67563843667838i</v>
      </c>
      <c r="AT370">
        <f t="shared" si="350"/>
        <v>4.7813800090083038</v>
      </c>
      <c r="AU370">
        <f t="shared" si="351"/>
        <v>1.3600961534631741</v>
      </c>
      <c r="AV370" t="str">
        <f t="shared" si="327"/>
        <v>1+4,67563843667838i</v>
      </c>
      <c r="AW370">
        <f t="shared" si="352"/>
        <v>4.7813800090083038</v>
      </c>
      <c r="AX370">
        <f t="shared" si="353"/>
        <v>1.3600961534631741</v>
      </c>
      <c r="AY370" t="str">
        <f t="shared" si="328"/>
        <v>1-0,00320811803631595i</v>
      </c>
      <c r="AZ370">
        <f t="shared" si="354"/>
        <v>1.0000051459974268</v>
      </c>
      <c r="BA370">
        <f t="shared" si="355"/>
        <v>-3.2081070303774891E-3</v>
      </c>
      <c r="BB370" s="58" t="str">
        <f t="shared" si="356"/>
        <v>-0,058799857549311+0,279305087220618i</v>
      </c>
      <c r="BC370">
        <f t="shared" si="357"/>
        <v>-10.890089205234521</v>
      </c>
      <c r="BD370" s="60">
        <f t="shared" si="358"/>
        <v>101.88841968151571</v>
      </c>
      <c r="BE370" s="58" t="str">
        <f t="shared" si="359"/>
        <v>0,0652334160647704-0,0455747656799052i</v>
      </c>
      <c r="BF370" s="37">
        <f t="shared" si="360"/>
        <v>-21.984276930767717</v>
      </c>
      <c r="BG370" s="60">
        <f t="shared" si="361"/>
        <v>-34.939744189564813</v>
      </c>
      <c r="BH370" s="58" t="str">
        <f t="shared" si="362"/>
        <v>0,202722143943153+0,565733907201232i</v>
      </c>
      <c r="BI370" s="37">
        <f t="shared" si="363"/>
        <v>-4.4231103228374096</v>
      </c>
      <c r="BJ370" s="60">
        <f t="shared" si="364"/>
        <v>70.285631241870831</v>
      </c>
      <c r="BK370">
        <f t="shared" si="365"/>
        <v>-21.984276930767717</v>
      </c>
      <c r="BL370" s="60">
        <f t="shared" si="366"/>
        <v>-34.939744189564813</v>
      </c>
      <c r="BN370">
        <f t="shared" si="367"/>
        <v>0</v>
      </c>
      <c r="BO370">
        <f t="shared" si="368"/>
        <v>0</v>
      </c>
    </row>
    <row r="371" spans="13:67" x14ac:dyDescent="0.25">
      <c r="M371" s="66">
        <v>53</v>
      </c>
      <c r="N371" s="36">
        <f t="shared" si="316"/>
        <v>33884.41561392029</v>
      </c>
      <c r="O371" s="91" t="str">
        <f t="shared" si="317"/>
        <v>22,5</v>
      </c>
      <c r="P371" s="67" t="str">
        <f t="shared" si="318"/>
        <v>1+229,934227313971i</v>
      </c>
      <c r="Q371" s="67">
        <f t="shared" si="329"/>
        <v>229.93640183857991</v>
      </c>
      <c r="R371" s="67">
        <f t="shared" si="330"/>
        <v>1.5664472844319977</v>
      </c>
      <c r="S371" s="67" t="str">
        <f t="shared" si="319"/>
        <v>1+6,38706186983254i</v>
      </c>
      <c r="T371" s="67">
        <f t="shared" si="331"/>
        <v>6.4648711765253877</v>
      </c>
      <c r="U371" s="67">
        <f t="shared" si="332"/>
        <v>1.4154906308099908</v>
      </c>
      <c r="V371" t="str">
        <f t="shared" si="320"/>
        <v>1-1,33063788954844i</v>
      </c>
      <c r="W371" s="67">
        <f t="shared" si="333"/>
        <v>1.6645110973201491</v>
      </c>
      <c r="X371" s="67">
        <f t="shared" si="334"/>
        <v>-0.92632360145426684</v>
      </c>
      <c r="Y371" t="str">
        <f t="shared" si="321"/>
        <v>0,926518168224199+3,69030241368102i</v>
      </c>
      <c r="Z371" s="67">
        <f t="shared" si="335"/>
        <v>3.8048347954240387</v>
      </c>
      <c r="AA371" s="67">
        <f t="shared" si="336"/>
        <v>1.3248124031177761</v>
      </c>
      <c r="AB371" s="92" t="str">
        <f t="shared" si="337"/>
        <v>-0,204463475750367-0,186506077791799i</v>
      </c>
      <c r="AC371" s="37">
        <f t="shared" si="338"/>
        <v>-11.15828894616569</v>
      </c>
      <c r="AD371" s="60">
        <f t="shared" si="339"/>
        <v>-137.6297713138801</v>
      </c>
      <c r="AE371" t="str">
        <f t="shared" si="340"/>
        <v>34,4450883806789</v>
      </c>
      <c r="AF371" t="str">
        <f t="shared" si="322"/>
        <v>1+114,967113656986i</v>
      </c>
      <c r="AG371">
        <f t="shared" si="341"/>
        <v>114.97146264451163</v>
      </c>
      <c r="AH371">
        <f t="shared" si="342"/>
        <v>1.5620984065799244</v>
      </c>
      <c r="AI371" t="str">
        <f t="shared" si="323"/>
        <v>1+6,38706186983254i</v>
      </c>
      <c r="AJ371">
        <f t="shared" si="343"/>
        <v>6.4648711765253877</v>
      </c>
      <c r="AK371">
        <f t="shared" si="344"/>
        <v>1.4154906308099908</v>
      </c>
      <c r="AL371" t="str">
        <f t="shared" si="324"/>
        <v>1-0,434584514907675i</v>
      </c>
      <c r="AM371">
        <f t="shared" si="345"/>
        <v>1.0903502650972021</v>
      </c>
      <c r="AN371">
        <f t="shared" si="346"/>
        <v>-0.4099607281345064</v>
      </c>
      <c r="AO371" s="58" t="str">
        <f t="shared" si="347"/>
        <v>1,79311492938642-1,11563931243001i</v>
      </c>
      <c r="AP371">
        <f t="shared" si="348"/>
        <v>6.4932631154006017</v>
      </c>
      <c r="AQ371" s="60">
        <f t="shared" si="349"/>
        <v>-31.889026283634898</v>
      </c>
      <c r="AR371" t="str">
        <f t="shared" si="325"/>
        <v>-1,36472945891784</v>
      </c>
      <c r="AS371" t="str">
        <f t="shared" si="326"/>
        <v>1+4,78454804669155i</v>
      </c>
      <c r="AT371">
        <f t="shared" si="350"/>
        <v>4.887934125077785</v>
      </c>
      <c r="AU371">
        <f t="shared" si="351"/>
        <v>1.3647561883615222</v>
      </c>
      <c r="AV371" t="str">
        <f t="shared" si="327"/>
        <v>1+4,78454804669155i</v>
      </c>
      <c r="AW371">
        <f t="shared" si="352"/>
        <v>4.887934125077785</v>
      </c>
      <c r="AX371">
        <f t="shared" si="353"/>
        <v>1.3647561883615222</v>
      </c>
      <c r="AY371" t="str">
        <f t="shared" si="328"/>
        <v>1-0,00313509235430759i</v>
      </c>
      <c r="AZ371">
        <f t="shared" si="354"/>
        <v>1.0000049143899594</v>
      </c>
      <c r="BA371">
        <f t="shared" si="355"/>
        <v>-3.1350820829653325E-3</v>
      </c>
      <c r="BB371" s="58" t="str">
        <f t="shared" si="356"/>
        <v>-0,0562641948279351+0,273477296355022i</v>
      </c>
      <c r="BC371">
        <f t="shared" si="357"/>
        <v>-11.081532873796387</v>
      </c>
      <c r="BD371" s="60">
        <f t="shared" si="358"/>
        <v>101.62560337074255</v>
      </c>
      <c r="BE371" s="58" t="str">
        <f t="shared" si="359"/>
        <v>0,062509150743096-0,0454225042540892i</v>
      </c>
      <c r="BF371" s="37">
        <f t="shared" si="360"/>
        <v>-22.239821819962078</v>
      </c>
      <c r="BG371" s="60">
        <f t="shared" si="361"/>
        <v>-36.004167943137595</v>
      </c>
      <c r="BH371" s="58" t="str">
        <f t="shared" si="362"/>
        <v>0,204213855134858+0,55314677057469i</v>
      </c>
      <c r="BI371" s="37">
        <f t="shared" si="363"/>
        <v>-4.5882697583957839</v>
      </c>
      <c r="BJ371" s="60">
        <f t="shared" si="364"/>
        <v>69.736577087107676</v>
      </c>
      <c r="BK371">
        <f t="shared" si="365"/>
        <v>-22.239821819962078</v>
      </c>
      <c r="BL371" s="60">
        <f t="shared" si="366"/>
        <v>-36.004167943137595</v>
      </c>
      <c r="BN371">
        <f t="shared" si="367"/>
        <v>0</v>
      </c>
      <c r="BO371">
        <f t="shared" si="368"/>
        <v>0</v>
      </c>
    </row>
    <row r="372" spans="13:67" x14ac:dyDescent="0.25">
      <c r="M372" s="66">
        <v>54</v>
      </c>
      <c r="N372" s="36">
        <f t="shared" si="316"/>
        <v>34673.685045253202</v>
      </c>
      <c r="O372" s="91" t="str">
        <f t="shared" si="317"/>
        <v>22,5</v>
      </c>
      <c r="P372" s="67" t="str">
        <f t="shared" si="318"/>
        <v>1+235,290083495876i</v>
      </c>
      <c r="Q372" s="67">
        <f t="shared" si="329"/>
        <v>235.29220852271391</v>
      </c>
      <c r="R372" s="67">
        <f t="shared" si="330"/>
        <v>1.566546279516372</v>
      </c>
      <c r="S372" s="67" t="str">
        <f t="shared" si="319"/>
        <v>1+6,53583565266322i</v>
      </c>
      <c r="T372" s="67">
        <f t="shared" si="331"/>
        <v>6.6118944092161405</v>
      </c>
      <c r="U372" s="67">
        <f t="shared" si="332"/>
        <v>1.4189711296877996</v>
      </c>
      <c r="V372" t="str">
        <f t="shared" si="320"/>
        <v>1-1,36163242763817i</v>
      </c>
      <c r="W372" s="67">
        <f t="shared" si="333"/>
        <v>1.6893912714335351</v>
      </c>
      <c r="X372" s="67">
        <f t="shared" si="334"/>
        <v>-0.93734602313308946</v>
      </c>
      <c r="Y372" t="str">
        <f t="shared" si="321"/>
        <v>0,923055076184486+3,77626059931652i</v>
      </c>
      <c r="Z372" s="67">
        <f t="shared" si="335"/>
        <v>3.8874380750849662</v>
      </c>
      <c r="AA372" s="67">
        <f t="shared" si="336"/>
        <v>1.3310609262933459</v>
      </c>
      <c r="AB372" s="92" t="str">
        <f t="shared" si="337"/>
        <v>-0,205553108274304-0,18233456005441i</v>
      </c>
      <c r="AC372" s="37">
        <f t="shared" si="338"/>
        <v>-11.220647134387498</v>
      </c>
      <c r="AD372" s="60">
        <f t="shared" si="339"/>
        <v>-138.42557766646863</v>
      </c>
      <c r="AE372" t="str">
        <f t="shared" si="340"/>
        <v>34,4450883806789</v>
      </c>
      <c r="AF372" t="str">
        <f t="shared" si="322"/>
        <v>1+117,645041747938i</v>
      </c>
      <c r="AG372">
        <f t="shared" si="341"/>
        <v>117.64929174403929</v>
      </c>
      <c r="AH372">
        <f t="shared" si="342"/>
        <v>1.5622963857686749</v>
      </c>
      <c r="AI372" t="str">
        <f t="shared" si="323"/>
        <v>1+6,53583565266322i</v>
      </c>
      <c r="AJ372">
        <f t="shared" si="343"/>
        <v>6.6118944092161405</v>
      </c>
      <c r="AK372">
        <f t="shared" si="344"/>
        <v>1.4189711296877996</v>
      </c>
      <c r="AL372" t="str">
        <f t="shared" si="324"/>
        <v>1-0,444707288658753i</v>
      </c>
      <c r="AM372">
        <f t="shared" si="345"/>
        <v>1.0944243110358154</v>
      </c>
      <c r="AN372">
        <f t="shared" si="346"/>
        <v>-0.41844379663421805</v>
      </c>
      <c r="AO372" s="58" t="str">
        <f t="shared" si="347"/>
        <v>1,79300375240949-1,1285464702304i</v>
      </c>
      <c r="AP372">
        <f t="shared" si="348"/>
        <v>6.5209925485861309</v>
      </c>
      <c r="AQ372" s="60">
        <f t="shared" si="349"/>
        <v>-32.186995781637094</v>
      </c>
      <c r="AR372" t="str">
        <f t="shared" si="325"/>
        <v>-1,36472945891784</v>
      </c>
      <c r="AS372" t="str">
        <f t="shared" si="326"/>
        <v>1+4,89599448741002i</v>
      </c>
      <c r="AT372">
        <f t="shared" si="350"/>
        <v>4.9970753467152473</v>
      </c>
      <c r="AU372">
        <f t="shared" si="351"/>
        <v>1.369318936196475</v>
      </c>
      <c r="AV372" t="str">
        <f t="shared" si="327"/>
        <v>1+4,89599448741002i</v>
      </c>
      <c r="AW372">
        <f t="shared" si="352"/>
        <v>4.9970753467152473</v>
      </c>
      <c r="AX372">
        <f t="shared" si="353"/>
        <v>1.369318936196475</v>
      </c>
      <c r="AY372" t="str">
        <f t="shared" si="328"/>
        <v>1-0,00306372893976338i</v>
      </c>
      <c r="AZ372">
        <f t="shared" si="354"/>
        <v>1.000004693206495</v>
      </c>
      <c r="BA372">
        <f t="shared" si="355"/>
        <v>-3.0637193539864989E-3</v>
      </c>
      <c r="BB372" s="58" t="str">
        <f t="shared" si="356"/>
        <v>-0,053833299757415+0,267748699989629i</v>
      </c>
      <c r="BC372">
        <f t="shared" si="357"/>
        <v>-11.273345866730601</v>
      </c>
      <c r="BD372" s="60">
        <f t="shared" si="358"/>
        <v>101.36826596000236</v>
      </c>
      <c r="BE372" s="58" t="str">
        <f t="shared" si="359"/>
        <v>0,0598854435115482-0,0452209064917269i</v>
      </c>
      <c r="BF372" s="37">
        <f t="shared" si="360"/>
        <v>-22.493993001118099</v>
      </c>
      <c r="BG372" s="60">
        <f t="shared" si="361"/>
        <v>-37.057311706466251</v>
      </c>
      <c r="BH372" s="58" t="str">
        <f t="shared" si="362"/>
        <v>0,205643541812444+0,540827804206253i</v>
      </c>
      <c r="BI372" s="37">
        <f t="shared" si="363"/>
        <v>-4.7523533181444773</v>
      </c>
      <c r="BJ372" s="60">
        <f t="shared" si="364"/>
        <v>69.181270178365267</v>
      </c>
      <c r="BK372">
        <f t="shared" si="365"/>
        <v>-22.493993001118099</v>
      </c>
      <c r="BL372" s="60">
        <f t="shared" si="366"/>
        <v>-37.057311706466251</v>
      </c>
      <c r="BN372">
        <f t="shared" si="367"/>
        <v>0</v>
      </c>
      <c r="BO372">
        <f t="shared" si="368"/>
        <v>0</v>
      </c>
    </row>
    <row r="373" spans="13:67" x14ac:dyDescent="0.25">
      <c r="M373" s="66">
        <v>55</v>
      </c>
      <c r="N373" s="36">
        <f t="shared" si="316"/>
        <v>35481.33892335758</v>
      </c>
      <c r="O373" s="91" t="str">
        <f t="shared" si="317"/>
        <v>22,5</v>
      </c>
      <c r="P373" s="67" t="str">
        <f t="shared" si="318"/>
        <v>1+240,770693594484i</v>
      </c>
      <c r="Q373" s="67">
        <f t="shared" si="329"/>
        <v>240.77277025022764</v>
      </c>
      <c r="R373" s="67">
        <f t="shared" si="330"/>
        <v>1.5666430212780076</v>
      </c>
      <c r="S373" s="67" t="str">
        <f t="shared" si="319"/>
        <v>1+6,68807482206901i</v>
      </c>
      <c r="T373" s="67">
        <f t="shared" si="331"/>
        <v>6.7624215208454297</v>
      </c>
      <c r="U373" s="67">
        <f t="shared" si="332"/>
        <v>1.4223759884186777</v>
      </c>
      <c r="V373" t="str">
        <f t="shared" si="320"/>
        <v>1-1,39334892126438i</v>
      </c>
      <c r="W373" s="67">
        <f t="shared" si="333"/>
        <v>1.7150572049901456</v>
      </c>
      <c r="X373" s="67">
        <f t="shared" si="334"/>
        <v>-0.94829276773919491</v>
      </c>
      <c r="Y373" t="str">
        <f t="shared" si="321"/>
        <v>0,919428773645173+3,86422100830653i</v>
      </c>
      <c r="Z373" s="67">
        <f t="shared" si="335"/>
        <v>3.9720968355321098</v>
      </c>
      <c r="AA373" s="67">
        <f t="shared" si="336"/>
        <v>1.3372059323851262</v>
      </c>
      <c r="AB373" s="92" t="str">
        <f t="shared" si="337"/>
        <v>-0,206599578637508-0,178235583486106i</v>
      </c>
      <c r="AC373" s="37">
        <f t="shared" si="338"/>
        <v>-11.281276614321085</v>
      </c>
      <c r="AD373" s="60">
        <f t="shared" si="339"/>
        <v>-139.21532170547417</v>
      </c>
      <c r="AE373" t="str">
        <f t="shared" si="340"/>
        <v>34,4450883806789</v>
      </c>
      <c r="AF373" t="str">
        <f t="shared" si="322"/>
        <v>1+120,385346797242i</v>
      </c>
      <c r="AG373">
        <f t="shared" si="341"/>
        <v>120.38950005499743</v>
      </c>
      <c r="AH373">
        <f t="shared" si="342"/>
        <v>1.5624898590447731</v>
      </c>
      <c r="AI373" t="str">
        <f t="shared" si="323"/>
        <v>1+6,68807482206901i</v>
      </c>
      <c r="AJ373">
        <f t="shared" si="343"/>
        <v>6.7624215208454297</v>
      </c>
      <c r="AK373">
        <f t="shared" si="344"/>
        <v>1.4223759884186777</v>
      </c>
      <c r="AL373" t="str">
        <f t="shared" si="324"/>
        <v>1-0,455065852100679i</v>
      </c>
      <c r="AM373">
        <f t="shared" si="345"/>
        <v>1.098674169054737</v>
      </c>
      <c r="AN373">
        <f t="shared" si="346"/>
        <v>-0.42705869695168136</v>
      </c>
      <c r="AO373" s="58" t="str">
        <f t="shared" si="347"/>
        <v>1,79289757851404-1,14205191322486i</v>
      </c>
      <c r="AP373">
        <f t="shared" si="348"/>
        <v>6.5501968895725371</v>
      </c>
      <c r="AQ373" s="60">
        <f t="shared" si="349"/>
        <v>-32.496594377805145</v>
      </c>
      <c r="AR373" t="str">
        <f t="shared" si="325"/>
        <v>-1,36472945891784</v>
      </c>
      <c r="AS373" t="str">
        <f t="shared" si="326"/>
        <v>1+5,01003684921189i</v>
      </c>
      <c r="AT373">
        <f t="shared" si="350"/>
        <v>5.1088618331739006</v>
      </c>
      <c r="AU373">
        <f t="shared" si="351"/>
        <v>1.3737860559172717</v>
      </c>
      <c r="AV373" t="str">
        <f t="shared" si="327"/>
        <v>1+5,01003684921189i</v>
      </c>
      <c r="AW373">
        <f t="shared" si="352"/>
        <v>5.1088618331739006</v>
      </c>
      <c r="AX373">
        <f t="shared" si="353"/>
        <v>1.3737860559172717</v>
      </c>
      <c r="AY373" t="str">
        <f t="shared" si="328"/>
        <v>1-0,00299398995485624i</v>
      </c>
      <c r="AZ373">
        <f t="shared" si="354"/>
        <v>1.0000044819778808</v>
      </c>
      <c r="BA373">
        <f t="shared" si="355"/>
        <v>-2.9939810088864716E-3</v>
      </c>
      <c r="BB373" s="58" t="str">
        <f t="shared" si="356"/>
        <v>-0,0515032318064701+0,262119075495013i</v>
      </c>
      <c r="BC373">
        <f t="shared" si="357"/>
        <v>-11.46551289525258</v>
      </c>
      <c r="BD373" s="60">
        <f t="shared" si="358"/>
        <v>101.11631456626553</v>
      </c>
      <c r="BE373" s="58" t="str">
        <f t="shared" si="359"/>
        <v>0,0573594923533789-0,0449739819776765i</v>
      </c>
      <c r="BF373" s="37">
        <f t="shared" si="360"/>
        <v>-22.746789509573663</v>
      </c>
      <c r="BG373" s="60">
        <f t="shared" si="361"/>
        <v>-38.099007139208688</v>
      </c>
      <c r="BH373" s="58" t="str">
        <f t="shared" si="362"/>
        <v>0,207013572070344+0,52877202015919i</v>
      </c>
      <c r="BI373" s="37">
        <f t="shared" si="363"/>
        <v>-4.9153160056800456</v>
      </c>
      <c r="BJ373" s="60">
        <f t="shared" si="364"/>
        <v>68.619720188460334</v>
      </c>
      <c r="BK373">
        <f t="shared" si="365"/>
        <v>-22.746789509573663</v>
      </c>
      <c r="BL373" s="60">
        <f t="shared" si="366"/>
        <v>-38.099007139208688</v>
      </c>
      <c r="BN373">
        <f t="shared" si="367"/>
        <v>0</v>
      </c>
      <c r="BO373">
        <f t="shared" si="368"/>
        <v>0</v>
      </c>
    </row>
    <row r="374" spans="13:67" x14ac:dyDescent="0.25">
      <c r="M374" s="66">
        <v>56</v>
      </c>
      <c r="N374" s="36">
        <f t="shared" si="316"/>
        <v>36307.805477010232</v>
      </c>
      <c r="O374" s="91" t="str">
        <f t="shared" si="317"/>
        <v>22,5</v>
      </c>
      <c r="P374" s="67" t="str">
        <f t="shared" si="318"/>
        <v>1+246,378963501812i</v>
      </c>
      <c r="Q374" s="67">
        <f t="shared" si="329"/>
        <v>246.38099288749368</v>
      </c>
      <c r="R374" s="67">
        <f t="shared" si="330"/>
        <v>1.5667375610034195</v>
      </c>
      <c r="S374" s="67" t="str">
        <f t="shared" si="319"/>
        <v>1+6,84386009727256i</v>
      </c>
      <c r="T374" s="67">
        <f t="shared" si="331"/>
        <v>6.9165324427085269</v>
      </c>
      <c r="U374" s="67">
        <f t="shared" si="332"/>
        <v>1.4257066963587599</v>
      </c>
      <c r="V374" t="str">
        <f t="shared" si="320"/>
        <v>1-1,42580418693178i</v>
      </c>
      <c r="W374" s="67">
        <f t="shared" si="333"/>
        <v>1.7415273697166502</v>
      </c>
      <c r="X374" s="67">
        <f t="shared" si="334"/>
        <v>-0.95915914554783466</v>
      </c>
      <c r="Y374" t="str">
        <f t="shared" si="321"/>
        <v>0,915631568732389+3,95423027842414i</v>
      </c>
      <c r="Z374" s="67">
        <f t="shared" si="335"/>
        <v>4.0588567681633689</v>
      </c>
      <c r="AA374" s="67">
        <f t="shared" si="336"/>
        <v>1.3432492213498231</v>
      </c>
      <c r="AB374" s="92" t="str">
        <f t="shared" si="337"/>
        <v>-0,207604309539696-0,174208384163622i</v>
      </c>
      <c r="AC374" s="37">
        <f t="shared" si="338"/>
        <v>-11.340193725173135</v>
      </c>
      <c r="AD374" s="60">
        <f t="shared" si="339"/>
        <v>-139.99875546406378</v>
      </c>
      <c r="AE374" t="str">
        <f t="shared" si="340"/>
        <v>34,4450883806789</v>
      </c>
      <c r="AF374" t="str">
        <f t="shared" si="322"/>
        <v>1+123,189481750906i</v>
      </c>
      <c r="AG374">
        <f t="shared" si="341"/>
        <v>123.19354047212379</v>
      </c>
      <c r="AH374">
        <f t="shared" si="342"/>
        <v>1.5626789289323408</v>
      </c>
      <c r="AI374" t="str">
        <f t="shared" si="323"/>
        <v>1+6,84386009727256i</v>
      </c>
      <c r="AJ374">
        <f t="shared" si="343"/>
        <v>6.9165324427085269</v>
      </c>
      <c r="AK374">
        <f t="shared" si="344"/>
        <v>1.4257066963587599</v>
      </c>
      <c r="AL374" t="str">
        <f t="shared" si="324"/>
        <v>1-0,465665697480894i</v>
      </c>
      <c r="AM374">
        <f t="shared" si="345"/>
        <v>1.1031067680919955</v>
      </c>
      <c r="AN374">
        <f t="shared" si="346"/>
        <v>-0.43580488083905178</v>
      </c>
      <c r="AO374" s="58" t="str">
        <f t="shared" si="347"/>
        <v>1,79279618258648-1,15616280785613i</v>
      </c>
      <c r="AP374">
        <f t="shared" si="348"/>
        <v>6.5809066874049682</v>
      </c>
      <c r="AQ374" s="60">
        <f t="shared" si="349"/>
        <v>-32.817711200230121</v>
      </c>
      <c r="AR374" t="str">
        <f t="shared" si="325"/>
        <v>-1,36472945891784</v>
      </c>
      <c r="AS374" t="str">
        <f t="shared" si="326"/>
        <v>1+5,12673559886687i</v>
      </c>
      <c r="AT374">
        <f t="shared" si="350"/>
        <v>5.2233531280862922</v>
      </c>
      <c r="AU374">
        <f t="shared" si="351"/>
        <v>1.37815920257477</v>
      </c>
      <c r="AV374" t="str">
        <f t="shared" si="327"/>
        <v>1+5,12673559886687i</v>
      </c>
      <c r="AW374">
        <f t="shared" si="352"/>
        <v>5.2233531280862922</v>
      </c>
      <c r="AX374">
        <f t="shared" si="353"/>
        <v>1.37815920257477</v>
      </c>
      <c r="AY374" t="str">
        <f t="shared" si="328"/>
        <v>1-0,00292583842305333i</v>
      </c>
      <c r="AZ374">
        <f t="shared" si="354"/>
        <v>1.0000042802560787</v>
      </c>
      <c r="BA374">
        <f t="shared" si="355"/>
        <v>-2.9258300741865475E-3</v>
      </c>
      <c r="BB374" s="58" t="str">
        <f t="shared" si="356"/>
        <v>-0,0492701655608967+0,256588089631088i</v>
      </c>
      <c r="BC374">
        <f t="shared" si="357"/>
        <v>-11.658019248103331</v>
      </c>
      <c r="BD374" s="60">
        <f t="shared" si="358"/>
        <v>100.8696564805273</v>
      </c>
      <c r="BE374" s="58" t="str">
        <f t="shared" si="359"/>
        <v>0,0549284951924389-0,0446855172541337i</v>
      </c>
      <c r="BF374" s="37">
        <f t="shared" si="360"/>
        <v>-22.99821297327647</v>
      </c>
      <c r="BG374" s="60">
        <f t="shared" si="361"/>
        <v>-39.129098983536487</v>
      </c>
      <c r="BH374" s="58" t="str">
        <f t="shared" si="362"/>
        <v>0,20832624143734+0,516974480546195i</v>
      </c>
      <c r="BI374" s="37">
        <f t="shared" si="363"/>
        <v>-5.0771125606983594</v>
      </c>
      <c r="BJ374" s="60">
        <f t="shared" si="364"/>
        <v>68.051945280297147</v>
      </c>
      <c r="BK374">
        <f t="shared" si="365"/>
        <v>-22.99821297327647</v>
      </c>
      <c r="BL374" s="60">
        <f t="shared" si="366"/>
        <v>-39.129098983536487</v>
      </c>
      <c r="BN374">
        <f t="shared" si="367"/>
        <v>0</v>
      </c>
      <c r="BO374">
        <f t="shared" si="368"/>
        <v>0</v>
      </c>
    </row>
    <row r="375" spans="13:67" x14ac:dyDescent="0.25">
      <c r="M375" s="66">
        <v>57</v>
      </c>
      <c r="N375" s="36">
        <f t="shared" si="316"/>
        <v>37153.522909717351</v>
      </c>
      <c r="O375" s="91" t="str">
        <f t="shared" si="317"/>
        <v>22,5</v>
      </c>
      <c r="P375" s="67" t="str">
        <f t="shared" si="318"/>
        <v>1+252,1178667968i</v>
      </c>
      <c r="Q375" s="67">
        <f t="shared" si="329"/>
        <v>252.11984998839142</v>
      </c>
      <c r="R375" s="67">
        <f t="shared" si="330"/>
        <v>1.5668299488120581</v>
      </c>
      <c r="S375" s="67" t="str">
        <f t="shared" si="319"/>
        <v>1+7,00327407768889i</v>
      </c>
      <c r="T375" s="67">
        <f t="shared" si="331"/>
        <v>7.074308998568636</v>
      </c>
      <c r="U375" s="67">
        <f t="shared" si="332"/>
        <v>1.4289647237433314</v>
      </c>
      <c r="V375" t="str">
        <f t="shared" si="320"/>
        <v>1-1,45901543285185i</v>
      </c>
      <c r="W375" s="67">
        <f t="shared" si="333"/>
        <v>1.7688205203750527</v>
      </c>
      <c r="X375" s="67">
        <f t="shared" si="334"/>
        <v>-0.96994065356522596</v>
      </c>
      <c r="Y375" t="str">
        <f t="shared" si="321"/>
        <v>0,911655407065415+4,0463361337758i</v>
      </c>
      <c r="Z375" s="67">
        <f t="shared" si="335"/>
        <v>4.1477646616860149</v>
      </c>
      <c r="AA375" s="67">
        <f t="shared" si="336"/>
        <v>1.3491926244431491</v>
      </c>
      <c r="AB375" s="92" t="str">
        <f t="shared" si="337"/>
        <v>-0,208568696727807-0,170252162146673i</v>
      </c>
      <c r="AC375" s="37">
        <f t="shared" si="338"/>
        <v>-11.397416714891627</v>
      </c>
      <c r="AD375" s="60">
        <f t="shared" si="339"/>
        <v>-140.77564449627889</v>
      </c>
      <c r="AE375" t="str">
        <f t="shared" si="340"/>
        <v>34,4450883806789</v>
      </c>
      <c r="AF375" t="str">
        <f t="shared" si="322"/>
        <v>1+126,0589333984i</v>
      </c>
      <c r="AG375">
        <f t="shared" si="341"/>
        <v>126.06289973478418</v>
      </c>
      <c r="AH375">
        <f t="shared" si="342"/>
        <v>1.5628636956246338</v>
      </c>
      <c r="AI375" t="str">
        <f t="shared" si="323"/>
        <v>1+7,00327407768889i</v>
      </c>
      <c r="AJ375">
        <f t="shared" si="343"/>
        <v>7.074308998568636</v>
      </c>
      <c r="AK375">
        <f t="shared" si="344"/>
        <v>1.4289647237433314</v>
      </c>
      <c r="AL375" t="str">
        <f t="shared" si="324"/>
        <v>1-0,476512444977728i</v>
      </c>
      <c r="AM375">
        <f t="shared" si="345"/>
        <v>1.1077292585368739</v>
      </c>
      <c r="AN375">
        <f t="shared" si="346"/>
        <v>-0.44468163224608931</v>
      </c>
      <c r="AO375" s="58" t="str">
        <f t="shared" si="347"/>
        <v>1,79269934963955-1,17088664120653i</v>
      </c>
      <c r="AP375">
        <f t="shared" si="348"/>
        <v>6.6131532619657687</v>
      </c>
      <c r="AQ375" s="60">
        <f t="shared" si="349"/>
        <v>-33.150226724628979</v>
      </c>
      <c r="AR375" t="str">
        <f t="shared" si="325"/>
        <v>-1,36472945891784</v>
      </c>
      <c r="AS375" t="str">
        <f t="shared" si="326"/>
        <v>1+5,24615261159675i</v>
      </c>
      <c r="AT375">
        <f t="shared" si="350"/>
        <v>5.3406101921188176</v>
      </c>
      <c r="AU375">
        <f t="shared" si="351"/>
        <v>1.382440025478006</v>
      </c>
      <c r="AV375" t="str">
        <f t="shared" si="327"/>
        <v>1+5,24615261159675i</v>
      </c>
      <c r="AW375">
        <f t="shared" si="352"/>
        <v>5.3406101921188176</v>
      </c>
      <c r="AX375">
        <f t="shared" si="353"/>
        <v>1.382440025478006</v>
      </c>
      <c r="AY375" t="str">
        <f t="shared" si="328"/>
        <v>1-0,00285923820951037i</v>
      </c>
      <c r="AZ375">
        <f t="shared" si="354"/>
        <v>1.000004087613215</v>
      </c>
      <c r="BA375">
        <f t="shared" si="355"/>
        <v>-2.8592304178927377E-3</v>
      </c>
      <c r="BB375" s="58" t="str">
        <f t="shared" si="356"/>
        <v>-0,0471303903026961+0,251155306786646i</v>
      </c>
      <c r="BC375">
        <f t="shared" si="357"/>
        <v>-11.850850774457829</v>
      </c>
      <c r="BD375" s="60">
        <f t="shared" si="358"/>
        <v>100.62819927455155</v>
      </c>
      <c r="BE375" s="58" t="str">
        <f t="shared" si="359"/>
        <v>0,0525896580967437-0,0443590841609127i</v>
      </c>
      <c r="BF375" s="37">
        <f t="shared" si="360"/>
        <v>-23.248267489349452</v>
      </c>
      <c r="BG375" s="60">
        <f t="shared" si="361"/>
        <v>-40.147445221727303</v>
      </c>
      <c r="BH375" s="58" t="str">
        <f t="shared" si="362"/>
        <v>0,20958377354071+0,505430299535219i</v>
      </c>
      <c r="BI375" s="37">
        <f t="shared" si="363"/>
        <v>-5.2376975124920557</v>
      </c>
      <c r="BJ375" s="60">
        <f t="shared" si="364"/>
        <v>67.477972549922612</v>
      </c>
      <c r="BK375">
        <f t="shared" si="365"/>
        <v>-23.248267489349452</v>
      </c>
      <c r="BL375" s="60">
        <f t="shared" si="366"/>
        <v>-40.147445221727303</v>
      </c>
      <c r="BN375">
        <f t="shared" si="367"/>
        <v>0</v>
      </c>
      <c r="BO375">
        <f t="shared" si="368"/>
        <v>0</v>
      </c>
    </row>
    <row r="376" spans="13:67" x14ac:dyDescent="0.25">
      <c r="M376" s="66">
        <v>58</v>
      </c>
      <c r="N376" s="36">
        <f t="shared" si="316"/>
        <v>38018.939632056143</v>
      </c>
      <c r="O376" s="91" t="str">
        <f t="shared" si="317"/>
        <v>22,5</v>
      </c>
      <c r="P376" s="67" t="str">
        <f t="shared" si="318"/>
        <v>1+257,990446321938i</v>
      </c>
      <c r="Q376" s="67">
        <f t="shared" si="329"/>
        <v>257.99238437092049</v>
      </c>
      <c r="R376" s="67">
        <f t="shared" si="330"/>
        <v>1.5669202336828496</v>
      </c>
      <c r="S376" s="67" t="str">
        <f t="shared" si="319"/>
        <v>1+7,1664012867205i</v>
      </c>
      <c r="T376" s="67">
        <f t="shared" si="331"/>
        <v>7.2358349485259303</v>
      </c>
      <c r="U376" s="67">
        <f t="shared" si="332"/>
        <v>1.4321515212124156</v>
      </c>
      <c r="V376" t="str">
        <f t="shared" si="320"/>
        <v>1-1,49300026806677i</v>
      </c>
      <c r="W376" s="67">
        <f t="shared" si="333"/>
        <v>1.7969557035295689</v>
      </c>
      <c r="X376" s="67">
        <f t="shared" si="334"/>
        <v>-0.98063298233949148</v>
      </c>
      <c r="Y376" t="str">
        <f t="shared" si="321"/>
        <v>0,90749185467226+4,14058741010517i</v>
      </c>
      <c r="Z376" s="67">
        <f t="shared" si="335"/>
        <v>4.238868430019731</v>
      </c>
      <c r="AA376" s="67">
        <f t="shared" si="336"/>
        <v>1.3550380006730982</v>
      </c>
      <c r="AB376" s="92" t="str">
        <f t="shared" si="337"/>
        <v>-0,209494107534329-0,166366084128364i</v>
      </c>
      <c r="AC376" s="37">
        <f t="shared" si="338"/>
        <v>-11.45296562970586</v>
      </c>
      <c r="AD376" s="60">
        <f t="shared" si="339"/>
        <v>-141.54576809276142</v>
      </c>
      <c r="AE376" t="str">
        <f t="shared" si="340"/>
        <v>34,4450883806789</v>
      </c>
      <c r="AF376" t="str">
        <f t="shared" si="322"/>
        <v>1+128,995223160969i</v>
      </c>
      <c r="AG376">
        <f t="shared" si="341"/>
        <v>128.99909921525884</v>
      </c>
      <c r="AH376">
        <f t="shared" si="342"/>
        <v>1.5630442570369072</v>
      </c>
      <c r="AI376" t="str">
        <f t="shared" si="323"/>
        <v>1+7,1664012867205i</v>
      </c>
      <c r="AJ376">
        <f t="shared" si="343"/>
        <v>7.2358349485259303</v>
      </c>
      <c r="AK376">
        <f t="shared" si="344"/>
        <v>1.4321515212124156</v>
      </c>
      <c r="AL376" t="str">
        <f t="shared" si="324"/>
        <v>1-0,487611845680278i</v>
      </c>
      <c r="AM376">
        <f t="shared" si="345"/>
        <v>1.1125490155708768</v>
      </c>
      <c r="AN376">
        <f t="shared" si="346"/>
        <v>-0.45368806106399057</v>
      </c>
      <c r="AO376" s="58" t="str">
        <f t="shared" si="347"/>
        <v>1,792606874357-1,186231224993i</v>
      </c>
      <c r="AP376">
        <f t="shared" si="348"/>
        <v>6.6469686288114707</v>
      </c>
      <c r="AQ376" s="60">
        <f t="shared" si="349"/>
        <v>-33.494012446104421</v>
      </c>
      <c r="AR376" t="str">
        <f t="shared" si="325"/>
        <v>-1,36472945891784</v>
      </c>
      <c r="AS376" t="str">
        <f t="shared" si="326"/>
        <v>1+5,36835120388232i</v>
      </c>
      <c r="AT376">
        <f t="shared" si="350"/>
        <v>5.4606954363180478</v>
      </c>
      <c r="AU376">
        <f t="shared" si="351"/>
        <v>1.3866301664890814</v>
      </c>
      <c r="AV376" t="str">
        <f t="shared" si="327"/>
        <v>1+5,36835120388232i</v>
      </c>
      <c r="AW376">
        <f t="shared" si="352"/>
        <v>5.4606954363180478</v>
      </c>
      <c r="AX376">
        <f t="shared" si="353"/>
        <v>1.3866301664890814</v>
      </c>
      <c r="AY376" t="str">
        <f t="shared" si="328"/>
        <v>1-0,00279415400191258i</v>
      </c>
      <c r="AZ376">
        <f t="shared" si="354"/>
        <v>1.000003903640674</v>
      </c>
      <c r="BA376">
        <f t="shared" si="355"/>
        <v>-2.7941467303503088E-3</v>
      </c>
      <c r="BB376" s="58" t="str">
        <f t="shared" si="356"/>
        <v>-0,0450803092736813+0,245820196839917i</v>
      </c>
      <c r="BC376">
        <f t="shared" si="357"/>
        <v>-12.043993866919291</v>
      </c>
      <c r="BD376" s="60">
        <f t="shared" si="358"/>
        <v>100.39185089966364</v>
      </c>
      <c r="BE376" s="58" t="str">
        <f t="shared" si="359"/>
        <v>0,050340202706582-0,0439980482257336i</v>
      </c>
      <c r="BF376" s="37">
        <f t="shared" si="360"/>
        <v>-23.496959496625148</v>
      </c>
      <c r="BG376" s="60">
        <f t="shared" si="361"/>
        <v>-41.153917193097833</v>
      </c>
      <c r="BH376" s="58" t="str">
        <f t="shared" si="362"/>
        <v>0,210788320923294+0,494134645203808i</v>
      </c>
      <c r="BI376" s="37">
        <f t="shared" si="363"/>
        <v>-5.3970252381078296</v>
      </c>
      <c r="BJ376" s="60">
        <f t="shared" si="364"/>
        <v>66.897838453559245</v>
      </c>
      <c r="BK376">
        <f t="shared" si="365"/>
        <v>-23.496959496625148</v>
      </c>
      <c r="BL376" s="60">
        <f t="shared" si="366"/>
        <v>-41.153917193097833</v>
      </c>
      <c r="BN376">
        <f t="shared" si="367"/>
        <v>0</v>
      </c>
      <c r="BO376">
        <f t="shared" si="368"/>
        <v>0</v>
      </c>
    </row>
    <row r="377" spans="13:67" x14ac:dyDescent="0.25">
      <c r="M377" s="66">
        <v>59</v>
      </c>
      <c r="N377" s="36">
        <f t="shared" si="316"/>
        <v>38904.514499428085</v>
      </c>
      <c r="O377" s="91" t="str">
        <f t="shared" si="317"/>
        <v>22,5</v>
      </c>
      <c r="P377" s="67" t="str">
        <f t="shared" si="318"/>
        <v>1+263,999815796623i</v>
      </c>
      <c r="Q377" s="67">
        <f t="shared" si="329"/>
        <v>264.00170973054486</v>
      </c>
      <c r="R377" s="67">
        <f t="shared" si="330"/>
        <v>1.5670084634801373</v>
      </c>
      <c r="S377" s="67" t="str">
        <f t="shared" si="319"/>
        <v>1+7,33332821657287i</v>
      </c>
      <c r="T377" s="67">
        <f t="shared" si="331"/>
        <v>7.4011960338842409</v>
      </c>
      <c r="U377" s="67">
        <f t="shared" si="332"/>
        <v>1.4352685193999117</v>
      </c>
      <c r="V377" t="str">
        <f t="shared" si="320"/>
        <v>1-1,52777671178601i</v>
      </c>
      <c r="W377" s="67">
        <f t="shared" si="333"/>
        <v>1.8259522669214747</v>
      </c>
      <c r="X377" s="67">
        <f t="shared" si="334"/>
        <v>-0.99123202177789704</v>
      </c>
      <c r="Y377" t="str">
        <f t="shared" si="321"/>
        <v>0,903132080100082+4,23703408068654i</v>
      </c>
      <c r="Z377" s="67">
        <f t="shared" si="335"/>
        <v>4.3322171407958221</v>
      </c>
      <c r="AA377" s="67">
        <f t="shared" si="336"/>
        <v>1.3607872334573978</v>
      </c>
      <c r="AB377" s="92" t="str">
        <f t="shared" si="337"/>
        <v>-0,210381879632588-0,162549286028394i</v>
      </c>
      <c r="AC377" s="37">
        <f t="shared" si="338"/>
        <v>-11.506862200436867</v>
      </c>
      <c r="AD377" s="60">
        <f t="shared" si="339"/>
        <v>-142.30891944757198</v>
      </c>
      <c r="AE377" t="str">
        <f t="shared" si="340"/>
        <v>34,4450883806789</v>
      </c>
      <c r="AF377" t="str">
        <f t="shared" si="322"/>
        <v>1+131,999907898312i</v>
      </c>
      <c r="AG377">
        <f t="shared" si="341"/>
        <v>132.00369572539569</v>
      </c>
      <c r="AH377">
        <f t="shared" si="342"/>
        <v>1.5632207088580914</v>
      </c>
      <c r="AI377" t="str">
        <f t="shared" si="323"/>
        <v>1+7,33332821657287i</v>
      </c>
      <c r="AJ377">
        <f t="shared" si="343"/>
        <v>7.4011960338842409</v>
      </c>
      <c r="AK377">
        <f t="shared" si="344"/>
        <v>1.4352685193999117</v>
      </c>
      <c r="AL377" t="str">
        <f t="shared" si="324"/>
        <v>1-0,498969784637713i</v>
      </c>
      <c r="AM377">
        <f t="shared" si="345"/>
        <v>1.1175736423079268</v>
      </c>
      <c r="AN377">
        <f t="shared" si="346"/>
        <v>-0.46282309712782027</v>
      </c>
      <c r="AO377" s="58" t="str">
        <f t="shared" si="347"/>
        <v>1,7925185606588-1,20220469973253i</v>
      </c>
      <c r="AP377">
        <f t="shared" si="348"/>
        <v>6.6823854194121823</v>
      </c>
      <c r="AQ377" s="60">
        <f t="shared" si="349"/>
        <v>-33.848930562009606</v>
      </c>
      <c r="AR377" t="str">
        <f t="shared" si="325"/>
        <v>-1,36472945891784</v>
      </c>
      <c r="AS377" t="str">
        <f t="shared" si="326"/>
        <v>1+5,49339616703474i</v>
      </c>
      <c r="AT377">
        <f t="shared" si="350"/>
        <v>5.5836727561697224</v>
      </c>
      <c r="AU377">
        <f t="shared" si="351"/>
        <v>1.3907312584499278</v>
      </c>
      <c r="AV377" t="str">
        <f t="shared" si="327"/>
        <v>1+5,49339616703474i</v>
      </c>
      <c r="AW377">
        <f t="shared" si="352"/>
        <v>5.5836727561697224</v>
      </c>
      <c r="AX377">
        <f t="shared" si="353"/>
        <v>1.3907312584499278</v>
      </c>
      <c r="AY377" t="str">
        <f t="shared" si="328"/>
        <v>1-0,00273055129175161i</v>
      </c>
      <c r="AZ377">
        <f t="shared" si="354"/>
        <v>1.0000037279482297</v>
      </c>
      <c r="BA377">
        <f t="shared" si="355"/>
        <v>-2.7305445055334165E-3</v>
      </c>
      <c r="BB377" s="58" t="str">
        <f t="shared" si="356"/>
        <v>-0,0431164386575473+0,240582142644498i</v>
      </c>
      <c r="BC377">
        <f t="shared" si="357"/>
        <v>-12.237435444644095</v>
      </c>
      <c r="BD377" s="60">
        <f t="shared" si="358"/>
        <v>100.16051977796174</v>
      </c>
      <c r="BE377" s="58" t="str">
        <f t="shared" si="359"/>
        <v>0,0481773729258824-0,0436055770557135i</v>
      </c>
      <c r="BF377" s="37">
        <f t="shared" si="360"/>
        <v>-23.744297645080962</v>
      </c>
      <c r="BG377" s="60">
        <f t="shared" si="361"/>
        <v>-42.148399669610207</v>
      </c>
      <c r="BH377" s="58" t="str">
        <f t="shared" si="362"/>
        <v>0,211941965995777+0,483082741243158i</v>
      </c>
      <c r="BI377" s="37">
        <f t="shared" si="363"/>
        <v>-5.5550500252319202</v>
      </c>
      <c r="BJ377" s="60">
        <f t="shared" si="364"/>
        <v>66.311589215952139</v>
      </c>
      <c r="BK377">
        <f t="shared" si="365"/>
        <v>-23.744297645080962</v>
      </c>
      <c r="BL377" s="60">
        <f t="shared" si="366"/>
        <v>-42.148399669610207</v>
      </c>
      <c r="BN377">
        <f t="shared" si="367"/>
        <v>0</v>
      </c>
      <c r="BO377">
        <f t="shared" si="368"/>
        <v>0</v>
      </c>
    </row>
    <row r="378" spans="13:67" x14ac:dyDescent="0.25">
      <c r="M378" s="66">
        <v>60</v>
      </c>
      <c r="N378" s="36">
        <f t="shared" si="316"/>
        <v>39810.717055349742</v>
      </c>
      <c r="O378" s="91" t="str">
        <f t="shared" si="317"/>
        <v>22,5</v>
      </c>
      <c r="P378" s="67" t="str">
        <f t="shared" si="318"/>
        <v>1+270,149161468094i</v>
      </c>
      <c r="Q378" s="67">
        <f t="shared" si="329"/>
        <v>270.15101229111531</v>
      </c>
      <c r="R378" s="67">
        <f t="shared" si="330"/>
        <v>1.5670946849790293</v>
      </c>
      <c r="S378" s="67" t="str">
        <f t="shared" si="319"/>
        <v>1+7,50414337411372i</v>
      </c>
      <c r="T378" s="67">
        <f t="shared" si="331"/>
        <v>7.5704800230404707</v>
      </c>
      <c r="U378" s="67">
        <f t="shared" si="332"/>
        <v>1.4383171285821128</v>
      </c>
      <c r="V378" t="str">
        <f t="shared" si="320"/>
        <v>1-1,56336320294036i</v>
      </c>
      <c r="W378" s="67">
        <f t="shared" si="333"/>
        <v>1.8558298694406072</v>
      </c>
      <c r="X378" s="67">
        <f t="shared" si="334"/>
        <v>-1.0017338659730723</v>
      </c>
      <c r="Y378" t="str">
        <f t="shared" si="321"/>
        <v>0,898566835682489+4,33572728282125i</v>
      </c>
      <c r="Z378" s="67">
        <f t="shared" si="335"/>
        <v>4.4278610444761002</v>
      </c>
      <c r="AA378" s="67">
        <f t="shared" si="336"/>
        <v>1.3664422274805408</v>
      </c>
      <c r="AB378" s="92" t="str">
        <f t="shared" si="337"/>
        <v>-0,211233319993854-0,15880087552012i</v>
      </c>
      <c r="AC378" s="37">
        <f t="shared" si="338"/>
        <v>-11.559129726447178</v>
      </c>
      <c r="AD378" s="60">
        <f t="shared" si="339"/>
        <v>-143.06490577622213</v>
      </c>
      <c r="AE378" t="str">
        <f t="shared" si="340"/>
        <v>34,4450883806789</v>
      </c>
      <c r="AF378" t="str">
        <f t="shared" si="322"/>
        <v>1+135,074580734047i</v>
      </c>
      <c r="AG378">
        <f t="shared" si="341"/>
        <v>135.07828234205002</v>
      </c>
      <c r="AH378">
        <f t="shared" si="342"/>
        <v>1.5633931446013007</v>
      </c>
      <c r="AI378" t="str">
        <f t="shared" si="323"/>
        <v>1+7,50414337411372i</v>
      </c>
      <c r="AJ378">
        <f t="shared" si="343"/>
        <v>7.5704800230404707</v>
      </c>
      <c r="AK378">
        <f t="shared" si="344"/>
        <v>1.4383171285821128</v>
      </c>
      <c r="AL378" t="str">
        <f t="shared" si="324"/>
        <v>1-0,510592283979607i</v>
      </c>
      <c r="AM378">
        <f t="shared" si="345"/>
        <v>1.1228109727195899</v>
      </c>
      <c r="AN378">
        <f t="shared" si="346"/>
        <v>-0.47208548452823751</v>
      </c>
      <c r="AO378" s="58" t="str">
        <f t="shared" si="347"/>
        <v>1,79243422128584-1,2188155390804i</v>
      </c>
      <c r="AP378">
        <f t="shared" si="348"/>
        <v>6.7194367968026381</v>
      </c>
      <c r="AQ378" s="60">
        <f t="shared" si="349"/>
        <v>-34.214833669066678</v>
      </c>
      <c r="AR378" t="str">
        <f t="shared" si="325"/>
        <v>-1,36472945891784</v>
      </c>
      <c r="AS378" t="str">
        <f t="shared" si="326"/>
        <v>1+5,62135380154859i</v>
      </c>
      <c r="AT378">
        <f t="shared" si="350"/>
        <v>5.7096075663905994</v>
      </c>
      <c r="AU378">
        <f t="shared" si="351"/>
        <v>1.3947449237345559</v>
      </c>
      <c r="AV378" t="str">
        <f t="shared" si="327"/>
        <v>1+5,62135380154859i</v>
      </c>
      <c r="AW378">
        <f t="shared" si="352"/>
        <v>5.7096075663905994</v>
      </c>
      <c r="AX378">
        <f t="shared" si="353"/>
        <v>1.3947449237345559</v>
      </c>
      <c r="AY378" t="str">
        <f t="shared" si="328"/>
        <v>1-0,00266839635602865i</v>
      </c>
      <c r="AZ378">
        <f t="shared" si="354"/>
        <v>1.0000035601632189</v>
      </c>
      <c r="BA378">
        <f t="shared" si="355"/>
        <v>-2.6683900227600595E-3</v>
      </c>
      <c r="BB378" s="58" t="str">
        <f t="shared" si="356"/>
        <v>-0,0412354063121891+0,235440447146566i</v>
      </c>
      <c r="BC378">
        <f t="shared" si="357"/>
        <v>-12.43116293663671</v>
      </c>
      <c r="BD378" s="60">
        <f t="shared" si="358"/>
        <v>99.934114886315101</v>
      </c>
      <c r="BE378" s="58" t="str">
        <f t="shared" si="359"/>
        <v>0,0460984409163425-0,0431846486868031i</v>
      </c>
      <c r="BF378" s="37">
        <f t="shared" si="360"/>
        <v>-23.990292663083888</v>
      </c>
      <c r="BG378" s="60">
        <f t="shared" si="361"/>
        <v>-43.130790889906997</v>
      </c>
      <c r="BH378" s="58" t="str">
        <f t="shared" si="362"/>
        <v>0,213046722107678+0,472269868513935i</v>
      </c>
      <c r="BI378" s="37">
        <f t="shared" si="363"/>
        <v>-5.7117261398340746</v>
      </c>
      <c r="BJ378" s="60">
        <f t="shared" si="364"/>
        <v>65.719281217248465</v>
      </c>
      <c r="BK378">
        <f t="shared" si="365"/>
        <v>-23.990292663083888</v>
      </c>
      <c r="BL378" s="60">
        <f t="shared" si="366"/>
        <v>-43.130790889906997</v>
      </c>
      <c r="BN378">
        <f t="shared" si="367"/>
        <v>0</v>
      </c>
      <c r="BO378">
        <f t="shared" si="368"/>
        <v>0</v>
      </c>
    </row>
    <row r="379" spans="13:67" x14ac:dyDescent="0.25">
      <c r="M379" s="66">
        <v>61</v>
      </c>
      <c r="N379" s="36">
        <f t="shared" si="316"/>
        <v>40738.027780411358</v>
      </c>
      <c r="O379" s="91" t="str">
        <f t="shared" si="317"/>
        <v>22,5</v>
      </c>
      <c r="P379" s="67" t="str">
        <f t="shared" si="318"/>
        <v>1+276,441743800822i</v>
      </c>
      <c r="Q379" s="67">
        <f t="shared" si="329"/>
        <v>276.4435524942466</v>
      </c>
      <c r="R379" s="67">
        <f t="shared" si="330"/>
        <v>1.5671789438901751</v>
      </c>
      <c r="S379" s="67" t="str">
        <f t="shared" si="319"/>
        <v>1+7,67893732780063i</v>
      </c>
      <c r="T379" s="67">
        <f t="shared" si="331"/>
        <v>7.7437767584228485</v>
      </c>
      <c r="U379" s="67">
        <f t="shared" si="332"/>
        <v>1.4412987383816536</v>
      </c>
      <c r="V379" t="str">
        <f t="shared" si="320"/>
        <v>1-1,59977860995846i</v>
      </c>
      <c r="W379" s="67">
        <f t="shared" si="333"/>
        <v>1.8866084916804076</v>
      </c>
      <c r="X379" s="67">
        <f t="shared" si="334"/>
        <v>-1.0121348170490847</v>
      </c>
      <c r="Y379" t="str">
        <f t="shared" si="321"/>
        <v>0,893786437923996+4,43671934495147i</v>
      </c>
      <c r="Z379" s="67">
        <f t="shared" si="335"/>
        <v>4.5258516041164532</v>
      </c>
      <c r="AA379" s="67">
        <f t="shared" si="336"/>
        <v>1.3720049057453316</v>
      </c>
      <c r="AB379" s="92" t="str">
        <f t="shared" si="337"/>
        <v>-0,212049704031578-0,155119934483979i</v>
      </c>
      <c r="AC379" s="37">
        <f t="shared" si="338"/>
        <v>-11.609792958067125</v>
      </c>
      <c r="AD379" s="60">
        <f t="shared" si="339"/>
        <v>-143.81354838548779</v>
      </c>
      <c r="AE379" t="str">
        <f t="shared" si="340"/>
        <v>34,4450883806789</v>
      </c>
      <c r="AF379" t="str">
        <f t="shared" si="322"/>
        <v>1+138,220871900411i</v>
      </c>
      <c r="AG379">
        <f t="shared" si="341"/>
        <v>138.22448925175968</v>
      </c>
      <c r="AH379">
        <f t="shared" si="342"/>
        <v>1.5635616556532079</v>
      </c>
      <c r="AI379" t="str">
        <f t="shared" si="323"/>
        <v>1+7,67893732780063i</v>
      </c>
      <c r="AJ379">
        <f t="shared" si="343"/>
        <v>7.7437767584228485</v>
      </c>
      <c r="AK379">
        <f t="shared" si="344"/>
        <v>1.4412987383816536</v>
      </c>
      <c r="AL379" t="str">
        <f t="shared" si="324"/>
        <v>1-0,522485506108958i</v>
      </c>
      <c r="AM379">
        <f t="shared" si="345"/>
        <v>1.1282690743319761</v>
      </c>
      <c r="AN379">
        <f t="shared" si="346"/>
        <v>-0.48147377628501969</v>
      </c>
      <c r="AO379" s="58" t="str">
        <f t="shared" si="347"/>
        <v>1,79235367740324-1,23607255434362i</v>
      </c>
      <c r="AP379">
        <f t="shared" si="348"/>
        <v>6.7581563666914404</v>
      </c>
      <c r="AQ379" s="60">
        <f t="shared" si="349"/>
        <v>-34.59156447797492</v>
      </c>
      <c r="AR379" t="str">
        <f t="shared" si="325"/>
        <v>-1,36472945891784</v>
      </c>
      <c r="AS379" t="str">
        <f t="shared" si="326"/>
        <v>1+5,75229195225545i</v>
      </c>
      <c r="AT379">
        <f t="shared" si="350"/>
        <v>5.8385668364747536</v>
      </c>
      <c r="AU379">
        <f t="shared" si="351"/>
        <v>1.398672772920541</v>
      </c>
      <c r="AV379" t="str">
        <f t="shared" si="327"/>
        <v>1+5,75229195225545i</v>
      </c>
      <c r="AW379">
        <f t="shared" si="352"/>
        <v>5.8385668364747536</v>
      </c>
      <c r="AX379">
        <f t="shared" si="353"/>
        <v>1.398672772920541</v>
      </c>
      <c r="AY379" t="str">
        <f t="shared" si="328"/>
        <v>1-0,00260765623937404i</v>
      </c>
      <c r="AZ379">
        <f t="shared" si="354"/>
        <v>1.0000033999297515</v>
      </c>
      <c r="BA379">
        <f t="shared" si="355"/>
        <v>-2.6076503288227533E-3</v>
      </c>
      <c r="BB379" s="58" t="str">
        <f t="shared" si="356"/>
        <v>-0,0394339502818618+0,2303943401406i</v>
      </c>
      <c r="BC379">
        <f t="shared" si="357"/>
        <v>-12.625164265249891</v>
      </c>
      <c r="BD379" s="60">
        <f t="shared" si="358"/>
        <v>99.712545833505771</v>
      </c>
      <c r="BE379" s="58" t="str">
        <f t="shared" si="359"/>
        <v>0,0441007124341542-0,0427380598531981i</v>
      </c>
      <c r="BF379" s="37">
        <f t="shared" si="360"/>
        <v>-24.234957223317011</v>
      </c>
      <c r="BG379" s="60">
        <f t="shared" si="361"/>
        <v>-44.101002551982077</v>
      </c>
      <c r="BH379" s="58" t="str">
        <f t="shared" si="362"/>
        <v>0,214104534721673+0,461691366456658i</v>
      </c>
      <c r="BI379" s="37">
        <f t="shared" si="363"/>
        <v>-5.8670078985584393</v>
      </c>
      <c r="BJ379" s="60">
        <f t="shared" si="364"/>
        <v>65.120981355530844</v>
      </c>
      <c r="BK379">
        <f t="shared" si="365"/>
        <v>-24.234957223317011</v>
      </c>
      <c r="BL379" s="60">
        <f t="shared" si="366"/>
        <v>-44.101002551982077</v>
      </c>
      <c r="BN379">
        <f t="shared" si="367"/>
        <v>0</v>
      </c>
      <c r="BO379">
        <f t="shared" si="368"/>
        <v>0</v>
      </c>
    </row>
    <row r="380" spans="13:67" x14ac:dyDescent="0.25">
      <c r="M380" s="66">
        <v>62</v>
      </c>
      <c r="N380" s="36">
        <f t="shared" si="316"/>
        <v>41686.938347033625</v>
      </c>
      <c r="O380" s="91" t="str">
        <f t="shared" si="317"/>
        <v>22,5</v>
      </c>
      <c r="P380" s="67" t="str">
        <f t="shared" si="318"/>
        <v>1+282,880899205254i</v>
      </c>
      <c r="Q380" s="67">
        <f t="shared" si="329"/>
        <v>282.88266672805014</v>
      </c>
      <c r="R380" s="67">
        <f t="shared" si="330"/>
        <v>1.5672612848839762</v>
      </c>
      <c r="S380" s="67" t="str">
        <f t="shared" si="319"/>
        <v>1+7,8578027557015i</v>
      </c>
      <c r="T380" s="67">
        <f t="shared" si="331"/>
        <v>7.9211782045040557</v>
      </c>
      <c r="U380" s="67">
        <f t="shared" si="332"/>
        <v>1.4442147175231084</v>
      </c>
      <c r="V380" t="str">
        <f t="shared" si="320"/>
        <v>1-1,63704224077114i</v>
      </c>
      <c r="W380" s="67">
        <f t="shared" si="333"/>
        <v>1.918308447061889</v>
      </c>
      <c r="X380" s="67">
        <f t="shared" si="334"/>
        <v>-1.0224313880458431</v>
      </c>
      <c r="Y380" t="str">
        <f t="shared" si="321"/>
        <v>0,888780746960039+4,5400638144053i</v>
      </c>
      <c r="Z380" s="67">
        <f t="shared" si="335"/>
        <v>4.6262415258003164</v>
      </c>
      <c r="AA380" s="67">
        <f t="shared" si="336"/>
        <v>1.3774772068134349</v>
      </c>
      <c r="AB380" s="92" t="str">
        <f t="shared" si="337"/>
        <v>-0,212832274918425-0,151505521381114i</v>
      </c>
      <c r="AC380" s="37">
        <f t="shared" si="338"/>
        <v>-11.658877978299991</v>
      </c>
      <c r="AD380" s="60">
        <f t="shared" si="339"/>
        <v>-144.55468269595835</v>
      </c>
      <c r="AE380" t="str">
        <f t="shared" si="340"/>
        <v>34,4450883806789</v>
      </c>
      <c r="AF380" t="str">
        <f t="shared" si="322"/>
        <v>1+141,440449602627i</v>
      </c>
      <c r="AG380">
        <f t="shared" si="341"/>
        <v>141.44398461508808</v>
      </c>
      <c r="AH380">
        <f t="shared" si="342"/>
        <v>1.5637263313223009</v>
      </c>
      <c r="AI380" t="str">
        <f t="shared" si="323"/>
        <v>1+7,8578027557015i</v>
      </c>
      <c r="AJ380">
        <f t="shared" si="343"/>
        <v>7.9211782045040557</v>
      </c>
      <c r="AK380">
        <f t="shared" si="344"/>
        <v>1.4442147175231084</v>
      </c>
      <c r="AL380" t="str">
        <f t="shared" si="324"/>
        <v>1-0,53465575696956i</v>
      </c>
      <c r="AM380">
        <f t="shared" si="345"/>
        <v>1.1339562506819623</v>
      </c>
      <c r="AN380">
        <f t="shared" si="346"/>
        <v>-0.4909863294362784</v>
      </c>
      <c r="AO380" s="58" t="str">
        <f t="shared" si="347"/>
        <v>1,79227675822156-1,25398489917188i</v>
      </c>
      <c r="AP380">
        <f t="shared" si="348"/>
        <v>6.7985780841155643</v>
      </c>
      <c r="AQ380" s="60">
        <f t="shared" si="349"/>
        <v>-34.978955548809836</v>
      </c>
      <c r="AR380" t="str">
        <f t="shared" si="325"/>
        <v>-1,36472945891784</v>
      </c>
      <c r="AS380" t="str">
        <f t="shared" si="326"/>
        <v>1+5,88628004429599i</v>
      </c>
      <c r="AT380">
        <f t="shared" si="350"/>
        <v>5.9706191270149871</v>
      </c>
      <c r="AU380">
        <f t="shared" si="351"/>
        <v>1.402516403573594</v>
      </c>
      <c r="AV380" t="str">
        <f t="shared" si="327"/>
        <v>1+5,88628004429599i</v>
      </c>
      <c r="AW380">
        <f t="shared" si="352"/>
        <v>5.9706191270149871</v>
      </c>
      <c r="AX380">
        <f t="shared" si="353"/>
        <v>1.402516403573594</v>
      </c>
      <c r="AY380" t="str">
        <f t="shared" si="328"/>
        <v>1-0,00254829873657397i</v>
      </c>
      <c r="AZ380">
        <f t="shared" si="354"/>
        <v>1.0000032469079543</v>
      </c>
      <c r="BA380">
        <f t="shared" si="355"/>
        <v>-2.5482932205255484E-3</v>
      </c>
      <c r="BB380" s="58" t="str">
        <f t="shared" si="356"/>
        <v>-0,0377089171167002+0,225442984671969i</v>
      </c>
      <c r="BC380">
        <f t="shared" si="357"/>
        <v>-12.819427829920244</v>
      </c>
      <c r="BD380" s="60">
        <f t="shared" si="358"/>
        <v>99.495722930868283</v>
      </c>
      <c r="BE380" s="58" t="str">
        <f t="shared" si="359"/>
        <v>0,0421815315490988-0,0422684341436519i</v>
      </c>
      <c r="BF380" s="37">
        <f t="shared" si="360"/>
        <v>-24.478305808220234</v>
      </c>
      <c r="BG380" s="60">
        <f t="shared" si="361"/>
        <v>-45.058959765090073</v>
      </c>
      <c r="BH380" s="58" t="str">
        <f t="shared" si="362"/>
        <v>0,215117282676922+0,451342634360136i</v>
      </c>
      <c r="BI380" s="37">
        <f t="shared" si="363"/>
        <v>-6.0208497458046706</v>
      </c>
      <c r="BJ380" s="60">
        <f t="shared" si="364"/>
        <v>64.516767382058461</v>
      </c>
      <c r="BK380">
        <f t="shared" si="365"/>
        <v>-24.478305808220234</v>
      </c>
      <c r="BL380" s="60">
        <f t="shared" si="366"/>
        <v>-45.058959765090073</v>
      </c>
      <c r="BN380">
        <f t="shared" si="367"/>
        <v>0</v>
      </c>
      <c r="BO380">
        <f t="shared" si="368"/>
        <v>0</v>
      </c>
    </row>
    <row r="381" spans="13:67" x14ac:dyDescent="0.25">
      <c r="M381" s="66">
        <v>63</v>
      </c>
      <c r="N381" s="36">
        <f t="shared" si="316"/>
        <v>42657.951880159271</v>
      </c>
      <c r="O381" s="91" t="str">
        <f t="shared" si="317"/>
        <v>22,5</v>
      </c>
      <c r="P381" s="67" t="str">
        <f t="shared" si="318"/>
        <v>1+289,470041806814i</v>
      </c>
      <c r="Q381" s="67">
        <f t="shared" si="329"/>
        <v>289.47176909612205</v>
      </c>
      <c r="R381" s="67">
        <f t="shared" si="330"/>
        <v>1.5673417516142487</v>
      </c>
      <c r="S381" s="67" t="str">
        <f t="shared" si="319"/>
        <v>1+8,04083449463374i</v>
      </c>
      <c r="T381" s="67">
        <f t="shared" si="331"/>
        <v>8.102778496916466</v>
      </c>
      <c r="U381" s="67">
        <f t="shared" si="332"/>
        <v>1.4470664136366662</v>
      </c>
      <c r="V381" t="str">
        <f t="shared" si="320"/>
        <v>1-1,67517385304869i</v>
      </c>
      <c r="W381" s="67">
        <f t="shared" si="333"/>
        <v>1.9509503935102999</v>
      </c>
      <c r="X381" s="67">
        <f t="shared" si="334"/>
        <v>-1.0326203048671678</v>
      </c>
      <c r="Y381" t="str">
        <f t="shared" si="321"/>
        <v>0,88353914504896+4,64581548578838i</v>
      </c>
      <c r="Z381" s="67">
        <f t="shared" si="335"/>
        <v>4.7290847897690496</v>
      </c>
      <c r="AA381" s="67">
        <f t="shared" si="336"/>
        <v>1.3828610822291443</v>
      </c>
      <c r="AB381" s="92" t="str">
        <f t="shared" si="337"/>
        <v>-0,213582243062309-0,147956673542285i</v>
      </c>
      <c r="AC381" s="37">
        <f t="shared" si="338"/>
        <v>-11.706412084564427</v>
      </c>
      <c r="AD381" s="60">
        <f t="shared" si="339"/>
        <v>-145.28815821864953</v>
      </c>
      <c r="AE381" t="str">
        <f t="shared" si="340"/>
        <v>34,4450883806789</v>
      </c>
      <c r="AF381" t="str">
        <f t="shared" si="322"/>
        <v>1+144,735020903407i</v>
      </c>
      <c r="AG381">
        <f t="shared" si="341"/>
        <v>144.7384754511034</v>
      </c>
      <c r="AH381">
        <f t="shared" si="342"/>
        <v>1.5638872588860528</v>
      </c>
      <c r="AI381" t="str">
        <f t="shared" si="323"/>
        <v>1+8,04083449463374i</v>
      </c>
      <c r="AJ381">
        <f t="shared" si="343"/>
        <v>8.102778496916466</v>
      </c>
      <c r="AK381">
        <f t="shared" si="344"/>
        <v>1.4470664136366662</v>
      </c>
      <c r="AL381" t="str">
        <f t="shared" si="324"/>
        <v>1-0,547109489389513i</v>
      </c>
      <c r="AM381">
        <f t="shared" si="345"/>
        <v>1.1398810435216711</v>
      </c>
      <c r="AN381">
        <f t="shared" si="346"/>
        <v>-0.50062130059831034</v>
      </c>
      <c r="AO381" s="58" t="str">
        <f t="shared" si="347"/>
        <v>1,79220330063506-1,27256207442898i</v>
      </c>
      <c r="AP381">
        <f t="shared" si="348"/>
        <v>6.8407361557713813</v>
      </c>
      <c r="AQ381" s="60">
        <f t="shared" si="349"/>
        <v>-35.376829050573896</v>
      </c>
      <c r="AR381" t="str">
        <f t="shared" si="325"/>
        <v>-1,36472945891784</v>
      </c>
      <c r="AS381" t="str">
        <f t="shared" si="326"/>
        <v>1+6,02338911993013i</v>
      </c>
      <c r="AT381">
        <f t="shared" si="350"/>
        <v>6.105834626821518</v>
      </c>
      <c r="AU381">
        <f t="shared" si="351"/>
        <v>1.4062773991392528</v>
      </c>
      <c r="AV381" t="str">
        <f t="shared" si="327"/>
        <v>1+6,02338911993013i</v>
      </c>
      <c r="AW381">
        <f t="shared" si="352"/>
        <v>6.105834626821518</v>
      </c>
      <c r="AX381">
        <f t="shared" si="353"/>
        <v>1.4062773991392528</v>
      </c>
      <c r="AY381" t="str">
        <f t="shared" si="328"/>
        <v>1-0,00249029237549475i</v>
      </c>
      <c r="AZ381">
        <f t="shared" si="354"/>
        <v>1.0000031007732504</v>
      </c>
      <c r="BA381">
        <f t="shared" si="355"/>
        <v>-2.4902872276179348E-3</v>
      </c>
      <c r="BB381" s="58" t="str">
        <f t="shared" si="356"/>
        <v>-0,0360572600250666+0,220585483095634i</v>
      </c>
      <c r="BC381">
        <f t="shared" si="357"/>
        <v>-13.013942491166333</v>
      </c>
      <c r="BD381" s="60">
        <f t="shared" si="358"/>
        <v>99.28355725676866</v>
      </c>
      <c r="BE381" s="58" t="str">
        <f t="shared" si="359"/>
        <v>0,0403382847853826-0,0417782300161905i</v>
      </c>
      <c r="BF381" s="37">
        <f t="shared" si="360"/>
        <v>-24.720354575730759</v>
      </c>
      <c r="BG381" s="60">
        <f t="shared" si="361"/>
        <v>-46.004600961880882</v>
      </c>
      <c r="BH381" s="58" t="str">
        <f t="shared" si="362"/>
        <v>0,216086779528318+0,441219132491898i</v>
      </c>
      <c r="BI381" s="37">
        <f t="shared" si="363"/>
        <v>-6.1732063353949549</v>
      </c>
      <c r="BJ381" s="60">
        <f t="shared" si="364"/>
        <v>63.906728206194721</v>
      </c>
      <c r="BK381">
        <f t="shared" si="365"/>
        <v>-24.720354575730759</v>
      </c>
      <c r="BL381" s="60">
        <f t="shared" si="366"/>
        <v>-46.004600961880882</v>
      </c>
      <c r="BN381">
        <f t="shared" si="367"/>
        <v>0</v>
      </c>
      <c r="BO381">
        <f t="shared" si="368"/>
        <v>0</v>
      </c>
    </row>
    <row r="382" spans="13:67" x14ac:dyDescent="0.25">
      <c r="M382" s="66">
        <v>64</v>
      </c>
      <c r="N382" s="36">
        <f t="shared" si="316"/>
        <v>43651.583224016598</v>
      </c>
      <c r="O382" s="91" t="str">
        <f t="shared" si="317"/>
        <v>22,5</v>
      </c>
      <c r="P382" s="67" t="str">
        <f t="shared" si="318"/>
        <v>1+296,212665256129i</v>
      </c>
      <c r="Q382" s="67">
        <f t="shared" si="329"/>
        <v>296.21435322775892</v>
      </c>
      <c r="R382" s="67">
        <f t="shared" si="330"/>
        <v>1.5674203867413474</v>
      </c>
      <c r="S382" s="67" t="str">
        <f t="shared" si="319"/>
        <v>1+8,22812959044805i</v>
      </c>
      <c r="T382" s="67">
        <f t="shared" si="331"/>
        <v>8.2886739926967081</v>
      </c>
      <c r="U382" s="67">
        <f t="shared" si="332"/>
        <v>1.4498551531064825</v>
      </c>
      <c r="V382" t="str">
        <f t="shared" si="320"/>
        <v>1-1,71419366467667i</v>
      </c>
      <c r="W382" s="67">
        <f t="shared" si="333"/>
        <v>1.9845553456675455</v>
      </c>
      <c r="X382" s="67">
        <f t="shared" si="334"/>
        <v>-1.0426985073242303</v>
      </c>
      <c r="Y382" t="str">
        <f t="shared" si="321"/>
        <v>0,878050514050352+4,75403043003664i</v>
      </c>
      <c r="Z382" s="67">
        <f t="shared" si="335"/>
        <v>4.8344366822762765</v>
      </c>
      <c r="AA382" s="67">
        <f t="shared" si="336"/>
        <v>1.3881584941202805</v>
      </c>
      <c r="AB382" s="92" t="str">
        <f t="shared" si="337"/>
        <v>-0,214300785728112-0,144472409368196i</v>
      </c>
      <c r="AC382" s="37">
        <f t="shared" si="338"/>
        <v>-11.752423671187866</v>
      </c>
      <c r="AD382" s="60">
        <f t="shared" si="339"/>
        <v>-146.01383848734437</v>
      </c>
      <c r="AE382" t="str">
        <f t="shared" si="340"/>
        <v>34,4450883806789</v>
      </c>
      <c r="AF382" t="str">
        <f t="shared" si="322"/>
        <v>1+148,106332628065i</v>
      </c>
      <c r="AG382">
        <f t="shared" si="341"/>
        <v>148.1097085424687</v>
      </c>
      <c r="AH382">
        <f t="shared" si="342"/>
        <v>1.564044523637028</v>
      </c>
      <c r="AI382" t="str">
        <f t="shared" si="323"/>
        <v>1+8,22812959044805i</v>
      </c>
      <c r="AJ382">
        <f t="shared" si="343"/>
        <v>8.2886739926967081</v>
      </c>
      <c r="AK382">
        <f t="shared" si="344"/>
        <v>1.4498551531064825</v>
      </c>
      <c r="AL382" t="str">
        <f t="shared" si="324"/>
        <v>1-0,559853306502589i</v>
      </c>
      <c r="AM382">
        <f t="shared" si="345"/>
        <v>1.1460522347615234</v>
      </c>
      <c r="AN382">
        <f t="shared" si="346"/>
        <v>-0.51037664205142963</v>
      </c>
      <c r="AO382" s="58" t="str">
        <f t="shared" si="347"/>
        <v>1,79213314887601-1,2918139332469i</v>
      </c>
      <c r="AP382">
        <f t="shared" si="348"/>
        <v>6.884664938197024</v>
      </c>
      <c r="AQ382" s="60">
        <f t="shared" si="349"/>
        <v>-35.784996548261873</v>
      </c>
      <c r="AR382" t="str">
        <f t="shared" si="325"/>
        <v>-1,36472945891784</v>
      </c>
      <c r="AS382" t="str">
        <f t="shared" si="326"/>
        <v>1+6,16369187620463i</v>
      </c>
      <c r="AT382">
        <f t="shared" si="350"/>
        <v>6.2442851908597952</v>
      </c>
      <c r="AU382">
        <f t="shared" si="351"/>
        <v>1.4099573279358744</v>
      </c>
      <c r="AV382" t="str">
        <f t="shared" si="327"/>
        <v>1+6,16369187620463i</v>
      </c>
      <c r="AW382">
        <f t="shared" si="352"/>
        <v>6.2442851908597952</v>
      </c>
      <c r="AX382">
        <f t="shared" si="353"/>
        <v>1.4099573279358744</v>
      </c>
      <c r="AY382" t="str">
        <f t="shared" si="328"/>
        <v>1-0,00243360640039593i</v>
      </c>
      <c r="AZ382">
        <f t="shared" si="354"/>
        <v>1.0000029612156716</v>
      </c>
      <c r="BA382">
        <f t="shared" si="355"/>
        <v>-2.4336015961169476E-3</v>
      </c>
      <c r="BB382" s="58" t="str">
        <f t="shared" si="356"/>
        <v>-0,0344760368822616+0,215820882800958i</v>
      </c>
      <c r="BC382">
        <f t="shared" si="357"/>
        <v>-13.208697554872682</v>
      </c>
      <c r="BD382" s="60">
        <f t="shared" si="358"/>
        <v>99.075960715257651</v>
      </c>
      <c r="BE382" s="58" t="str">
        <f t="shared" si="359"/>
        <v>0,0385684047228855-0,041269748646933i</v>
      </c>
      <c r="BF382" s="37">
        <f t="shared" si="360"/>
        <v>-24.961121226060538</v>
      </c>
      <c r="BG382" s="60">
        <f t="shared" si="361"/>
        <v>-46.93787777208675</v>
      </c>
      <c r="BH382" s="58" t="str">
        <f t="shared" si="362"/>
        <v>0,217014774949351+0,431316383094921i</v>
      </c>
      <c r="BI382" s="37">
        <f t="shared" si="363"/>
        <v>-6.3240326166756518</v>
      </c>
      <c r="BJ382" s="60">
        <f t="shared" si="364"/>
        <v>63.290964166995778</v>
      </c>
      <c r="BK382">
        <f t="shared" si="365"/>
        <v>-24.961121226060538</v>
      </c>
      <c r="BL382" s="60">
        <f t="shared" si="366"/>
        <v>-46.93787777208675</v>
      </c>
      <c r="BN382">
        <f t="shared" si="367"/>
        <v>0</v>
      </c>
      <c r="BO382">
        <f t="shared" si="368"/>
        <v>0</v>
      </c>
    </row>
    <row r="383" spans="13:67" x14ac:dyDescent="0.25">
      <c r="M383" s="66">
        <v>65</v>
      </c>
      <c r="N383" s="36">
        <f t="shared" si="316"/>
        <v>44668.359215096389</v>
      </c>
      <c r="O383" s="91" t="str">
        <f t="shared" si="317"/>
        <v>22,5</v>
      </c>
      <c r="P383" s="67" t="str">
        <f t="shared" si="318"/>
        <v>1+303,112344581403i</v>
      </c>
      <c r="Q383" s="67">
        <f t="shared" si="329"/>
        <v>303.11399413031921</v>
      </c>
      <c r="R383" s="67">
        <f t="shared" si="330"/>
        <v>1.5674972319547658</v>
      </c>
      <c r="S383" s="67" t="str">
        <f t="shared" si="319"/>
        <v>1+8,41978734948343i</v>
      </c>
      <c r="T383" s="67">
        <f t="shared" si="331"/>
        <v>8.4789633216874556</v>
      </c>
      <c r="U383" s="67">
        <f t="shared" si="332"/>
        <v>1.4525822409604836</v>
      </c>
      <c r="V383" t="str">
        <f t="shared" si="320"/>
        <v>1-1,75412236447571i</v>
      </c>
      <c r="W383" s="67">
        <f t="shared" si="333"/>
        <v>2.0191446876224242</v>
      </c>
      <c r="X383" s="67">
        <f t="shared" si="334"/>
        <v>-1.0526631493115441</v>
      </c>
      <c r="Y383" t="str">
        <f t="shared" si="321"/>
        <v>0,872303211841991+4,86476602414598i</v>
      </c>
      <c r="Z383" s="67">
        <f t="shared" si="335"/>
        <v>4.9423538281951176</v>
      </c>
      <c r="AA383" s="67">
        <f t="shared" si="336"/>
        <v>1.3933714129699721</v>
      </c>
      <c r="AB383" s="92" t="str">
        <f t="shared" si="337"/>
        <v>-0,214989046792386-0,141051730438439i</v>
      </c>
      <c r="AC383" s="37">
        <f t="shared" si="338"/>
        <v>-11.796942113310953</v>
      </c>
      <c r="AD383" s="60">
        <f t="shared" si="339"/>
        <v>-146.73160094861674</v>
      </c>
      <c r="AE383" t="str">
        <f t="shared" si="340"/>
        <v>34,4450883806789</v>
      </c>
      <c r="AF383" t="str">
        <f t="shared" si="322"/>
        <v>1+151,556172290702i</v>
      </c>
      <c r="AG383">
        <f t="shared" si="341"/>
        <v>151.5594713616043</v>
      </c>
      <c r="AH383">
        <f t="shared" si="342"/>
        <v>1.5641982089279449</v>
      </c>
      <c r="AI383" t="str">
        <f t="shared" si="323"/>
        <v>1+8,41978734948343i</v>
      </c>
      <c r="AJ383">
        <f t="shared" si="343"/>
        <v>8.4789633216874556</v>
      </c>
      <c r="AK383">
        <f t="shared" si="344"/>
        <v>1.4525822409604836</v>
      </c>
      <c r="AL383" t="str">
        <f t="shared" si="324"/>
        <v>1-0,572893965249311i</v>
      </c>
      <c r="AM383">
        <f t="shared" si="345"/>
        <v>1.152478848143895</v>
      </c>
      <c r="AN383">
        <f t="shared" si="346"/>
        <v>-0.52025009840715553</v>
      </c>
      <c r="AO383" s="58" t="str">
        <f t="shared" si="347"/>
        <v>1,79206615418485-1,31175068626571i</v>
      </c>
      <c r="AP383">
        <f t="shared" si="348"/>
        <v>6.9303988320342205</v>
      </c>
      <c r="AQ383" s="60">
        <f t="shared" si="349"/>
        <v>-36.20325882079856</v>
      </c>
      <c r="AR383" t="str">
        <f t="shared" si="325"/>
        <v>-1,36472945891784</v>
      </c>
      <c r="AS383" t="str">
        <f t="shared" si="326"/>
        <v>1+6,30726270349804i</v>
      </c>
      <c r="AT383">
        <f t="shared" si="350"/>
        <v>6.3860443790297445</v>
      </c>
      <c r="AU383">
        <f t="shared" si="351"/>
        <v>1.4135577422432857</v>
      </c>
      <c r="AV383" t="str">
        <f t="shared" si="327"/>
        <v>1+6,30726270349804i</v>
      </c>
      <c r="AW383">
        <f t="shared" si="352"/>
        <v>6.3860443790297445</v>
      </c>
      <c r="AX383">
        <f t="shared" si="353"/>
        <v>1.4135577422432857</v>
      </c>
      <c r="AY383" t="str">
        <f t="shared" si="328"/>
        <v>1-0,00237821075562319i</v>
      </c>
      <c r="AZ383">
        <f t="shared" si="354"/>
        <v>1.0000028279392004</v>
      </c>
      <c r="BA383">
        <f t="shared" si="355"/>
        <v>-2.3782062720084504E-3</v>
      </c>
      <c r="BB383" s="58" t="str">
        <f t="shared" si="356"/>
        <v>-0,0329624081172669+0,211148181613233i</v>
      </c>
      <c r="BC383">
        <f t="shared" si="357"/>
        <v>-13.403682756878672</v>
      </c>
      <c r="BD383" s="60">
        <f t="shared" si="358"/>
        <v>98.872846089220616</v>
      </c>
      <c r="BE383" s="58" t="str">
        <f t="shared" si="359"/>
        <v>0,0368693730965891-0,040745141592616i</v>
      </c>
      <c r="BF383" s="37">
        <f t="shared" si="360"/>
        <v>-25.200624870189632</v>
      </c>
      <c r="BG383" s="60">
        <f t="shared" si="361"/>
        <v>-47.858754859396122</v>
      </c>
      <c r="BH383" s="58" t="str">
        <f t="shared" si="362"/>
        <v>0,217902956187533+0,421629971255546i</v>
      </c>
      <c r="BI383" s="37">
        <f t="shared" si="363"/>
        <v>-6.4732839248444556</v>
      </c>
      <c r="BJ383" s="60">
        <f t="shared" si="364"/>
        <v>62.669587268422077</v>
      </c>
      <c r="BK383">
        <f t="shared" si="365"/>
        <v>-25.200624870189632</v>
      </c>
      <c r="BL383" s="60">
        <f t="shared" si="366"/>
        <v>-47.858754859396122</v>
      </c>
      <c r="BN383">
        <f t="shared" si="367"/>
        <v>0</v>
      </c>
      <c r="BO383">
        <f t="shared" si="368"/>
        <v>0</v>
      </c>
    </row>
    <row r="384" spans="13:67" x14ac:dyDescent="0.25">
      <c r="M384" s="66">
        <v>66</v>
      </c>
      <c r="N384" s="36">
        <f t="shared" ref="N384:N418" si="369">10^(4+(M384/100))</f>
        <v>45708.818961487581</v>
      </c>
      <c r="O384" s="91" t="str">
        <f t="shared" si="317"/>
        <v>22,5</v>
      </c>
      <c r="P384" s="67" t="str">
        <f t="shared" si="318"/>
        <v>1+310,172738083938i</v>
      </c>
      <c r="Q384" s="67">
        <f t="shared" si="329"/>
        <v>310.1743500847341</v>
      </c>
      <c r="R384" s="67">
        <f t="shared" si="330"/>
        <v>1.5675723279952205</v>
      </c>
      <c r="S384" s="67" t="str">
        <f t="shared" si="319"/>
        <v>1+8,61590939122051i</v>
      </c>
      <c r="T384" s="67">
        <f t="shared" si="331"/>
        <v>8.6737474391246714</v>
      </c>
      <c r="U384" s="67">
        <f t="shared" si="332"/>
        <v>1.4552489607985735</v>
      </c>
      <c r="V384" t="str">
        <f t="shared" si="320"/>
        <v>1-1,79498112317094i</v>
      </c>
      <c r="W384" s="67">
        <f t="shared" si="333"/>
        <v>2.0547401861403327</v>
      </c>
      <c r="X384" s="67">
        <f t="shared" si="334"/>
        <v>-1.0625115981574955</v>
      </c>
      <c r="Y384" t="str">
        <f t="shared" si="321"/>
        <v>0,866285047625341+4,97808098159407i</v>
      </c>
      <c r="Z384" s="67">
        <f t="shared" si="335"/>
        <v>5.0528942244072184</v>
      </c>
      <c r="AA384" s="67">
        <f t="shared" si="336"/>
        <v>1.3985018155529083</v>
      </c>
      <c r="AB384" s="92" t="str">
        <f t="shared" si="337"/>
        <v>-0,215648136618928-0,137693623527112i</v>
      </c>
      <c r="AC384" s="37">
        <f t="shared" si="338"/>
        <v>-11.839997652809512</v>
      </c>
      <c r="AD384" s="60">
        <f t="shared" si="339"/>
        <v>-147.44133681175541</v>
      </c>
      <c r="AE384" t="str">
        <f t="shared" si="340"/>
        <v>34,4450883806789</v>
      </c>
      <c r="AF384" t="str">
        <f t="shared" si="322"/>
        <v>1+155,086369041969i</v>
      </c>
      <c r="AG384">
        <f t="shared" si="341"/>
        <v>155.08959301842853</v>
      </c>
      <c r="AH384">
        <f t="shared" si="342"/>
        <v>1.5643483962157234</v>
      </c>
      <c r="AI384" t="str">
        <f t="shared" si="323"/>
        <v>1+8,61590939122051i</v>
      </c>
      <c r="AJ384">
        <f t="shared" si="343"/>
        <v>8.6737474391246714</v>
      </c>
      <c r="AK384">
        <f t="shared" si="344"/>
        <v>1.4552489607985735</v>
      </c>
      <c r="AL384" t="str">
        <f t="shared" si="324"/>
        <v>1-0,586238379959552i</v>
      </c>
      <c r="AM384">
        <f t="shared" si="345"/>
        <v>1.1591701506412249</v>
      </c>
      <c r="AN384">
        <f t="shared" si="346"/>
        <v>-0.53023920391140533</v>
      </c>
      <c r="AO384" s="58" t="str">
        <f t="shared" si="347"/>
        <v>1,79200217449486-1,33238290706193i</v>
      </c>
      <c r="AP384">
        <f t="shared" si="348"/>
        <v>6.9779721726427333</v>
      </c>
      <c r="AQ384" s="60">
        <f t="shared" si="349"/>
        <v>-36.631405713162899</v>
      </c>
      <c r="AR384" t="str">
        <f t="shared" si="325"/>
        <v>-1,36472945891784</v>
      </c>
      <c r="AS384" t="str">
        <f t="shared" si="326"/>
        <v>1+6,45417772496328i</v>
      </c>
      <c r="AT384">
        <f t="shared" si="350"/>
        <v>6.5311874958090268</v>
      </c>
      <c r="AU384">
        <f t="shared" si="351"/>
        <v>1.4170801774816419</v>
      </c>
      <c r="AV384" t="str">
        <f t="shared" si="327"/>
        <v>1+6,45417772496328i</v>
      </c>
      <c r="AW384">
        <f t="shared" si="352"/>
        <v>6.5311874958090268</v>
      </c>
      <c r="AX384">
        <f t="shared" si="353"/>
        <v>1.4170801774816419</v>
      </c>
      <c r="AY384" t="str">
        <f t="shared" si="328"/>
        <v>1-0,00232407606967243i</v>
      </c>
      <c r="AZ384">
        <f t="shared" si="354"/>
        <v>1.0000027006611421</v>
      </c>
      <c r="BA384">
        <f t="shared" si="355"/>
        <v>-2.324071885319052E-3</v>
      </c>
      <c r="BB384" s="58" t="str">
        <f t="shared" si="356"/>
        <v>-0,0315136344974214+0,20656633288294i</v>
      </c>
      <c r="BC384">
        <f t="shared" si="357"/>
        <v>-13.598888247889612</v>
      </c>
      <c r="BD384" s="60">
        <f t="shared" si="358"/>
        <v>98.674127088338466</v>
      </c>
      <c r="BE384" s="58" t="str">
        <f t="shared" si="359"/>
        <v>0,0352387234308185-0,0402064182499523i</v>
      </c>
      <c r="BF384" s="37">
        <f t="shared" si="360"/>
        <v>-25.43888590069912</v>
      </c>
      <c r="BG384" s="60">
        <f t="shared" si="361"/>
        <v>-48.76720972341699</v>
      </c>
      <c r="BH384" s="58" t="str">
        <f t="shared" si="362"/>
        <v>0,218752949562079+0,412155545647419i</v>
      </c>
      <c r="BI384" s="37">
        <f t="shared" si="363"/>
        <v>-6.620916075246873</v>
      </c>
      <c r="BJ384" s="60">
        <f t="shared" si="364"/>
        <v>62.042721375175525</v>
      </c>
      <c r="BK384">
        <f t="shared" si="365"/>
        <v>-25.43888590069912</v>
      </c>
      <c r="BL384" s="60">
        <f t="shared" si="366"/>
        <v>-48.76720972341699</v>
      </c>
      <c r="BN384">
        <f t="shared" si="367"/>
        <v>0</v>
      </c>
      <c r="BO384">
        <f t="shared" si="368"/>
        <v>0</v>
      </c>
    </row>
    <row r="385" spans="13:67" x14ac:dyDescent="0.25">
      <c r="M385" s="66">
        <v>67</v>
      </c>
      <c r="N385" s="36">
        <f t="shared" si="369"/>
        <v>46773.514128719893</v>
      </c>
      <c r="O385" s="91" t="str">
        <f t="shared" si="317"/>
        <v>22,5</v>
      </c>
      <c r="P385" s="67" t="str">
        <f t="shared" si="318"/>
        <v>1+317,397589277828i</v>
      </c>
      <c r="Q385" s="67">
        <f t="shared" si="329"/>
        <v>317.39916458519036</v>
      </c>
      <c r="R385" s="67">
        <f t="shared" si="330"/>
        <v>1.5676457146762366</v>
      </c>
      <c r="S385" s="67" t="str">
        <f t="shared" si="319"/>
        <v>1+8,81659970216191i</v>
      </c>
      <c r="T385" s="67">
        <f t="shared" si="331"/>
        <v>8.8731296794401402</v>
      </c>
      <c r="U385" s="67">
        <f t="shared" si="332"/>
        <v>1.4578565747563716</v>
      </c>
      <c r="V385" t="str">
        <f t="shared" si="320"/>
        <v>1-1,83679160461706i</v>
      </c>
      <c r="W385" s="67">
        <f t="shared" si="333"/>
        <v>2.0913640043741104</v>
      </c>
      <c r="X385" s="67">
        <f t="shared" si="334"/>
        <v>-1.0722414331955168</v>
      </c>
      <c r="Y385" t="str">
        <f t="shared" si="321"/>
        <v>0,859983256067228+5,09403538347132i</v>
      </c>
      <c r="Z385" s="67">
        <f t="shared" si="335"/>
        <v>5.1661172740050914</v>
      </c>
      <c r="AA385" s="67">
        <f t="shared" si="336"/>
        <v>1.4035516830296262</v>
      </c>
      <c r="AB385" s="92" t="str">
        <f t="shared" si="337"/>
        <v>-0,216279132043665-0,134397062523936i</v>
      </c>
      <c r="AC385" s="37">
        <f t="shared" si="338"/>
        <v>-11.881621286786647</v>
      </c>
      <c r="AD385" s="60">
        <f t="shared" si="339"/>
        <v>-148.14295086102243</v>
      </c>
      <c r="AE385" t="str">
        <f t="shared" si="340"/>
        <v>34,4450883806789</v>
      </c>
      <c r="AF385" t="str">
        <f t="shared" si="322"/>
        <v>1+158,698794638914i</v>
      </c>
      <c r="AG385">
        <f t="shared" si="341"/>
        <v>158.70194523018361</v>
      </c>
      <c r="AH385">
        <f t="shared" si="342"/>
        <v>1.5644951651045342</v>
      </c>
      <c r="AI385" t="str">
        <f t="shared" si="323"/>
        <v>1+8,81659970216191i</v>
      </c>
      <c r="AJ385">
        <f t="shared" si="343"/>
        <v>8.8731296794401402</v>
      </c>
      <c r="AK385">
        <f t="shared" si="344"/>
        <v>1.4578565747563716</v>
      </c>
      <c r="AL385" t="str">
        <f t="shared" si="324"/>
        <v>1-0,599893626018633i</v>
      </c>
      <c r="AM385">
        <f t="shared" si="345"/>
        <v>1.1661356535745675</v>
      </c>
      <c r="AN385">
        <f t="shared" si="346"/>
        <v>-0.54034128043714069</v>
      </c>
      <c r="AO385" s="58" t="str">
        <f t="shared" si="347"/>
        <v>1,79194107413121-1,35372153776836i</v>
      </c>
      <c r="AP385">
        <f t="shared" si="348"/>
        <v>7.027419117396887</v>
      </c>
      <c r="AQ385" s="60">
        <f t="shared" si="349"/>
        <v>-37.069216025917378</v>
      </c>
      <c r="AR385" t="str">
        <f t="shared" si="325"/>
        <v>-1,36472945891784</v>
      </c>
      <c r="AS385" t="str">
        <f t="shared" si="326"/>
        <v>1+6,60451483688949i</v>
      </c>
      <c r="AT385">
        <f t="shared" si="350"/>
        <v>6.6797916307841083</v>
      </c>
      <c r="AU385">
        <f t="shared" si="351"/>
        <v>1.4205261514752447</v>
      </c>
      <c r="AV385" t="str">
        <f t="shared" si="327"/>
        <v>1+6,60451483688949i</v>
      </c>
      <c r="AW385">
        <f t="shared" si="352"/>
        <v>6.6797916307841083</v>
      </c>
      <c r="AX385">
        <f t="shared" si="353"/>
        <v>1.4205261514752447</v>
      </c>
      <c r="AY385" t="str">
        <f t="shared" si="328"/>
        <v>1-0,00227117363961658i</v>
      </c>
      <c r="AZ385">
        <f t="shared" si="354"/>
        <v>1.0000025791115248</v>
      </c>
      <c r="BA385">
        <f t="shared" si="355"/>
        <v>-2.2711697345502244E-3</v>
      </c>
      <c r="BB385" s="58" t="str">
        <f t="shared" si="356"/>
        <v>-0,03012707482924+0,202074250274098i</v>
      </c>
      <c r="BC385">
        <f t="shared" si="357"/>
        <v>-13.79430457872388</v>
      </c>
      <c r="BD385" s="60">
        <f t="shared" si="358"/>
        <v>98.479718392159413</v>
      </c>
      <c r="BE385" s="58" t="str">
        <f t="shared" si="359"/>
        <v>0,033674043243648-0,0396554530981676i</v>
      </c>
      <c r="BF385" s="37">
        <f t="shared" si="360"/>
        <v>-25.675925865510525</v>
      </c>
      <c r="BG385" s="60">
        <f t="shared" si="361"/>
        <v>-49.663232468863022</v>
      </c>
      <c r="BH385" s="58" t="str">
        <f t="shared" si="362"/>
        <v>0,219566321994501+0,402888819156727i</v>
      </c>
      <c r="BI385" s="37">
        <f t="shared" si="363"/>
        <v>-6.7668854613269955</v>
      </c>
      <c r="BJ385" s="60">
        <f t="shared" si="364"/>
        <v>61.410502366241985</v>
      </c>
      <c r="BK385">
        <f t="shared" si="365"/>
        <v>-25.675925865510525</v>
      </c>
      <c r="BL385" s="60">
        <f t="shared" si="366"/>
        <v>-49.663232468863022</v>
      </c>
      <c r="BN385">
        <f t="shared" si="367"/>
        <v>0</v>
      </c>
      <c r="BO385">
        <f t="shared" si="368"/>
        <v>0</v>
      </c>
    </row>
    <row r="386" spans="13:67" x14ac:dyDescent="0.25">
      <c r="M386" s="66">
        <v>68</v>
      </c>
      <c r="N386" s="36">
        <f t="shared" si="369"/>
        <v>47863.009232263823</v>
      </c>
      <c r="O386" s="91" t="str">
        <f t="shared" si="317"/>
        <v>22,5</v>
      </c>
      <c r="P386" s="67" t="str">
        <f t="shared" si="318"/>
        <v>1+324,790728874806i</v>
      </c>
      <c r="Q386" s="67">
        <f t="shared" si="329"/>
        <v>324.79226832396694</v>
      </c>
      <c r="R386" s="67">
        <f t="shared" si="330"/>
        <v>1.5677174309052395</v>
      </c>
      <c r="S386" s="67" t="str">
        <f t="shared" si="319"/>
        <v>1+9,02196469096684i</v>
      </c>
      <c r="T386" s="67">
        <f t="shared" si="331"/>
        <v>9.0772158113075836</v>
      </c>
      <c r="U386" s="67">
        <f t="shared" si="332"/>
        <v>1.4604063235017388</v>
      </c>
      <c r="V386" t="str">
        <f t="shared" si="320"/>
        <v>1-1,87957597728476i</v>
      </c>
      <c r="W386" s="67">
        <f t="shared" si="333"/>
        <v>2.1290387160373481</v>
      </c>
      <c r="X386" s="67">
        <f t="shared" si="334"/>
        <v>-1.0818504436051772</v>
      </c>
      <c r="Y386" t="str">
        <f t="shared" si="321"/>
        <v>0,853384470222862+5,21269071033639i</v>
      </c>
      <c r="Z386" s="67">
        <f t="shared" si="335"/>
        <v>5.2820838213383983</v>
      </c>
      <c r="AA386" s="67">
        <f t="shared" si="336"/>
        <v>1.4085229991922814</v>
      </c>
      <c r="AB386" s="92" t="str">
        <f t="shared" si="337"/>
        <v>-0,216883076458015-0,131161010260484i</v>
      </c>
      <c r="AC386" s="37">
        <f t="shared" si="338"/>
        <v>-11.921844659125306</v>
      </c>
      <c r="AD386" s="60">
        <f t="shared" si="339"/>
        <v>-148.83636123285441</v>
      </c>
      <c r="AE386" t="str">
        <f t="shared" si="340"/>
        <v>34,4450883806789</v>
      </c>
      <c r="AF386" t="str">
        <f t="shared" si="322"/>
        <v>1+162,395364437403i</v>
      </c>
      <c r="AG386">
        <f t="shared" si="341"/>
        <v>162.39844331383514</v>
      </c>
      <c r="AH386">
        <f t="shared" si="342"/>
        <v>1.5646385933878781</v>
      </c>
      <c r="AI386" t="str">
        <f t="shared" si="323"/>
        <v>1+9,02196469096684i</v>
      </c>
      <c r="AJ386">
        <f t="shared" si="343"/>
        <v>9.0772158113075836</v>
      </c>
      <c r="AK386">
        <f t="shared" si="344"/>
        <v>1.4604063235017388</v>
      </c>
      <c r="AL386" t="str">
        <f t="shared" si="324"/>
        <v>1-0,613866943618757i</v>
      </c>
      <c r="AM386">
        <f t="shared" si="345"/>
        <v>1.173385113450752</v>
      </c>
      <c r="AN386">
        <f t="shared" si="346"/>
        <v>-0.55055343621779218</v>
      </c>
      <c r="AO386" s="58" t="str">
        <f t="shared" si="347"/>
        <v>1,79188272352347-1,37577789488839i</v>
      </c>
      <c r="AP386">
        <f t="shared" si="348"/>
        <v>7.0787735300431285</v>
      </c>
      <c r="AQ386" s="60">
        <f t="shared" si="349"/>
        <v>-37.516457445248903</v>
      </c>
      <c r="AR386" t="str">
        <f t="shared" si="325"/>
        <v>-1,36472945891784</v>
      </c>
      <c r="AS386" t="str">
        <f t="shared" si="326"/>
        <v>1+6,75835375000326i</v>
      </c>
      <c r="AT386">
        <f t="shared" si="350"/>
        <v>6.8319357000913818</v>
      </c>
      <c r="AU386">
        <f t="shared" si="351"/>
        <v>1.4238971637962277</v>
      </c>
      <c r="AV386" t="str">
        <f t="shared" si="327"/>
        <v>1+6,75835375000326i</v>
      </c>
      <c r="AW386">
        <f t="shared" si="352"/>
        <v>6.8319357000913818</v>
      </c>
      <c r="AX386">
        <f t="shared" si="353"/>
        <v>1.4238971637962277</v>
      </c>
      <c r="AY386" t="str">
        <f t="shared" si="328"/>
        <v>1-0,00221947541588701i</v>
      </c>
      <c r="AZ386">
        <f t="shared" si="354"/>
        <v>1.0000024630325275</v>
      </c>
      <c r="BA386">
        <f t="shared" si="355"/>
        <v>-2.2194717714665311E-3</v>
      </c>
      <c r="BB386" s="58" t="str">
        <f t="shared" si="356"/>
        <v>-0,0288001835920168+0,197670812263294i</v>
      </c>
      <c r="BC386">
        <f t="shared" si="357"/>
        <v>-13.98992268590634</v>
      </c>
      <c r="BD386" s="60">
        <f t="shared" si="358"/>
        <v>98.289535688574617</v>
      </c>
      <c r="BE386" s="58" t="str">
        <f t="shared" si="359"/>
        <v>0,0321729758554564-0,0390939927140016i</v>
      </c>
      <c r="BF386" s="37">
        <f t="shared" si="360"/>
        <v>-25.911767345031635</v>
      </c>
      <c r="BG386" s="60">
        <f t="shared" si="361"/>
        <v>-50.546825544279756</v>
      </c>
      <c r="BH386" s="58" t="str">
        <f t="shared" si="362"/>
        <v>0,220344582563634+0,393825569394072i</v>
      </c>
      <c r="BI386" s="37">
        <f t="shared" si="363"/>
        <v>-6.9111491558632077</v>
      </c>
      <c r="BJ386" s="60">
        <f t="shared" si="364"/>
        <v>60.773078243325706</v>
      </c>
      <c r="BK386">
        <f t="shared" si="365"/>
        <v>-25.911767345031635</v>
      </c>
      <c r="BL386" s="60">
        <f t="shared" si="366"/>
        <v>-50.546825544279756</v>
      </c>
      <c r="BN386">
        <f t="shared" si="367"/>
        <v>0</v>
      </c>
      <c r="BO386">
        <f t="shared" si="368"/>
        <v>0</v>
      </c>
    </row>
    <row r="387" spans="13:67" x14ac:dyDescent="0.25">
      <c r="M387" s="66">
        <v>69</v>
      </c>
      <c r="N387" s="36">
        <f t="shared" si="369"/>
        <v>48977.881936844598</v>
      </c>
      <c r="O387" s="91" t="str">
        <f t="shared" si="317"/>
        <v>22,5</v>
      </c>
      <c r="P387" s="67" t="str">
        <f t="shared" si="318"/>
        <v>1+332,356076815347i</v>
      </c>
      <c r="Q387" s="67">
        <f t="shared" si="329"/>
        <v>332.35758122252736</v>
      </c>
      <c r="R387" s="67">
        <f t="shared" si="330"/>
        <v>1.5677875147041711</v>
      </c>
      <c r="S387" s="67" t="str">
        <f t="shared" si="319"/>
        <v>1+9,23211324487075i</v>
      </c>
      <c r="T387" s="67">
        <f t="shared" si="331"/>
        <v>9.2861140939640574</v>
      </c>
      <c r="U387" s="67">
        <f t="shared" si="332"/>
        <v>1.4628994262615462</v>
      </c>
      <c r="V387" t="str">
        <f t="shared" si="320"/>
        <v>1-1,92335692601474i</v>
      </c>
      <c r="W387" s="67">
        <f t="shared" si="333"/>
        <v>2.1677873200221627</v>
      </c>
      <c r="X387" s="67">
        <f t="shared" si="334"/>
        <v>-1.0913366255751189</v>
      </c>
      <c r="Y387" t="str">
        <f t="shared" si="321"/>
        <v>0,846474693182753+5,3341098748142i</v>
      </c>
      <c r="Z387" s="67">
        <f t="shared" si="335"/>
        <v>5.4008561879380936</v>
      </c>
      <c r="AA387" s="67">
        <f t="shared" si="336"/>
        <v>1.4134177488554436</v>
      </c>
      <c r="AB387" s="92" t="str">
        <f t="shared" si="337"/>
        <v>-0,217460979980421-0,127984420241664i</v>
      </c>
      <c r="AC387" s="37">
        <f t="shared" si="338"/>
        <v>-11.960699955537779</v>
      </c>
      <c r="AD387" s="60">
        <f t="shared" si="339"/>
        <v>-149.5214991607593</v>
      </c>
      <c r="AE387" t="str">
        <f t="shared" si="340"/>
        <v>34,4450883806789</v>
      </c>
      <c r="AF387" t="str">
        <f t="shared" si="322"/>
        <v>1+166,178038407673i</v>
      </c>
      <c r="AG387">
        <f t="shared" si="341"/>
        <v>166.18104720160491</v>
      </c>
      <c r="AH387">
        <f t="shared" si="342"/>
        <v>1.5647787570897114</v>
      </c>
      <c r="AI387" t="str">
        <f t="shared" si="323"/>
        <v>1+9,23211324487075i</v>
      </c>
      <c r="AJ387">
        <f t="shared" si="343"/>
        <v>9.2861140939640574</v>
      </c>
      <c r="AK387">
        <f t="shared" si="344"/>
        <v>1.4628994262615462</v>
      </c>
      <c r="AL387" t="str">
        <f t="shared" si="324"/>
        <v>1-0,628165741597877i</v>
      </c>
      <c r="AM387">
        <f t="shared" si="345"/>
        <v>1.1809285325188865</v>
      </c>
      <c r="AN387">
        <f t="shared" si="346"/>
        <v>-0.56087256537024321</v>
      </c>
      <c r="AO387" s="58" t="str">
        <f t="shared" si="347"/>
        <v>1,79182699893102-1,39856367530805i</v>
      </c>
      <c r="AP387">
        <f t="shared" si="348"/>
        <v>7.1320688625514634</v>
      </c>
      <c r="AQ387" s="60">
        <f t="shared" si="349"/>
        <v>-37.972886516461216</v>
      </c>
      <c r="AR387" t="str">
        <f t="shared" si="325"/>
        <v>-1,36472945891784</v>
      </c>
      <c r="AS387" t="str">
        <f t="shared" si="326"/>
        <v>1+6,91577603173268i</v>
      </c>
      <c r="AT387">
        <f t="shared" si="350"/>
        <v>6.9877004887937355</v>
      </c>
      <c r="AU387">
        <f t="shared" si="351"/>
        <v>1.4271946951832815</v>
      </c>
      <c r="AV387" t="str">
        <f t="shared" si="327"/>
        <v>1+6,91577603173268i</v>
      </c>
      <c r="AW387">
        <f t="shared" si="352"/>
        <v>6.9877004887937355</v>
      </c>
      <c r="AX387">
        <f t="shared" si="353"/>
        <v>1.4271946951832815</v>
      </c>
      <c r="AY387" t="str">
        <f t="shared" si="328"/>
        <v>1-0,00216895398740117i</v>
      </c>
      <c r="AZ387">
        <f t="shared" si="354"/>
        <v>1.0000023521779333</v>
      </c>
      <c r="BA387">
        <f t="shared" si="355"/>
        <v>-2.1689505862296315E-3</v>
      </c>
      <c r="BB387" s="58" t="str">
        <f t="shared" si="356"/>
        <v>-0,0275305085193293+0,193354866361033i</v>
      </c>
      <c r="BC387">
        <f t="shared" si="357"/>
        <v>-14.185733877618743</v>
      </c>
      <c r="BD387" s="60">
        <f t="shared" si="358"/>
        <v>98.103495707974616</v>
      </c>
      <c r="BE387" s="58" t="str">
        <f t="shared" si="359"/>
        <v>0,0307332218340939-0,038523662551049i</v>
      </c>
      <c r="BF387" s="37">
        <f t="shared" si="360"/>
        <v>-26.146433833156525</v>
      </c>
      <c r="BG387" s="60">
        <f t="shared" si="361"/>
        <v>-51.418003452784696</v>
      </c>
      <c r="BH387" s="58" t="str">
        <f t="shared" si="362"/>
        <v>0,221089184077348+0,384961639098291i</v>
      </c>
      <c r="BI387" s="37">
        <f t="shared" si="363"/>
        <v>-7.0536650150672813</v>
      </c>
      <c r="BJ387" s="60">
        <f t="shared" si="364"/>
        <v>60.13060919151345</v>
      </c>
      <c r="BK387">
        <f t="shared" si="365"/>
        <v>-26.146433833156525</v>
      </c>
      <c r="BL387" s="60">
        <f t="shared" si="366"/>
        <v>-51.418003452784696</v>
      </c>
      <c r="BN387">
        <f t="shared" si="367"/>
        <v>0</v>
      </c>
      <c r="BO387">
        <f t="shared" si="368"/>
        <v>0</v>
      </c>
    </row>
    <row r="388" spans="13:67" x14ac:dyDescent="0.25">
      <c r="M388" s="66">
        <v>70</v>
      </c>
      <c r="N388" s="36">
        <f t="shared" si="369"/>
        <v>50118.723362727294</v>
      </c>
      <c r="O388" s="91" t="str">
        <f t="shared" si="317"/>
        <v>22,5</v>
      </c>
      <c r="P388" s="67" t="str">
        <f t="shared" si="318"/>
        <v>1+340,097644347069i</v>
      </c>
      <c r="Q388" s="67">
        <f t="shared" si="329"/>
        <v>340.09911450991086</v>
      </c>
      <c r="R388" s="67">
        <f t="shared" si="330"/>
        <v>1.5678560032296336</v>
      </c>
      <c r="S388" s="67" t="str">
        <f t="shared" si="319"/>
        <v>1+9,44715678741859i</v>
      </c>
      <c r="T388" s="67">
        <f t="shared" si="331"/>
        <v>9.4999353348361879</v>
      </c>
      <c r="U388" s="67">
        <f t="shared" si="332"/>
        <v>1.4653370808762478</v>
      </c>
      <c r="V388" t="str">
        <f t="shared" si="320"/>
        <v>1-1,96815766404554i</v>
      </c>
      <c r="W388" s="67">
        <f t="shared" si="333"/>
        <v>2.2076332554437559</v>
      </c>
      <c r="X388" s="67">
        <f t="shared" si="334"/>
        <v>-1.1006981788415562</v>
      </c>
      <c r="Y388" t="str">
        <f t="shared" si="321"/>
        <v>0,839239268383387+5,45835725495296i</v>
      </c>
      <c r="Z388" s="67">
        <f t="shared" si="335"/>
        <v>5.5224982093518413</v>
      </c>
      <c r="AA388" s="67">
        <f t="shared" si="336"/>
        <v>1.4182379163854282</v>
      </c>
      <c r="AB388" s="92" t="str">
        <f t="shared" si="337"/>
        <v>-0,218013819706428-0,124866238283239i</v>
      </c>
      <c r="AC388" s="37">
        <f t="shared" si="338"/>
        <v>-11.998219802487498</v>
      </c>
      <c r="AD388" s="60">
        <f t="shared" si="339"/>
        <v>-150.19830869074821</v>
      </c>
      <c r="AE388" t="str">
        <f t="shared" si="340"/>
        <v>34,4450883806789</v>
      </c>
      <c r="AF388" t="str">
        <f t="shared" si="322"/>
        <v>1+170,048822173535i</v>
      </c>
      <c r="AG388">
        <f t="shared" si="341"/>
        <v>170.05176248015349</v>
      </c>
      <c r="AH388">
        <f t="shared" si="342"/>
        <v>1.5649157305046419</v>
      </c>
      <c r="AI388" t="str">
        <f t="shared" si="323"/>
        <v>1+9,44715678741859i</v>
      </c>
      <c r="AJ388">
        <f t="shared" si="343"/>
        <v>9.4999353348361879</v>
      </c>
      <c r="AK388">
        <f t="shared" si="344"/>
        <v>1.4653370808762478</v>
      </c>
      <c r="AL388" t="str">
        <f t="shared" si="324"/>
        <v>1-0,642797601367952i</v>
      </c>
      <c r="AM388">
        <f t="shared" si="345"/>
        <v>1.1887761590494623</v>
      </c>
      <c r="AN388">
        <f t="shared" si="346"/>
        <v>-0.57129534825256112</v>
      </c>
      <c r="AO388" s="58" t="str">
        <f t="shared" si="347"/>
        <v>1,7917737821808-1,42209096250884i</v>
      </c>
      <c r="AP388">
        <f t="shared" si="348"/>
        <v>7.1873380349442817</v>
      </c>
      <c r="AQ388" s="60">
        <f t="shared" si="349"/>
        <v>-38.438248663647272</v>
      </c>
      <c r="AR388" t="str">
        <f t="shared" si="325"/>
        <v>-1,36472945891784</v>
      </c>
      <c r="AS388" t="str">
        <f t="shared" si="326"/>
        <v>1+7,07686514945527i</v>
      </c>
      <c r="AT388">
        <f t="shared" si="350"/>
        <v>7.1471686942155328</v>
      </c>
      <c r="AU388">
        <f t="shared" si="351"/>
        <v>1.4304202070307226</v>
      </c>
      <c r="AV388" t="str">
        <f t="shared" si="327"/>
        <v>1+7,07686514945527i</v>
      </c>
      <c r="AW388">
        <f t="shared" si="352"/>
        <v>7.1471686942155328</v>
      </c>
      <c r="AX388">
        <f t="shared" si="353"/>
        <v>1.4304202070307226</v>
      </c>
      <c r="AY388" t="str">
        <f t="shared" si="328"/>
        <v>1-0,00211958256702894i</v>
      </c>
      <c r="AZ388">
        <f t="shared" si="354"/>
        <v>1.0000022463126064</v>
      </c>
      <c r="BA388">
        <f t="shared" si="355"/>
        <v>-2.1195793928705706E-3</v>
      </c>
      <c r="BB388" s="58" t="str">
        <f t="shared" si="356"/>
        <v>-0,0263156881421814+0,18912523306717i</v>
      </c>
      <c r="BC388">
        <f t="shared" si="357"/>
        <v>-14.381729820011719</v>
      </c>
      <c r="BD388" s="60">
        <f t="shared" si="358"/>
        <v>97.921516253355762</v>
      </c>
      <c r="BE388" s="58" t="str">
        <f t="shared" si="359"/>
        <v>0,0293525401076185-0,0379459734776931i</v>
      </c>
      <c r="BF388" s="37">
        <f t="shared" si="360"/>
        <v>-26.379949622499225</v>
      </c>
      <c r="BG388" s="60">
        <f t="shared" si="361"/>
        <v>-52.276792437392388</v>
      </c>
      <c r="BH388" s="58" t="str">
        <f t="shared" si="362"/>
        <v>0,221801524653994+0,376292936437786i</v>
      </c>
      <c r="BI388" s="37">
        <f t="shared" si="363"/>
        <v>-7.1943917850674275</v>
      </c>
      <c r="BJ388" s="60">
        <f t="shared" si="364"/>
        <v>59.483267589708468</v>
      </c>
      <c r="BK388">
        <f t="shared" si="365"/>
        <v>-26.379949622499225</v>
      </c>
      <c r="BL388" s="60">
        <f t="shared" si="366"/>
        <v>-52.276792437392388</v>
      </c>
      <c r="BN388">
        <f t="shared" si="367"/>
        <v>0</v>
      </c>
      <c r="BO388">
        <f t="shared" si="368"/>
        <v>0</v>
      </c>
    </row>
    <row r="389" spans="13:67" x14ac:dyDescent="0.25">
      <c r="M389" s="66">
        <v>71</v>
      </c>
      <c r="N389" s="36">
        <f t="shared" si="369"/>
        <v>51286.138399136544</v>
      </c>
      <c r="O389" s="91" t="str">
        <f t="shared" si="317"/>
        <v>22,5</v>
      </c>
      <c r="P389" s="67" t="str">
        <f t="shared" si="318"/>
        <v>1+348,019536151549i</v>
      </c>
      <c r="Q389" s="67">
        <f t="shared" si="329"/>
        <v>348.02097284953868</v>
      </c>
      <c r="R389" s="67">
        <f t="shared" si="330"/>
        <v>1.5679229327925783</v>
      </c>
      <c r="S389" s="67" t="str">
        <f t="shared" si="319"/>
        <v>1+9,66720933754303i</v>
      </c>
      <c r="T389" s="67">
        <f t="shared" si="331"/>
        <v>9.7187929485033866</v>
      </c>
      <c r="U389" s="67">
        <f t="shared" si="332"/>
        <v>1.4677204638799888</v>
      </c>
      <c r="V389" t="str">
        <f t="shared" si="320"/>
        <v>1-2,01400194532146i</v>
      </c>
      <c r="W389" s="67">
        <f t="shared" si="333"/>
        <v>2.2486004170947371</v>
      </c>
      <c r="X389" s="67">
        <f t="shared" si="334"/>
        <v>-1.1099335026571939</v>
      </c>
      <c r="Y389" t="str">
        <f t="shared" si="321"/>
        <v>0,831662848518695+5,58549872835819i</v>
      </c>
      <c r="Z389" s="67">
        <f t="shared" si="335"/>
        <v>5.6470752729264362</v>
      </c>
      <c r="AA389" s="67">
        <f t="shared" si="336"/>
        <v>1.4229854843617917</v>
      </c>
      <c r="AB389" s="92" t="str">
        <f t="shared" si="337"/>
        <v>-0,218542540028243-0,121805404056517i</v>
      </c>
      <c r="AC389" s="37">
        <f t="shared" si="338"/>
        <v>-12.034437170304839</v>
      </c>
      <c r="AD389" s="60">
        <f t="shared" si="339"/>
        <v>-150.86674637022179</v>
      </c>
      <c r="AE389" t="str">
        <f t="shared" si="340"/>
        <v>34,4450883806789</v>
      </c>
      <c r="AF389" t="str">
        <f t="shared" si="322"/>
        <v>1+174,009768075775i</v>
      </c>
      <c r="AG389">
        <f t="shared" si="341"/>
        <v>174.01264145396166</v>
      </c>
      <c r="AH389">
        <f t="shared" si="342"/>
        <v>1.5650495862372173</v>
      </c>
      <c r="AI389" t="str">
        <f t="shared" si="323"/>
        <v>1+9,66720933754303i</v>
      </c>
      <c r="AJ389">
        <f t="shared" si="343"/>
        <v>9.7187929485033866</v>
      </c>
      <c r="AK389">
        <f t="shared" si="344"/>
        <v>1.4677204638799888</v>
      </c>
      <c r="AL389" t="str">
        <f t="shared" si="324"/>
        <v>1-0,657770280934705i</v>
      </c>
      <c r="AM389">
        <f t="shared" si="345"/>
        <v>1.1969384873421527</v>
      </c>
      <c r="AN389">
        <f t="shared" si="346"/>
        <v>-0.58181825269754361</v>
      </c>
      <c r="AO389" s="58" t="str">
        <f t="shared" si="347"/>
        <v>1,79172296041698-1,4463722329849i</v>
      </c>
      <c r="AP389">
        <f t="shared" si="348"/>
        <v>7.2446133136373163</v>
      </c>
      <c r="AQ389" s="60">
        <f t="shared" si="349"/>
        <v>-38.912278258026774</v>
      </c>
      <c r="AR389" t="str">
        <f t="shared" si="325"/>
        <v>-1,36472945891784</v>
      </c>
      <c r="AS389" t="str">
        <f t="shared" si="326"/>
        <v>1+7,24170651475348i</v>
      </c>
      <c r="AT389">
        <f t="shared" si="350"/>
        <v>7.3104249702615096</v>
      </c>
      <c r="AU389">
        <f t="shared" si="351"/>
        <v>1.4335751409434612</v>
      </c>
      <c r="AV389" t="str">
        <f t="shared" si="327"/>
        <v>1+7,24170651475348i</v>
      </c>
      <c r="AW389">
        <f t="shared" si="352"/>
        <v>7.3104249702615096</v>
      </c>
      <c r="AX389">
        <f t="shared" si="353"/>
        <v>1.4335751409434612</v>
      </c>
      <c r="AY389" t="str">
        <f t="shared" si="328"/>
        <v>1-0,00207133497738974i</v>
      </c>
      <c r="AZ389">
        <f t="shared" si="354"/>
        <v>1.0000021452119934</v>
      </c>
      <c r="BA389">
        <f t="shared" si="355"/>
        <v>-2.0713320150924312E-3</v>
      </c>
      <c r="BB389" s="58" t="str">
        <f t="shared" si="356"/>
        <v>-0,0251534493061851+0,184980709572053i</v>
      </c>
      <c r="BC389">
        <f t="shared" si="357"/>
        <v>-14.577902523884932</v>
      </c>
      <c r="BD389" s="60">
        <f t="shared" si="358"/>
        <v>97.743516226632394</v>
      </c>
      <c r="BE389" s="58" t="str">
        <f t="shared" si="359"/>
        <v>0,0280287487739305-0,0373623280699482i</v>
      </c>
      <c r="BF389" s="37">
        <f t="shared" si="360"/>
        <v>-26.612339694189767</v>
      </c>
      <c r="BG389" s="60">
        <f t="shared" si="361"/>
        <v>-53.123230143589367</v>
      </c>
      <c r="BH389" s="58" t="str">
        <f t="shared" si="362"/>
        <v>0,222482949307285+0,367815435214732i</v>
      </c>
      <c r="BI389" s="37">
        <f t="shared" si="363"/>
        <v>-7.3332892102476146</v>
      </c>
      <c r="BJ389" s="60">
        <f t="shared" si="364"/>
        <v>58.831237968605663</v>
      </c>
      <c r="BK389">
        <f t="shared" si="365"/>
        <v>-26.612339694189767</v>
      </c>
      <c r="BL389" s="60">
        <f t="shared" si="366"/>
        <v>-53.123230143589367</v>
      </c>
      <c r="BN389">
        <f t="shared" si="367"/>
        <v>0</v>
      </c>
      <c r="BO389">
        <f t="shared" si="368"/>
        <v>0</v>
      </c>
    </row>
    <row r="390" spans="13:67" x14ac:dyDescent="0.25">
      <c r="M390" s="66">
        <v>72</v>
      </c>
      <c r="N390" s="36">
        <f t="shared" si="369"/>
        <v>52480.746024977314</v>
      </c>
      <c r="O390" s="91" t="str">
        <f t="shared" si="317"/>
        <v>22,5</v>
      </c>
      <c r="P390" s="67" t="str">
        <f t="shared" si="318"/>
        <v>1+356,125952520678i</v>
      </c>
      <c r="Q390" s="67">
        <f t="shared" si="329"/>
        <v>356.1273565155592</v>
      </c>
      <c r="R390" s="67">
        <f t="shared" si="330"/>
        <v>1.5679883388775455</v>
      </c>
      <c r="S390" s="67" t="str">
        <f t="shared" si="319"/>
        <v>1+9,89238757001884i</v>
      </c>
      <c r="T390" s="67">
        <f t="shared" si="331"/>
        <v>9.9428030170301192</v>
      </c>
      <c r="U390" s="67">
        <f t="shared" si="332"/>
        <v>1.4700507306041048</v>
      </c>
      <c r="V390" t="str">
        <f t="shared" si="320"/>
        <v>1-2,06091407708726i</v>
      </c>
      <c r="W390" s="67">
        <f t="shared" si="333"/>
        <v>2.290713171293262</v>
      </c>
      <c r="X390" s="67">
        <f t="shared" si="334"/>
        <v>-1.1190411912460003</v>
      </c>
      <c r="Y390" t="str">
        <f t="shared" si="321"/>
        <v>0,823729362986357+5,71560170712199i</v>
      </c>
      <c r="Z390" s="67">
        <f t="shared" si="335"/>
        <v>5.7746543565742288</v>
      </c>
      <c r="AA390" s="67">
        <f t="shared" si="336"/>
        <v>1.4276624323647098</v>
      </c>
      <c r="AB390" s="92" t="str">
        <f t="shared" si="337"/>
        <v>-0,219048053015378-0,118800852541884i</v>
      </c>
      <c r="AC390" s="37">
        <f t="shared" si="338"/>
        <v>-12.069385280759164</v>
      </c>
      <c r="AD390" s="60">
        <f t="shared" si="339"/>
        <v>-151.52678091324057</v>
      </c>
      <c r="AE390" t="str">
        <f t="shared" si="340"/>
        <v>34,4450883806789</v>
      </c>
      <c r="AF390" t="str">
        <f t="shared" si="322"/>
        <v>1+178,062976260339i</v>
      </c>
      <c r="AG390">
        <f t="shared" si="341"/>
        <v>178.06578423349629</v>
      </c>
      <c r="AH390">
        <f t="shared" si="342"/>
        <v>1.5651803952403207</v>
      </c>
      <c r="AI390" t="str">
        <f t="shared" si="323"/>
        <v>1+9,89238757001884i</v>
      </c>
      <c r="AJ390">
        <f t="shared" si="343"/>
        <v>9.9428030170301192</v>
      </c>
      <c r="AK390">
        <f t="shared" si="344"/>
        <v>1.4700507306041048</v>
      </c>
      <c r="AL390" t="str">
        <f t="shared" si="324"/>
        <v>1-0,673091719011025i</v>
      </c>
      <c r="AM390">
        <f t="shared" si="345"/>
        <v>1.20542625747128</v>
      </c>
      <c r="AN390">
        <f t="shared" si="346"/>
        <v>-0.5924375361581713</v>
      </c>
      <c r="AO390" s="58" t="str">
        <f t="shared" si="347"/>
        <v>1,79167442586164-1,47142036286778i</v>
      </c>
      <c r="AP390">
        <f t="shared" si="348"/>
        <v>7.3039261888724685</v>
      </c>
      <c r="AQ390" s="60">
        <f t="shared" si="349"/>
        <v>-39.394698737142569</v>
      </c>
      <c r="AR390" t="str">
        <f t="shared" si="325"/>
        <v>-1,36472945891784</v>
      </c>
      <c r="AS390" t="str">
        <f t="shared" si="326"/>
        <v>1+7,41038752870111i</v>
      </c>
      <c r="AT390">
        <f t="shared" si="350"/>
        <v>7.477555972744633</v>
      </c>
      <c r="AU390">
        <f t="shared" si="351"/>
        <v>1.4366609183535997</v>
      </c>
      <c r="AV390" t="str">
        <f t="shared" si="327"/>
        <v>1+7,41038752870111i</v>
      </c>
      <c r="AW390">
        <f t="shared" si="352"/>
        <v>7.477555972744633</v>
      </c>
      <c r="AX390">
        <f t="shared" si="353"/>
        <v>1.4366609183535997</v>
      </c>
      <c r="AY390" t="str">
        <f t="shared" si="328"/>
        <v>1-0,00202418563697292i</v>
      </c>
      <c r="AZ390">
        <f t="shared" si="354"/>
        <v>1.0000020486616479</v>
      </c>
      <c r="BA390">
        <f t="shared" si="355"/>
        <v>-2.0241828723958962E-3</v>
      </c>
      <c r="BB390" s="58" t="str">
        <f t="shared" si="356"/>
        <v>-0,0240416046739594+0,180920073214967i</v>
      </c>
      <c r="BC390">
        <f t="shared" si="357"/>
        <v>-14.774244331737149</v>
      </c>
      <c r="BD390" s="60">
        <f t="shared" si="358"/>
        <v>97.569415651398813</v>
      </c>
      <c r="BE390" s="58" t="str">
        <f t="shared" si="359"/>
        <v>0,0267597256350744-0,0367740266573968i</v>
      </c>
      <c r="BF390" s="37">
        <f t="shared" si="360"/>
        <v>-26.843629612496315</v>
      </c>
      <c r="BG390" s="60">
        <f t="shared" si="361"/>
        <v>-53.957365261841701</v>
      </c>
      <c r="BH390" s="58" t="str">
        <f t="shared" si="362"/>
        <v>0,223134751529023+0,359525174977553i</v>
      </c>
      <c r="BI390" s="37">
        <f t="shared" si="363"/>
        <v>-7.4703181428646834</v>
      </c>
      <c r="BJ390" s="60">
        <f t="shared" si="364"/>
        <v>58.174716914256287</v>
      </c>
      <c r="BK390">
        <f t="shared" si="365"/>
        <v>-26.843629612496315</v>
      </c>
      <c r="BL390" s="60">
        <f t="shared" si="366"/>
        <v>-53.957365261841701</v>
      </c>
      <c r="BN390">
        <f t="shared" si="367"/>
        <v>0</v>
      </c>
      <c r="BO390">
        <f t="shared" si="368"/>
        <v>0</v>
      </c>
    </row>
    <row r="391" spans="13:67" x14ac:dyDescent="0.25">
      <c r="M391" s="66">
        <v>73</v>
      </c>
      <c r="N391" s="36">
        <f t="shared" si="369"/>
        <v>53703.179637025423</v>
      </c>
      <c r="O391" s="91" t="str">
        <f t="shared" si="317"/>
        <v>22,5</v>
      </c>
      <c r="P391" s="67" t="str">
        <f t="shared" si="318"/>
        <v>1+364,421191583719i</v>
      </c>
      <c r="Q391" s="67">
        <f t="shared" si="329"/>
        <v>364.42256361989666</v>
      </c>
      <c r="R391" s="67">
        <f t="shared" si="330"/>
        <v>1.5680522561614674</v>
      </c>
      <c r="S391" s="67" t="str">
        <f t="shared" si="319"/>
        <v>1+10,1228108773255i</v>
      </c>
      <c r="T391" s="67">
        <f t="shared" si="331"/>
        <v>10.172084351699974</v>
      </c>
      <c r="U391" s="67">
        <f t="shared" si="332"/>
        <v>1.4723290153020001</v>
      </c>
      <c r="V391" t="str">
        <f t="shared" si="320"/>
        <v>1-2,10891893277615i</v>
      </c>
      <c r="W391" s="67">
        <f t="shared" si="333"/>
        <v>2.3339963721097972</v>
      </c>
      <c r="X391" s="67">
        <f t="shared" si="334"/>
        <v>-1.1280200287991291</v>
      </c>
      <c r="Y391" t="str">
        <f t="shared" si="321"/>
        <v>0,815421983799897+5,84873517356586i</v>
      </c>
      <c r="Z391" s="67">
        <f t="shared" si="335"/>
        <v>5.9053040685616383</v>
      </c>
      <c r="AA391" s="67">
        <f t="shared" si="336"/>
        <v>1.4322707358820657</v>
      </c>
      <c r="AB391" s="92" t="str">
        <f t="shared" si="337"/>
        <v>-0,219531238848464-0,115851515393067i</v>
      </c>
      <c r="AC391" s="37">
        <f t="shared" si="338"/>
        <v>-12.103097519301109</v>
      </c>
      <c r="AD391" s="60">
        <f t="shared" si="339"/>
        <v>-152.17839284511655</v>
      </c>
      <c r="AE391" t="str">
        <f t="shared" si="340"/>
        <v>34,4450883806789</v>
      </c>
      <c r="AF391" t="str">
        <f t="shared" si="322"/>
        <v>1+182,21059579186i</v>
      </c>
      <c r="AG391">
        <f t="shared" si="341"/>
        <v>182.21333984871853</v>
      </c>
      <c r="AH391">
        <f t="shared" si="342"/>
        <v>1.5653082268527003</v>
      </c>
      <c r="AI391" t="str">
        <f t="shared" si="323"/>
        <v>1+10,1228108773255i</v>
      </c>
      <c r="AJ391">
        <f t="shared" si="343"/>
        <v>10.172084351699974</v>
      </c>
      <c r="AK391">
        <f t="shared" si="344"/>
        <v>1.4723290153020001</v>
      </c>
      <c r="AL391" t="str">
        <f t="shared" si="324"/>
        <v>1-0,68877003922619i</v>
      </c>
      <c r="AM391">
        <f t="shared" si="345"/>
        <v>1.2142504547809103</v>
      </c>
      <c r="AN391">
        <f t="shared" si="346"/>
        <v>-0.60314924879533849</v>
      </c>
      <c r="AO391" s="58" t="str">
        <f t="shared" si="347"/>
        <v>1,79162807558643-1,49724863476251i</v>
      </c>
      <c r="AP391">
        <f t="shared" si="348"/>
        <v>7.3653072518695364</v>
      </c>
      <c r="AQ391" s="60">
        <f t="shared" si="349"/>
        <v>-39.88522277676811</v>
      </c>
      <c r="AR391" t="str">
        <f t="shared" si="325"/>
        <v>-1,36472945891784</v>
      </c>
      <c r="AS391" t="str">
        <f t="shared" si="326"/>
        <v>1+7,58299762820456i</v>
      </c>
      <c r="AT391">
        <f t="shared" si="350"/>
        <v>7.6486504057484535</v>
      </c>
      <c r="AU391">
        <f t="shared" si="351"/>
        <v>1.4396789401945957</v>
      </c>
      <c r="AV391" t="str">
        <f t="shared" si="327"/>
        <v>1+7,58299762820456i</v>
      </c>
      <c r="AW391">
        <f t="shared" si="352"/>
        <v>7.6486504057484535</v>
      </c>
      <c r="AX391">
        <f t="shared" si="353"/>
        <v>1.4396789401945957</v>
      </c>
      <c r="AY391" t="str">
        <f t="shared" si="328"/>
        <v>1-0,00197810954657408i</v>
      </c>
      <c r="AZ391">
        <f t="shared" si="354"/>
        <v>1.0000019564567753</v>
      </c>
      <c r="BA391">
        <f t="shared" si="355"/>
        <v>-1.978106966520397E-3</v>
      </c>
      <c r="BB391" s="58" t="str">
        <f t="shared" si="356"/>
        <v>-0,0229780502227772+0,176942084711261i</v>
      </c>
      <c r="BC391">
        <f t="shared" si="357"/>
        <v>-14.970747905188626</v>
      </c>
      <c r="BD391" s="60">
        <f t="shared" si="358"/>
        <v>97.399135692375367</v>
      </c>
      <c r="BE391" s="58" t="str">
        <f t="shared" si="359"/>
        <v>0,0255434084823365-0,0361822731220063i</v>
      </c>
      <c r="BF391" s="37">
        <f t="shared" si="360"/>
        <v>-27.073845424489733</v>
      </c>
      <c r="BG391" s="60">
        <f t="shared" si="361"/>
        <v>-54.779257152741231</v>
      </c>
      <c r="BH391" s="58" t="str">
        <f t="shared" si="362"/>
        <v>0,223758174864605+0,351418261047045i</v>
      </c>
      <c r="BI391" s="37">
        <f t="shared" si="363"/>
        <v>-7.6054406533190981</v>
      </c>
      <c r="BJ391" s="60">
        <f t="shared" si="364"/>
        <v>57.513912915607278</v>
      </c>
      <c r="BK391">
        <f t="shared" si="365"/>
        <v>-27.073845424489733</v>
      </c>
      <c r="BL391" s="60">
        <f t="shared" si="366"/>
        <v>-54.779257152741231</v>
      </c>
      <c r="BN391">
        <f t="shared" si="367"/>
        <v>0</v>
      </c>
      <c r="BO391">
        <f t="shared" si="368"/>
        <v>0</v>
      </c>
    </row>
    <row r="392" spans="13:67" x14ac:dyDescent="0.25">
      <c r="M392" s="66">
        <v>74</v>
      </c>
      <c r="N392" s="36">
        <f t="shared" si="369"/>
        <v>54954.087385762505</v>
      </c>
      <c r="O392" s="91" t="str">
        <f t="shared" si="317"/>
        <v>22,5</v>
      </c>
      <c r="P392" s="67" t="str">
        <f t="shared" si="318"/>
        <v>1+372,909651586221i</v>
      </c>
      <c r="Q392" s="67">
        <f t="shared" si="329"/>
        <v>372.9109923911559</v>
      </c>
      <c r="R392" s="67">
        <f t="shared" si="330"/>
        <v>1.5681147185320436</v>
      </c>
      <c r="S392" s="67" t="str">
        <f t="shared" si="319"/>
        <v>1+10,3586014329506i</v>
      </c>
      <c r="T392" s="67">
        <f t="shared" si="331"/>
        <v>10.406758556184833</v>
      </c>
      <c r="U392" s="67">
        <f t="shared" si="332"/>
        <v>1.474556431293512</v>
      </c>
      <c r="V392" t="str">
        <f t="shared" si="320"/>
        <v>1-2,15804196519804i</v>
      </c>
      <c r="W392" s="67">
        <f t="shared" si="333"/>
        <v>2.3784753779587078</v>
      </c>
      <c r="X392" s="67">
        <f t="shared" si="334"/>
        <v>-1.1368689840667487</v>
      </c>
      <c r="Y392" t="str">
        <f t="shared" si="321"/>
        <v>0,80672308989427+5,98496971681589i</v>
      </c>
      <c r="Z392" s="67">
        <f t="shared" si="335"/>
        <v>6.0390946883594916</v>
      </c>
      <c r="AA392" s="67">
        <f t="shared" si="336"/>
        <v>1.4368123653302232</v>
      </c>
      <c r="AB392" s="92" t="str">
        <f t="shared" si="337"/>
        <v>-0,219992946298992-0,112956322214412i</v>
      </c>
      <c r="AC392" s="37">
        <f t="shared" si="338"/>
        <v>-12.135607352133412</v>
      </c>
      <c r="AD392" s="60">
        <f t="shared" si="339"/>
        <v>-152.82157412922146</v>
      </c>
      <c r="AE392" t="str">
        <f t="shared" si="340"/>
        <v>34,4450883806789</v>
      </c>
      <c r="AF392" t="str">
        <f t="shared" si="322"/>
        <v>1+186,454825793111i</v>
      </c>
      <c r="AG392">
        <f t="shared" si="341"/>
        <v>186.45750738851834</v>
      </c>
      <c r="AH392">
        <f t="shared" si="342"/>
        <v>1.5654331488356488</v>
      </c>
      <c r="AI392" t="str">
        <f t="shared" si="323"/>
        <v>1+10,3586014329506i</v>
      </c>
      <c r="AJ392">
        <f t="shared" si="343"/>
        <v>10.406758556184833</v>
      </c>
      <c r="AK392">
        <f t="shared" si="344"/>
        <v>1.474556431293512</v>
      </c>
      <c r="AL392" t="str">
        <f t="shared" si="324"/>
        <v>1-0,704813554433099i</v>
      </c>
      <c r="AM392">
        <f t="shared" si="345"/>
        <v>1.2234223091445648</v>
      </c>
      <c r="AN392">
        <f t="shared" si="346"/>
        <v>-0.6139492375317962</v>
      </c>
      <c r="AO392" s="58" t="str">
        <f t="shared" si="347"/>
        <v>1,79158381129443-1,52387074479868i</v>
      </c>
      <c r="AP392">
        <f t="shared" si="348"/>
        <v>7.4287860723609995</v>
      </c>
      <c r="AQ392" s="60">
        <f t="shared" si="349"/>
        <v>-40.383552517013719</v>
      </c>
      <c r="AR392" t="str">
        <f t="shared" si="325"/>
        <v>-1,36472945891784</v>
      </c>
      <c r="AS392" t="str">
        <f t="shared" si="326"/>
        <v>1+7,75962833342329i</v>
      </c>
      <c r="AT392">
        <f t="shared" si="350"/>
        <v>7.8237990690498629</v>
      </c>
      <c r="AU392">
        <f t="shared" si="351"/>
        <v>1.4426305866291094</v>
      </c>
      <c r="AV392" t="str">
        <f t="shared" si="327"/>
        <v>1+7,75962833342329i</v>
      </c>
      <c r="AW392">
        <f t="shared" si="352"/>
        <v>7.8237990690498629</v>
      </c>
      <c r="AX392">
        <f t="shared" si="353"/>
        <v>1.4426305866291094</v>
      </c>
      <c r="AY392" t="str">
        <f t="shared" si="328"/>
        <v>1-0,00193308227604021i</v>
      </c>
      <c r="AZ392">
        <f t="shared" si="354"/>
        <v>1.0000018684017975</v>
      </c>
      <c r="BA392">
        <f t="shared" si="355"/>
        <v>-1.9330798681937596E-3</v>
      </c>
      <c r="BB392" s="58" t="str">
        <f t="shared" si="356"/>
        <v>-0,0219607627464253+0,173045491159372i</v>
      </c>
      <c r="BC392">
        <f t="shared" si="357"/>
        <v>-15.167406212774914</v>
      </c>
      <c r="BD392" s="60">
        <f t="shared" si="358"/>
        <v>97.232598671760755</v>
      </c>
      <c r="BE392" s="58" t="str">
        <f t="shared" si="359"/>
        <v>0,0243777951567085-0,0355881804510469i</v>
      </c>
      <c r="BF392" s="37">
        <f t="shared" si="360"/>
        <v>-27.303013564908333</v>
      </c>
      <c r="BG392" s="60">
        <f t="shared" si="361"/>
        <v>-55.58897545746062</v>
      </c>
      <c r="BH392" s="58" t="str">
        <f t="shared" si="362"/>
        <v>0,224354414476912+0,343490864461367i</v>
      </c>
      <c r="BI392" s="37">
        <f t="shared" si="363"/>
        <v>-7.7386201404139072</v>
      </c>
      <c r="BJ392" s="60">
        <f t="shared" si="364"/>
        <v>56.849046154747107</v>
      </c>
      <c r="BK392">
        <f t="shared" si="365"/>
        <v>-27.303013564908333</v>
      </c>
      <c r="BL392" s="60">
        <f t="shared" si="366"/>
        <v>-55.58897545746062</v>
      </c>
      <c r="BN392">
        <f t="shared" si="367"/>
        <v>0</v>
      </c>
      <c r="BO392">
        <f t="shared" si="368"/>
        <v>0</v>
      </c>
    </row>
    <row r="393" spans="13:67" x14ac:dyDescent="0.25">
      <c r="M393" s="66">
        <v>75</v>
      </c>
      <c r="N393" s="36">
        <f t="shared" si="369"/>
        <v>56234.132519034953</v>
      </c>
      <c r="O393" s="91" t="str">
        <f t="shared" si="317"/>
        <v>22,5</v>
      </c>
      <c r="P393" s="67" t="str">
        <f t="shared" si="318"/>
        <v>1+381,595833222037i</v>
      </c>
      <c r="Q393" s="67">
        <f t="shared" si="329"/>
        <v>381.59714350663148</v>
      </c>
      <c r="R393" s="67">
        <f t="shared" si="330"/>
        <v>1.5681757591056995</v>
      </c>
      <c r="S393" s="67" t="str">
        <f t="shared" si="319"/>
        <v>1+10,5998842561677i</v>
      </c>
      <c r="T393" s="67">
        <f t="shared" si="331"/>
        <v>10.646950091183477</v>
      </c>
      <c r="U393" s="67">
        <f t="shared" si="332"/>
        <v>1.4767340711269932</v>
      </c>
      <c r="V393" t="str">
        <f t="shared" si="320"/>
        <v>1-2,20830922003494i</v>
      </c>
      <c r="W393" s="67">
        <f t="shared" si="333"/>
        <v>2.4241760685419127</v>
      </c>
      <c r="X393" s="67">
        <f t="shared" si="334"/>
        <v>-1.1455872045994058</v>
      </c>
      <c r="Y393" t="str">
        <f t="shared" si="321"/>
        <v>0,797614229749223+6,12437757023023i</v>
      </c>
      <c r="Z393" s="67">
        <f t="shared" si="335"/>
        <v>6.1760982085972032</v>
      </c>
      <c r="AA393" s="67">
        <f t="shared" si="336"/>
        <v>1.44128928518263</v>
      </c>
      <c r="AB393" s="92" t="str">
        <f t="shared" si="337"/>
        <v>-0,220433993248179-0,110114201753578i</v>
      </c>
      <c r="AC393" s="37">
        <f t="shared" si="338"/>
        <v>-12.166948248225948</v>
      </c>
      <c r="AD393" s="60">
        <f t="shared" si="339"/>
        <v>-153.45632777885984</v>
      </c>
      <c r="AE393" t="str">
        <f t="shared" si="340"/>
        <v>34,4450883806789</v>
      </c>
      <c r="AF393" t="str">
        <f t="shared" si="322"/>
        <v>1+190,797916611019i</v>
      </c>
      <c r="AG393">
        <f t="shared" si="341"/>
        <v>190.80053716671068</v>
      </c>
      <c r="AH393">
        <f t="shared" si="342"/>
        <v>1.56555522740885</v>
      </c>
      <c r="AI393" t="str">
        <f t="shared" si="323"/>
        <v>1+10,5998842561677i</v>
      </c>
      <c r="AJ393">
        <f t="shared" si="343"/>
        <v>10.646950091183477</v>
      </c>
      <c r="AK393">
        <f t="shared" si="344"/>
        <v>1.4767340711269932</v>
      </c>
      <c r="AL393" t="str">
        <f t="shared" si="324"/>
        <v>1-0,721230771115879i</v>
      </c>
      <c r="AM393">
        <f t="shared" si="345"/>
        <v>1.2329532940076868</v>
      </c>
      <c r="AN393">
        <f t="shared" si="346"/>
        <v>-0.62483315108923476</v>
      </c>
      <c r="AO393" s="58" t="str">
        <f t="shared" si="347"/>
        <v>1,79154153911171-1,55130080989999i</v>
      </c>
      <c r="AP393">
        <f t="shared" si="348"/>
        <v>7.4943910772084186</v>
      </c>
      <c r="AQ393" s="60">
        <f t="shared" si="349"/>
        <v>-40.889379843695458</v>
      </c>
      <c r="AR393" t="str">
        <f t="shared" si="325"/>
        <v>-1,36472945891784</v>
      </c>
      <c r="AS393" t="str">
        <f t="shared" si="326"/>
        <v>1+7,94037329629523i</v>
      </c>
      <c r="AT393">
        <f t="shared" si="350"/>
        <v>8.0030949066294585</v>
      </c>
      <c r="AU393">
        <f t="shared" si="351"/>
        <v>1.4455172168268651</v>
      </c>
      <c r="AV393" t="str">
        <f t="shared" si="327"/>
        <v>1+7,94037329629523i</v>
      </c>
      <c r="AW393">
        <f t="shared" si="352"/>
        <v>8.0030949066294585</v>
      </c>
      <c r="AX393">
        <f t="shared" si="353"/>
        <v>1.4455172168268651</v>
      </c>
      <c r="AY393" t="str">
        <f t="shared" si="328"/>
        <v>1-0,00188907995131647i</v>
      </c>
      <c r="AZ393">
        <f t="shared" si="354"/>
        <v>1.0000017843099394</v>
      </c>
      <c r="BA393">
        <f t="shared" si="355"/>
        <v>-1.8890777041831877E-3</v>
      </c>
      <c r="BB393" s="58" t="str">
        <f t="shared" si="356"/>
        <v>-0,0209877973692518+0,169229028838675i</v>
      </c>
      <c r="BC393">
        <f t="shared" si="357"/>
        <v>-15.364212518111904</v>
      </c>
      <c r="BD393" s="60">
        <f t="shared" si="358"/>
        <v>97.069728082701559</v>
      </c>
      <c r="BE393" s="58" t="str">
        <f t="shared" si="359"/>
        <v>0,0232609434076917-0,0349927760465394i</v>
      </c>
      <c r="BF393" s="37">
        <f t="shared" si="360"/>
        <v>-27.531160766337848</v>
      </c>
      <c r="BG393" s="60">
        <f t="shared" si="361"/>
        <v>-56.386599696158349</v>
      </c>
      <c r="BH393" s="58" t="str">
        <f t="shared" si="362"/>
        <v>0,224924618694551+0,335739221844957i</v>
      </c>
      <c r="BI393" s="37">
        <f t="shared" si="363"/>
        <v>-7.8698214409034861</v>
      </c>
      <c r="BJ393" s="60">
        <f t="shared" si="364"/>
        <v>56.180348239006143</v>
      </c>
      <c r="BK393">
        <f t="shared" si="365"/>
        <v>-27.531160766337848</v>
      </c>
      <c r="BL393" s="60">
        <f t="shared" si="366"/>
        <v>-56.386599696158349</v>
      </c>
      <c r="BN393">
        <f t="shared" si="367"/>
        <v>0</v>
      </c>
      <c r="BO393">
        <f t="shared" si="368"/>
        <v>0</v>
      </c>
    </row>
    <row r="394" spans="13:67" x14ac:dyDescent="0.25">
      <c r="M394" s="66">
        <v>76</v>
      </c>
      <c r="N394" s="36">
        <f t="shared" si="369"/>
        <v>57543.993733715732</v>
      </c>
      <c r="O394" s="91" t="str">
        <f t="shared" si="317"/>
        <v>22,5</v>
      </c>
      <c r="P394" s="67" t="str">
        <f t="shared" si="318"/>
        <v>1+390,484342019646i</v>
      </c>
      <c r="Q394" s="67">
        <f t="shared" si="329"/>
        <v>390.48562247862066</v>
      </c>
      <c r="R394" s="67">
        <f t="shared" si="330"/>
        <v>1.5682354102451341</v>
      </c>
      <c r="S394" s="67" t="str">
        <f t="shared" si="319"/>
        <v>1+10,8467872783235i</v>
      </c>
      <c r="T394" s="67">
        <f t="shared" si="331"/>
        <v>10.892786340565049</v>
      </c>
      <c r="U394" s="67">
        <f t="shared" si="332"/>
        <v>1.4788630067574555</v>
      </c>
      <c r="V394" t="str">
        <f t="shared" si="320"/>
        <v>1-2,25974734965073i</v>
      </c>
      <c r="W394" s="67">
        <f t="shared" si="333"/>
        <v>2.4711248621333359</v>
      </c>
      <c r="X394" s="67">
        <f t="shared" si="334"/>
        <v>-1.1541740106910803</v>
      </c>
      <c r="Y394" t="str">
        <f t="shared" si="321"/>
        <v>0,78807608225114+6,26703264969803i</v>
      </c>
      <c r="Z394" s="67">
        <f t="shared" si="335"/>
        <v>6.3163883781633796</v>
      </c>
      <c r="AA394" s="67">
        <f t="shared" si="336"/>
        <v>1.4457034532005397</v>
      </c>
      <c r="AB394" s="92" t="str">
        <f t="shared" si="337"/>
        <v>-0,220855167238765-0,107324083012393i</v>
      </c>
      <c r="AC394" s="37">
        <f t="shared" si="338"/>
        <v>-12.197153606340752</v>
      </c>
      <c r="AD394" s="60">
        <f t="shared" si="339"/>
        <v>-154.08266745695016</v>
      </c>
      <c r="AE394" t="str">
        <f t="shared" si="340"/>
        <v>34,4450883806789</v>
      </c>
      <c r="AF394" t="str">
        <f t="shared" si="322"/>
        <v>1+195,242171009823i</v>
      </c>
      <c r="AG394">
        <f t="shared" si="341"/>
        <v>195.24473191517609</v>
      </c>
      <c r="AH394">
        <f t="shared" si="342"/>
        <v>1.5656745272854165</v>
      </c>
      <c r="AI394" t="str">
        <f t="shared" si="323"/>
        <v>1+10,8467872783235i</v>
      </c>
      <c r="AJ394">
        <f t="shared" si="343"/>
        <v>10.892786340565049</v>
      </c>
      <c r="AK394">
        <f t="shared" si="344"/>
        <v>1.4788630067574555</v>
      </c>
      <c r="AL394" t="str">
        <f t="shared" si="324"/>
        <v>1-0,738030393900124i</v>
      </c>
      <c r="AM394">
        <f t="shared" si="345"/>
        <v>1.2428551252339801</v>
      </c>
      <c r="AN394">
        <f t="shared" si="346"/>
        <v>-0.6357964460176333</v>
      </c>
      <c r="AO394" s="58" t="str">
        <f t="shared" si="347"/>
        <v>1,79150116938844-1,57955337527663i</v>
      </c>
      <c r="AP394">
        <f t="shared" si="348"/>
        <v>7.5621494308300496</v>
      </c>
      <c r="AQ394" s="60">
        <f t="shared" si="349"/>
        <v>-41.40238672559309</v>
      </c>
      <c r="AR394" t="str">
        <f t="shared" si="325"/>
        <v>-1,36472945891784</v>
      </c>
      <c r="AS394" t="str">
        <f t="shared" si="326"/>
        <v>1+8,12532835019215i</v>
      </c>
      <c r="AT394">
        <f t="shared" si="350"/>
        <v>8.1866330562958716</v>
      </c>
      <c r="AU394">
        <f t="shared" si="351"/>
        <v>1.4483401687890174</v>
      </c>
      <c r="AV394" t="str">
        <f t="shared" si="327"/>
        <v>1+8,12532835019215i</v>
      </c>
      <c r="AW394">
        <f t="shared" si="352"/>
        <v>8.1866330562958716</v>
      </c>
      <c r="AX394">
        <f t="shared" si="353"/>
        <v>1.4483401687890174</v>
      </c>
      <c r="AY394" t="str">
        <f t="shared" si="328"/>
        <v>1-0,00184607924178785i</v>
      </c>
      <c r="AZ394">
        <f t="shared" si="354"/>
        <v>1.0000017040028317</v>
      </c>
      <c r="BA394">
        <f t="shared" si="355"/>
        <v>-1.8460771446408477E-3</v>
      </c>
      <c r="BB394" s="58" t="str">
        <f t="shared" si="356"/>
        <v>-0,0200572850794678+0,16549142580885i</v>
      </c>
      <c r="BC394">
        <f t="shared" si="357"/>
        <v>-15.561160368428943</v>
      </c>
      <c r="BD394" s="60">
        <f t="shared" si="358"/>
        <v>96.910448600080557</v>
      </c>
      <c r="BE394" s="58" t="str">
        <f t="shared" si="359"/>
        <v>0,0221909705719297-0,0343970067947232i</v>
      </c>
      <c r="BF394" s="37">
        <f t="shared" si="360"/>
        <v>-27.758313974769703</v>
      </c>
      <c r="BG394" s="60">
        <f t="shared" si="361"/>
        <v>-57.172218856869669</v>
      </c>
      <c r="BH394" s="58" t="str">
        <f t="shared" si="362"/>
        <v>0,225469890541087+0,328159635206474i</v>
      </c>
      <c r="BI394" s="37">
        <f t="shared" si="363"/>
        <v>-7.9990109375988983</v>
      </c>
      <c r="BJ394" s="60">
        <f t="shared" si="364"/>
        <v>55.508061874487488</v>
      </c>
      <c r="BK394">
        <f t="shared" si="365"/>
        <v>-27.758313974769703</v>
      </c>
      <c r="BL394" s="60">
        <f t="shared" si="366"/>
        <v>-57.172218856869669</v>
      </c>
      <c r="BN394">
        <f t="shared" si="367"/>
        <v>0</v>
      </c>
      <c r="BO394">
        <f t="shared" si="368"/>
        <v>0</v>
      </c>
    </row>
    <row r="395" spans="13:67" x14ac:dyDescent="0.25">
      <c r="M395" s="66">
        <v>77</v>
      </c>
      <c r="N395" s="36">
        <f t="shared" si="369"/>
        <v>58884.365535558936</v>
      </c>
      <c r="O395" s="91" t="str">
        <f t="shared" si="317"/>
        <v>22,5</v>
      </c>
      <c r="P395" s="67" t="str">
        <f t="shared" si="318"/>
        <v>1+399,579890784065i</v>
      </c>
      <c r="Q395" s="67">
        <f t="shared" si="329"/>
        <v>399.58114209632731</v>
      </c>
      <c r="R395" s="67">
        <f t="shared" si="330"/>
        <v>1.5682937035764728</v>
      </c>
      <c r="S395" s="67" t="str">
        <f t="shared" si="319"/>
        <v>1+11,0994414106685i</v>
      </c>
      <c r="T395" s="67">
        <f t="shared" si="331"/>
        <v>11.14439767905214</v>
      </c>
      <c r="U395" s="67">
        <f t="shared" si="332"/>
        <v>1.4809442897392135</v>
      </c>
      <c r="V395" t="str">
        <f t="shared" si="320"/>
        <v>1-2,3123836272226i</v>
      </c>
      <c r="W395" s="67">
        <f t="shared" si="333"/>
        <v>2.5193487331941862</v>
      </c>
      <c r="X395" s="67">
        <f t="shared" si="334"/>
        <v>-1.1626288890742154</v>
      </c>
      <c r="Y395" t="str">
        <f t="shared" si="321"/>
        <v>0,778088415710379+6,41301059283068i</v>
      </c>
      <c r="Z395" s="67">
        <f t="shared" si="335"/>
        <v>6.4600407464985237</v>
      </c>
      <c r="AA395" s="67">
        <f t="shared" si="336"/>
        <v>1.4500568197603401</v>
      </c>
      <c r="AB395" s="92" t="str">
        <f t="shared" si="337"/>
        <v>-0,221257226053949-0,10458489627859i</v>
      </c>
      <c r="AC395" s="37">
        <f t="shared" si="338"/>
        <v>-12.226256687097623</v>
      </c>
      <c r="AD395" s="60">
        <f t="shared" si="339"/>
        <v>-154.70061706618236</v>
      </c>
      <c r="AE395" t="str">
        <f t="shared" si="340"/>
        <v>34,4450883806789</v>
      </c>
      <c r="AF395" t="str">
        <f t="shared" si="322"/>
        <v>1+199,789945392033i</v>
      </c>
      <c r="AG395">
        <f t="shared" si="341"/>
        <v>199.79244800480203</v>
      </c>
      <c r="AH395">
        <f t="shared" si="342"/>
        <v>1.5657911117061303</v>
      </c>
      <c r="AI395" t="str">
        <f t="shared" si="323"/>
        <v>1+11,0994414106685i</v>
      </c>
      <c r="AJ395">
        <f t="shared" si="343"/>
        <v>11.14439767905214</v>
      </c>
      <c r="AK395">
        <f t="shared" si="344"/>
        <v>1.4809442897392135</v>
      </c>
      <c r="AL395" t="str">
        <f t="shared" si="324"/>
        <v>1-0,755221330168202i</v>
      </c>
      <c r="AM395">
        <f t="shared" si="345"/>
        <v>1.2531397597798213</v>
      </c>
      <c r="AN395">
        <f t="shared" si="346"/>
        <v>-0.64683439371785245</v>
      </c>
      <c r="AO395" s="58" t="str">
        <f t="shared" si="347"/>
        <v>1,79146261650884-1,6086434221441i</v>
      </c>
      <c r="AP395">
        <f t="shared" si="348"/>
        <v>7.6320869181870234</v>
      </c>
      <c r="AQ395" s="60">
        <f t="shared" si="349"/>
        <v>-41.922245607738532</v>
      </c>
      <c r="AR395" t="str">
        <f t="shared" si="325"/>
        <v>-1,36472945891784</v>
      </c>
      <c r="AS395" t="str">
        <f t="shared" si="326"/>
        <v>1+8,31459156073177i</v>
      </c>
      <c r="AT395">
        <f t="shared" si="350"/>
        <v>8.3745109004521545</v>
      </c>
      <c r="AU395">
        <f t="shared" si="351"/>
        <v>1.4511007592157079</v>
      </c>
      <c r="AV395" t="str">
        <f t="shared" si="327"/>
        <v>1+8,31459156073177i</v>
      </c>
      <c r="AW395">
        <f t="shared" si="352"/>
        <v>8.3745109004521545</v>
      </c>
      <c r="AX395">
        <f t="shared" si="353"/>
        <v>1.4511007592157079</v>
      </c>
      <c r="AY395" t="str">
        <f t="shared" si="328"/>
        <v>1-0,00180405734790897i</v>
      </c>
      <c r="AZ395">
        <f t="shared" si="354"/>
        <v>1.0000016273101331</v>
      </c>
      <c r="BA395">
        <f t="shared" si="355"/>
        <v>-1.8040553907373307E-3</v>
      </c>
      <c r="BB395" s="58" t="str">
        <f t="shared" si="356"/>
        <v>-0,019167430287922+0,16183140432114i</v>
      </c>
      <c r="BC395">
        <f t="shared" si="357"/>
        <v>-15.758243583466633</v>
      </c>
      <c r="BD395" s="60">
        <f t="shared" si="358"/>
        <v>96.75468608881333</v>
      </c>
      <c r="BE395" s="58" t="str">
        <f t="shared" si="359"/>
        <v>0,0211660530916331-0,0338017438999211i</v>
      </c>
      <c r="BF395" s="37">
        <f t="shared" si="360"/>
        <v>-27.984500270564247</v>
      </c>
      <c r="BG395" s="60">
        <f t="shared" si="361"/>
        <v>-57.945930977369002</v>
      </c>
      <c r="BH395" s="58" t="str">
        <f t="shared" si="362"/>
        <v>0,225991289242193+0,320748471670521i</v>
      </c>
      <c r="BI395" s="37">
        <f t="shared" si="363"/>
        <v>-8.1261566652795985</v>
      </c>
      <c r="BJ395" s="60">
        <f t="shared" si="364"/>
        <v>54.832440481074791</v>
      </c>
      <c r="BK395">
        <f t="shared" si="365"/>
        <v>-27.984500270564247</v>
      </c>
      <c r="BL395" s="60">
        <f t="shared" si="366"/>
        <v>-57.945930977369002</v>
      </c>
      <c r="BN395">
        <f t="shared" si="367"/>
        <v>0</v>
      </c>
      <c r="BO395">
        <f t="shared" si="368"/>
        <v>0</v>
      </c>
    </row>
    <row r="396" spans="13:67" x14ac:dyDescent="0.25">
      <c r="M396" s="66">
        <v>78</v>
      </c>
      <c r="N396" s="36">
        <f t="shared" si="369"/>
        <v>60255.95860743591</v>
      </c>
      <c r="O396" s="91" t="str">
        <f t="shared" si="317"/>
        <v>22,5</v>
      </c>
      <c r="P396" s="67" t="str">
        <f t="shared" si="318"/>
        <v>1+408,887302095644i</v>
      </c>
      <c r="Q396" s="67">
        <f t="shared" si="329"/>
        <v>408.88852492464792</v>
      </c>
      <c r="R396" s="67">
        <f t="shared" si="330"/>
        <v>1.5683506700060252</v>
      </c>
      <c r="S396" s="67" t="str">
        <f t="shared" si="319"/>
        <v>1+11,3579806137679i</v>
      </c>
      <c r="T396" s="67">
        <f t="shared" si="331"/>
        <v>11.401917541480794</v>
      </c>
      <c r="U396" s="67">
        <f t="shared" si="332"/>
        <v>1.4829789514315865</v>
      </c>
      <c r="V396" t="str">
        <f t="shared" si="320"/>
        <v>1-2,36624596120164i</v>
      </c>
      <c r="W396" s="67">
        <f t="shared" si="333"/>
        <v>2.5688752303105487</v>
      </c>
      <c r="X396" s="67">
        <f t="shared" si="334"/>
        <v>-1.170951486414832</v>
      </c>
      <c r="Y396" t="str">
        <f t="shared" si="321"/>
        <v>0,767630044947134+6,56238879906589i</v>
      </c>
      <c r="Z396" s="67">
        <f t="shared" si="335"/>
        <v>6.6071327091266294</v>
      </c>
      <c r="AA396" s="67">
        <f t="shared" si="336"/>
        <v>1.454351327272154</v>
      </c>
      <c r="AB396" s="92" t="str">
        <f t="shared" si="337"/>
        <v>-0,221640898318221-0,101895574081401i</v>
      </c>
      <c r="AC396" s="37">
        <f t="shared" si="338"/>
        <v>-12.25429055006847</v>
      </c>
      <c r="AD396" s="60">
        <f t="shared" si="339"/>
        <v>-155.31021033217806</v>
      </c>
      <c r="AE396" t="str">
        <f t="shared" si="340"/>
        <v>34,4450883806789</v>
      </c>
      <c r="AF396" t="str">
        <f t="shared" si="322"/>
        <v>1+204,443651047822i</v>
      </c>
      <c r="AG396">
        <f t="shared" si="341"/>
        <v>204.44609669485894</v>
      </c>
      <c r="AH396">
        <f t="shared" si="342"/>
        <v>1.5659050424729104</v>
      </c>
      <c r="AI396" t="str">
        <f t="shared" si="323"/>
        <v>1+11,3579806137679i</v>
      </c>
      <c r="AJ396">
        <f t="shared" si="343"/>
        <v>11.401917541480794</v>
      </c>
      <c r="AK396">
        <f t="shared" si="344"/>
        <v>1.4829789514315865</v>
      </c>
      <c r="AL396" t="str">
        <f t="shared" si="324"/>
        <v>1-0,772812694782073i</v>
      </c>
      <c r="AM396">
        <f t="shared" si="345"/>
        <v>1.2638193942238463</v>
      </c>
      <c r="AN396">
        <f t="shared" si="346"/>
        <v>-0.65794208844975033</v>
      </c>
      <c r="AO396" s="58" t="str">
        <f t="shared" si="347"/>
        <v>1,79142579870968-1,63858637567282i</v>
      </c>
      <c r="AP396">
        <f t="shared" si="348"/>
        <v>7.7042278310917132</v>
      </c>
      <c r="AQ396" s="60">
        <f t="shared" si="349"/>
        <v>-42.44861986037909</v>
      </c>
      <c r="AR396" t="str">
        <f t="shared" si="325"/>
        <v>-1,36472945891784</v>
      </c>
      <c r="AS396" t="str">
        <f t="shared" si="326"/>
        <v>1+8,50826327777354i</v>
      </c>
      <c r="AT396">
        <f t="shared" si="350"/>
        <v>8.5668281180323529</v>
      </c>
      <c r="AU396">
        <f t="shared" si="351"/>
        <v>1.4538002834136752</v>
      </c>
      <c r="AV396" t="str">
        <f t="shared" si="327"/>
        <v>1+8,50826327777354i</v>
      </c>
      <c r="AW396">
        <f t="shared" si="352"/>
        <v>8.5668281180323529</v>
      </c>
      <c r="AX396">
        <f t="shared" si="353"/>
        <v>1.4538002834136752</v>
      </c>
      <c r="AY396" t="str">
        <f t="shared" si="328"/>
        <v>1-0,00176299198911546i</v>
      </c>
      <c r="AZ396">
        <f t="shared" si="354"/>
        <v>1.0000015540691694</v>
      </c>
      <c r="BA396">
        <f t="shared" si="355"/>
        <v>-1.7629901625764498E-3</v>
      </c>
      <c r="BB396" s="58" t="str">
        <f t="shared" si="356"/>
        <v>-0,0183165084177937+0,158247683051526i</v>
      </c>
      <c r="BC396">
        <f t="shared" si="357"/>
        <v>-15.955456244736361</v>
      </c>
      <c r="BD396" s="60">
        <f t="shared" si="358"/>
        <v>96.602367609834758</v>
      </c>
      <c r="BE396" s="58" t="str">
        <f t="shared" si="359"/>
        <v>0,0201844258913599-0,0332077874879194i</v>
      </c>
      <c r="BF396" s="37">
        <f t="shared" si="360"/>
        <v>-28.209746794804836</v>
      </c>
      <c r="BG396" s="60">
        <f t="shared" si="361"/>
        <v>-58.70784272234323</v>
      </c>
      <c r="BH396" s="58" t="str">
        <f t="shared" si="362"/>
        <v>0,226489831708102+0,31350216314783i</v>
      </c>
      <c r="BI396" s="37">
        <f t="shared" si="363"/>
        <v>-8.251228413644645</v>
      </c>
      <c r="BJ396" s="60">
        <f t="shared" si="364"/>
        <v>54.153747749455789</v>
      </c>
      <c r="BK396">
        <f t="shared" si="365"/>
        <v>-28.209746794804836</v>
      </c>
      <c r="BL396" s="60">
        <f t="shared" si="366"/>
        <v>-58.70784272234323</v>
      </c>
      <c r="BN396">
        <f t="shared" si="367"/>
        <v>0</v>
      </c>
      <c r="BO396">
        <f t="shared" si="368"/>
        <v>0</v>
      </c>
    </row>
    <row r="397" spans="13:67" x14ac:dyDescent="0.25">
      <c r="M397" s="66">
        <v>79</v>
      </c>
      <c r="N397" s="36">
        <f t="shared" si="369"/>
        <v>61659.500186148245</v>
      </c>
      <c r="O397" s="91" t="str">
        <f t="shared" si="317"/>
        <v>22,5</v>
      </c>
      <c r="P397" s="67" t="str">
        <f t="shared" si="318"/>
        <v>1+418,411510867055i</v>
      </c>
      <c r="Q397" s="67">
        <f t="shared" si="329"/>
        <v>418.41270586115292</v>
      </c>
      <c r="R397" s="67">
        <f t="shared" si="330"/>
        <v>1.568406339736667</v>
      </c>
      <c r="S397" s="67" t="str">
        <f t="shared" si="319"/>
        <v>1+11,6225419685293i</v>
      </c>
      <c r="T397" s="67">
        <f t="shared" si="331"/>
        <v>11.665482493674444</v>
      </c>
      <c r="U397" s="67">
        <f t="shared" si="332"/>
        <v>1.4849680032162933</v>
      </c>
      <c r="V397" t="str">
        <f t="shared" si="320"/>
        <v>1-2,42136291011027i</v>
      </c>
      <c r="W397" s="67">
        <f t="shared" si="333"/>
        <v>2.6197324944462701</v>
      </c>
      <c r="X397" s="67">
        <f t="shared" si="334"/>
        <v>-1.179141602653432</v>
      </c>
      <c r="Y397" t="str">
        <f t="shared" si="321"/>
        <v>0,75667878635484+6,71524647070583i</v>
      </c>
      <c r="Z397" s="67">
        <f t="shared" si="335"/>
        <v>6.757743554474863</v>
      </c>
      <c r="AA397" s="67">
        <f t="shared" si="336"/>
        <v>1.4585889096845635</v>
      </c>
      <c r="AB397" s="92" t="str">
        <f t="shared" si="337"/>
        <v>-0,222006884115257-0,0992550520740023i</v>
      </c>
      <c r="AC397" s="37">
        <f t="shared" si="338"/>
        <v>-12.281287995856855</v>
      </c>
      <c r="AD397" s="60">
        <f t="shared" si="339"/>
        <v>-155.9114903820572</v>
      </c>
      <c r="AE397" t="str">
        <f t="shared" si="340"/>
        <v>34,4450883806789</v>
      </c>
      <c r="AF397" t="str">
        <f t="shared" si="322"/>
        <v>1+209,205755433528i</v>
      </c>
      <c r="AG397">
        <f t="shared" si="341"/>
        <v>209.20814541148516</v>
      </c>
      <c r="AH397">
        <f t="shared" si="342"/>
        <v>1.5660163799815199</v>
      </c>
      <c r="AI397" t="str">
        <f t="shared" si="323"/>
        <v>1+11,6225419685293i</v>
      </c>
      <c r="AJ397">
        <f t="shared" si="343"/>
        <v>11.665482493674444</v>
      </c>
      <c r="AK397">
        <f t="shared" si="344"/>
        <v>1.4849680032162933</v>
      </c>
      <c r="AL397" t="str">
        <f t="shared" si="324"/>
        <v>1-0,790813814916099i</v>
      </c>
      <c r="AM397">
        <f t="shared" si="345"/>
        <v>1.2749064631815756</v>
      </c>
      <c r="AN397">
        <f t="shared" si="346"/>
        <v>-0.6691144563090754</v>
      </c>
      <c r="AO397" s="58" t="str">
        <f t="shared" si="347"/>
        <v>1,79139063790692-1,66939811317268i</v>
      </c>
      <c r="AP397">
        <f t="shared" si="348"/>
        <v>7.7785948586060716</v>
      </c>
      <c r="AQ397" s="60">
        <f t="shared" si="349"/>
        <v>-42.981164282734504</v>
      </c>
      <c r="AR397" t="str">
        <f t="shared" si="325"/>
        <v>-1,36472945891784</v>
      </c>
      <c r="AS397" t="str">
        <f t="shared" si="326"/>
        <v>1+8,70644618862532i</v>
      </c>
      <c r="AT397">
        <f t="shared" si="350"/>
        <v>8.7636867376366414</v>
      </c>
      <c r="AU397">
        <f t="shared" si="351"/>
        <v>1.456440015240936</v>
      </c>
      <c r="AV397" t="str">
        <f t="shared" si="327"/>
        <v>1+8,70644618862532i</v>
      </c>
      <c r="AW397">
        <f t="shared" si="352"/>
        <v>8.7636867376366414</v>
      </c>
      <c r="AX397">
        <f t="shared" si="353"/>
        <v>1.456440015240936</v>
      </c>
      <c r="AY397" t="str">
        <f t="shared" si="328"/>
        <v>1-0,00172286139201056i</v>
      </c>
      <c r="AZ397">
        <f t="shared" si="354"/>
        <v>1.0000014841245868</v>
      </c>
      <c r="BA397">
        <f t="shared" si="355"/>
        <v>-1.7228596873850302E-3</v>
      </c>
      <c r="BB397" s="58" t="str">
        <f t="shared" si="356"/>
        <v>-0,017502863529939+0,154738979165576i</v>
      </c>
      <c r="BC397">
        <f t="shared" si="357"/>
        <v>-16.152792685134493</v>
      </c>
      <c r="BD397" s="60">
        <f t="shared" si="358"/>
        <v>96.453421423944661</v>
      </c>
      <c r="BE397" s="58" t="str">
        <f t="shared" si="359"/>
        <v>0,0192443816303335-0,0326158709846169i</v>
      </c>
      <c r="BF397" s="37">
        <f t="shared" si="360"/>
        <v>-28.434080680991364</v>
      </c>
      <c r="BG397" s="60">
        <f t="shared" si="361"/>
        <v>-59.458068958112541</v>
      </c>
      <c r="BH397" s="58" t="str">
        <f t="shared" si="362"/>
        <v>0,226966493989184+0,306417205948486i</v>
      </c>
      <c r="BI397" s="37">
        <f t="shared" si="363"/>
        <v>-8.3741978265284196</v>
      </c>
      <c r="BJ397" s="60">
        <f t="shared" si="364"/>
        <v>53.472257141210171</v>
      </c>
      <c r="BK397">
        <f t="shared" si="365"/>
        <v>-28.434080680991364</v>
      </c>
      <c r="BL397" s="60">
        <f t="shared" si="366"/>
        <v>-59.458068958112541</v>
      </c>
      <c r="BN397">
        <f t="shared" si="367"/>
        <v>0</v>
      </c>
      <c r="BO397">
        <f t="shared" si="368"/>
        <v>0</v>
      </c>
    </row>
    <row r="398" spans="13:67" x14ac:dyDescent="0.25">
      <c r="M398" s="66">
        <v>80</v>
      </c>
      <c r="N398" s="36">
        <f t="shared" si="369"/>
        <v>63095.734448019342</v>
      </c>
      <c r="O398" s="91" t="str">
        <f t="shared" si="317"/>
        <v>22,5</v>
      </c>
      <c r="P398" s="67" t="str">
        <f t="shared" si="318"/>
        <v>1+428,15756695986i</v>
      </c>
      <c r="Q398" s="67">
        <f t="shared" si="329"/>
        <v>428.15873475264635</v>
      </c>
      <c r="R398" s="67">
        <f t="shared" si="330"/>
        <v>1.568460742283845</v>
      </c>
      <c r="S398" s="67" t="str">
        <f t="shared" si="319"/>
        <v>1+11,893265748885i</v>
      </c>
      <c r="T398" s="67">
        <f t="shared" si="331"/>
        <v>11.935232304970066</v>
      </c>
      <c r="U398" s="67">
        <f t="shared" si="332"/>
        <v>1.4869124367252842</v>
      </c>
      <c r="V398" t="str">
        <f t="shared" si="320"/>
        <v>1-2,47776369768438i</v>
      </c>
      <c r="W398" s="67">
        <f t="shared" si="333"/>
        <v>2.6719492775055764</v>
      </c>
      <c r="X398" s="67">
        <f t="shared" si="334"/>
        <v>-1.1871991842347751</v>
      </c>
      <c r="Y398" t="str">
        <f t="shared" si="321"/>
        <v>0,745211410845762+6,87166465491133i</v>
      </c>
      <c r="Z398" s="67">
        <f t="shared" si="335"/>
        <v>6.9119545120329304</v>
      </c>
      <c r="AA398" s="67">
        <f t="shared" si="336"/>
        <v>1.462771492070519</v>
      </c>
      <c r="AB398" s="92" t="str">
        <f t="shared" si="337"/>
        <v>-0,222355855618434-0,0966622698458461i</v>
      </c>
      <c r="AC398" s="37">
        <f t="shared" si="338"/>
        <v>-12.307281513090079</v>
      </c>
      <c r="AD398" s="60">
        <f t="shared" si="339"/>
        <v>-156.50450932067054</v>
      </c>
      <c r="AE398" t="str">
        <f t="shared" si="340"/>
        <v>34,4450883806789</v>
      </c>
      <c r="AF398" t="str">
        <f t="shared" si="322"/>
        <v>1+214,07878347993i</v>
      </c>
      <c r="AG398">
        <f t="shared" si="341"/>
        <v>214.08111905594743</v>
      </c>
      <c r="AH398">
        <f t="shared" si="342"/>
        <v>1.5661251832535321</v>
      </c>
      <c r="AI398" t="str">
        <f t="shared" si="323"/>
        <v>1+11,893265748885i</v>
      </c>
      <c r="AJ398">
        <f t="shared" si="343"/>
        <v>11.935232304970066</v>
      </c>
      <c r="AK398">
        <f t="shared" si="344"/>
        <v>1.4869124367252842</v>
      </c>
      <c r="AL398" t="str">
        <f t="shared" si="324"/>
        <v>1-0,809234235002452i</v>
      </c>
      <c r="AM398">
        <f t="shared" si="345"/>
        <v>1.2864136376376005</v>
      </c>
      <c r="AN398">
        <f t="shared" si="346"/>
        <v>-0.68034626514721563</v>
      </c>
      <c r="AO398" s="58" t="str">
        <f t="shared" si="347"/>
        <v>1,7913570595303-1,70109497251694i</v>
      </c>
      <c r="AP398">
        <f t="shared" si="348"/>
        <v>7.855208982295113</v>
      </c>
      <c r="AQ398" s="60">
        <f t="shared" si="349"/>
        <v>-43.519525660132139</v>
      </c>
      <c r="AR398" t="str">
        <f t="shared" si="325"/>
        <v>-1,36472945891784</v>
      </c>
      <c r="AS398" t="str">
        <f t="shared" si="326"/>
        <v>1+8,90924537248976i</v>
      </c>
      <c r="AT398">
        <f t="shared" si="350"/>
        <v>8.9651911918949168</v>
      </c>
      <c r="AU398">
        <f t="shared" si="351"/>
        <v>1.4590212070857396</v>
      </c>
      <c r="AV398" t="str">
        <f t="shared" si="327"/>
        <v>1+8,90924537248976i</v>
      </c>
      <c r="AW398">
        <f t="shared" si="352"/>
        <v>8.9651911918949168</v>
      </c>
      <c r="AX398">
        <f t="shared" si="353"/>
        <v>1.4590212070857396</v>
      </c>
      <c r="AY398" t="str">
        <f t="shared" si="328"/>
        <v>1-0,00168364427882046i</v>
      </c>
      <c r="AZ398">
        <f t="shared" si="354"/>
        <v>1.0000014173280245</v>
      </c>
      <c r="BA398">
        <f t="shared" si="355"/>
        <v>-1.6836426879712253E-3</v>
      </c>
      <c r="BB398" s="58" t="str">
        <f t="shared" si="356"/>
        <v>-0,0167249059879693+0,151304010224287i</v>
      </c>
      <c r="BC398">
        <f t="shared" si="357"/>
        <v>-16.350247478908102</v>
      </c>
      <c r="BD398" s="60">
        <f t="shared" si="358"/>
        <v>96.307776993675404</v>
      </c>
      <c r="BE398" s="58" t="str">
        <f t="shared" si="359"/>
        <v>0,0183442698461515-0,0320266652761661i</v>
      </c>
      <c r="BF398" s="37">
        <f t="shared" si="360"/>
        <v>-28.657528991998184</v>
      </c>
      <c r="BG398" s="60">
        <f t="shared" si="361"/>
        <v>-60.19673232699509</v>
      </c>
      <c r="BH398" s="58" t="str">
        <f t="shared" si="362"/>
        <v>0,227422212702657+0,299490160342474i</v>
      </c>
      <c r="BI398" s="37">
        <f t="shared" si="363"/>
        <v>-8.4950384966129917</v>
      </c>
      <c r="BJ398" s="60">
        <f t="shared" si="364"/>
        <v>52.788251333543236</v>
      </c>
      <c r="BK398">
        <f t="shared" si="365"/>
        <v>-28.657528991998184</v>
      </c>
      <c r="BL398" s="60">
        <f t="shared" si="366"/>
        <v>-60.19673232699509</v>
      </c>
      <c r="BN398">
        <f t="shared" si="367"/>
        <v>0</v>
      </c>
      <c r="BO398">
        <f t="shared" si="368"/>
        <v>0</v>
      </c>
    </row>
    <row r="399" spans="13:67" x14ac:dyDescent="0.25">
      <c r="M399" s="66">
        <v>81</v>
      </c>
      <c r="N399" s="36">
        <f t="shared" si="369"/>
        <v>64565.422903465682</v>
      </c>
      <c r="O399" s="91" t="str">
        <f t="shared" si="317"/>
        <v>22,5</v>
      </c>
      <c r="P399" s="67" t="str">
        <f t="shared" si="318"/>
        <v>1+438,130637862003i</v>
      </c>
      <c r="Q399" s="67">
        <f t="shared" si="329"/>
        <v>438.13177907265026</v>
      </c>
      <c r="R399" s="67">
        <f t="shared" si="330"/>
        <v>1.568513906491221</v>
      </c>
      <c r="S399" s="67" t="str">
        <f t="shared" si="319"/>
        <v>1+12,1702954961668i</v>
      </c>
      <c r="T399" s="67">
        <f t="shared" si="331"/>
        <v>12.211310022434851</v>
      </c>
      <c r="U399" s="67">
        <f t="shared" si="332"/>
        <v>1.4888132240778169</v>
      </c>
      <c r="V399" t="str">
        <f t="shared" si="320"/>
        <v>1-2,53547822836808i</v>
      </c>
      <c r="W399" s="67">
        <f t="shared" si="333"/>
        <v>2.7255549612012118</v>
      </c>
      <c r="X399" s="67">
        <f t="shared" si="334"/>
        <v>-1.1951243172668347</v>
      </c>
      <c r="Y399" t="str">
        <f t="shared" si="321"/>
        <v>0,733203594578984+7,03172628667413i</v>
      </c>
      <c r="Z399" s="67">
        <f t="shared" si="335"/>
        <v>7.0698488019057022</v>
      </c>
      <c r="AA399" s="67">
        <f t="shared" si="336"/>
        <v>1.4669009902896712</v>
      </c>
      <c r="AB399" s="92" t="str">
        <f t="shared" si="337"/>
        <v>-0,222688457729978-0,0941161716679824i</v>
      </c>
      <c r="AC399" s="37">
        <f t="shared" si="338"/>
        <v>-12.33230323022185</v>
      </c>
      <c r="AD399" s="60">
        <f t="shared" si="339"/>
        <v>-157.08932780660328</v>
      </c>
      <c r="AE399" t="str">
        <f t="shared" si="340"/>
        <v>34,4450883806789</v>
      </c>
      <c r="AF399" t="str">
        <f t="shared" si="322"/>
        <v>1+219,065318931002i</v>
      </c>
      <c r="AG399">
        <f t="shared" si="341"/>
        <v>219.06760134337898</v>
      </c>
      <c r="AH399">
        <f t="shared" si="342"/>
        <v>1.5662315099675721</v>
      </c>
      <c r="AI399" t="str">
        <f t="shared" si="323"/>
        <v>1+12,1702954961668i</v>
      </c>
      <c r="AJ399">
        <f t="shared" si="343"/>
        <v>12.211310022434851</v>
      </c>
      <c r="AK399">
        <f t="shared" si="344"/>
        <v>1.4888132240778169</v>
      </c>
      <c r="AL399" t="str">
        <f t="shared" si="324"/>
        <v>1-0,828083721791688i</v>
      </c>
      <c r="AM399">
        <f t="shared" si="345"/>
        <v>1.2983538232301601</v>
      </c>
      <c r="AN399">
        <f t="shared" si="346"/>
        <v>-0.69163213539850044</v>
      </c>
      <c r="AO399" s="58" t="str">
        <f t="shared" si="347"/>
        <v>1,79132499236511-1,73369376080996i</v>
      </c>
      <c r="AP399">
        <f t="shared" si="348"/>
        <v>7.9340893770861811</v>
      </c>
      <c r="AQ399" s="60">
        <f t="shared" si="349"/>
        <v>-44.063343372574913</v>
      </c>
      <c r="AR399" t="str">
        <f t="shared" si="325"/>
        <v>-1,36472945891784</v>
      </c>
      <c r="AS399" t="str">
        <f t="shared" si="326"/>
        <v>1+9,11676835617853i</v>
      </c>
      <c r="AT399">
        <f t="shared" si="350"/>
        <v>9.1714483730879817</v>
      </c>
      <c r="AU399">
        <f t="shared" si="351"/>
        <v>1.4615450898771312</v>
      </c>
      <c r="AV399" t="str">
        <f t="shared" si="327"/>
        <v>1+9,11676835617853i</v>
      </c>
      <c r="AW399">
        <f t="shared" si="352"/>
        <v>9.1714483730879817</v>
      </c>
      <c r="AX399">
        <f t="shared" si="353"/>
        <v>1.4615450898771312</v>
      </c>
      <c r="AY399" t="str">
        <f t="shared" si="328"/>
        <v>1-0,00164531985611265i</v>
      </c>
      <c r="AZ399">
        <f t="shared" si="354"/>
        <v>1.0000013535377985</v>
      </c>
      <c r="BA399">
        <f t="shared" si="355"/>
        <v>-1.6453183714456462E-3</v>
      </c>
      <c r="BB399" s="58" t="str">
        <f t="shared" si="356"/>
        <v>-0,015981110166549+0,147941495939976i</v>
      </c>
      <c r="BC399">
        <f t="shared" si="357"/>
        <v>-16.547815431963787</v>
      </c>
      <c r="BD399" s="60">
        <f t="shared" si="358"/>
        <v>96.165364983332651</v>
      </c>
      <c r="BE399" s="58" t="str">
        <f t="shared" si="359"/>
        <v>0,0174824960045066-0,0314407826572592i</v>
      </c>
      <c r="BF399" s="37">
        <f t="shared" si="360"/>
        <v>-28.88011866218563</v>
      </c>
      <c r="BG399" s="60">
        <f t="shared" si="361"/>
        <v>-60.923962823270607</v>
      </c>
      <c r="BH399" s="58" t="str">
        <f t="shared" si="362"/>
        <v>0,227857886428949+0,292717650071723i</v>
      </c>
      <c r="BI399" s="37">
        <f t="shared" si="363"/>
        <v>-8.6137260548776062</v>
      </c>
      <c r="BJ399" s="60">
        <f t="shared" si="364"/>
        <v>52.102021610757745</v>
      </c>
      <c r="BK399">
        <f t="shared" si="365"/>
        <v>-28.88011866218563</v>
      </c>
      <c r="BL399" s="60">
        <f t="shared" si="366"/>
        <v>-60.923962823270607</v>
      </c>
      <c r="BN399">
        <f t="shared" si="367"/>
        <v>0</v>
      </c>
      <c r="BO399">
        <f t="shared" si="368"/>
        <v>0</v>
      </c>
    </row>
    <row r="400" spans="13:67" x14ac:dyDescent="0.25">
      <c r="M400" s="66">
        <v>82</v>
      </c>
      <c r="N400" s="36">
        <f t="shared" si="369"/>
        <v>66069.344800759733</v>
      </c>
      <c r="O400" s="91" t="str">
        <f t="shared" si="317"/>
        <v>22,5</v>
      </c>
      <c r="P400" s="67" t="str">
        <f t="shared" si="318"/>
        <v>1+448,336011427685i</v>
      </c>
      <c r="Q400" s="67">
        <f t="shared" si="329"/>
        <v>448.33712666127184</v>
      </c>
      <c r="R400" s="67">
        <f t="shared" si="330"/>
        <v>1.5685658605459587</v>
      </c>
      <c r="S400" s="67" t="str">
        <f t="shared" si="319"/>
        <v>1+12,4537780952135i</v>
      </c>
      <c r="T400" s="67">
        <f t="shared" si="331"/>
        <v>12.493862046814012</v>
      </c>
      <c r="U400" s="67">
        <f t="shared" si="332"/>
        <v>1.4906713181256908</v>
      </c>
      <c r="V400" t="str">
        <f t="shared" si="320"/>
        <v>1-2,59453710316948i</v>
      </c>
      <c r="W400" s="67">
        <f t="shared" si="333"/>
        <v>2.7805795762256249</v>
      </c>
      <c r="X400" s="67">
        <f t="shared" si="334"/>
        <v>-1.2029172206464329</v>
      </c>
      <c r="Y400" t="str">
        <f t="shared" si="321"/>
        <v>0,720629867366292+7,19551623279001i</v>
      </c>
      <c r="Z400" s="67">
        <f t="shared" si="335"/>
        <v>7.2315116858154145</v>
      </c>
      <c r="AA400" s="67">
        <f t="shared" si="336"/>
        <v>1.4709793107225737</v>
      </c>
      <c r="AB400" s="92" t="str">
        <f t="shared" si="337"/>
        <v>-0,223005308725072-0,0916157071744529i</v>
      </c>
      <c r="AC400" s="37">
        <f t="shared" si="338"/>
        <v>-12.356384872022787</v>
      </c>
      <c r="AD400" s="60">
        <f t="shared" si="339"/>
        <v>-157.66601462989837</v>
      </c>
      <c r="AE400" t="str">
        <f t="shared" si="340"/>
        <v>34,4450883806789</v>
      </c>
      <c r="AF400" t="str">
        <f t="shared" si="322"/>
        <v>1+224,168005713843i</v>
      </c>
      <c r="AG400">
        <f t="shared" si="341"/>
        <v>224.1702361726943</v>
      </c>
      <c r="AH400">
        <f t="shared" si="342"/>
        <v>1.5663354164898486</v>
      </c>
      <c r="AI400" t="str">
        <f t="shared" si="323"/>
        <v>1+12,4537780952135i</v>
      </c>
      <c r="AJ400">
        <f t="shared" si="343"/>
        <v>12.493862046814012</v>
      </c>
      <c r="AK400">
        <f t="shared" si="344"/>
        <v>1.4906713181256908</v>
      </c>
      <c r="AL400" t="str">
        <f t="shared" si="324"/>
        <v>1-0,847372269531201i</v>
      </c>
      <c r="AM400">
        <f t="shared" si="345"/>
        <v>1.3107401585251206</v>
      </c>
      <c r="AN400">
        <f t="shared" si="346"/>
        <v>-0.70296655177055078</v>
      </c>
      <c r="AO400" s="58" t="str">
        <f t="shared" si="347"/>
        <v>1,7912943684013-1,76721176330335i</v>
      </c>
      <c r="AP400">
        <f t="shared" si="348"/>
        <v>8.0152533184646675</v>
      </c>
      <c r="AQ400" s="60">
        <f t="shared" si="349"/>
        <v>-44.612250052246104</v>
      </c>
      <c r="AR400" t="str">
        <f t="shared" si="325"/>
        <v>-1,36472945891784</v>
      </c>
      <c r="AS400" t="str">
        <f t="shared" si="326"/>
        <v>1+9,32912517112443i</v>
      </c>
      <c r="AT400">
        <f t="shared" si="350"/>
        <v>9.3825676900573125</v>
      </c>
      <c r="AU400">
        <f t="shared" si="351"/>
        <v>1.4640128731246318</v>
      </c>
      <c r="AV400" t="str">
        <f t="shared" si="327"/>
        <v>1+9,32912517112443i</v>
      </c>
      <c r="AW400">
        <f t="shared" si="352"/>
        <v>9.3825676900573125</v>
      </c>
      <c r="AX400">
        <f t="shared" si="353"/>
        <v>1.4640128731246318</v>
      </c>
      <c r="AY400" t="str">
        <f t="shared" si="328"/>
        <v>1-0,00160786780377094i</v>
      </c>
      <c r="AZ400">
        <f t="shared" si="354"/>
        <v>1.0000012926186017</v>
      </c>
      <c r="BA400">
        <f t="shared" si="355"/>
        <v>-1.6078664181989721E-3</v>
      </c>
      <c r="BB400" s="58" t="str">
        <f t="shared" si="356"/>
        <v>-0,0152700122058527+0,14465015979085i</v>
      </c>
      <c r="BC400">
        <f t="shared" si="357"/>
        <v>-16.74549157251418</v>
      </c>
      <c r="BD400" s="60">
        <f t="shared" si="358"/>
        <v>96.026117257353292</v>
      </c>
      <c r="BE400" s="58" t="str">
        <f t="shared" si="359"/>
        <v>0,0166575204683381-0,0308587805744878i</v>
      </c>
      <c r="BF400" s="37">
        <f t="shared" si="360"/>
        <v>-29.101876444536966</v>
      </c>
      <c r="BG400" s="60">
        <f t="shared" si="361"/>
        <v>-61.639897372545157</v>
      </c>
      <c r="BH400" s="58" t="str">
        <f t="shared" si="362"/>
        <v>0,228274377076336+0,286096361817666i</v>
      </c>
      <c r="BI400" s="37">
        <f t="shared" si="363"/>
        <v>-8.7302382540495245</v>
      </c>
      <c r="BJ400" s="60">
        <f t="shared" si="364"/>
        <v>51.413867205107188</v>
      </c>
      <c r="BK400">
        <f t="shared" si="365"/>
        <v>-29.101876444536966</v>
      </c>
      <c r="BL400" s="60">
        <f t="shared" si="366"/>
        <v>-61.639897372545157</v>
      </c>
      <c r="BN400">
        <f t="shared" si="367"/>
        <v>0</v>
      </c>
      <c r="BO400">
        <f t="shared" si="368"/>
        <v>0</v>
      </c>
    </row>
    <row r="401" spans="13:67" x14ac:dyDescent="0.25">
      <c r="M401" s="66">
        <v>83</v>
      </c>
      <c r="N401" s="36">
        <f t="shared" si="369"/>
        <v>67608.297539198305</v>
      </c>
      <c r="O401" s="91" t="str">
        <f t="shared" si="317"/>
        <v>22,5</v>
      </c>
      <c r="P401" s="67" t="str">
        <f t="shared" si="318"/>
        <v>1+458,779098681054i</v>
      </c>
      <c r="Q401" s="67">
        <f t="shared" si="329"/>
        <v>458.78018852888607</v>
      </c>
      <c r="R401" s="67">
        <f t="shared" si="330"/>
        <v>1.5686166319936632</v>
      </c>
      <c r="S401" s="67" t="str">
        <f t="shared" si="319"/>
        <v>1+12,7438638522515i</v>
      </c>
      <c r="T401" s="67">
        <f t="shared" si="331"/>
        <v>12.783038210250426</v>
      </c>
      <c r="U401" s="67">
        <f t="shared" si="332"/>
        <v>1.4924876527056097</v>
      </c>
      <c r="V401" t="str">
        <f t="shared" si="320"/>
        <v>1-2,65497163588573i</v>
      </c>
      <c r="W401" s="67">
        <f t="shared" si="333"/>
        <v>2.8370538217238233</v>
      </c>
      <c r="X401" s="67">
        <f t="shared" si="334"/>
        <v>-1.2105782391860733</v>
      </c>
      <c r="Y401" t="str">
        <f t="shared" si="321"/>
        <v>0,707463558646477+7,36312133685643i</v>
      </c>
      <c r="Z401" s="67">
        <f t="shared" si="335"/>
        <v>7.3970305196127972</v>
      </c>
      <c r="AA401" s="67">
        <f t="shared" si="336"/>
        <v>1.4750083500723981</v>
      </c>
      <c r="AB401" s="92" t="str">
        <f t="shared" si="337"/>
        <v>-0,223307000897624-0,0891598319828394i</v>
      </c>
      <c r="AC401" s="37">
        <f t="shared" si="338"/>
        <v>-12.379557720615082</v>
      </c>
      <c r="AD401" s="60">
        <f t="shared" si="339"/>
        <v>-158.23464629328842</v>
      </c>
      <c r="AE401" t="str">
        <f t="shared" si="340"/>
        <v>34,4450883806789</v>
      </c>
      <c r="AF401" t="str">
        <f t="shared" si="322"/>
        <v>1+229,389549340527i</v>
      </c>
      <c r="AG401">
        <f t="shared" si="341"/>
        <v>229.39172902842438</v>
      </c>
      <c r="AH401">
        <f t="shared" si="342"/>
        <v>1.5664369579039954</v>
      </c>
      <c r="AI401" t="str">
        <f t="shared" si="323"/>
        <v>1+12,7438638522515i</v>
      </c>
      <c r="AJ401">
        <f t="shared" si="343"/>
        <v>12.783038210250426</v>
      </c>
      <c r="AK401">
        <f t="shared" si="344"/>
        <v>1.4924876527056097</v>
      </c>
      <c r="AL401" t="str">
        <f t="shared" si="324"/>
        <v>1-0,867110105264316i</v>
      </c>
      <c r="AM401">
        <f t="shared" si="345"/>
        <v>1.3235860133181725</v>
      </c>
      <c r="AN401">
        <f t="shared" si="346"/>
        <v>-0.71434387574408542</v>
      </c>
      <c r="AO401" s="58" t="str">
        <f t="shared" si="347"/>
        <v>1,79126512268928-1,80166675256536i</v>
      </c>
      <c r="AP401">
        <f t="shared" si="348"/>
        <v>8.0987160967030434</v>
      </c>
      <c r="AQ401" s="60">
        <f t="shared" si="349"/>
        <v>-45.165872286946204</v>
      </c>
      <c r="AR401" t="str">
        <f t="shared" si="325"/>
        <v>-1,36472945891784</v>
      </c>
      <c r="AS401" t="str">
        <f t="shared" si="326"/>
        <v>1+9,54642841172162i</v>
      </c>
      <c r="AT401">
        <f t="shared" si="350"/>
        <v>9.5986611264345481</v>
      </c>
      <c r="AU401">
        <f t="shared" si="351"/>
        <v>1.4664257449846818</v>
      </c>
      <c r="AV401" t="str">
        <f t="shared" si="327"/>
        <v>1+9,54642841172162i</v>
      </c>
      <c r="AW401">
        <f t="shared" si="352"/>
        <v>9.5986611264345481</v>
      </c>
      <c r="AX401">
        <f t="shared" si="353"/>
        <v>1.4664257449846818</v>
      </c>
      <c r="AY401" t="str">
        <f t="shared" si="328"/>
        <v>1-0,00157126826422144i</v>
      </c>
      <c r="AZ401">
        <f t="shared" si="354"/>
        <v>1.0000012344412172</v>
      </c>
      <c r="BA401">
        <f t="shared" si="355"/>
        <v>-1.5712669711303517E-3</v>
      </c>
      <c r="BB401" s="58" t="str">
        <f t="shared" si="356"/>
        <v>-0,0145902078146292+0,141428730502545i</v>
      </c>
      <c r="BC401">
        <f t="shared" si="357"/>
        <v>-16.943271142055394</v>
      </c>
      <c r="BD401" s="60">
        <f t="shared" si="358"/>
        <v>95.889966877116095</v>
      </c>
      <c r="BE401" s="58" t="str">
        <f t="shared" si="359"/>
        <v>0,0158678573987111-0,0302811651719346i</v>
      </c>
      <c r="BF401" s="37">
        <f t="shared" si="360"/>
        <v>-29.32282886267047</v>
      </c>
      <c r="BG401" s="60">
        <f t="shared" si="361"/>
        <v>-62.344679416172355</v>
      </c>
      <c r="BH401" s="58" t="str">
        <f t="shared" si="362"/>
        <v>0,228672511212828+0,279623044628067i</v>
      </c>
      <c r="BI401" s="37">
        <f t="shared" si="363"/>
        <v>-8.8445550453523527</v>
      </c>
      <c r="BJ401" s="60">
        <f t="shared" si="364"/>
        <v>50.724094590169862</v>
      </c>
      <c r="BK401">
        <f t="shared" si="365"/>
        <v>-29.32282886267047</v>
      </c>
      <c r="BL401" s="60">
        <f t="shared" si="366"/>
        <v>-62.344679416172355</v>
      </c>
      <c r="BN401">
        <f t="shared" si="367"/>
        <v>0</v>
      </c>
      <c r="BO401">
        <f t="shared" si="368"/>
        <v>0</v>
      </c>
    </row>
    <row r="402" spans="13:67" x14ac:dyDescent="0.25">
      <c r="M402" s="66">
        <v>84</v>
      </c>
      <c r="N402" s="36">
        <f t="shared" si="369"/>
        <v>69183.097091893651</v>
      </c>
      <c r="O402" s="91" t="str">
        <f t="shared" si="317"/>
        <v>22,5</v>
      </c>
      <c r="P402" s="67" t="str">
        <f t="shared" si="318"/>
        <v>1+469,465436685202i</v>
      </c>
      <c r="Q402" s="67">
        <f t="shared" si="329"/>
        <v>469.46650172512568</v>
      </c>
      <c r="R402" s="67">
        <f t="shared" si="330"/>
        <v>1.5686662477529802</v>
      </c>
      <c r="S402" s="67" t="str">
        <f t="shared" si="319"/>
        <v>1+13,040706574589i</v>
      </c>
      <c r="T402" s="67">
        <f t="shared" si="331"/>
        <v>13.078991855817051</v>
      </c>
      <c r="U402" s="67">
        <f t="shared" si="332"/>
        <v>1.4942631428977229</v>
      </c>
      <c r="V402" t="str">
        <f t="shared" si="320"/>
        <v>1-2,71681386970603i</v>
      </c>
      <c r="W402" s="67">
        <f t="shared" si="333"/>
        <v>2.8950090850681374</v>
      </c>
      <c r="X402" s="67">
        <f t="shared" si="334"/>
        <v>-1.2181078367736047</v>
      </c>
      <c r="Y402" t="str">
        <f t="shared" si="321"/>
        <v>0,693676740913511+7,53463046531806i</v>
      </c>
      <c r="Z402" s="67">
        <f t="shared" si="335"/>
        <v>7.5664948073585183</v>
      </c>
      <c r="AA402" s="67">
        <f t="shared" si="336"/>
        <v>1.4789899952299868</v>
      </c>
      <c r="AB402" s="92" t="str">
        <f t="shared" si="337"/>
        <v>-0,223594101204711-0,0867475082570066i</v>
      </c>
      <c r="AC402" s="37">
        <f t="shared" si="338"/>
        <v>-12.401852580891701</v>
      </c>
      <c r="AD402" s="60">
        <f t="shared" si="339"/>
        <v>-158.79530659856573</v>
      </c>
      <c r="AE402" t="str">
        <f t="shared" si="340"/>
        <v>34,4450883806789</v>
      </c>
      <c r="AF402" t="str">
        <f t="shared" si="322"/>
        <v>1+234,732718342601i</v>
      </c>
      <c r="AG402">
        <f t="shared" si="341"/>
        <v>234.73484841519985</v>
      </c>
      <c r="AH402">
        <f t="shared" si="342"/>
        <v>1.566536188040234</v>
      </c>
      <c r="AI402" t="str">
        <f t="shared" si="323"/>
        <v>1+13,040706574589i</v>
      </c>
      <c r="AJ402">
        <f t="shared" si="343"/>
        <v>13.078991855817051</v>
      </c>
      <c r="AK402">
        <f t="shared" si="344"/>
        <v>1.4942631428977229</v>
      </c>
      <c r="AL402" t="str">
        <f t="shared" si="324"/>
        <v>1-0,887307694252799i</v>
      </c>
      <c r="AM402">
        <f t="shared" si="345"/>
        <v>1.3369049870055159</v>
      </c>
      <c r="AN402">
        <f t="shared" si="346"/>
        <v>-0.72575835881983752</v>
      </c>
      <c r="AO402" s="58" t="str">
        <f t="shared" si="347"/>
        <v>1,79123719320224-1,8370769979083i</v>
      </c>
      <c r="AP402">
        <f t="shared" si="348"/>
        <v>8.1844909387794935</v>
      </c>
      <c r="AQ402" s="60">
        <f t="shared" si="349"/>
        <v>-45.723831365942232</v>
      </c>
      <c r="AR402" t="str">
        <f t="shared" si="325"/>
        <v>-1,36472945891784</v>
      </c>
      <c r="AS402" t="str">
        <f t="shared" si="326"/>
        <v>1+9,76879329502459i</v>
      </c>
      <c r="AT402">
        <f t="shared" si="350"/>
        <v>9.8198433002221268</v>
      </c>
      <c r="AU402">
        <f t="shared" si="351"/>
        <v>1.4687848723516244</v>
      </c>
      <c r="AV402" t="str">
        <f t="shared" si="327"/>
        <v>1+9,76879329502459i</v>
      </c>
      <c r="AW402">
        <f t="shared" si="352"/>
        <v>9.8198433002221268</v>
      </c>
      <c r="AX402">
        <f t="shared" si="353"/>
        <v>1.4687848723516244</v>
      </c>
      <c r="AY402" t="str">
        <f t="shared" si="328"/>
        <v>1-0,00153550183190382i</v>
      </c>
      <c r="AZ402">
        <f t="shared" si="354"/>
        <v>1.0000011788822432</v>
      </c>
      <c r="BA402">
        <f t="shared" si="355"/>
        <v>-1.5355006251209201E-3</v>
      </c>
      <c r="BB402" s="58" t="str">
        <f t="shared" si="356"/>
        <v>-0,0139403501238713+0,138275943404591i</v>
      </c>
      <c r="BC402">
        <f t="shared" si="357"/>
        <v>-17.1411495866667</v>
      </c>
      <c r="BD402" s="60">
        <f t="shared" si="358"/>
        <v>95.756848096331424</v>
      </c>
      <c r="BE402" s="58" t="str">
        <f t="shared" si="359"/>
        <v>0,0151120735986611-0,0297083946463069i</v>
      </c>
      <c r="BF402" s="37">
        <f t="shared" si="360"/>
        <v>-29.543002167558406</v>
      </c>
      <c r="BG402" s="60">
        <f t="shared" si="361"/>
        <v>-63.038458502234313</v>
      </c>
      <c r="BH402" s="58" t="str">
        <f t="shared" si="362"/>
        <v>0,229053081364504+0,273294509306784i</v>
      </c>
      <c r="BI402" s="37">
        <f t="shared" si="363"/>
        <v>-8.956658647887199</v>
      </c>
      <c r="BJ402" s="60">
        <f t="shared" si="364"/>
        <v>50.033016730389285</v>
      </c>
      <c r="BK402">
        <f t="shared" si="365"/>
        <v>-29.543002167558406</v>
      </c>
      <c r="BL402" s="60">
        <f t="shared" si="366"/>
        <v>-63.038458502234313</v>
      </c>
      <c r="BN402">
        <f t="shared" si="367"/>
        <v>0</v>
      </c>
      <c r="BO402">
        <f t="shared" si="368"/>
        <v>0</v>
      </c>
    </row>
    <row r="403" spans="13:67" x14ac:dyDescent="0.25">
      <c r="M403" s="66">
        <v>85</v>
      </c>
      <c r="N403" s="36">
        <f t="shared" si="369"/>
        <v>70794.578438413781</v>
      </c>
      <c r="O403" s="91" t="str">
        <f t="shared" ref="O403:O466" si="370">COMPLEX(adc,0)</f>
        <v>22,5</v>
      </c>
      <c r="P403" s="67" t="str">
        <f t="shared" ref="P403:P466" si="371">IMSUM(COMPLEX(1,0),IMDIV(COMPLEX(0,2*PI()*N403),COMPLEX(wp_lf,0)))</f>
        <v>1+480,400691477991i</v>
      </c>
      <c r="Q403" s="67">
        <f t="shared" si="329"/>
        <v>480.40173227469938</v>
      </c>
      <c r="R403" s="67">
        <f t="shared" si="330"/>
        <v>1.5687147341298646</v>
      </c>
      <c r="S403" s="67" t="str">
        <f t="shared" ref="S403:S466" si="372">IMSUM(COMPLEX(1,0),IMDIV(COMPLEX(0,2*PI()*N403),COMPLEX(wz_esr,0)))</f>
        <v>1+13,3444636521664i</v>
      </c>
      <c r="T403" s="67">
        <f t="shared" si="331"/>
        <v>13.3818799189049</v>
      </c>
      <c r="U403" s="67">
        <f t="shared" si="332"/>
        <v>1.4959986852894627</v>
      </c>
      <c r="V403" t="str">
        <f t="shared" ref="V403:V466" si="373">IMSUB(COMPLEX(1,0),IMDIV(COMPLEX(0,2*PI()*N403),COMPLEX(wz_rhp,0)))</f>
        <v>1-2,78009659420134i</v>
      </c>
      <c r="W403" s="67">
        <f t="shared" si="333"/>
        <v>2.9544774619363556</v>
      </c>
      <c r="X403" s="67">
        <f t="shared" si="334"/>
        <v>-1.2255065895934036</v>
      </c>
      <c r="Y403" t="str">
        <f t="shared" ref="Y403:Y466" si="374">IMSUM(COMPLEX(1,0),IMDIV(COMPLEX(0,2*PI()*N403),COMPLEX(Q*(wsl/2),0)),IMDIV(IMPOWER(COMPLEX(0,2*PI()*N403),2),IMPOWER(COMPLEX(wsl/2,0),2)))</f>
        <v>0,679240170478545+7,71013455458504i</v>
      </c>
      <c r="Z403" s="67">
        <f t="shared" si="335"/>
        <v>7.7399962570403069</v>
      </c>
      <c r="AA403" s="67">
        <f t="shared" si="336"/>
        <v>1.4829261231982707</v>
      </c>
      <c r="AB403" s="92" t="str">
        <f t="shared" si="337"/>
        <v>-0,223867151906983-0,0843777052150578i</v>
      </c>
      <c r="AC403" s="37">
        <f t="shared" si="338"/>
        <v>-12.423299750147645</v>
      </c>
      <c r="AD403" s="60">
        <f t="shared" si="339"/>
        <v>-159.34808623955331</v>
      </c>
      <c r="AE403" t="str">
        <f t="shared" si="340"/>
        <v>34,4450883806789</v>
      </c>
      <c r="AF403" t="str">
        <f t="shared" ref="AF403:AF466" si="375">IMSUM(COMPLEX(1,0),IMDIV(COMPLEX(0,2*PI()*N403),COMPLEX(wp_lf_DCM,0)))</f>
        <v>1+240,200345738996i</v>
      </c>
      <c r="AG403">
        <f t="shared" si="341"/>
        <v>240.20242732564802</v>
      </c>
      <c r="AH403">
        <f t="shared" si="342"/>
        <v>1.5666331595038749</v>
      </c>
      <c r="AI403" t="str">
        <f t="shared" ref="AI403:AI466" si="376">IMSUM(COMPLEX(1,0),IMDIV(COMPLEX(0,2*PI()*N403),COMPLEX(wz1_dcm,0)))</f>
        <v>1+13,3444636521664i</v>
      </c>
      <c r="AJ403">
        <f t="shared" si="343"/>
        <v>13.3818799189049</v>
      </c>
      <c r="AK403">
        <f t="shared" si="344"/>
        <v>1.4959986852894627</v>
      </c>
      <c r="AL403" t="str">
        <f t="shared" ref="AL403:AL466" si="377">IMSUB(COMPLEX(1,0),IMDIV(COMPLEX(0,2*PI()*N403),COMPLEX(wz2_dcm,0)))</f>
        <v>1-0,907975745525682i</v>
      </c>
      <c r="AM403">
        <f t="shared" si="345"/>
        <v>1.3507109070644681</v>
      </c>
      <c r="AN403">
        <f t="shared" si="346"/>
        <v>-0.73720415644203019</v>
      </c>
      <c r="AO403" s="58" t="str">
        <f t="shared" si="347"/>
        <v>1,79121052070456-1,87346127507911i</v>
      </c>
      <c r="AP403">
        <f t="shared" si="348"/>
        <v>8.2725889385917721</v>
      </c>
      <c r="AQ403" s="60">
        <f t="shared" si="349"/>
        <v>-46.285744064241896</v>
      </c>
      <c r="AR403" t="str">
        <f t="shared" ref="AR403:AR466" si="378">COMPLEX(adc_ea,0)</f>
        <v>-1,36472945891784</v>
      </c>
      <c r="AS403" t="str">
        <f t="shared" ref="AS403:AS466" si="379">IMSUM(COMPLEX(1,0), IMDIV(COMPLEX(0,2*PI()*N403), COMPLEX(wp0_ea,0)))</f>
        <v>1+9,99633772183788i</v>
      </c>
      <c r="AT403">
        <f t="shared" si="350"/>
        <v>10.046231524757877</v>
      </c>
      <c r="AU403">
        <f t="shared" si="351"/>
        <v>1.471091400971152</v>
      </c>
      <c r="AV403" t="str">
        <f t="shared" ref="AV403:AV466" si="380">IMSUM(COMPLEX(1,0),IMDIV(COMPLEX(0,2*PI()*N403),COMPLEX(wp1_ea,0)))</f>
        <v>1+9,99633772183788i</v>
      </c>
      <c r="AW403">
        <f t="shared" si="352"/>
        <v>10.046231524757877</v>
      </c>
      <c r="AX403">
        <f t="shared" si="353"/>
        <v>1.471091400971152</v>
      </c>
      <c r="AY403" t="str">
        <f t="shared" ref="AY403:AY466" si="381">IMSUM(COMPLEX(1,0),IMDIV(COMPLEX(wz_ea,0),COMPLEX(0,2*PI()*N403)))</f>
        <v>1-0,00150054954298225i</v>
      </c>
      <c r="AZ403">
        <f t="shared" si="354"/>
        <v>1.0000011258238317</v>
      </c>
      <c r="BA403">
        <f t="shared" si="355"/>
        <v>-1.5005484167468467E-3</v>
      </c>
      <c r="BB403" s="58" t="str">
        <f t="shared" si="356"/>
        <v>-0,0133191475926857+0,135190541669364i</v>
      </c>
      <c r="BC403">
        <f t="shared" si="357"/>
        <v>-17.339122548625944</v>
      </c>
      <c r="BD403" s="60">
        <f t="shared" si="358"/>
        <v>95.626696355130861</v>
      </c>
      <c r="BE403" s="58" t="str">
        <f t="shared" si="359"/>
        <v>0,0143887873102449-0,0291408824189913i</v>
      </c>
      <c r="BF403" s="37">
        <f t="shared" si="360"/>
        <v>-29.762422298773593</v>
      </c>
      <c r="BG403" s="60">
        <f t="shared" si="361"/>
        <v>-63.7213898844224</v>
      </c>
      <c r="BH403" s="58" t="str">
        <f t="shared" si="362"/>
        <v>0,229416847279687+0,267107627769873i</v>
      </c>
      <c r="BI403" s="37">
        <f t="shared" si="363"/>
        <v>-9.0665336100341634</v>
      </c>
      <c r="BJ403" s="60">
        <f t="shared" si="364"/>
        <v>49.340952290888957</v>
      </c>
      <c r="BK403">
        <f t="shared" si="365"/>
        <v>-29.762422298773593</v>
      </c>
      <c r="BL403" s="60">
        <f t="shared" si="366"/>
        <v>-63.7213898844224</v>
      </c>
      <c r="BN403">
        <f t="shared" si="367"/>
        <v>0</v>
      </c>
      <c r="BO403">
        <f t="shared" si="368"/>
        <v>0</v>
      </c>
    </row>
    <row r="404" spans="13:67" x14ac:dyDescent="0.25">
      <c r="M404" s="66">
        <v>86</v>
      </c>
      <c r="N404" s="36">
        <f t="shared" si="369"/>
        <v>72443.596007499116</v>
      </c>
      <c r="O404" s="91" t="str">
        <f t="shared" si="370"/>
        <v>22,5</v>
      </c>
      <c r="P404" s="67" t="str">
        <f t="shared" si="371"/>
        <v>1+491,590661076258i</v>
      </c>
      <c r="Q404" s="67">
        <f t="shared" ref="Q404:Q467" si="382">IMABS(P404)</f>
        <v>491.59167818159045</v>
      </c>
      <c r="R404" s="67">
        <f t="shared" ref="R404:R467" si="383">IMARGUMENT(P404)</f>
        <v>1.5687621168315227</v>
      </c>
      <c r="S404" s="67" t="str">
        <f t="shared" si="372"/>
        <v>1+13,6552961410072i</v>
      </c>
      <c r="T404" s="67">
        <f t="shared" ref="T404:T467" si="384">IMABS(S404)</f>
        <v>13.69186301051125</v>
      </c>
      <c r="U404" s="67">
        <f t="shared" ref="U404:U467" si="385">IMARGUMENT(S404)</f>
        <v>1.4976951582438622</v>
      </c>
      <c r="V404" t="str">
        <f t="shared" si="373"/>
        <v>1-2,84485336270983i</v>
      </c>
      <c r="W404" s="67">
        <f t="shared" ref="W404:W467" si="386">IMABS(V404)</f>
        <v>3.0154917766960381</v>
      </c>
      <c r="X404" s="67">
        <f t="shared" ref="X404:X467" si="387">IMARGUMENT(V404)</f>
        <v>-1.2327751794349029</v>
      </c>
      <c r="Y404" t="str">
        <f t="shared" si="374"/>
        <v>0,664123225440144+7,88972665924858i</v>
      </c>
      <c r="Z404" s="67">
        <f t="shared" ref="Z404:Z467" si="388">IMABS(Y404)</f>
        <v>7.9176288379935293</v>
      </c>
      <c r="AA404" s="67">
        <f t="shared" ref="AA404:AA467" si="389">IMARGUMENT(Y404)</f>
        <v>1.4868186010722482</v>
      </c>
      <c r="AB404" s="92" t="str">
        <f t="shared" ref="AB404:AB467" si="390">(IMDIV(IMPRODUCT(O404,S404,V404),IMPRODUCT(P404,Y404)))</f>
        <v>-0,224126671202673-0,0820493995854604i</v>
      </c>
      <c r="AC404" s="37">
        <f t="shared" ref="AC404:AC467" si="391">20*LOG(IMABS(AB404))</f>
        <v>-12.443928991737751</v>
      </c>
      <c r="AD404" s="60">
        <f t="shared" ref="AD404:AD467" si="392">(180/PI())*IMARGUMENT(AB404)</f>
        <v>-159.89308240299167</v>
      </c>
      <c r="AE404" t="str">
        <f t="shared" ref="AE404:AE467" si="393">COMPLEX($B$67,0)</f>
        <v>34,4450883806789</v>
      </c>
      <c r="AF404" t="str">
        <f t="shared" si="375"/>
        <v>1+245,795330538129i</v>
      </c>
      <c r="AG404">
        <f t="shared" ref="AG404:AG467" si="394">IMABS(AF404)</f>
        <v>245.79736474248068</v>
      </c>
      <c r="AH404">
        <f t="shared" ref="AH404:AH467" si="395">IMARGUMENT(AF404)</f>
        <v>1.5667279237031726</v>
      </c>
      <c r="AI404" t="str">
        <f t="shared" si="376"/>
        <v>1+13,6552961410072i</v>
      </c>
      <c r="AJ404">
        <f t="shared" ref="AJ404:AJ467" si="396">IMABS(AI404)</f>
        <v>13.69186301051125</v>
      </c>
      <c r="AK404">
        <f t="shared" ref="AK404:AK467" si="397">IMARGUMENT(AI404)</f>
        <v>1.4976951582438622</v>
      </c>
      <c r="AL404" t="str">
        <f t="shared" si="377"/>
        <v>1-0,929125217557326i</v>
      </c>
      <c r="AM404">
        <f t="shared" ref="AM404:AM467" si="398">IMABS(AL404)</f>
        <v>1.3650178276861253</v>
      </c>
      <c r="AN404">
        <f t="shared" ref="AN404:AN467" si="399">IMARGUMENT(AL404)</f>
        <v>-0.74867534252021861</v>
      </c>
      <c r="AO404" s="58" t="str">
        <f t="shared" ref="AO404:AO467" si="400">(IMDIV(IMPRODUCT(AE404,AI404,AL404),IMPRODUCT(AF404)))</f>
        <v>1,79118504862638-1,91083887621821i</v>
      </c>
      <c r="AP404">
        <f t="shared" ref="AP404:AP467" si="401">20*LOG(IMABS(AO404))</f>
        <v>8.3630189960133592</v>
      </c>
      <c r="AQ404" s="60">
        <f t="shared" ref="AQ404:AQ467" si="402">(180/PI())*IMARGUMENT(AO404)</f>
        <v>-46.851223460854726</v>
      </c>
      <c r="AR404" t="str">
        <f t="shared" si="378"/>
        <v>-1,36472945891784</v>
      </c>
      <c r="AS404" t="str">
        <f t="shared" si="379"/>
        <v>1+10,2291823392285i</v>
      </c>
      <c r="AT404">
        <f t="shared" ref="AT404:AT467" si="403">IMABS(AS404)</f>
        <v>10.277945871096239</v>
      </c>
      <c r="AU404">
        <f t="shared" ref="AU404:AU467" si="404">IMARGUMENT(AS404)</f>
        <v>1.4733464555742568</v>
      </c>
      <c r="AV404" t="str">
        <f t="shared" si="380"/>
        <v>1+10,2291823392285i</v>
      </c>
      <c r="AW404">
        <f t="shared" ref="AW404:AW467" si="405">IMABS(AV404)</f>
        <v>10.277945871096239</v>
      </c>
      <c r="AX404">
        <f t="shared" ref="AX404:AX467" si="406">IMARGUMENT(AV404)</f>
        <v>1.4733464555742568</v>
      </c>
      <c r="AY404" t="str">
        <f t="shared" si="381"/>
        <v>1-0,00146639286529048i</v>
      </c>
      <c r="AZ404">
        <f t="shared" ref="AZ404:AZ467" si="407">IMABS(AY404)</f>
        <v>1.0000010751534398</v>
      </c>
      <c r="BA404">
        <f t="shared" ref="BA404:BA467" si="408">IMARGUMENT(AY404)</f>
        <v>-1.4663918142263823E-3</v>
      </c>
      <c r="BB404" s="58" t="str">
        <f t="shared" ref="BB404:BB467" si="409">IMDIV(IMPRODUCT(AR404,AY404), AS404)</f>
        <v>-0,0127253619675886+0,132171277440756i</v>
      </c>
      <c r="BC404">
        <f t="shared" ref="BC404:BC467" si="410">20*LOG(IMABS(BB404))</f>
        <v>-17.53718585833267</v>
      </c>
      <c r="BD404" s="60">
        <f t="shared" ref="BD404:BD467" si="411">(180/PI())*IMARGUMENT(BB404)</f>
        <v>95.499448272968337</v>
      </c>
      <c r="BE404" s="58" t="str">
        <f t="shared" ref="BE404:BE467" si="412">IMPRODUCT(AB404,BB404)</f>
        <v>0,0136966669741021-0,0285790001324533i</v>
      </c>
      <c r="BF404" s="37">
        <f t="shared" ref="BF404:BF467" si="413">20*LOG(IMABS(BE404))</f>
        <v>-29.981114850070419</v>
      </c>
      <c r="BG404" s="60">
        <f t="shared" ref="BG404:BG467" si="414">(180/PI())*IMARGUMENT(BE404)</f>
        <v>-64.393634130023287</v>
      </c>
      <c r="BH404" s="58" t="str">
        <f t="shared" ref="BH404:BH467" si="415">IMPRODUCT(AO404,BB404)</f>
        <v>0,229764537158516+0,261059332371348i</v>
      </c>
      <c r="BI404" s="37">
        <f t="shared" ref="BI404:BI467" si="416">20*LOG(IMABS(BH404))</f>
        <v>-9.174166862319316</v>
      </c>
      <c r="BJ404" s="60">
        <f t="shared" ref="BJ404:BJ467" si="417">(180/PI())*IMARGUMENT(BH404)</f>
        <v>48.64822481211359</v>
      </c>
      <c r="BK404">
        <f t="shared" ref="BK404:BK467" si="418">IF($B$19=0,BF404,BI404)</f>
        <v>-29.981114850070419</v>
      </c>
      <c r="BL404" s="60">
        <f t="shared" ref="BL404:BL467" si="419">IF($B$19=0,BG404,BJ404)</f>
        <v>-64.393634130023287</v>
      </c>
      <c r="BN404">
        <f t="shared" si="367"/>
        <v>0</v>
      </c>
      <c r="BO404">
        <f t="shared" si="368"/>
        <v>0</v>
      </c>
    </row>
    <row r="405" spans="13:67" x14ac:dyDescent="0.25">
      <c r="M405" s="66">
        <v>87</v>
      </c>
      <c r="N405" s="36">
        <f t="shared" si="369"/>
        <v>74131.024130091857</v>
      </c>
      <c r="O405" s="91" t="str">
        <f t="shared" si="370"/>
        <v>22,5</v>
      </c>
      <c r="P405" s="67" t="str">
        <f t="shared" si="371"/>
        <v>1+503,041278549998i</v>
      </c>
      <c r="Q405" s="67">
        <f t="shared" si="382"/>
        <v>503.04227250323282</v>
      </c>
      <c r="R405" s="67">
        <f t="shared" si="383"/>
        <v>1.5688084209800386</v>
      </c>
      <c r="S405" s="67" t="str">
        <f t="shared" si="372"/>
        <v>1+13,9733688486111i</v>
      </c>
      <c r="T405" s="67">
        <f t="shared" si="384"/>
        <v>14.009105502469996</v>
      </c>
      <c r="U405" s="67">
        <f t="shared" si="385"/>
        <v>1.4993534221715876</v>
      </c>
      <c r="V405" t="str">
        <f t="shared" si="373"/>
        <v>1-2,91111851012731i</v>
      </c>
      <c r="W405" s="67">
        <f t="shared" si="386"/>
        <v>3.0780856030990833</v>
      </c>
      <c r="X405" s="67">
        <f t="shared" si="387"/>
        <v>-1.2399143871114893</v>
      </c>
      <c r="Y405" t="str">
        <f t="shared" si="374"/>
        <v>0,648293840731118+8,07350200141973i</v>
      </c>
      <c r="Z405" s="67">
        <f t="shared" si="388"/>
        <v>8.0994888400971501</v>
      </c>
      <c r="AA405" s="67">
        <f t="shared" si="389"/>
        <v>1.4906692860709227</v>
      </c>
      <c r="AB405" s="92" t="str">
        <f t="shared" si="390"/>
        <v>-0,224373153852973-0,0797615760142206i</v>
      </c>
      <c r="AC405" s="37">
        <f t="shared" si="391"/>
        <v>-12.463769512572384</v>
      </c>
      <c r="AD405" s="60">
        <f t="shared" si="392"/>
        <v>-160.43039837849233</v>
      </c>
      <c r="AE405" t="str">
        <f t="shared" si="393"/>
        <v>34,4450883806789</v>
      </c>
      <c r="AF405" t="str">
        <f t="shared" si="375"/>
        <v>1+251,520639275i</v>
      </c>
      <c r="AG405">
        <f t="shared" si="394"/>
        <v>251.52262717557775</v>
      </c>
      <c r="AH405">
        <f t="shared" si="395"/>
        <v>1.5668205308765477</v>
      </c>
      <c r="AI405" t="str">
        <f t="shared" si="376"/>
        <v>1+13,9733688486111i</v>
      </c>
      <c r="AJ405">
        <f t="shared" si="396"/>
        <v>14.009105502469996</v>
      </c>
      <c r="AK405">
        <f t="shared" si="397"/>
        <v>1.4993534221715876</v>
      </c>
      <c r="AL405" t="str">
        <f t="shared" si="377"/>
        <v>1-0,950767324077744i</v>
      </c>
      <c r="AM405">
        <f t="shared" si="398"/>
        <v>1.3798400286025747</v>
      </c>
      <c r="AN405">
        <f t="shared" si="399"/>
        <v>-0.76016592446448183</v>
      </c>
      <c r="AO405" s="58" t="str">
        <f t="shared" si="400"/>
        <v>1,79116072294345-1,94922962009173i</v>
      </c>
      <c r="AP405">
        <f t="shared" si="401"/>
        <v>8.4557877652693172</v>
      </c>
      <c r="AQ405" s="60">
        <f t="shared" si="402"/>
        <v>-47.419879786219781</v>
      </c>
      <c r="AR405" t="str">
        <f t="shared" si="378"/>
        <v>-1,36472945891784</v>
      </c>
      <c r="AS405" t="str">
        <f t="shared" si="379"/>
        <v>1+10,4674506044946i</v>
      </c>
      <c r="AT405">
        <f t="shared" si="403"/>
        <v>10.515109231840361</v>
      </c>
      <c r="AU405">
        <f t="shared" si="404"/>
        <v>1.4755511400298531</v>
      </c>
      <c r="AV405" t="str">
        <f t="shared" si="380"/>
        <v>1+10,4674506044946i</v>
      </c>
      <c r="AW405">
        <f t="shared" si="405"/>
        <v>10.515109231840361</v>
      </c>
      <c r="AX405">
        <f t="shared" si="406"/>
        <v>1.4755511400298531</v>
      </c>
      <c r="AY405" t="str">
        <f t="shared" si="381"/>
        <v>1-0,0014330136885059i</v>
      </c>
      <c r="AZ405">
        <f t="shared" si="407"/>
        <v>1.0000010267635886</v>
      </c>
      <c r="BA405">
        <f t="shared" si="408"/>
        <v>-1.4330127075957535E-3</v>
      </c>
      <c r="BB405" s="58" t="str">
        <f t="shared" si="409"/>
        <v>-0,0121578062961274+0,129216912859463i</v>
      </c>
      <c r="BC405">
        <f t="shared" si="410"/>
        <v>-17.735335526530044</v>
      </c>
      <c r="BD405" s="60">
        <f t="shared" si="411"/>
        <v>95.37504164043844</v>
      </c>
      <c r="BE405" s="58" t="str">
        <f t="shared" si="412"/>
        <v>0,0130344299599586-0,0280230804783678i</v>
      </c>
      <c r="BF405" s="37">
        <f t="shared" si="413"/>
        <v>-30.19910503910242</v>
      </c>
      <c r="BG405" s="60">
        <f t="shared" si="414"/>
        <v>-65.055356738053931</v>
      </c>
      <c r="BH405" s="58" t="str">
        <f t="shared" si="415"/>
        <v>0,230096848847699+0,255146615201626i</v>
      </c>
      <c r="BI405" s="37">
        <f t="shared" si="416"/>
        <v>-9.2795477612607264</v>
      </c>
      <c r="BJ405" s="60">
        <f t="shared" si="417"/>
        <v>47.955161854218737</v>
      </c>
      <c r="BK405">
        <f t="shared" si="418"/>
        <v>-30.19910503910242</v>
      </c>
      <c r="BL405" s="60">
        <f t="shared" si="419"/>
        <v>-65.055356738053931</v>
      </c>
      <c r="BN405">
        <f t="shared" ref="BN405:BN468" si="420">SUM((BK406&lt;0)*(BK405&gt;0))*N405</f>
        <v>0</v>
      </c>
      <c r="BO405">
        <f t="shared" ref="BO405:BO468" si="421">IF(BN405&gt;0,BL405,0)</f>
        <v>0</v>
      </c>
    </row>
    <row r="406" spans="13:67" x14ac:dyDescent="0.25">
      <c r="M406" s="66">
        <v>88</v>
      </c>
      <c r="N406" s="36">
        <f t="shared" si="369"/>
        <v>75857.757502918481</v>
      </c>
      <c r="O406" s="91" t="str">
        <f t="shared" si="370"/>
        <v>22,5</v>
      </c>
      <c r="P406" s="67" t="str">
        <f t="shared" si="371"/>
        <v>1+514,758615168163i</v>
      </c>
      <c r="Q406" s="67">
        <f t="shared" si="382"/>
        <v>514.75958649630309</v>
      </c>
      <c r="R406" s="67">
        <f t="shared" si="383"/>
        <v>1.5688536711256902</v>
      </c>
      <c r="S406" s="67" t="str">
        <f t="shared" si="372"/>
        <v>1+14,2988504213379i</v>
      </c>
      <c r="T406" s="67">
        <f t="shared" si="384"/>
        <v>14.333775614673023</v>
      </c>
      <c r="U406" s="67">
        <f t="shared" si="385"/>
        <v>1.5009743198059937</v>
      </c>
      <c r="V406" t="str">
        <f t="shared" si="373"/>
        <v>1-2,97892717111206i</v>
      </c>
      <c r="W406" s="67">
        <f t="shared" si="386"/>
        <v>3.1422932852917627</v>
      </c>
      <c r="X406" s="67">
        <f t="shared" si="387"/>
        <v>-1.2469250860100818</v>
      </c>
      <c r="Y406" t="str">
        <f t="shared" si="374"/>
        <v>0,631718440104218+8,26155802121744i</v>
      </c>
      <c r="Z406" s="67">
        <f t="shared" si="388"/>
        <v>8.2856749348203333</v>
      </c>
      <c r="AA406" s="67">
        <f t="shared" si="389"/>
        <v>1.4944800256177548</v>
      </c>
      <c r="AB406" s="92" t="str">
        <f t="shared" si="390"/>
        <v>-0,22460707179694-0,0775132274259511i</v>
      </c>
      <c r="AC406" s="37">
        <f t="shared" si="391"/>
        <v>-12.482849944250896</v>
      </c>
      <c r="AD406" s="60">
        <f t="shared" si="392"/>
        <v>-160.96014317856978</v>
      </c>
      <c r="AE406" t="str">
        <f t="shared" si="393"/>
        <v>34,4450883806789</v>
      </c>
      <c r="AF406" t="str">
        <f t="shared" si="375"/>
        <v>1+257,379307584082i</v>
      </c>
      <c r="AG406">
        <f t="shared" si="394"/>
        <v>257.38125023486367</v>
      </c>
      <c r="AH406">
        <f t="shared" si="395"/>
        <v>1.5669110301191922</v>
      </c>
      <c r="AI406" t="str">
        <f t="shared" si="376"/>
        <v>1+14,2988504213379i</v>
      </c>
      <c r="AJ406">
        <f t="shared" si="396"/>
        <v>14.333775614673023</v>
      </c>
      <c r="AK406">
        <f t="shared" si="397"/>
        <v>1.5009743198059937</v>
      </c>
      <c r="AL406" t="str">
        <f t="shared" si="377"/>
        <v>1-0,972913540018278i</v>
      </c>
      <c r="AM406">
        <f t="shared" si="398"/>
        <v>1.3951920141510621</v>
      </c>
      <c r="AN406">
        <f t="shared" si="399"/>
        <v>-0.77166985864298421</v>
      </c>
      <c r="AO406" s="58" t="str">
        <f t="shared" si="400"/>
        <v>1,79113749206277-1,98865386260302i</v>
      </c>
      <c r="AP406">
        <f t="shared" si="401"/>
        <v>8.550899613039503</v>
      </c>
      <c r="AQ406" s="60">
        <f t="shared" si="402"/>
        <v>-47.991321293622825</v>
      </c>
      <c r="AR406" t="str">
        <f t="shared" si="378"/>
        <v>-1,36472945891784</v>
      </c>
      <c r="AS406" t="str">
        <f t="shared" si="379"/>
        <v>1+10,7112688506242i</v>
      </c>
      <c r="AT406">
        <f t="shared" si="403"/>
        <v>10.757847386459444</v>
      </c>
      <c r="AU406">
        <f t="shared" si="404"/>
        <v>1.4777065375143486</v>
      </c>
      <c r="AV406" t="str">
        <f t="shared" si="380"/>
        <v>1+10,7112688506242i</v>
      </c>
      <c r="AW406">
        <f t="shared" si="405"/>
        <v>10.757847386459444</v>
      </c>
      <c r="AX406">
        <f t="shared" si="406"/>
        <v>1.4777065375143486</v>
      </c>
      <c r="AY406" t="str">
        <f t="shared" si="381"/>
        <v>1-0,00140039431454714i</v>
      </c>
      <c r="AZ406">
        <f t="shared" si="407"/>
        <v>1.0000009805516372</v>
      </c>
      <c r="BA406">
        <f t="shared" si="408"/>
        <v>-1.4003933991084763E-3</v>
      </c>
      <c r="BB406" s="58" t="str">
        <f t="shared" si="409"/>
        <v>-0,0116153429954287+0,126326220991415i</v>
      </c>
      <c r="BC406">
        <f t="shared" si="410"/>
        <v>-17.933567736818926</v>
      </c>
      <c r="BD406" s="60">
        <f t="shared" si="411"/>
        <v>95.253415410110662</v>
      </c>
      <c r="BE406" s="58" t="str">
        <f t="shared" si="412"/>
        <v>0,0124008412756888-0,0274734198648198i</v>
      </c>
      <c r="BF406" s="37">
        <f t="shared" si="413"/>
        <v>-30.416417681069817</v>
      </c>
      <c r="BG406" s="60">
        <f t="shared" si="414"/>
        <v>-65.706727768459231</v>
      </c>
      <c r="BH406" s="58" t="str">
        <f t="shared" si="415"/>
        <v>0,230414451000339+0,249366527361649i</v>
      </c>
      <c r="BI406" s="37">
        <f t="shared" si="416"/>
        <v>-9.3826681237794158</v>
      </c>
      <c r="BJ406" s="60">
        <f t="shared" si="417"/>
        <v>47.262094116487916</v>
      </c>
      <c r="BK406">
        <f t="shared" si="418"/>
        <v>-30.416417681069817</v>
      </c>
      <c r="BL406" s="60">
        <f t="shared" si="419"/>
        <v>-65.706727768459231</v>
      </c>
      <c r="BN406">
        <f t="shared" si="420"/>
        <v>0</v>
      </c>
      <c r="BO406">
        <f t="shared" si="421"/>
        <v>0</v>
      </c>
    </row>
    <row r="407" spans="13:67" x14ac:dyDescent="0.25">
      <c r="M407" s="66">
        <v>89</v>
      </c>
      <c r="N407" s="36">
        <f t="shared" si="369"/>
        <v>77624.711662869129</v>
      </c>
      <c r="O407" s="91" t="str">
        <f t="shared" si="370"/>
        <v>22,5</v>
      </c>
      <c r="P407" s="67" t="str">
        <f t="shared" si="371"/>
        <v>1+526,748883617726i</v>
      </c>
      <c r="Q407" s="67">
        <f t="shared" si="382"/>
        <v>526.74983283577865</v>
      </c>
      <c r="R407" s="67">
        <f t="shared" si="383"/>
        <v>1.5688978912599616</v>
      </c>
      <c r="S407" s="67" t="str">
        <f t="shared" si="372"/>
        <v>1+14,6319134338257i</v>
      </c>
      <c r="T407" s="67">
        <f t="shared" si="384"/>
        <v>14.666045504326277</v>
      </c>
      <c r="U407" s="67">
        <f t="shared" si="385"/>
        <v>1.5025586764805432</v>
      </c>
      <c r="V407" t="str">
        <f t="shared" si="373"/>
        <v>1-3,04831529871369i</v>
      </c>
      <c r="W407" s="67">
        <f t="shared" si="386"/>
        <v>3.2081499591465374</v>
      </c>
      <c r="X407" s="67">
        <f t="shared" si="387"/>
        <v>-1.2538082357890967</v>
      </c>
      <c r="Y407" t="str">
        <f t="shared" si="374"/>
        <v>0,614361864912411+8,45399442843264i</v>
      </c>
      <c r="Z407" s="67">
        <f t="shared" si="388"/>
        <v>8.4762882381988849</v>
      </c>
      <c r="AA407" s="67">
        <f t="shared" si="389"/>
        <v>1.4982526574663599</v>
      </c>
      <c r="AB407" s="92" t="str">
        <f t="shared" si="390"/>
        <v>-0,224828874754151-0,0753033553415635i</v>
      </c>
      <c r="AC407" s="37">
        <f t="shared" si="391"/>
        <v>-12.501198327635446</v>
      </c>
      <c r="AD407" s="60">
        <f t="shared" si="392"/>
        <v>-161.48243116961368</v>
      </c>
      <c r="AE407" t="str">
        <f t="shared" si="393"/>
        <v>34,4450883806789</v>
      </c>
      <c r="AF407" t="str">
        <f t="shared" si="375"/>
        <v>1+263,374441808863i</v>
      </c>
      <c r="AG407">
        <f t="shared" si="394"/>
        <v>263.37634023983662</v>
      </c>
      <c r="AH407">
        <f t="shared" si="395"/>
        <v>1.5669994694090696</v>
      </c>
      <c r="AI407" t="str">
        <f t="shared" si="376"/>
        <v>1+14,6319134338257i</v>
      </c>
      <c r="AJ407">
        <f t="shared" si="396"/>
        <v>14.666045504326277</v>
      </c>
      <c r="AK407">
        <f t="shared" si="397"/>
        <v>1.5025586764805432</v>
      </c>
      <c r="AL407" t="str">
        <f t="shared" si="377"/>
        <v>1-0,995575607595764i</v>
      </c>
      <c r="AM407">
        <f t="shared" si="398"/>
        <v>1.4110885126170061</v>
      </c>
      <c r="AN407">
        <f t="shared" si="399"/>
        <v>-0.78318106616595462</v>
      </c>
      <c r="AO407" s="58" t="str">
        <f t="shared" si="400"/>
        <v>1,7911153067131-2,02913250758849i</v>
      </c>
      <c r="AP407">
        <f t="shared" si="401"/>
        <v>8.6483565866105696</v>
      </c>
      <c r="AQ407" s="60">
        <f t="shared" si="402"/>
        <v>-48.565155149146278</v>
      </c>
      <c r="AR407" t="str">
        <f t="shared" si="378"/>
        <v>-1,36472945891784</v>
      </c>
      <c r="AS407" t="str">
        <f t="shared" si="379"/>
        <v>1+10,9607663532789i</v>
      </c>
      <c r="AT407">
        <f t="shared" si="403"/>
        <v>11.006289068126952</v>
      </c>
      <c r="AU407">
        <f t="shared" si="404"/>
        <v>1.4798137106965605</v>
      </c>
      <c r="AV407" t="str">
        <f t="shared" si="380"/>
        <v>1+10,9607663532789i</v>
      </c>
      <c r="AW407">
        <f t="shared" si="405"/>
        <v>11.006289068126952</v>
      </c>
      <c r="AX407">
        <f t="shared" si="406"/>
        <v>1.4798137106965605</v>
      </c>
      <c r="AY407" t="str">
        <f t="shared" si="381"/>
        <v>1-0,00136851744819037i</v>
      </c>
      <c r="AZ407">
        <f t="shared" si="407"/>
        <v>1.0000009364195646</v>
      </c>
      <c r="BA407">
        <f t="shared" si="408"/>
        <v>-1.3685165938532547E-3</v>
      </c>
      <c r="BB407" s="58" t="str">
        <f t="shared" si="409"/>
        <v>-0,0110968819760135+0,123497986665585i</v>
      </c>
      <c r="BC407">
        <f t="shared" si="410"/>
        <v>-18.131878838454899</v>
      </c>
      <c r="BD407" s="60">
        <f t="shared" si="411"/>
        <v>95.134509686472242</v>
      </c>
      <c r="BE407" s="58" t="str">
        <f t="shared" si="412"/>
        <v>0,011794712261793-0,0269302809298035i</v>
      </c>
      <c r="BF407" s="37">
        <f t="shared" si="413"/>
        <v>-30.633077166090338</v>
      </c>
      <c r="BG407" s="60">
        <f t="shared" si="414"/>
        <v>-66.347921483141377</v>
      </c>
      <c r="BH407" s="58" t="str">
        <f t="shared" si="415"/>
        <v>0,230717984200842+0,243716178215381i</v>
      </c>
      <c r="BI407" s="37">
        <f t="shared" si="416"/>
        <v>-9.4835222518443381</v>
      </c>
      <c r="BJ407" s="60">
        <f t="shared" si="417"/>
        <v>46.569354537325907</v>
      </c>
      <c r="BK407">
        <f t="shared" si="418"/>
        <v>-30.633077166090338</v>
      </c>
      <c r="BL407" s="60">
        <f t="shared" si="419"/>
        <v>-66.347921483141377</v>
      </c>
      <c r="BN407">
        <f t="shared" si="420"/>
        <v>0</v>
      </c>
      <c r="BO407">
        <f t="shared" si="421"/>
        <v>0</v>
      </c>
    </row>
    <row r="408" spans="13:67" x14ac:dyDescent="0.25">
      <c r="M408" s="66">
        <v>90</v>
      </c>
      <c r="N408" s="36">
        <f t="shared" si="369"/>
        <v>79432.823472428237</v>
      </c>
      <c r="O408" s="91" t="str">
        <f t="shared" si="370"/>
        <v>22,5</v>
      </c>
      <c r="P408" s="67" t="str">
        <f t="shared" si="371"/>
        <v>1+539,018441297731i</v>
      </c>
      <c r="Q408" s="67">
        <f t="shared" si="382"/>
        <v>539.01936890898037</v>
      </c>
      <c r="R408" s="67">
        <f t="shared" si="383"/>
        <v>1.5689411048282618</v>
      </c>
      <c r="S408" s="67" t="str">
        <f t="shared" si="372"/>
        <v>1+14,9727344804925i</v>
      </c>
      <c r="T408" s="67">
        <f t="shared" si="384"/>
        <v>15.006091357289847</v>
      </c>
      <c r="U408" s="67">
        <f t="shared" si="385"/>
        <v>1.5041073004079979</v>
      </c>
      <c r="V408" t="str">
        <f t="shared" si="373"/>
        <v>1-3,11931968343594i</v>
      </c>
      <c r="W408" s="67">
        <f t="shared" si="386"/>
        <v>3.2756915739231145</v>
      </c>
      <c r="X408" s="67">
        <f t="shared" si="387"/>
        <v>-1.2605648762400408</v>
      </c>
      <c r="Y408" t="str">
        <f t="shared" si="374"/>
        <v>0,596187299532675+8,65091325539568i</v>
      </c>
      <c r="Z408" s="67">
        <f t="shared" si="388"/>
        <v>8.6714323758249297</v>
      </c>
      <c r="AA408" s="67">
        <f t="shared" si="389"/>
        <v>1.5019890098683479</v>
      </c>
      <c r="AB408" s="92" t="str">
        <f t="shared" si="390"/>
        <v>-0,225038990813657-0,0731309701552696i</v>
      </c>
      <c r="AC408" s="37">
        <f t="shared" si="391"/>
        <v>-12.518842100661566</v>
      </c>
      <c r="AD408" s="60">
        <f t="shared" si="392"/>
        <v>-161.99738171453274</v>
      </c>
      <c r="AE408" t="str">
        <f t="shared" si="393"/>
        <v>34,4450883806789</v>
      </c>
      <c r="AF408" t="str">
        <f t="shared" si="375"/>
        <v>1+269,509220648866i</v>
      </c>
      <c r="AG408">
        <f t="shared" si="394"/>
        <v>269.51107586657577</v>
      </c>
      <c r="AH408">
        <f t="shared" si="395"/>
        <v>1.5670858956323248</v>
      </c>
      <c r="AI408" t="str">
        <f t="shared" si="376"/>
        <v>1+14,9727344804925i</v>
      </c>
      <c r="AJ408">
        <f t="shared" si="396"/>
        <v>15.006091357289847</v>
      </c>
      <c r="AK408">
        <f t="shared" si="397"/>
        <v>1.5041073004079979</v>
      </c>
      <c r="AL408" t="str">
        <f t="shared" si="377"/>
        <v>1-1,0187655425384i</v>
      </c>
      <c r="AM408">
        <f t="shared" si="398"/>
        <v>1.4275444758968319</v>
      </c>
      <c r="AN408">
        <f t="shared" si="399"/>
        <v>-0.7946934488962667</v>
      </c>
      <c r="AO408" s="58" t="str">
        <f t="shared" si="400"/>
        <v>1,7910941198405-2,07068701790393i</v>
      </c>
      <c r="AP408">
        <f t="shared" si="401"/>
        <v>8.7481583923174302</v>
      </c>
      <c r="AQ408" s="60">
        <f t="shared" si="402"/>
        <v>-49.140988334468261</v>
      </c>
      <c r="AR408" t="str">
        <f t="shared" si="378"/>
        <v>-1,36472945891784</v>
      </c>
      <c r="AS408" t="str">
        <f t="shared" si="379"/>
        <v>1+11,216075399337i</v>
      </c>
      <c r="AT408">
        <f t="shared" si="403"/>
        <v>11.260566032114577</v>
      </c>
      <c r="AU408">
        <f t="shared" si="404"/>
        <v>1.481873701936457</v>
      </c>
      <c r="AV408" t="str">
        <f t="shared" si="380"/>
        <v>1+11,216075399337i</v>
      </c>
      <c r="AW408">
        <f t="shared" si="405"/>
        <v>11.260566032114577</v>
      </c>
      <c r="AX408">
        <f t="shared" si="406"/>
        <v>1.481873701936457</v>
      </c>
      <c r="AY408" t="str">
        <f t="shared" si="381"/>
        <v>1-0,00133736618789909i</v>
      </c>
      <c r="AZ408">
        <f t="shared" si="407"/>
        <v>1.0000008942737604</v>
      </c>
      <c r="BA408">
        <f t="shared" si="408"/>
        <v>-1.3373653905852626E-3</v>
      </c>
      <c r="BB408" s="58" t="str">
        <f t="shared" si="409"/>
        <v>-0,0106013788209844+0,120731007227082i</v>
      </c>
      <c r="BC408">
        <f t="shared" si="410"/>
        <v>-18.330265339419732</v>
      </c>
      <c r="BD408" s="60">
        <f t="shared" si="411"/>
        <v>95.018265715066278</v>
      </c>
      <c r="BE408" s="58" t="str">
        <f t="shared" si="412"/>
        <v>0,011214899277447-0,0263938949081367i</v>
      </c>
      <c r="BF408" s="37">
        <f t="shared" si="413"/>
        <v>-30.849107440081305</v>
      </c>
      <c r="BG408" s="60">
        <f t="shared" si="414"/>
        <v>-66.979115999466373</v>
      </c>
      <c r="BH408" s="58" t="str">
        <f t="shared" si="415"/>
        <v>0,231008062055117+0,238192734623342i</v>
      </c>
      <c r="BI408" s="37">
        <f t="shared" si="416"/>
        <v>-9.5821069471023019</v>
      </c>
      <c r="BJ408" s="60">
        <f t="shared" si="417"/>
        <v>45.877277380598144</v>
      </c>
      <c r="BK408">
        <f t="shared" si="418"/>
        <v>-30.849107440081305</v>
      </c>
      <c r="BL408" s="60">
        <f t="shared" si="419"/>
        <v>-66.979115999466373</v>
      </c>
      <c r="BN408">
        <f t="shared" si="420"/>
        <v>0</v>
      </c>
      <c r="BO408">
        <f t="shared" si="421"/>
        <v>0</v>
      </c>
    </row>
    <row r="409" spans="13:67" x14ac:dyDescent="0.25">
      <c r="M409" s="66">
        <v>91</v>
      </c>
      <c r="N409" s="36">
        <f t="shared" si="369"/>
        <v>81283.051616410012</v>
      </c>
      <c r="O409" s="91" t="str">
        <f t="shared" si="370"/>
        <v>22,5</v>
      </c>
      <c r="P409" s="67" t="str">
        <f t="shared" si="371"/>
        <v>1+551,573793690063i</v>
      </c>
      <c r="Q409" s="67">
        <f t="shared" si="382"/>
        <v>551.57470018633751</v>
      </c>
      <c r="R409" s="67">
        <f t="shared" si="383"/>
        <v>1.5689833347423501</v>
      </c>
      <c r="S409" s="67" t="str">
        <f t="shared" si="372"/>
        <v>1+15,3214942691684i</v>
      </c>
      <c r="T409" s="67">
        <f t="shared" si="384"/>
        <v>15.354093481549477</v>
      </c>
      <c r="U409" s="67">
        <f t="shared" si="385"/>
        <v>1.5056209829608229</v>
      </c>
      <c r="V409" t="str">
        <f t="shared" si="373"/>
        <v>1-3,19197797274342i</v>
      </c>
      <c r="W409" s="67">
        <f t="shared" si="386"/>
        <v>3.3449549142670358</v>
      </c>
      <c r="X409" s="67">
        <f t="shared" si="387"/>
        <v>-1.2671961213256184</v>
      </c>
      <c r="Y409" t="str">
        <f t="shared" si="374"/>
        <v>0,577156193275138+8,85241891107508i</v>
      </c>
      <c r="Z409" s="67">
        <f t="shared" si="388"/>
        <v>8.8712135499375471</v>
      </c>
      <c r="AA409" s="67">
        <f t="shared" si="389"/>
        <v>1.505690901780349</v>
      </c>
      <c r="AB409" s="92" t="str">
        <f t="shared" si="390"/>
        <v>-0,225237827007862-0,0709950913734657i</v>
      </c>
      <c r="AC409" s="37">
        <f t="shared" si="391"/>
        <v>-12.535808089186304</v>
      </c>
      <c r="AD409" s="60">
        <f t="shared" si="392"/>
        <v>-162.5051188276714</v>
      </c>
      <c r="AE409" t="str">
        <f t="shared" si="393"/>
        <v>34,4450883806789</v>
      </c>
      <c r="AF409" t="str">
        <f t="shared" si="375"/>
        <v>1+275,786896845032i</v>
      </c>
      <c r="AG409">
        <f t="shared" si="394"/>
        <v>275.7887098331118</v>
      </c>
      <c r="AH409">
        <f t="shared" si="395"/>
        <v>1.5671703546081179</v>
      </c>
      <c r="AI409" t="str">
        <f t="shared" si="376"/>
        <v>1+15,3214942691684i</v>
      </c>
      <c r="AJ409">
        <f t="shared" si="396"/>
        <v>15.354093481549477</v>
      </c>
      <c r="AK409">
        <f t="shared" si="397"/>
        <v>1.5056209829608229</v>
      </c>
      <c r="AL409" t="str">
        <f t="shared" si="377"/>
        <v>1-1,04249564045665i</v>
      </c>
      <c r="AM409">
        <f t="shared" si="398"/>
        <v>1.4445750795203138</v>
      </c>
      <c r="AN409">
        <f t="shared" si="399"/>
        <v>-0.80620090558412161</v>
      </c>
      <c r="AO409" s="58" t="str">
        <f t="shared" si="400"/>
        <v>1,79107388650859-2,11333942680695i</v>
      </c>
      <c r="AP409">
        <f t="shared" si="401"/>
        <v>8.8503023844228945</v>
      </c>
      <c r="AQ409" s="60">
        <f t="shared" si="402"/>
        <v>-49.718428556667362</v>
      </c>
      <c r="AR409" t="str">
        <f t="shared" si="378"/>
        <v>-1,36472945891784</v>
      </c>
      <c r="AS409" t="str">
        <f t="shared" si="379"/>
        <v>1+11,4773313570341i</v>
      </c>
      <c r="AT409">
        <f t="shared" si="403"/>
        <v>11.520813125780583</v>
      </c>
      <c r="AU409">
        <f t="shared" si="404"/>
        <v>1.4838875334963326</v>
      </c>
      <c r="AV409" t="str">
        <f t="shared" si="380"/>
        <v>1+11,4773313570341i</v>
      </c>
      <c r="AW409">
        <f t="shared" si="405"/>
        <v>11.520813125780583</v>
      </c>
      <c r="AX409">
        <f t="shared" si="406"/>
        <v>1.4838875334963326</v>
      </c>
      <c r="AY409" t="str">
        <f t="shared" si="381"/>
        <v>1-0,00130692401686277i</v>
      </c>
      <c r="AZ409">
        <f t="shared" si="407"/>
        <v>1.0000008540248282</v>
      </c>
      <c r="BA409">
        <f t="shared" si="408"/>
        <v>-1.3069232727661755E-3</v>
      </c>
      <c r="BB409" s="58" t="str">
        <f t="shared" si="409"/>
        <v>-0,0101278330204772+0,118024093211108i</v>
      </c>
      <c r="BC409">
        <f t="shared" si="410"/>
        <v>-18.528723899759893</v>
      </c>
      <c r="BD409" s="60">
        <f t="shared" si="411"/>
        <v>94.904625870905647</v>
      </c>
      <c r="BE409" s="58" t="str">
        <f t="shared" si="412"/>
        <v>0,0106603023836238-0,0258644638587393i</v>
      </c>
      <c r="BF409" s="37">
        <f t="shared" si="413"/>
        <v>-31.064531988946207</v>
      </c>
      <c r="BG409" s="60">
        <f t="shared" si="414"/>
        <v>-67.600492956765706</v>
      </c>
      <c r="BH409" s="58" t="str">
        <f t="shared" si="415"/>
        <v>0,231285272246277+0,232793420159563i</v>
      </c>
      <c r="BI409" s="37">
        <f t="shared" si="416"/>
        <v>-9.6784215153369999</v>
      </c>
      <c r="BJ409" s="60">
        <f t="shared" si="417"/>
        <v>45.186197314238271</v>
      </c>
      <c r="BK409">
        <f t="shared" si="418"/>
        <v>-31.064531988946207</v>
      </c>
      <c r="BL409" s="60">
        <f t="shared" si="419"/>
        <v>-67.600492956765706</v>
      </c>
      <c r="BN409">
        <f t="shared" si="420"/>
        <v>0</v>
      </c>
      <c r="BO409">
        <f t="shared" si="421"/>
        <v>0</v>
      </c>
    </row>
    <row r="410" spans="13:67" x14ac:dyDescent="0.25">
      <c r="M410" s="66">
        <v>92</v>
      </c>
      <c r="N410" s="36">
        <f t="shared" si="369"/>
        <v>83176.377110267174</v>
      </c>
      <c r="O410" s="91" t="str">
        <f t="shared" si="370"/>
        <v>22,5</v>
      </c>
      <c r="P410" s="67" t="str">
        <f t="shared" si="371"/>
        <v>1+564,421597808752i</v>
      </c>
      <c r="Q410" s="67">
        <f t="shared" si="382"/>
        <v>564.42248367068498</v>
      </c>
      <c r="R410" s="67">
        <f t="shared" si="383"/>
        <v>1.5690246033924835</v>
      </c>
      <c r="S410" s="67" t="str">
        <f t="shared" si="372"/>
        <v>1+15,6783777169098i</v>
      </c>
      <c r="T410" s="67">
        <f t="shared" si="384"/>
        <v>15.71023640287102</v>
      </c>
      <c r="U410" s="67">
        <f t="shared" si="385"/>
        <v>1.5071004989523045</v>
      </c>
      <c r="V410" t="str">
        <f t="shared" si="373"/>
        <v>1-3,26632869102287i</v>
      </c>
      <c r="W410" s="67">
        <f t="shared" si="386"/>
        <v>3.4159776225553902</v>
      </c>
      <c r="X410" s="67">
        <f t="shared" si="387"/>
        <v>-1.2737031534050693</v>
      </c>
      <c r="Y410" t="str">
        <f t="shared" si="374"/>
        <v>0,557228178611879+9,05861823643675i</v>
      </c>
      <c r="Z410" s="67">
        <f t="shared" si="388"/>
        <v>9.0757406087075658</v>
      </c>
      <c r="AA410" s="67">
        <f t="shared" si="389"/>
        <v>1.5093601431074377</v>
      </c>
      <c r="AB410" s="92" t="str">
        <f t="shared" si="390"/>
        <v>-0,225425769870207-0,0688947478180118i</v>
      </c>
      <c r="AC410" s="37">
        <f t="shared" si="391"/>
        <v>-12.552122500673679</v>
      </c>
      <c r="AD410" s="60">
        <f t="shared" si="392"/>
        <v>-163.00577084248218</v>
      </c>
      <c r="AE410" t="str">
        <f t="shared" si="393"/>
        <v>34,4450883806789</v>
      </c>
      <c r="AF410" t="str">
        <f t="shared" si="375"/>
        <v>1+282,210798904376i</v>
      </c>
      <c r="AG410">
        <f t="shared" si="394"/>
        <v>282.21257062407085</v>
      </c>
      <c r="AH410">
        <f t="shared" si="395"/>
        <v>1.5672528911128936</v>
      </c>
      <c r="AI410" t="str">
        <f t="shared" si="376"/>
        <v>1+15,6783777169098i</v>
      </c>
      <c r="AJ410">
        <f t="shared" si="396"/>
        <v>15.71023640287102</v>
      </c>
      <c r="AK410">
        <f t="shared" si="397"/>
        <v>1.5071004989523045</v>
      </c>
      <c r="AL410" t="str">
        <f t="shared" si="377"/>
        <v>1-1,06677848336252i</v>
      </c>
      <c r="AM410">
        <f t="shared" si="398"/>
        <v>1.4621957230703551</v>
      </c>
      <c r="AN410">
        <f t="shared" si="399"/>
        <v>-0.81769734802181271</v>
      </c>
      <c r="AO410" s="58" t="str">
        <f t="shared" si="400"/>
        <v>1,79105456380323-2,15711234964173i</v>
      </c>
      <c r="AP410">
        <f t="shared" si="401"/>
        <v>8.9547835644933915</v>
      </c>
      <c r="AQ410" s="60">
        <f t="shared" si="402"/>
        <v>-50.297085159107525</v>
      </c>
      <c r="AR410" t="str">
        <f t="shared" si="378"/>
        <v>-1,36472945891784</v>
      </c>
      <c r="AS410" t="str">
        <f t="shared" si="379"/>
        <v>1+11,7446727477371i</v>
      </c>
      <c r="AT410">
        <f t="shared" si="403"/>
        <v>11.787168360188909</v>
      </c>
      <c r="AU410">
        <f t="shared" si="404"/>
        <v>1.4858562077630924</v>
      </c>
      <c r="AV410" t="str">
        <f t="shared" si="380"/>
        <v>1+11,7446727477371i</v>
      </c>
      <c r="AW410">
        <f t="shared" si="405"/>
        <v>11.787168360188909</v>
      </c>
      <c r="AX410">
        <f t="shared" si="406"/>
        <v>1.4858562077630924</v>
      </c>
      <c r="AY410" t="str">
        <f t="shared" si="381"/>
        <v>1-0,00127717479423938i</v>
      </c>
      <c r="AZ410">
        <f t="shared" si="407"/>
        <v>1.000000815587395</v>
      </c>
      <c r="BA410">
        <f t="shared" si="408"/>
        <v>-1.2771740998080009E-3</v>
      </c>
      <c r="BB410" s="58" t="str">
        <f t="shared" si="409"/>
        <v>-0,00967528626109073+0,115376068943073i</v>
      </c>
      <c r="BC410">
        <f t="shared" si="410"/>
        <v>-18.727251325184138</v>
      </c>
      <c r="BD410" s="60">
        <f t="shared" si="411"/>
        <v>94.793533646238814</v>
      </c>
      <c r="BE410" s="58" t="str">
        <f t="shared" si="412"/>
        <v>0,0101298640281876-0,0253421627590654i</v>
      </c>
      <c r="BF410" s="37">
        <f t="shared" si="413"/>
        <v>-31.27937382585781</v>
      </c>
      <c r="BG410" s="60">
        <f t="shared" si="414"/>
        <v>-68.212237196243308</v>
      </c>
      <c r="BH410" s="58" t="str">
        <f t="shared" si="415"/>
        <v>0,231550177556189+0,227515514314285i</v>
      </c>
      <c r="BI410" s="37">
        <f t="shared" si="416"/>
        <v>-9.7724677606907449</v>
      </c>
      <c r="BJ410" s="60">
        <f t="shared" si="417"/>
        <v>44.496448487131346</v>
      </c>
      <c r="BK410">
        <f t="shared" si="418"/>
        <v>-31.27937382585781</v>
      </c>
      <c r="BL410" s="60">
        <f t="shared" si="419"/>
        <v>-68.212237196243308</v>
      </c>
      <c r="BN410">
        <f t="shared" si="420"/>
        <v>0</v>
      </c>
      <c r="BO410">
        <f t="shared" si="421"/>
        <v>0</v>
      </c>
    </row>
    <row r="411" spans="13:67" x14ac:dyDescent="0.25">
      <c r="M411" s="66">
        <v>93</v>
      </c>
      <c r="N411" s="36">
        <f t="shared" si="369"/>
        <v>85113.803820237721</v>
      </c>
      <c r="O411" s="91" t="str">
        <f t="shared" si="370"/>
        <v>22,5</v>
      </c>
      <c r="P411" s="67" t="str">
        <f t="shared" si="371"/>
        <v>1+577,568665729602i</v>
      </c>
      <c r="Q411" s="67">
        <f t="shared" si="382"/>
        <v>577.5695314268861</v>
      </c>
      <c r="R411" s="67">
        <f t="shared" si="383"/>
        <v>1.5690649326592838</v>
      </c>
      <c r="S411" s="67" t="str">
        <f t="shared" si="372"/>
        <v>1+16,0435740480445i</v>
      </c>
      <c r="T411" s="67">
        <f t="shared" si="384"/>
        <v>16.074708962686913</v>
      </c>
      <c r="U411" s="67">
        <f t="shared" si="385"/>
        <v>1.5085466069179032</v>
      </c>
      <c r="V411" t="str">
        <f t="shared" si="373"/>
        <v>1-3,34241126000927i</v>
      </c>
      <c r="W411" s="67">
        <f t="shared" si="386"/>
        <v>3.4887982215996316</v>
      </c>
      <c r="X411" s="67">
        <f t="shared" si="387"/>
        <v>-1.2800872176553644</v>
      </c>
      <c r="Y411" t="str">
        <f t="shared" si="374"/>
        <v>0,536360985552005+9,26962056109237i</v>
      </c>
      <c r="Z411" s="67">
        <f t="shared" si="388"/>
        <v>9.2851251178133687</v>
      </c>
      <c r="AA411" s="67">
        <f t="shared" si="389"/>
        <v>1.5129985349802859</v>
      </c>
      <c r="AB411" s="92" t="str">
        <f t="shared" si="390"/>
        <v>-0,225603185975615-0,0668289777963156i</v>
      </c>
      <c r="AC411" s="37">
        <f t="shared" si="391"/>
        <v>-12.567810920523172</v>
      </c>
      <c r="AD411" s="60">
        <f t="shared" si="392"/>
        <v>-163.49947009232284</v>
      </c>
      <c r="AE411" t="str">
        <f t="shared" si="393"/>
        <v>34,4450883806789</v>
      </c>
      <c r="AF411" t="str">
        <f t="shared" si="375"/>
        <v>1+288,784332864801i</v>
      </c>
      <c r="AG411">
        <f t="shared" si="394"/>
        <v>288.7860642554765</v>
      </c>
      <c r="AH411">
        <f t="shared" si="395"/>
        <v>1.567333548904098</v>
      </c>
      <c r="AI411" t="str">
        <f t="shared" si="376"/>
        <v>1+16,0435740480445i</v>
      </c>
      <c r="AJ411">
        <f t="shared" si="396"/>
        <v>16.074708962686913</v>
      </c>
      <c r="AK411">
        <f t="shared" si="397"/>
        <v>1.5085466069179032</v>
      </c>
      <c r="AL411" t="str">
        <f t="shared" si="377"/>
        <v>1-1,09162694634076i</v>
      </c>
      <c r="AM411">
        <f t="shared" si="398"/>
        <v>1.480422031036168</v>
      </c>
      <c r="AN411">
        <f t="shared" si="399"/>
        <v>-0.82917671711437824</v>
      </c>
      <c r="AO411" s="58" t="str">
        <f t="shared" si="400"/>
        <v>1,7910361107415-2,20202899583226i</v>
      </c>
      <c r="AP411">
        <f t="shared" si="401"/>
        <v>9.0615945912361422</v>
      </c>
      <c r="AQ411" s="60">
        <f t="shared" si="402"/>
        <v>-50.876570027456367</v>
      </c>
      <c r="AR411" t="str">
        <f t="shared" si="378"/>
        <v>-1,36472945891784</v>
      </c>
      <c r="AS411" t="str">
        <f t="shared" si="379"/>
        <v>1+12,0182413193901i</v>
      </c>
      <c r="AT411">
        <f t="shared" si="403"/>
        <v>12.059772983397966</v>
      </c>
      <c r="AU411">
        <f t="shared" si="404"/>
        <v>1.4877807074804221</v>
      </c>
      <c r="AV411" t="str">
        <f t="shared" si="380"/>
        <v>1+12,0182413193901i</v>
      </c>
      <c r="AW411">
        <f t="shared" si="405"/>
        <v>12.059772983397966</v>
      </c>
      <c r="AX411">
        <f t="shared" si="406"/>
        <v>1.4877807074804221</v>
      </c>
      <c r="AY411" t="str">
        <f t="shared" si="381"/>
        <v>1-0,0012481027465973i</v>
      </c>
      <c r="AZ411">
        <f t="shared" si="407"/>
        <v>1.0000007788799297</v>
      </c>
      <c r="BA411">
        <f t="shared" si="408"/>
        <v>-1.2481020985162005E-3</v>
      </c>
      <c r="BB411" s="58" t="str">
        <f t="shared" si="409"/>
        <v>-0,0092428207698443+0,112785773069897i</v>
      </c>
      <c r="BC411">
        <f t="shared" si="410"/>
        <v>-18.925844560910345</v>
      </c>
      <c r="BD411" s="60">
        <f t="shared" si="411"/>
        <v>94.684933637737714</v>
      </c>
      <c r="BE411" s="58" t="str">
        <f t="shared" si="412"/>
        <v>0,0096225677373069-0,0248271414732882i</v>
      </c>
      <c r="BF411" s="37">
        <f t="shared" si="413"/>
        <v>-31.493655481433525</v>
      </c>
      <c r="BG411" s="60">
        <f t="shared" si="414"/>
        <v>-68.814536454585067</v>
      </c>
      <c r="BH411" s="58" t="str">
        <f t="shared" si="415"/>
        <v>0,231803316853368+0,22235635168456i</v>
      </c>
      <c r="BI411" s="37">
        <f t="shared" si="416"/>
        <v>-9.864249969674189</v>
      </c>
      <c r="BJ411" s="60">
        <f t="shared" si="417"/>
        <v>43.808363610281383</v>
      </c>
      <c r="BK411">
        <f t="shared" si="418"/>
        <v>-31.493655481433525</v>
      </c>
      <c r="BL411" s="60">
        <f t="shared" si="419"/>
        <v>-68.814536454585067</v>
      </c>
      <c r="BN411">
        <f t="shared" si="420"/>
        <v>0</v>
      </c>
      <c r="BO411">
        <f t="shared" si="421"/>
        <v>0</v>
      </c>
    </row>
    <row r="412" spans="13:67" x14ac:dyDescent="0.25">
      <c r="M412" s="66">
        <v>94</v>
      </c>
      <c r="N412" s="36">
        <f t="shared" si="369"/>
        <v>87096.358995608127</v>
      </c>
      <c r="O412" s="91" t="str">
        <f t="shared" si="370"/>
        <v>22,5</v>
      </c>
      <c r="P412" s="67" t="str">
        <f t="shared" si="371"/>
        <v>1+591,021968202047i</v>
      </c>
      <c r="Q412" s="67">
        <f t="shared" si="382"/>
        <v>591.02281419368364</v>
      </c>
      <c r="R412" s="67">
        <f t="shared" si="383"/>
        <v>1.5691043439253372</v>
      </c>
      <c r="S412" s="67" t="str">
        <f t="shared" si="372"/>
        <v>1+16,4172768945013i</v>
      </c>
      <c r="T412" s="67">
        <f t="shared" si="384"/>
        <v>16.447704418268412</v>
      </c>
      <c r="U412" s="67">
        <f t="shared" si="385"/>
        <v>1.509960049396424</v>
      </c>
      <c r="V412" t="str">
        <f t="shared" si="373"/>
        <v>1-3,42026601968777i</v>
      </c>
      <c r="W412" s="67">
        <f t="shared" si="386"/>
        <v>3.5634561377166998</v>
      </c>
      <c r="X412" s="67">
        <f t="shared" si="387"/>
        <v>-1.2863496166950135</v>
      </c>
      <c r="Y412" t="str">
        <f t="shared" si="374"/>
        <v>0,51451035198132+9,48553776126743i</v>
      </c>
      <c r="Z412" s="67">
        <f t="shared" si="388"/>
        <v>9.4994814344113685</v>
      </c>
      <c r="AA412" s="67">
        <f t="shared" si="389"/>
        <v>1.5166078700635308</v>
      </c>
      <c r="AB412" s="92" t="str">
        <f t="shared" si="390"/>
        <v>-0,225770422462847-0,0647968292405557i</v>
      </c>
      <c r="AC412" s="37">
        <f t="shared" si="391"/>
        <v>-12.582898310849629</v>
      </c>
      <c r="AD412" s="60">
        <f t="shared" si="392"/>
        <v>-163.98635260464638</v>
      </c>
      <c r="AE412" t="str">
        <f t="shared" si="393"/>
        <v>34,4450883806789</v>
      </c>
      <c r="AF412" t="str">
        <f t="shared" si="375"/>
        <v>1+295,510984101024i</v>
      </c>
      <c r="AG412">
        <f t="shared" si="394"/>
        <v>295.51267608066433</v>
      </c>
      <c r="AH412">
        <f t="shared" si="395"/>
        <v>1.5674123707433598</v>
      </c>
      <c r="AI412" t="str">
        <f t="shared" si="376"/>
        <v>1+16,4172768945013i</v>
      </c>
      <c r="AJ412">
        <f t="shared" si="396"/>
        <v>16.447704418268412</v>
      </c>
      <c r="AK412">
        <f t="shared" si="397"/>
        <v>1.509960049396424</v>
      </c>
      <c r="AL412" t="str">
        <f t="shared" si="377"/>
        <v>1-1,11705420437534i</v>
      </c>
      <c r="AM412">
        <f t="shared" si="398"/>
        <v>1.4992698541332123</v>
      </c>
      <c r="AN412">
        <f t="shared" si="399"/>
        <v>-0.84063299876281827</v>
      </c>
      <c r="AO412" s="58" t="str">
        <f t="shared" si="400"/>
        <v>1,7910184881849-2,24811318119034i</v>
      </c>
      <c r="AP412">
        <f t="shared" si="401"/>
        <v>9.1707258006706667</v>
      </c>
      <c r="AQ412" s="60">
        <f t="shared" si="402"/>
        <v>-51.456498484944355</v>
      </c>
      <c r="AR412" t="str">
        <f t="shared" si="378"/>
        <v>-1,36472945891784</v>
      </c>
      <c r="AS412" t="str">
        <f t="shared" si="379"/>
        <v>1+12,298182121671i</v>
      </c>
      <c r="AT412">
        <f t="shared" si="403"/>
        <v>12.338771555458354</v>
      </c>
      <c r="AU412">
        <f t="shared" si="404"/>
        <v>1.4896619959896999</v>
      </c>
      <c r="AV412" t="str">
        <f t="shared" si="380"/>
        <v>1+12,298182121671i</v>
      </c>
      <c r="AW412">
        <f t="shared" si="405"/>
        <v>12.338771555458354</v>
      </c>
      <c r="AX412">
        <f t="shared" si="406"/>
        <v>1.4896619959896999</v>
      </c>
      <c r="AY412" t="str">
        <f t="shared" si="381"/>
        <v>1-0,00121969245955206i</v>
      </c>
      <c r="AZ412">
        <f t="shared" si="407"/>
        <v>1.0000007438245713</v>
      </c>
      <c r="BA412">
        <f t="shared" si="408"/>
        <v>-1.2196918547275608E-3</v>
      </c>
      <c r="BB412" s="58" t="str">
        <f t="shared" si="409"/>
        <v>-0,0088295577120693+0,110252059027204i</v>
      </c>
      <c r="BC412">
        <f t="shared" si="410"/>
        <v>-19.124500685755528</v>
      </c>
      <c r="BD412" s="60">
        <f t="shared" si="411"/>
        <v>94.578771533173636</v>
      </c>
      <c r="BE412" s="58" t="str">
        <f t="shared" si="412"/>
        <v>0,00913743681701938-0,024319526600632i</v>
      </c>
      <c r="BF412" s="37">
        <f t="shared" si="413"/>
        <v>-31.707398996605161</v>
      </c>
      <c r="BG412" s="60">
        <f t="shared" si="414"/>
        <v>-69.40758107147272</v>
      </c>
      <c r="BH412" s="58" t="str">
        <f t="shared" si="415"/>
        <v>0,232045206047621+0,217313321154759i</v>
      </c>
      <c r="BI412" s="37">
        <f t="shared" si="416"/>
        <v>-9.9537748850848669</v>
      </c>
      <c r="BJ412" s="60">
        <f t="shared" si="417"/>
        <v>43.122273048229282</v>
      </c>
      <c r="BK412">
        <f t="shared" si="418"/>
        <v>-31.707398996605161</v>
      </c>
      <c r="BL412" s="60">
        <f t="shared" si="419"/>
        <v>-69.40758107147272</v>
      </c>
      <c r="BN412">
        <f t="shared" si="420"/>
        <v>0</v>
      </c>
      <c r="BO412">
        <f t="shared" si="421"/>
        <v>0</v>
      </c>
    </row>
    <row r="413" spans="13:67" x14ac:dyDescent="0.25">
      <c r="M413" s="66">
        <v>95</v>
      </c>
      <c r="N413" s="36">
        <f t="shared" si="369"/>
        <v>89125.093813374609</v>
      </c>
      <c r="O413" s="91" t="str">
        <f t="shared" si="370"/>
        <v>22,5</v>
      </c>
      <c r="P413" s="67" t="str">
        <f t="shared" si="371"/>
        <v>1+604,788638345134i</v>
      </c>
      <c r="Q413" s="67">
        <f t="shared" si="382"/>
        <v>604.78946507967657</v>
      </c>
      <c r="R413" s="67">
        <f t="shared" si="383"/>
        <v>1.5691428580865285</v>
      </c>
      <c r="S413" s="67" t="str">
        <f t="shared" si="372"/>
        <v>1+16,799684398476i</v>
      </c>
      <c r="T413" s="67">
        <f t="shared" si="384"/>
        <v>16.829420545235592</v>
      </c>
      <c r="U413" s="67">
        <f t="shared" si="385"/>
        <v>1.5113415532106007</v>
      </c>
      <c r="V413" t="str">
        <f t="shared" si="373"/>
        <v>1-3,49993424968249i</v>
      </c>
      <c r="W413" s="67">
        <f t="shared" si="386"/>
        <v>3.6399917241802258</v>
      </c>
      <c r="X413" s="67">
        <f t="shared" si="387"/>
        <v>-1.2924917054154847</v>
      </c>
      <c r="Y413" t="str">
        <f t="shared" si="374"/>
        <v>0,491629929776458+9,70648431911943i</v>
      </c>
      <c r="Z413" s="67">
        <f t="shared" si="388"/>
        <v>9.7189267836095663</v>
      </c>
      <c r="AA413" s="67">
        <f t="shared" si="389"/>
        <v>1.5201899328929622</v>
      </c>
      <c r="AB413" s="92" t="str">
        <f t="shared" si="390"/>
        <v>-0,225927807538005-0,0627973598182873i</v>
      </c>
      <c r="AC413" s="37">
        <f t="shared" si="391"/>
        <v>-12.597409011529884</v>
      </c>
      <c r="AD413" s="60">
        <f t="shared" si="392"/>
        <v>-164.46655780875554</v>
      </c>
      <c r="AE413" t="str">
        <f t="shared" si="393"/>
        <v>34,4450883806789</v>
      </c>
      <c r="AF413" t="str">
        <f t="shared" si="375"/>
        <v>1+302,394319172567i</v>
      </c>
      <c r="AG413">
        <f t="shared" si="394"/>
        <v>302.3959726382617</v>
      </c>
      <c r="AH413">
        <f t="shared" si="395"/>
        <v>1.5674893984191416</v>
      </c>
      <c r="AI413" t="str">
        <f t="shared" si="376"/>
        <v>1+16,799684398476i</v>
      </c>
      <c r="AJ413">
        <f t="shared" si="396"/>
        <v>16.829420545235592</v>
      </c>
      <c r="AK413">
        <f t="shared" si="397"/>
        <v>1.5113415532106007</v>
      </c>
      <c r="AL413" t="str">
        <f t="shared" si="377"/>
        <v>1-1,14307373933504i</v>
      </c>
      <c r="AM413">
        <f t="shared" si="398"/>
        <v>1.5187552711208578</v>
      </c>
      <c r="AN413">
        <f t="shared" si="399"/>
        <v>-0.85206023945898735</v>
      </c>
      <c r="AO413" s="58" t="str">
        <f t="shared" si="400"/>
        <v>1,79100165875625-2,29538934054509i</v>
      </c>
      <c r="AP413">
        <f t="shared" si="401"/>
        <v>9.2821652364171108</v>
      </c>
      <c r="AQ413" s="60">
        <f t="shared" si="402"/>
        <v>-52.036490171109534</v>
      </c>
      <c r="AR413" t="str">
        <f t="shared" si="378"/>
        <v>-1,36472945891784</v>
      </c>
      <c r="AS413" t="str">
        <f t="shared" si="379"/>
        <v>1+12,5846435828983i</v>
      </c>
      <c r="AT413">
        <f t="shared" si="403"/>
        <v>12.624312025159364</v>
      </c>
      <c r="AU413">
        <f t="shared" si="404"/>
        <v>1.4915010174785852</v>
      </c>
      <c r="AV413" t="str">
        <f t="shared" si="380"/>
        <v>1+12,5846435828983i</v>
      </c>
      <c r="AW413">
        <f t="shared" si="405"/>
        <v>12.624312025159364</v>
      </c>
      <c r="AX413">
        <f t="shared" si="406"/>
        <v>1.4915010174785852</v>
      </c>
      <c r="AY413" t="str">
        <f t="shared" si="381"/>
        <v>1-0,00119192886959341i</v>
      </c>
      <c r="AZ413">
        <f t="shared" si="407"/>
        <v>1.0000007103469628</v>
      </c>
      <c r="BA413">
        <f t="shared" si="408"/>
        <v>-1.1919283051383225E-3</v>
      </c>
      <c r="BB413" s="58" t="str">
        <f t="shared" si="409"/>
        <v>-0,00843465564252211+0,107773795446892i</v>
      </c>
      <c r="BC413">
        <f t="shared" si="410"/>
        <v>-19.323216906459667</v>
      </c>
      <c r="BD413" s="60">
        <f t="shared" si="411"/>
        <v>94.474994097642423</v>
      </c>
      <c r="BE413" s="58" t="str">
        <f t="shared" si="412"/>
        <v>0,00867353306831405-0,0238194232100389i</v>
      </c>
      <c r="BF413" s="37">
        <f t="shared" si="413"/>
        <v>-31.920625917989561</v>
      </c>
      <c r="BG413" s="60">
        <f t="shared" si="414"/>
        <v>-69.991563711113102</v>
      </c>
      <c r="BH413" s="58" t="str">
        <f t="shared" si="415"/>
        <v>0,232276339012088+0,212383865068854i</v>
      </c>
      <c r="BI413" s="37">
        <f t="shared" si="416"/>
        <v>-10.041051670042563</v>
      </c>
      <c r="BJ413" s="60">
        <f t="shared" si="417"/>
        <v>42.438503926532867</v>
      </c>
      <c r="BK413">
        <f t="shared" si="418"/>
        <v>-31.920625917989561</v>
      </c>
      <c r="BL413" s="60">
        <f t="shared" si="419"/>
        <v>-69.991563711113102</v>
      </c>
      <c r="BN413">
        <f t="shared" si="420"/>
        <v>0</v>
      </c>
      <c r="BO413">
        <f t="shared" si="421"/>
        <v>0</v>
      </c>
    </row>
    <row r="414" spans="13:67" x14ac:dyDescent="0.25">
      <c r="M414" s="66">
        <v>96</v>
      </c>
      <c r="N414" s="36">
        <f t="shared" si="369"/>
        <v>91201.083935591028</v>
      </c>
      <c r="O414" s="91" t="str">
        <f t="shared" si="370"/>
        <v>22,5</v>
      </c>
      <c r="P414" s="67" t="str">
        <f t="shared" si="371"/>
        <v>1+618,875975429595i</v>
      </c>
      <c r="Q414" s="67">
        <f t="shared" si="382"/>
        <v>618.87678334538668</v>
      </c>
      <c r="R414" s="67">
        <f t="shared" si="383"/>
        <v>1.5691804955631183</v>
      </c>
      <c r="S414" s="67" t="str">
        <f t="shared" si="372"/>
        <v>1+17,1909993174888i</v>
      </c>
      <c r="T414" s="67">
        <f t="shared" si="384"/>
        <v>17.220059742460254</v>
      </c>
      <c r="U414" s="67">
        <f t="shared" si="385"/>
        <v>1.5126918297467409</v>
      </c>
      <c r="V414" t="str">
        <f t="shared" si="373"/>
        <v>1-3,58145819114349i</v>
      </c>
      <c r="W414" s="67">
        <f t="shared" si="386"/>
        <v>3.7184462850643412</v>
      </c>
      <c r="X414" s="67">
        <f t="shared" si="387"/>
        <v>-1.298514886023626</v>
      </c>
      <c r="Y414" t="str">
        <f t="shared" si="374"/>
        <v>0,467671186494288+9,93257738343794i</v>
      </c>
      <c r="Z414" s="67">
        <f t="shared" si="388"/>
        <v>9.9435813375594115</v>
      </c>
      <c r="AA414" s="67">
        <f t="shared" si="389"/>
        <v>1.5237465002392605</v>
      </c>
      <c r="AB414" s="92" t="str">
        <f t="shared" si="390"/>
        <v>-0,226075650958547-0,0608296370165879i</v>
      </c>
      <c r="AC414" s="37">
        <f t="shared" si="391"/>
        <v>-12.611366743337054</v>
      </c>
      <c r="AD414" s="60">
        <f t="shared" si="392"/>
        <v>-164.94022825720774</v>
      </c>
      <c r="AE414" t="str">
        <f t="shared" si="393"/>
        <v>34,4450883806789</v>
      </c>
      <c r="AF414" t="str">
        <f t="shared" si="375"/>
        <v>1+309,437987714798i</v>
      </c>
      <c r="AG414">
        <f t="shared" si="394"/>
        <v>309.43960354321729</v>
      </c>
      <c r="AH414">
        <f t="shared" si="395"/>
        <v>1.5675646727688779</v>
      </c>
      <c r="AI414" t="str">
        <f t="shared" si="376"/>
        <v>1+17,1909993174888i</v>
      </c>
      <c r="AJ414">
        <f t="shared" si="396"/>
        <v>17.220059742460254</v>
      </c>
      <c r="AK414">
        <f t="shared" si="397"/>
        <v>1.5126918297467409</v>
      </c>
      <c r="AL414" t="str">
        <f t="shared" si="377"/>
        <v>1-1,1696993471217i</v>
      </c>
      <c r="AM414">
        <f t="shared" si="398"/>
        <v>1.5388945911455183</v>
      </c>
      <c r="AN414">
        <f t="shared" si="399"/>
        <v>-0.86345256149452254</v>
      </c>
      <c r="AO414" s="58" t="str">
        <f t="shared" si="400"/>
        <v>1,79098558676046-2,34388254070028i</v>
      </c>
      <c r="AP414">
        <f t="shared" si="401"/>
        <v>9.3958986897965939</v>
      </c>
      <c r="AQ414" s="60">
        <f t="shared" si="402"/>
        <v>-52.616169898448661</v>
      </c>
      <c r="AR414" t="str">
        <f t="shared" si="378"/>
        <v>-1,36472945891784</v>
      </c>
      <c r="AS414" t="str">
        <f t="shared" si="379"/>
        <v>1+12,8777775887308i</v>
      </c>
      <c r="AT414">
        <f t="shared" si="403"/>
        <v>12.916545808567291</v>
      </c>
      <c r="AU414">
        <f t="shared" si="404"/>
        <v>1.4932986972363063</v>
      </c>
      <c r="AV414" t="str">
        <f t="shared" si="380"/>
        <v>1+12,8777775887308i</v>
      </c>
      <c r="AW414">
        <f t="shared" si="405"/>
        <v>12.916545808567291</v>
      </c>
      <c r="AX414">
        <f t="shared" si="406"/>
        <v>1.4932986972363063</v>
      </c>
      <c r="AY414" t="str">
        <f t="shared" si="381"/>
        <v>1-0,00116479725609847i</v>
      </c>
      <c r="AZ414">
        <f t="shared" si="407"/>
        <v>1.0000006783760937</v>
      </c>
      <c r="BA414">
        <f t="shared" si="408"/>
        <v>-1.1647967293183117E-3</v>
      </c>
      <c r="BB414" s="58" t="str">
        <f t="shared" si="409"/>
        <v>-0,00805730900889389+0,105349866509277i</v>
      </c>
      <c r="BC414">
        <f t="shared" si="410"/>
        <v>-19.521990552236588</v>
      </c>
      <c r="BD414" s="60">
        <f t="shared" si="411"/>
        <v>94.373549159394926</v>
      </c>
      <c r="BE414" s="58" t="str">
        <f t="shared" si="412"/>
        <v>0,00822995551866516-0,0233269164671393i</v>
      </c>
      <c r="BF414" s="37">
        <f t="shared" si="413"/>
        <v>-32.133357295573653</v>
      </c>
      <c r="BG414" s="60">
        <f t="shared" si="414"/>
        <v>-70.566679097812809</v>
      </c>
      <c r="BH414" s="58" t="str">
        <f t="shared" si="415"/>
        <v>0,232497188473195+0,207565478396227i</v>
      </c>
      <c r="BI414" s="37">
        <f t="shared" si="416"/>
        <v>-10.126091862440003</v>
      </c>
      <c r="BJ414" s="60">
        <f t="shared" si="417"/>
        <v>41.757379260946301</v>
      </c>
      <c r="BK414">
        <f t="shared" si="418"/>
        <v>-32.133357295573653</v>
      </c>
      <c r="BL414" s="60">
        <f t="shared" si="419"/>
        <v>-70.566679097812809</v>
      </c>
      <c r="BN414">
        <f t="shared" si="420"/>
        <v>0</v>
      </c>
      <c r="BO414">
        <f t="shared" si="421"/>
        <v>0</v>
      </c>
    </row>
    <row r="415" spans="13:67" x14ac:dyDescent="0.25">
      <c r="M415" s="66">
        <v>97</v>
      </c>
      <c r="N415" s="36">
        <f t="shared" si="369"/>
        <v>93325.430079699145</v>
      </c>
      <c r="O415" s="91" t="str">
        <f t="shared" si="370"/>
        <v>22,5</v>
      </c>
      <c r="P415" s="67" t="str">
        <f t="shared" si="371"/>
        <v>1+633,29144874802i</v>
      </c>
      <c r="Q415" s="67">
        <f t="shared" si="382"/>
        <v>633.29223827342628</v>
      </c>
      <c r="R415" s="67">
        <f t="shared" si="383"/>
        <v>1.5692172763105685</v>
      </c>
      <c r="S415" s="67" t="str">
        <f t="shared" si="372"/>
        <v>1+17,5914291318895i</v>
      </c>
      <c r="T415" s="67">
        <f t="shared" si="384"/>
        <v>17.619829139418197</v>
      </c>
      <c r="U415" s="67">
        <f t="shared" si="385"/>
        <v>1.5140115752331043</v>
      </c>
      <c r="V415" t="str">
        <f t="shared" si="373"/>
        <v>1-3,66488106914364i</v>
      </c>
      <c r="W415" s="67">
        <f t="shared" si="386"/>
        <v>3.7988620994934035</v>
      </c>
      <c r="X415" s="67">
        <f t="shared" si="387"/>
        <v>-1.3044206032970378</v>
      </c>
      <c r="Y415" t="str">
        <f t="shared" si="374"/>
        <v>0,442583302428106+10,1639368317584i</v>
      </c>
      <c r="Z415" s="67">
        <f t="shared" si="388"/>
        <v>10.173568297287002</v>
      </c>
      <c r="AA415" s="67">
        <f t="shared" si="389"/>
        <v>1.5272793414961223</v>
      </c>
      <c r="AB415" s="92" t="str">
        <f t="shared" si="390"/>
        <v>-0,226214244497276-0,0588927382018311i</v>
      </c>
      <c r="AC415" s="37">
        <f t="shared" si="391"/>
        <v>-12.62479461299071</v>
      </c>
      <c r="AD415" s="60">
        <f t="shared" si="392"/>
        <v>-165.40750936087574</v>
      </c>
      <c r="AE415" t="str">
        <f t="shared" si="393"/>
        <v>34,4450883806789</v>
      </c>
      <c r="AF415" t="str">
        <f t="shared" si="375"/>
        <v>1+316,645724374011i</v>
      </c>
      <c r="AG415">
        <f t="shared" si="394"/>
        <v>316.6473034218705</v>
      </c>
      <c r="AH415">
        <f t="shared" si="395"/>
        <v>1.5676382337006116</v>
      </c>
      <c r="AI415" t="str">
        <f t="shared" si="376"/>
        <v>1+17,5914291318895i</v>
      </c>
      <c r="AJ415">
        <f t="shared" si="396"/>
        <v>17.619829139418197</v>
      </c>
      <c r="AK415">
        <f t="shared" si="397"/>
        <v>1.5140115752331043</v>
      </c>
      <c r="AL415" t="str">
        <f t="shared" si="377"/>
        <v>1-1,19694514498501i</v>
      </c>
      <c r="AM415">
        <f t="shared" si="398"/>
        <v>1.5597043566340343</v>
      </c>
      <c r="AN415">
        <f t="shared" si="399"/>
        <v>-0.87480417769082786</v>
      </c>
      <c r="AO415" s="58" t="str">
        <f t="shared" si="400"/>
        <v>1,79097023810887-2,39361849372701i</v>
      </c>
      <c r="AP415">
        <f t="shared" si="401"/>
        <v>9.5119097493578035</v>
      </c>
      <c r="AQ415" s="60">
        <f t="shared" si="402"/>
        <v>-53.195168481674578</v>
      </c>
      <c r="AR415" t="str">
        <f t="shared" si="378"/>
        <v>-1,36472945891784</v>
      </c>
      <c r="AS415" t="str">
        <f t="shared" si="379"/>
        <v>1+13,1777395626984i</v>
      </c>
      <c r="AT415">
        <f t="shared" si="403"/>
        <v>13.215627869394124</v>
      </c>
      <c r="AU415">
        <f t="shared" si="404"/>
        <v>1.4950559419147063</v>
      </c>
      <c r="AV415" t="str">
        <f t="shared" si="380"/>
        <v>1+13,1777395626984i</v>
      </c>
      <c r="AW415">
        <f t="shared" si="405"/>
        <v>13.215627869394124</v>
      </c>
      <c r="AX415">
        <f t="shared" si="406"/>
        <v>1.4950559419147063</v>
      </c>
      <c r="AY415" t="str">
        <f t="shared" si="381"/>
        <v>1-0,00113828323352662i</v>
      </c>
      <c r="AZ415">
        <f t="shared" si="407"/>
        <v>1.0000006478441499</v>
      </c>
      <c r="BA415">
        <f t="shared" si="408"/>
        <v>-1.1382827419067537E-3</v>
      </c>
      <c r="BB415" s="58" t="str">
        <f t="shared" si="409"/>
        <v>-0,007696746706811+0,102979172243798i</v>
      </c>
      <c r="BC415">
        <f t="shared" si="410"/>
        <v>-19.720819069542717</v>
      </c>
      <c r="BD415" s="60">
        <f t="shared" si="411"/>
        <v>94.274385595327544</v>
      </c>
      <c r="BE415" s="58" t="str">
        <f t="shared" si="412"/>
        <v>0,00780583917256342-0,0228420731592756i</v>
      </c>
      <c r="BF415" s="37">
        <f t="shared" si="413"/>
        <v>-32.345613682533426</v>
      </c>
      <c r="BG415" s="60">
        <f t="shared" si="414"/>
        <v>-71.133123765548191</v>
      </c>
      <c r="BH415" s="58" t="str">
        <f t="shared" si="415"/>
        <v>0,232708206869293+0,202855707892685i</v>
      </c>
      <c r="BI415" s="37">
        <f t="shared" si="416"/>
        <v>-10.208909320184906</v>
      </c>
      <c r="BJ415" s="60">
        <f t="shared" si="417"/>
        <v>41.079217113653058</v>
      </c>
      <c r="BK415">
        <f t="shared" si="418"/>
        <v>-32.345613682533426</v>
      </c>
      <c r="BL415" s="60">
        <f t="shared" si="419"/>
        <v>-71.133123765548191</v>
      </c>
      <c r="BN415">
        <f t="shared" si="420"/>
        <v>0</v>
      </c>
      <c r="BO415">
        <f t="shared" si="421"/>
        <v>0</v>
      </c>
    </row>
    <row r="416" spans="13:67" x14ac:dyDescent="0.25">
      <c r="M416" s="66">
        <v>98</v>
      </c>
      <c r="N416" s="36">
        <f t="shared" si="369"/>
        <v>95499.258602143804</v>
      </c>
      <c r="O416" s="91" t="str">
        <f t="shared" si="370"/>
        <v>22,5</v>
      </c>
      <c r="P416" s="67" t="str">
        <f t="shared" si="371"/>
        <v>1+648,042701575177i</v>
      </c>
      <c r="Q416" s="67">
        <f t="shared" si="382"/>
        <v>648.04347312881248</v>
      </c>
      <c r="R416" s="67">
        <f t="shared" si="383"/>
        <v>1.5692532198301197</v>
      </c>
      <c r="S416" s="67" t="str">
        <f t="shared" si="372"/>
        <v>1+18,001186154866i</v>
      </c>
      <c r="T416" s="67">
        <f t="shared" si="384"/>
        <v>18.02894070604647</v>
      </c>
      <c r="U416" s="67">
        <f t="shared" si="385"/>
        <v>1.515301471016709</v>
      </c>
      <c r="V416" t="str">
        <f t="shared" si="373"/>
        <v>1-3,75024711559709i</v>
      </c>
      <c r="W416" s="67">
        <f t="shared" si="386"/>
        <v>3.8812824463113085</v>
      </c>
      <c r="X416" s="67">
        <f t="shared" si="387"/>
        <v>-1.3102103400530209</v>
      </c>
      <c r="Y416" t="str">
        <f t="shared" si="374"/>
        <v>0,416313062812214+10,4006853339226i</v>
      </c>
      <c r="Z416" s="67">
        <f t="shared" si="388"/>
        <v>10.409013977391938</v>
      </c>
      <c r="AA416" s="67">
        <f t="shared" si="389"/>
        <v>1.5307902190907274</v>
      </c>
      <c r="AB416" s="92" t="str">
        <f t="shared" si="390"/>
        <v>-0,22634386238586-0,0569857506570769i</v>
      </c>
      <c r="AC416" s="37">
        <f t="shared" si="391"/>
        <v>-12.637715119958434</v>
      </c>
      <c r="AD416" s="60">
        <f t="shared" si="392"/>
        <v>-165.8685491376022</v>
      </c>
      <c r="AE416" t="str">
        <f t="shared" si="393"/>
        <v>34,4450883806789</v>
      </c>
      <c r="AF416" t="str">
        <f t="shared" si="375"/>
        <v>1+324,021350787589i</v>
      </c>
      <c r="AG416">
        <f t="shared" si="394"/>
        <v>324.02289389210415</v>
      </c>
      <c r="AH416">
        <f t="shared" si="395"/>
        <v>1.5677101202141359</v>
      </c>
      <c r="AI416" t="str">
        <f t="shared" si="376"/>
        <v>1+18,001186154866i</v>
      </c>
      <c r="AJ416">
        <f t="shared" si="396"/>
        <v>18.02894070604647</v>
      </c>
      <c r="AK416">
        <f t="shared" si="397"/>
        <v>1.515301471016709</v>
      </c>
      <c r="AL416" t="str">
        <f t="shared" si="377"/>
        <v>1-1,22482557900763i</v>
      </c>
      <c r="AM416">
        <f t="shared" si="398"/>
        <v>1.5812013467586523</v>
      </c>
      <c r="AN416">
        <f t="shared" si="399"/>
        <v>-0.88610940556264617</v>
      </c>
      <c r="AO416" s="58" t="str">
        <f t="shared" si="400"/>
        <v>1,79095558024692-2,44462357059802i</v>
      </c>
      <c r="AP416">
        <f t="shared" si="401"/>
        <v>9.6301798593638086</v>
      </c>
      <c r="AQ416" s="60">
        <f t="shared" si="402"/>
        <v>-53.773123534580023</v>
      </c>
      <c r="AR416" t="str">
        <f t="shared" si="378"/>
        <v>-1,36472945891784</v>
      </c>
      <c r="AS416" t="str">
        <f t="shared" si="379"/>
        <v>1+13,4846885486102i</v>
      </c>
      <c r="AT416">
        <f t="shared" si="403"/>
        <v>13.521716801243066</v>
      </c>
      <c r="AU416">
        <f t="shared" si="404"/>
        <v>1.4967736397942142</v>
      </c>
      <c r="AV416" t="str">
        <f t="shared" si="380"/>
        <v>1+13,4846885486102i</v>
      </c>
      <c r="AW416">
        <f t="shared" si="405"/>
        <v>13.521716801243066</v>
      </c>
      <c r="AX416">
        <f t="shared" si="406"/>
        <v>1.4967736397942142</v>
      </c>
      <c r="AY416" t="str">
        <f t="shared" si="381"/>
        <v>1-0,00111237274379215i</v>
      </c>
      <c r="AZ416">
        <f t="shared" si="407"/>
        <v>1.0000006186863692</v>
      </c>
      <c r="BA416">
        <f t="shared" si="408"/>
        <v>-1.1123722849857793E-3</v>
      </c>
      <c r="BB416" s="58" t="str">
        <f t="shared" si="409"/>
        <v>-0,00735223068533277+0,100660628781998i</v>
      </c>
      <c r="BC416">
        <f t="shared" si="410"/>
        <v>-19.919700017057828</v>
      </c>
      <c r="BD416" s="60">
        <f t="shared" si="411"/>
        <v>94.177453316179978</v>
      </c>
      <c r="BE416" s="58" t="str">
        <f t="shared" si="412"/>
        <v>0,00740035378322557-0,022364943124099i</v>
      </c>
      <c r="BF416" s="37">
        <f t="shared" si="413"/>
        <v>-32.557415137016264</v>
      </c>
      <c r="BG416" s="60">
        <f t="shared" si="414"/>
        <v>-71.691095821422209</v>
      </c>
      <c r="BH416" s="58" t="str">
        <f t="shared" si="415"/>
        <v>0,23290982717853+0,198252151258122i</v>
      </c>
      <c r="BI416" s="37">
        <f t="shared" si="416"/>
        <v>-10.289520157694017</v>
      </c>
      <c r="BJ416" s="60">
        <f t="shared" si="417"/>
        <v>40.404329781600083</v>
      </c>
      <c r="BK416">
        <f t="shared" si="418"/>
        <v>-32.557415137016264</v>
      </c>
      <c r="BL416" s="60">
        <f t="shared" si="419"/>
        <v>-71.691095821422209</v>
      </c>
      <c r="BN416">
        <f t="shared" si="420"/>
        <v>0</v>
      </c>
      <c r="BO416">
        <f t="shared" si="421"/>
        <v>0</v>
      </c>
    </row>
    <row r="417" spans="13:67" x14ac:dyDescent="0.25">
      <c r="M417" s="66">
        <v>99</v>
      </c>
      <c r="N417" s="36">
        <f t="shared" si="369"/>
        <v>97723.722095581266</v>
      </c>
      <c r="O417" s="91" t="str">
        <f t="shared" si="370"/>
        <v>22,5</v>
      </c>
      <c r="P417" s="67" t="str">
        <f t="shared" si="371"/>
        <v>1+663,137555220565i</v>
      </c>
      <c r="Q417" s="67">
        <f t="shared" si="382"/>
        <v>663.13830921151578</v>
      </c>
      <c r="R417" s="67">
        <f t="shared" si="383"/>
        <v>1.56928834517913</v>
      </c>
      <c r="S417" s="67" t="str">
        <f t="shared" si="372"/>
        <v>1+18,4204876450157i</v>
      </c>
      <c r="T417" s="67">
        <f t="shared" si="384"/>
        <v>18.447611365165304</v>
      </c>
      <c r="U417" s="67">
        <f t="shared" si="385"/>
        <v>1.5165621838383028</v>
      </c>
      <c r="V417" t="str">
        <f t="shared" si="373"/>
        <v>1-3,83760159271161i</v>
      </c>
      <c r="W417" s="67">
        <f t="shared" si="386"/>
        <v>3.9657516291848993</v>
      </c>
      <c r="X417" s="67">
        <f t="shared" si="387"/>
        <v>-1.3158856128305547</v>
      </c>
      <c r="Y417" t="str">
        <f t="shared" si="374"/>
        <v>0,388804744946278+10,6429484171202i</v>
      </c>
      <c r="Z417" s="67">
        <f t="shared" si="388"/>
        <v>10.65004789375025</v>
      </c>
      <c r="AA417" s="67">
        <f t="shared" si="389"/>
        <v>1.5342808889145949</v>
      </c>
      <c r="AB417" s="92" t="str">
        <f t="shared" si="390"/>
        <v>-0,226464761737489-0,0551077715990065i</v>
      </c>
      <c r="AC417" s="37">
        <f t="shared" si="391"/>
        <v>-12.650150164853414</v>
      </c>
      <c r="AD417" s="60">
        <f t="shared" si="392"/>
        <v>-166.32349797431854</v>
      </c>
      <c r="AE417" t="str">
        <f t="shared" si="393"/>
        <v>34,4450883806789</v>
      </c>
      <c r="AF417" t="str">
        <f t="shared" si="375"/>
        <v>1+331,568777610283i</v>
      </c>
      <c r="AG417">
        <f t="shared" si="394"/>
        <v>331.57028558961269</v>
      </c>
      <c r="AH417">
        <f t="shared" si="395"/>
        <v>1.5677803704216584</v>
      </c>
      <c r="AI417" t="str">
        <f t="shared" si="376"/>
        <v>1+18,4204876450157i</v>
      </c>
      <c r="AJ417">
        <f t="shared" si="396"/>
        <v>18.447611365165304</v>
      </c>
      <c r="AK417">
        <f t="shared" si="397"/>
        <v>1.5165621838383028</v>
      </c>
      <c r="AL417" t="str">
        <f t="shared" si="377"/>
        <v>1-1,25335543176473i</v>
      </c>
      <c r="AM417">
        <f t="shared" si="398"/>
        <v>1.6034025814916704</v>
      </c>
      <c r="AN417">
        <f t="shared" si="399"/>
        <v>-0.89736268083435555</v>
      </c>
      <c r="AO417" s="58" t="str">
        <f t="shared" si="400"/>
        <v>1,79094158208515-2,49692481517154i</v>
      </c>
      <c r="AP417">
        <f t="shared" si="401"/>
        <v>9.7506883867070187</v>
      </c>
      <c r="AQ417" s="60">
        <f t="shared" si="402"/>
        <v>-54.349680229893671</v>
      </c>
      <c r="AR417" t="str">
        <f t="shared" si="378"/>
        <v>-1,36472945891784</v>
      </c>
      <c r="AS417" t="str">
        <f t="shared" si="379"/>
        <v>1+13,7987872948813i</v>
      </c>
      <c r="AT417">
        <f t="shared" si="403"/>
        <v>13.834974911772612</v>
      </c>
      <c r="AU417">
        <f t="shared" si="404"/>
        <v>1.4984526610539386</v>
      </c>
      <c r="AV417" t="str">
        <f t="shared" si="380"/>
        <v>1+13,7987872948813i</v>
      </c>
      <c r="AW417">
        <f t="shared" si="405"/>
        <v>13.834974911772612</v>
      </c>
      <c r="AX417">
        <f t="shared" si="406"/>
        <v>1.4984526610539386</v>
      </c>
      <c r="AY417" t="str">
        <f t="shared" si="381"/>
        <v>1-0,00108705204881043i</v>
      </c>
      <c r="AZ417">
        <f t="shared" si="407"/>
        <v>1.0000005908409038</v>
      </c>
      <c r="BA417">
        <f t="shared" si="408"/>
        <v>-1.087051620627397E-3</v>
      </c>
      <c r="BB417" s="58" t="str">
        <f t="shared" si="409"/>
        <v>-0,00702305460189769+0,0983931685663122i</v>
      </c>
      <c r="BC417">
        <f t="shared" si="410"/>
        <v>-20.118631060869024</v>
      </c>
      <c r="BD417" s="60">
        <f t="shared" si="411"/>
        <v>94.082703251487246</v>
      </c>
      <c r="BE417" s="58" t="str">
        <f t="shared" si="412"/>
        <v>0,00701270264734301-0,0218955605870378i</v>
      </c>
      <c r="BF417" s="37">
        <f t="shared" si="413"/>
        <v>-32.768781225722421</v>
      </c>
      <c r="BG417" s="60">
        <f t="shared" si="414"/>
        <v>-72.240794722831339</v>
      </c>
      <c r="BH417" s="58" t="str">
        <f t="shared" si="415"/>
        <v>0,233102463716788+0,193752456292305i</v>
      </c>
      <c r="BI417" s="37">
        <f t="shared" si="416"/>
        <v>-10.367942674162009</v>
      </c>
      <c r="BJ417" s="60">
        <f t="shared" si="417"/>
        <v>39.733023021593603</v>
      </c>
      <c r="BK417">
        <f t="shared" si="418"/>
        <v>-32.768781225722421</v>
      </c>
      <c r="BL417" s="60">
        <f t="shared" si="419"/>
        <v>-72.240794722831339</v>
      </c>
      <c r="BN417">
        <f t="shared" si="420"/>
        <v>0</v>
      </c>
      <c r="BO417">
        <f t="shared" si="421"/>
        <v>0</v>
      </c>
    </row>
    <row r="418" spans="13:67" x14ac:dyDescent="0.25">
      <c r="M418" s="66">
        <v>100</v>
      </c>
      <c r="N418" s="36">
        <f t="shared" si="369"/>
        <v>100000</v>
      </c>
      <c r="O418" s="91" t="str">
        <f t="shared" si="370"/>
        <v>22,5</v>
      </c>
      <c r="P418" s="67" t="str">
        <f t="shared" si="371"/>
        <v>1+678,584013175396i</v>
      </c>
      <c r="Q418" s="67">
        <f t="shared" si="382"/>
        <v>678.58475000343617</v>
      </c>
      <c r="R418" s="67">
        <f t="shared" si="383"/>
        <v>1.5693226709811776</v>
      </c>
      <c r="S418" s="67" t="str">
        <f t="shared" si="372"/>
        <v>1+18,8495559215388i</v>
      </c>
      <c r="T418" s="67">
        <f t="shared" si="384"/>
        <v>18.876063107523731</v>
      </c>
      <c r="U418" s="67">
        <f t="shared" si="385"/>
        <v>1.5177943661052453</v>
      </c>
      <c r="V418" t="str">
        <f t="shared" si="373"/>
        <v>1-3,92699081698724i</v>
      </c>
      <c r="W418" s="67">
        <f t="shared" si="386"/>
        <v>4.0523150021564351</v>
      </c>
      <c r="X418" s="67">
        <f t="shared" si="387"/>
        <v>-1.3214479677837223</v>
      </c>
      <c r="Y418" t="str">
        <f t="shared" si="374"/>
        <v>0,359999999999998+10,8908545324446i</v>
      </c>
      <c r="Z418" s="67">
        <f t="shared" si="388"/>
        <v>10.89680285436371</v>
      </c>
      <c r="AA418" s="67">
        <f t="shared" si="389"/>
        <v>1.5377531007729675</v>
      </c>
      <c r="AB418" s="92" t="str">
        <f t="shared" si="390"/>
        <v>-0,226577182948415-0,053257908176245i</v>
      </c>
      <c r="AC418" s="37">
        <f t="shared" si="391"/>
        <v>-12.662121059278402</v>
      </c>
      <c r="AD418" s="60">
        <f t="shared" si="392"/>
        <v>-166.77250840244778</v>
      </c>
      <c r="AE418" t="str">
        <f t="shared" si="393"/>
        <v>34,4450883806789</v>
      </c>
      <c r="AF418" t="str">
        <f t="shared" si="375"/>
        <v>1+339,292006587698i</v>
      </c>
      <c r="AG418">
        <f t="shared" si="394"/>
        <v>339.29348024137818</v>
      </c>
      <c r="AH418">
        <f t="shared" si="395"/>
        <v>1.5678490215679937</v>
      </c>
      <c r="AI418" t="str">
        <f t="shared" si="376"/>
        <v>1+18,8495559215388i</v>
      </c>
      <c r="AJ418">
        <f t="shared" si="396"/>
        <v>18.876063107523731</v>
      </c>
      <c r="AK418">
        <f t="shared" si="397"/>
        <v>1.5177943661052453</v>
      </c>
      <c r="AL418" t="str">
        <f t="shared" si="377"/>
        <v>1-1,28254983016186i</v>
      </c>
      <c r="AM418">
        <f t="shared" si="398"/>
        <v>1.6263253262641568</v>
      </c>
      <c r="AN418">
        <f t="shared" si="399"/>
        <v>-0.9085585702353457</v>
      </c>
      <c r="AO418" s="58" t="str">
        <f t="shared" si="400"/>
        <v>1,79092821393325-2,55054995853152i</v>
      </c>
      <c r="AP418">
        <f t="shared" si="401"/>
        <v>9.8734126956542347</v>
      </c>
      <c r="AQ418" s="60">
        <f t="shared" si="402"/>
        <v>-54.924492017922617</v>
      </c>
      <c r="AR418" t="str">
        <f t="shared" si="378"/>
        <v>-1,36472945891784</v>
      </c>
      <c r="AS418" t="str">
        <f t="shared" si="379"/>
        <v>1+14,1202023408247i</v>
      </c>
      <c r="AT418">
        <f t="shared" si="403"/>
        <v>14.15556830882573</v>
      </c>
      <c r="AU418">
        <f t="shared" si="404"/>
        <v>1.5000938580451593</v>
      </c>
      <c r="AV418" t="str">
        <f t="shared" si="380"/>
        <v>1+14,1202023408247i</v>
      </c>
      <c r="AW418">
        <f t="shared" si="405"/>
        <v>14.15556830882573</v>
      </c>
      <c r="AX418">
        <f t="shared" si="406"/>
        <v>1.5000938580451593</v>
      </c>
      <c r="AY418" t="str">
        <f t="shared" si="381"/>
        <v>1-0,00106230772321383i</v>
      </c>
      <c r="AZ418">
        <f t="shared" si="407"/>
        <v>1.0000005642486902</v>
      </c>
      <c r="BA418">
        <f t="shared" si="408"/>
        <v>-1.0623073236101601E-3</v>
      </c>
      <c r="BB418" s="58" t="str">
        <f t="shared" si="409"/>
        <v>-0,00670854252561088+0,0961757405179587i</v>
      </c>
      <c r="BC418">
        <f t="shared" si="410"/>
        <v>-20.317609969851496</v>
      </c>
      <c r="BD418" s="60">
        <f t="shared" si="411"/>
        <v>93.99008733432683</v>
      </c>
      <c r="BE418" s="58" t="str">
        <f t="shared" si="412"/>
        <v>0,00664212142443037-0,0214339454127114i</v>
      </c>
      <c r="BF418" s="37">
        <f t="shared" si="413"/>
        <v>-32.979731029129901</v>
      </c>
      <c r="BG418" s="60">
        <f t="shared" si="414"/>
        <v>-72.782421068120911</v>
      </c>
      <c r="BH418" s="58" t="str">
        <f t="shared" si="415"/>
        <v>0,23328651290633+0,189354320050039i</v>
      </c>
      <c r="BI418" s="37">
        <f t="shared" si="416"/>
        <v>-10.444197274197274</v>
      </c>
      <c r="BJ418" s="60">
        <f t="shared" si="417"/>
        <v>39.065595316404227</v>
      </c>
      <c r="BK418">
        <f t="shared" si="418"/>
        <v>-32.979731029129901</v>
      </c>
      <c r="BL418" s="60">
        <f t="shared" si="419"/>
        <v>-72.782421068120911</v>
      </c>
      <c r="BN418">
        <f t="shared" si="420"/>
        <v>0</v>
      </c>
      <c r="BO418">
        <f t="shared" si="421"/>
        <v>0</v>
      </c>
    </row>
    <row r="419" spans="13:67" x14ac:dyDescent="0.25">
      <c r="M419" s="66">
        <v>1</v>
      </c>
      <c r="N419" s="36">
        <f>10^(5+(M419/100))</f>
        <v>102329.29922807543</v>
      </c>
      <c r="O419" s="91" t="str">
        <f t="shared" si="370"/>
        <v>22,5</v>
      </c>
      <c r="P419" s="67" t="str">
        <f t="shared" si="371"/>
        <v>1+694,390265356133i</v>
      </c>
      <c r="Q419" s="67">
        <f t="shared" si="382"/>
        <v>694.39098541193698</v>
      </c>
      <c r="R419" s="67">
        <f t="shared" si="383"/>
        <v>1.5693562154359333</v>
      </c>
      <c r="S419" s="67" t="str">
        <f t="shared" si="372"/>
        <v>1+19,2886184821148i</v>
      </c>
      <c r="T419" s="67">
        <f t="shared" si="384"/>
        <v>19.314523109530317</v>
      </c>
      <c r="U419" s="67">
        <f t="shared" si="385"/>
        <v>1.5189986561620863</v>
      </c>
      <c r="V419" t="str">
        <f t="shared" si="373"/>
        <v>1-4,01846218377392i</v>
      </c>
      <c r="W419" s="67">
        <f t="shared" si="386"/>
        <v>4.1410189956604952</v>
      </c>
      <c r="X419" s="67">
        <f t="shared" si="387"/>
        <v>-1.3268989767840615</v>
      </c>
      <c r="Y419" t="str">
        <f t="shared" si="374"/>
        <v>0,329837729247423+11,1445351229997i</v>
      </c>
      <c r="Z419" s="67">
        <f t="shared" si="388"/>
        <v>11.149415053508818</v>
      </c>
      <c r="AA419" s="67">
        <f t="shared" si="389"/>
        <v>1.5412085988509514</v>
      </c>
      <c r="AB419" s="92" t="str">
        <f t="shared" si="390"/>
        <v>-0,226681350078105-0,0514352774508525i</v>
      </c>
      <c r="AC419" s="37">
        <f t="shared" si="391"/>
        <v>-12.673648536977524</v>
      </c>
      <c r="AD419" s="60">
        <f t="shared" si="392"/>
        <v>-167.21573488635607</v>
      </c>
      <c r="AE419" t="str">
        <f t="shared" si="393"/>
        <v>34,4450883806789</v>
      </c>
      <c r="AF419" t="str">
        <f t="shared" si="375"/>
        <v>1+347,195132678067i</v>
      </c>
      <c r="AG419">
        <f t="shared" si="394"/>
        <v>347.19657278743489</v>
      </c>
      <c r="AH419">
        <f t="shared" si="395"/>
        <v>1.5679161100502985</v>
      </c>
      <c r="AI419" t="str">
        <f t="shared" si="376"/>
        <v>1+19,2886184821148i</v>
      </c>
      <c r="AJ419">
        <f t="shared" si="396"/>
        <v>19.314523109530317</v>
      </c>
      <c r="AK419">
        <f t="shared" si="397"/>
        <v>1.5189986561620863</v>
      </c>
      <c r="AL419" t="str">
        <f t="shared" si="377"/>
        <v>1-1,31242425345551i</v>
      </c>
      <c r="AM419">
        <f t="shared" si="398"/>
        <v>1.6499870972399306</v>
      </c>
      <c r="AN419">
        <f t="shared" si="399"/>
        <v>-0.91969178350899117</v>
      </c>
      <c r="AO419" s="58" t="str">
        <f t="shared" si="400"/>
        <v>1,79091544743707-2,60552743369255i</v>
      </c>
      <c r="AP419">
        <f t="shared" si="401"/>
        <v>9.9983282297732003</v>
      </c>
      <c r="AQ419" s="60">
        <f t="shared" si="402"/>
        <v>-55.497221300244966</v>
      </c>
      <c r="AR419" t="str">
        <f t="shared" si="378"/>
        <v>-1,36472945891784</v>
      </c>
      <c r="AS419" t="str">
        <f t="shared" si="379"/>
        <v>1+14,4491041049522i</v>
      </c>
      <c r="AT419">
        <f t="shared" si="403"/>
        <v>14.483666988568416</v>
      </c>
      <c r="AU419">
        <f t="shared" si="404"/>
        <v>1.5016980655675294</v>
      </c>
      <c r="AV419" t="str">
        <f t="shared" si="380"/>
        <v>1+14,4491041049522i</v>
      </c>
      <c r="AW419">
        <f t="shared" si="405"/>
        <v>14.483666988568416</v>
      </c>
      <c r="AX419">
        <f t="shared" si="406"/>
        <v>1.5016980655675294</v>
      </c>
      <c r="AY419" t="str">
        <f t="shared" si="381"/>
        <v>1-0,00103812664723337i</v>
      </c>
      <c r="AZ419">
        <f t="shared" si="407"/>
        <v>1.0000005388533226</v>
      </c>
      <c r="BA419">
        <f t="shared" si="408"/>
        <v>-1.0381262743015152E-3</v>
      </c>
      <c r="BB419" s="58" t="str">
        <f t="shared" si="409"/>
        <v>-0,00640804768772761+0,0940073101670414i</v>
      </c>
      <c r="BC419">
        <f t="shared" si="410"/>
        <v>-20.516634611238356</v>
      </c>
      <c r="BD419" s="60">
        <f t="shared" si="411"/>
        <v>93.89955848590148</v>
      </c>
      <c r="BE419" s="58" t="str">
        <f t="shared" si="412"/>
        <v>0,0062878769820691-0,0209801042751395i</v>
      </c>
      <c r="BF419" s="37">
        <f t="shared" si="413"/>
        <v>-33.190283148215897</v>
      </c>
      <c r="BG419" s="60">
        <f t="shared" si="414"/>
        <v>-73.316176400454538</v>
      </c>
      <c r="BH419" s="58" t="str">
        <f t="shared" si="415"/>
        <v>0,233462354016006+0,185055487996947i</v>
      </c>
      <c r="BI419" s="37">
        <f t="shared" si="416"/>
        <v>-10.518306381465155</v>
      </c>
      <c r="BJ419" s="60">
        <f t="shared" si="417"/>
        <v>38.402337185656563</v>
      </c>
      <c r="BK419">
        <f t="shared" si="418"/>
        <v>-33.190283148215897</v>
      </c>
      <c r="BL419" s="60">
        <f t="shared" si="419"/>
        <v>-73.316176400454538</v>
      </c>
      <c r="BN419">
        <f t="shared" si="420"/>
        <v>0</v>
      </c>
      <c r="BO419">
        <f t="shared" si="421"/>
        <v>0</v>
      </c>
    </row>
    <row r="420" spans="13:67" x14ac:dyDescent="0.25">
      <c r="M420" s="66">
        <v>2</v>
      </c>
      <c r="N420" s="36">
        <f t="shared" ref="N420:N483" si="422">10^(5+(M420/100))</f>
        <v>104712.85480508996</v>
      </c>
      <c r="O420" s="91" t="str">
        <f t="shared" si="370"/>
        <v>22,5</v>
      </c>
      <c r="P420" s="67" t="str">
        <f t="shared" si="371"/>
        <v>1+710,564692446905i</v>
      </c>
      <c r="Q420" s="67">
        <f t="shared" si="382"/>
        <v>710.56539611225435</v>
      </c>
      <c r="R420" s="67">
        <f t="shared" si="383"/>
        <v>1.5693889963288088</v>
      </c>
      <c r="S420" s="67" t="str">
        <f t="shared" si="372"/>
        <v>1+19,7379081235251i</v>
      </c>
      <c r="T420" s="67">
        <f t="shared" si="384"/>
        <v>19.763223853731915</v>
      </c>
      <c r="U420" s="67">
        <f t="shared" si="385"/>
        <v>1.5201756785586333</v>
      </c>
      <c r="V420" t="str">
        <f t="shared" si="373"/>
        <v>1-4,11206419240107i</v>
      </c>
      <c r="W420" s="67">
        <f t="shared" si="386"/>
        <v>4.2319111430212075</v>
      </c>
      <c r="X420" s="67">
        <f t="shared" si="387"/>
        <v>-1.332240233728532</v>
      </c>
      <c r="Y420" t="str">
        <f t="shared" si="374"/>
        <v>0,298253954468359+11,4041246935923i</v>
      </c>
      <c r="Z420" s="67">
        <f t="shared" si="388"/>
        <v>11.408024169344911</v>
      </c>
      <c r="AA420" s="67">
        <f t="shared" si="389"/>
        <v>1.5446491221947141</v>
      </c>
      <c r="AB420" s="92" t="str">
        <f t="shared" si="390"/>
        <v>-0,226777471207853-0,0496390063646932i</v>
      </c>
      <c r="AC420" s="37">
        <f t="shared" si="391"/>
        <v>-12.684752766163875</v>
      </c>
      <c r="AD420" s="60">
        <f t="shared" si="392"/>
        <v>-167.65333362457889</v>
      </c>
      <c r="AE420" t="str">
        <f t="shared" si="393"/>
        <v>34,4450883806789</v>
      </c>
      <c r="AF420" t="str">
        <f t="shared" si="375"/>
        <v>1+355,282346223453i</v>
      </c>
      <c r="AG420">
        <f t="shared" si="394"/>
        <v>355.28375355206089</v>
      </c>
      <c r="AH420">
        <f t="shared" si="395"/>
        <v>1.5679816714373571</v>
      </c>
      <c r="AI420" t="str">
        <f t="shared" si="376"/>
        <v>1+19,7379081235251i</v>
      </c>
      <c r="AJ420">
        <f t="shared" si="396"/>
        <v>19.763223853731915</v>
      </c>
      <c r="AK420">
        <f t="shared" si="397"/>
        <v>1.5201756785586333</v>
      </c>
      <c r="AL420" t="str">
        <f t="shared" si="377"/>
        <v>1-1,34299454146032i</v>
      </c>
      <c r="AM420">
        <f t="shared" si="398"/>
        <v>1.674405667212165</v>
      </c>
      <c r="AN420">
        <f t="shared" si="399"/>
        <v>-0.93075718457810075</v>
      </c>
      <c r="AO420" s="58" t="str">
        <f t="shared" si="400"/>
        <v>1,79090325551854-2,6618863906764i</v>
      </c>
      <c r="AP420">
        <f t="shared" si="401"/>
        <v>10.125408600343601</v>
      </c>
      <c r="AQ420" s="60">
        <f t="shared" si="402"/>
        <v>-56.06754005518755</v>
      </c>
      <c r="AR420" t="str">
        <f t="shared" si="378"/>
        <v>-1,36472945891784</v>
      </c>
      <c r="AS420" t="str">
        <f t="shared" si="379"/>
        <v>1+14,7856669753327i</v>
      </c>
      <c r="AT420">
        <f t="shared" si="403"/>
        <v>14.819444925686119</v>
      </c>
      <c r="AU420">
        <f t="shared" si="404"/>
        <v>1.5032661011473727</v>
      </c>
      <c r="AV420" t="str">
        <f t="shared" si="380"/>
        <v>1+14,7856669753327i</v>
      </c>
      <c r="AW420">
        <f t="shared" si="405"/>
        <v>14.819444925686119</v>
      </c>
      <c r="AX420">
        <f t="shared" si="406"/>
        <v>1.5032661011473727</v>
      </c>
      <c r="AY420" t="str">
        <f t="shared" si="381"/>
        <v>1-0,00101449599974251i</v>
      </c>
      <c r="AZ420">
        <f t="shared" si="407"/>
        <v>1.0000005146009343</v>
      </c>
      <c r="BA420">
        <f t="shared" si="408"/>
        <v>-1.0144956517022423E-3</v>
      </c>
      <c r="BB420" s="58" t="str">
        <f t="shared" si="409"/>
        <v>-0,00612095127815055+0,091886859747774i</v>
      </c>
      <c r="BC420">
        <f t="shared" si="410"/>
        <v>-20.715702946372989</v>
      </c>
      <c r="BD420" s="60">
        <f t="shared" si="411"/>
        <v>93.81107059999232</v>
      </c>
      <c r="BE420" s="58" t="str">
        <f t="shared" si="412"/>
        <v>0,00594926626809688-0,0205340317513768i</v>
      </c>
      <c r="BF420" s="37">
        <f t="shared" si="413"/>
        <v>-33.400455712536839</v>
      </c>
      <c r="BG420" s="60">
        <f t="shared" si="414"/>
        <v>-73.842263024586615</v>
      </c>
      <c r="BH420" s="58" t="str">
        <f t="shared" si="415"/>
        <v>0,233630349873681+0,180853753166966i</v>
      </c>
      <c r="BI420" s="37">
        <f t="shared" si="416"/>
        <v>-10.590294346029378</v>
      </c>
      <c r="BJ420" s="60">
        <f t="shared" si="417"/>
        <v>37.743530544804678</v>
      </c>
      <c r="BK420">
        <f t="shared" si="418"/>
        <v>-33.400455712536839</v>
      </c>
      <c r="BL420" s="60">
        <f t="shared" si="419"/>
        <v>-73.842263024586615</v>
      </c>
      <c r="BN420">
        <f t="shared" si="420"/>
        <v>0</v>
      </c>
      <c r="BO420">
        <f t="shared" si="421"/>
        <v>0</v>
      </c>
    </row>
    <row r="421" spans="13:67" x14ac:dyDescent="0.25">
      <c r="M421" s="66">
        <v>3</v>
      </c>
      <c r="N421" s="36">
        <f t="shared" si="422"/>
        <v>107151.93052376082</v>
      </c>
      <c r="O421" s="91" t="str">
        <f t="shared" si="370"/>
        <v>22,5</v>
      </c>
      <c r="P421" s="67" t="str">
        <f t="shared" si="371"/>
        <v>1+727,115870343048i</v>
      </c>
      <c r="Q421" s="67">
        <f t="shared" si="382"/>
        <v>727.11655799103357</v>
      </c>
      <c r="R421" s="67">
        <f t="shared" si="383"/>
        <v>1.5694210310403856</v>
      </c>
      <c r="S421" s="67" t="str">
        <f t="shared" si="372"/>
        <v>1+20,1976630650847i</v>
      </c>
      <c r="T421" s="67">
        <f t="shared" si="384"/>
        <v>20.222403252103511</v>
      </c>
      <c r="U421" s="67">
        <f t="shared" si="385"/>
        <v>1.5213260443153347</v>
      </c>
      <c r="V421" t="str">
        <f t="shared" si="373"/>
        <v>1-4,20784647189264i</v>
      </c>
      <c r="W421" s="67">
        <f t="shared" si="386"/>
        <v>4.3250401074463269</v>
      </c>
      <c r="X421" s="67">
        <f t="shared" si="387"/>
        <v>-1.3374733510490922</v>
      </c>
      <c r="Y421" t="str">
        <f t="shared" si="374"/>
        <v>0,26518168224199+11,6697608820489i</v>
      </c>
      <c r="Z421" s="67">
        <f t="shared" si="388"/>
        <v>11.672773465153663</v>
      </c>
      <c r="AA421" s="67">
        <f t="shared" si="389"/>
        <v>1.5480764052061173</v>
      </c>
      <c r="AB421" s="92" t="str">
        <f t="shared" si="390"/>
        <v>-0,2268657387777-0,0478682316923204i</v>
      </c>
      <c r="AC421" s="37">
        <f t="shared" si="391"/>
        <v>-12.695453362900846</v>
      </c>
      <c r="AD421" s="60">
        <f t="shared" si="392"/>
        <v>-168.08546236351006</v>
      </c>
      <c r="AE421" t="str">
        <f t="shared" si="393"/>
        <v>34,4450883806789</v>
      </c>
      <c r="AF421" t="str">
        <f t="shared" si="375"/>
        <v>1+363,557935171524i</v>
      </c>
      <c r="AG421">
        <f t="shared" si="394"/>
        <v>363.55931046554429</v>
      </c>
      <c r="AH421">
        <f t="shared" si="395"/>
        <v>1.5680457404884292</v>
      </c>
      <c r="AI421" t="str">
        <f t="shared" si="376"/>
        <v>1+20,1976630650847i</v>
      </c>
      <c r="AJ421">
        <f t="shared" si="396"/>
        <v>20.222403252103511</v>
      </c>
      <c r="AK421">
        <f t="shared" si="397"/>
        <v>1.5213260443153347</v>
      </c>
      <c r="AL421" t="str">
        <f t="shared" si="377"/>
        <v>1-1,37427690294765i</v>
      </c>
      <c r="AM421">
        <f t="shared" si="398"/>
        <v>1.6995990721271252</v>
      </c>
      <c r="AN421">
        <f t="shared" si="399"/>
        <v>-0.9417498018189242</v>
      </c>
      <c r="AO421" s="58" t="str">
        <f t="shared" si="400"/>
        <v>1,79089161231826-2,71965671196909i</v>
      </c>
      <c r="AP421">
        <f t="shared" si="401"/>
        <v>10.254625680523599</v>
      </c>
      <c r="AQ421" s="60">
        <f t="shared" si="402"/>
        <v>-56.635130412357903</v>
      </c>
      <c r="AR421" t="str">
        <f t="shared" si="378"/>
        <v>-1,36472945891784</v>
      </c>
      <c r="AS421" t="str">
        <f t="shared" si="379"/>
        <v>1+15,1300694020549i</v>
      </c>
      <c r="AT421">
        <f t="shared" si="403"/>
        <v>15.163080165685265</v>
      </c>
      <c r="AU421">
        <f t="shared" si="404"/>
        <v>1.5047987653174892</v>
      </c>
      <c r="AV421" t="str">
        <f t="shared" si="380"/>
        <v>1+15,1300694020549i</v>
      </c>
      <c r="AW421">
        <f t="shared" si="405"/>
        <v>15.163080165685265</v>
      </c>
      <c r="AX421">
        <f t="shared" si="406"/>
        <v>1.5047987653174892</v>
      </c>
      <c r="AY421" t="str">
        <f t="shared" si="381"/>
        <v>1-0,000991403251459161i</v>
      </c>
      <c r="AZ421">
        <f t="shared" si="407"/>
        <v>1.0000004914400829</v>
      </c>
      <c r="BA421">
        <f t="shared" si="408"/>
        <v>-9.9140292664907557E-4</v>
      </c>
      <c r="BB421" s="58" t="str">
        <f t="shared" si="409"/>
        <v>-0,00584666128673622+0,0898133882615599i</v>
      </c>
      <c r="BC421">
        <f t="shared" si="410"/>
        <v>-20.914813026637017</v>
      </c>
      <c r="BD421" s="60">
        <f t="shared" si="411"/>
        <v>93.724578527316709</v>
      </c>
      <c r="BE421" s="58" t="str">
        <f t="shared" si="412"/>
        <v>0,00562561521057507-0,0200957113429872i</v>
      </c>
      <c r="BF421" s="37">
        <f t="shared" si="413"/>
        <v>-33.610266389537856</v>
      </c>
      <c r="BG421" s="60">
        <f t="shared" si="414"/>
        <v>-74.360883836193381</v>
      </c>
      <c r="BH421" s="58" t="str">
        <f t="shared" si="415"/>
        <v>0,233790847551755+0,176746955322593i</v>
      </c>
      <c r="BI421" s="37">
        <f t="shared" si="416"/>
        <v>-10.660187346113428</v>
      </c>
      <c r="BJ421" s="60">
        <f t="shared" si="417"/>
        <v>37.089448114958891</v>
      </c>
      <c r="BK421">
        <f t="shared" si="418"/>
        <v>-33.610266389537856</v>
      </c>
      <c r="BL421" s="60">
        <f t="shared" si="419"/>
        <v>-74.360883836193381</v>
      </c>
      <c r="BN421">
        <f t="shared" si="420"/>
        <v>0</v>
      </c>
      <c r="BO421">
        <f t="shared" si="421"/>
        <v>0</v>
      </c>
    </row>
    <row r="422" spans="13:67" x14ac:dyDescent="0.25">
      <c r="M422" s="66">
        <v>4</v>
      </c>
      <c r="N422" s="36">
        <f t="shared" si="422"/>
        <v>109647.81961431868</v>
      </c>
      <c r="O422" s="91" t="str">
        <f t="shared" si="370"/>
        <v>22,5</v>
      </c>
      <c r="P422" s="67" t="str">
        <f t="shared" si="371"/>
        <v>1+744,052574698162i</v>
      </c>
      <c r="Q422" s="67">
        <f t="shared" si="382"/>
        <v>744.05324669338279</v>
      </c>
      <c r="R422" s="67">
        <f t="shared" si="383"/>
        <v>1.5694523365556285</v>
      </c>
      <c r="S422" s="67" t="str">
        <f t="shared" si="372"/>
        <v>1+20,668127074949i</v>
      </c>
      <c r="T422" s="67">
        <f t="shared" si="384"/>
        <v>20.692304772215198</v>
      </c>
      <c r="U422" s="67">
        <f t="shared" si="385"/>
        <v>1.5224503511858121</v>
      </c>
      <c r="V422" t="str">
        <f t="shared" si="373"/>
        <v>1-4,30585980728103i</v>
      </c>
      <c r="W422" s="67">
        <f t="shared" si="386"/>
        <v>4.4204557095347345</v>
      </c>
      <c r="X422" s="67">
        <f t="shared" si="387"/>
        <v>-1.3425999564192785</v>
      </c>
      <c r="Y422" t="str">
        <f t="shared" si="374"/>
        <v>0,230550761844851+11,9415845321927i</v>
      </c>
      <c r="Z422" s="67">
        <f t="shared" si="388"/>
        <v>11.943809894388437</v>
      </c>
      <c r="AA422" s="67">
        <f t="shared" si="389"/>
        <v>1.5514921781492239</v>
      </c>
      <c r="AB422" s="92" t="str">
        <f t="shared" si="390"/>
        <v>-0,226946329901603-0,0461220999819761i</v>
      </c>
      <c r="AC422" s="37">
        <f t="shared" si="391"/>
        <v>-12.705769405421686</v>
      </c>
      <c r="AD422" s="60">
        <f t="shared" si="392"/>
        <v>-168.51228022320876</v>
      </c>
      <c r="AE422" t="str">
        <f t="shared" si="393"/>
        <v>34,4450883806789</v>
      </c>
      <c r="AF422" t="str">
        <f t="shared" si="375"/>
        <v>1+372,026287349081i</v>
      </c>
      <c r="AG422">
        <f t="shared" si="394"/>
        <v>372.02763133770179</v>
      </c>
      <c r="AH422">
        <f t="shared" si="395"/>
        <v>1.5681083511716682</v>
      </c>
      <c r="AI422" t="str">
        <f t="shared" si="376"/>
        <v>1+20,668127074949i</v>
      </c>
      <c r="AJ422">
        <f t="shared" si="396"/>
        <v>20.692304772215198</v>
      </c>
      <c r="AK422">
        <f t="shared" si="397"/>
        <v>1.5224503511858121</v>
      </c>
      <c r="AL422" t="str">
        <f t="shared" si="377"/>
        <v>1-1,40628792423963i</v>
      </c>
      <c r="AM422">
        <f t="shared" si="398"/>
        <v>1.7255856182357938</v>
      </c>
      <c r="AN422">
        <f t="shared" si="399"/>
        <v>-0.95266483740474872</v>
      </c>
      <c r="AO422" s="58" t="str">
        <f t="shared" si="400"/>
        <v>1,79088049314055-2,77886902836583i</v>
      </c>
      <c r="AP422">
        <f t="shared" si="401"/>
        <v>10.385949704513225</v>
      </c>
      <c r="AQ422" s="60">
        <f t="shared" si="402"/>
        <v>-57.199685174006817</v>
      </c>
      <c r="AR422" t="str">
        <f t="shared" si="378"/>
        <v>-1,36472945891784</v>
      </c>
      <c r="AS422" t="str">
        <f t="shared" si="379"/>
        <v>1+15,4824939918443i</v>
      </c>
      <c r="AT422">
        <f t="shared" si="403"/>
        <v>15.514754919349993</v>
      </c>
      <c r="AU422">
        <f t="shared" si="404"/>
        <v>1.5062968418979472</v>
      </c>
      <c r="AV422" t="str">
        <f t="shared" si="380"/>
        <v>1+15,4824939918443i</v>
      </c>
      <c r="AW422">
        <f t="shared" si="405"/>
        <v>15.514754919349993</v>
      </c>
      <c r="AX422">
        <f t="shared" si="406"/>
        <v>1.5062968418979472</v>
      </c>
      <c r="AY422" t="str">
        <f t="shared" si="381"/>
        <v>1-0,000968836158302505i</v>
      </c>
      <c r="AZ422">
        <f t="shared" si="407"/>
        <v>1.0000004693216407</v>
      </c>
      <c r="BA422">
        <f t="shared" si="408"/>
        <v>-9.6883585517208769E-4</v>
      </c>
      <c r="BB422" s="58" t="str">
        <f t="shared" si="409"/>
        <v>-0,00558461138818661+0,0877859115104846i</v>
      </c>
      <c r="BC422">
        <f t="shared" si="410"/>
        <v>-21.113962989547655</v>
      </c>
      <c r="BD422" s="60">
        <f t="shared" si="411"/>
        <v>93.640038059820682</v>
      </c>
      <c r="BE422" s="58" t="str">
        <f t="shared" si="412"/>
        <v>0,00531627764617112-0,0196651164295649i</v>
      </c>
      <c r="BF422" s="37">
        <f t="shared" si="413"/>
        <v>-33.819732394969357</v>
      </c>
      <c r="BG422" s="60">
        <f t="shared" si="414"/>
        <v>-74.872242163388066</v>
      </c>
      <c r="BH422" s="58" t="str">
        <f t="shared" si="415"/>
        <v>0,233944179026475+0,17273298011878i</v>
      </c>
      <c r="BI422" s="37">
        <f t="shared" si="416"/>
        <v>-10.728013285034432</v>
      </c>
      <c r="BJ422" s="60">
        <f t="shared" si="417"/>
        <v>36.440352885813851</v>
      </c>
      <c r="BK422">
        <f t="shared" si="418"/>
        <v>-33.819732394969357</v>
      </c>
      <c r="BL422" s="60">
        <f t="shared" si="419"/>
        <v>-74.872242163388066</v>
      </c>
      <c r="BN422">
        <f t="shared" si="420"/>
        <v>0</v>
      </c>
      <c r="BO422">
        <f t="shared" si="421"/>
        <v>0</v>
      </c>
    </row>
    <row r="423" spans="13:67" x14ac:dyDescent="0.25">
      <c r="M423" s="66">
        <v>5</v>
      </c>
      <c r="N423" s="36">
        <f t="shared" si="422"/>
        <v>112201.84543019651</v>
      </c>
      <c r="O423" s="91" t="str">
        <f t="shared" si="370"/>
        <v>22,5</v>
      </c>
      <c r="P423" s="67" t="str">
        <f t="shared" si="371"/>
        <v>1+761,383785577082i</v>
      </c>
      <c r="Q423" s="67">
        <f t="shared" si="382"/>
        <v>761.38444227583739</v>
      </c>
      <c r="R423" s="67">
        <f t="shared" si="383"/>
        <v>1.5694829294728905</v>
      </c>
      <c r="S423" s="67" t="str">
        <f t="shared" si="372"/>
        <v>1+21,1495495993634i</v>
      </c>
      <c r="T423" s="67">
        <f t="shared" si="384"/>
        <v>21.173177566343995</v>
      </c>
      <c r="U423" s="67">
        <f t="shared" si="385"/>
        <v>1.5235491839164064</v>
      </c>
      <c r="V423" t="str">
        <f t="shared" si="373"/>
        <v>1-4,40615616653404i</v>
      </c>
      <c r="W423" s="67">
        <f t="shared" si="386"/>
        <v>4.5182089553146989</v>
      </c>
      <c r="X423" s="67">
        <f t="shared" si="387"/>
        <v>-1.3476216896526927</v>
      </c>
      <c r="Y423" t="str">
        <f t="shared" si="374"/>
        <v>0,194287736451728+12,2197397685211i</v>
      </c>
      <c r="Z423" s="67">
        <f t="shared" si="388"/>
        <v>12.221284209726553</v>
      </c>
      <c r="AA423" s="67">
        <f t="shared" si="389"/>
        <v>1.5548981676671731</v>
      </c>
      <c r="AB423" s="92" t="str">
        <f t="shared" si="390"/>
        <v>-0,227019406660809-0,0443997674862272i</v>
      </c>
      <c r="AC423" s="37">
        <f t="shared" si="391"/>
        <v>-12.715719449280966</v>
      </c>
      <c r="AD423" s="60">
        <f t="shared" si="392"/>
        <v>-168.93394753495653</v>
      </c>
      <c r="AE423" t="str">
        <f t="shared" si="393"/>
        <v>34,4450883806789</v>
      </c>
      <c r="AF423" t="str">
        <f t="shared" si="375"/>
        <v>1+380,691892788541i</v>
      </c>
      <c r="AG423">
        <f t="shared" si="394"/>
        <v>380.69320618435262</v>
      </c>
      <c r="AH423">
        <f t="shared" si="395"/>
        <v>1.5681695366821227</v>
      </c>
      <c r="AI423" t="str">
        <f t="shared" si="376"/>
        <v>1+21,1495495993634i</v>
      </c>
      <c r="AJ423">
        <f t="shared" si="396"/>
        <v>21.173177566343995</v>
      </c>
      <c r="AK423">
        <f t="shared" si="397"/>
        <v>1.5235491839164064</v>
      </c>
      <c r="AL423" t="str">
        <f t="shared" si="377"/>
        <v>1-1,43904457800346i</v>
      </c>
      <c r="AM423">
        <f t="shared" si="398"/>
        <v>1.7523838898714961</v>
      </c>
      <c r="AN423">
        <f t="shared" si="399"/>
        <v>-0.96349767568962552</v>
      </c>
      <c r="AO423" s="58" t="str">
        <f t="shared" si="400"/>
        <v>1,7908698744012-2,83955473521302i</v>
      </c>
      <c r="AP423">
        <f t="shared" si="401"/>
        <v>10.519349370943821</v>
      </c>
      <c r="AQ423" s="60">
        <f t="shared" si="402"/>
        <v>-57.760908281540608</v>
      </c>
      <c r="AR423" t="str">
        <f t="shared" si="378"/>
        <v>-1,36472945891784</v>
      </c>
      <c r="AS423" t="str">
        <f t="shared" si="379"/>
        <v>1+15,8431276048831i</v>
      </c>
      <c r="AT423">
        <f t="shared" si="403"/>
        <v>15.874655659402785</v>
      </c>
      <c r="AU423">
        <f t="shared" si="404"/>
        <v>1.5077610982773599</v>
      </c>
      <c r="AV423" t="str">
        <f t="shared" si="380"/>
        <v>1+15,8431276048831i</v>
      </c>
      <c r="AW423">
        <f t="shared" si="405"/>
        <v>15.874655659402785</v>
      </c>
      <c r="AX423">
        <f t="shared" si="406"/>
        <v>1.5077610982773599</v>
      </c>
      <c r="AY423" t="str">
        <f t="shared" si="381"/>
        <v>1-0,000946782754901044i</v>
      </c>
      <c r="AZ423">
        <f t="shared" si="407"/>
        <v>1.0000004481986922</v>
      </c>
      <c r="BA423">
        <f t="shared" si="408"/>
        <v>-9.4678247200327117E-4</v>
      </c>
      <c r="BB423" s="58" t="str">
        <f t="shared" si="409"/>
        <v>-0,00533425986929326+0,0858034621036291i</v>
      </c>
      <c r="BC423">
        <f t="shared" si="410"/>
        <v>-21.313151055017126</v>
      </c>
      <c r="BD423" s="60">
        <f t="shared" si="411"/>
        <v>93.557405914934776</v>
      </c>
      <c r="BE423" s="58" t="str">
        <f t="shared" si="412"/>
        <v>0,00502063427741596-0,0192422111583014i</v>
      </c>
      <c r="BF423" s="37">
        <f t="shared" si="413"/>
        <v>-34.028870504298077</v>
      </c>
      <c r="BG423" s="60">
        <f t="shared" si="414"/>
        <v>-75.376541620021783</v>
      </c>
      <c r="BH423" s="58" t="str">
        <f t="shared" si="415"/>
        <v>0,234090661811886+0,168809758271423i</v>
      </c>
      <c r="BI423" s="37">
        <f t="shared" si="416"/>
        <v>-10.79380168407331</v>
      </c>
      <c r="BJ423" s="60">
        <f t="shared" si="417"/>
        <v>35.796497633394239</v>
      </c>
      <c r="BK423">
        <f t="shared" si="418"/>
        <v>-34.028870504298077</v>
      </c>
      <c r="BL423" s="60">
        <f t="shared" si="419"/>
        <v>-75.376541620021783</v>
      </c>
      <c r="BN423">
        <f t="shared" si="420"/>
        <v>0</v>
      </c>
      <c r="BO423">
        <f t="shared" si="421"/>
        <v>0</v>
      </c>
    </row>
    <row r="424" spans="13:67" x14ac:dyDescent="0.25">
      <c r="M424" s="66">
        <v>6</v>
      </c>
      <c r="N424" s="36">
        <f t="shared" si="422"/>
        <v>114815.36214968823</v>
      </c>
      <c r="O424" s="91" t="str">
        <f t="shared" si="370"/>
        <v>22,5</v>
      </c>
      <c r="P424" s="67" t="str">
        <f t="shared" si="371"/>
        <v>1+779,118692217218i</v>
      </c>
      <c r="Q424" s="67">
        <f t="shared" si="382"/>
        <v>779.11933396769723</v>
      </c>
      <c r="R424" s="67">
        <f t="shared" si="383"/>
        <v>1.5695128260127122</v>
      </c>
      <c r="S424" s="67" t="str">
        <f t="shared" si="372"/>
        <v>1+21,6421858949227i</v>
      </c>
      <c r="T424" s="67">
        <f t="shared" si="384"/>
        <v>21.665276603597544</v>
      </c>
      <c r="U424" s="67">
        <f t="shared" si="385"/>
        <v>1.5246231145026037</v>
      </c>
      <c r="V424" t="str">
        <f t="shared" si="373"/>
        <v>1-4,5087887281089i</v>
      </c>
      <c r="W424" s="67">
        <f t="shared" si="386"/>
        <v>4.6183520648302547</v>
      </c>
      <c r="X424" s="67">
        <f t="shared" si="387"/>
        <v>-1.3525401997878788</v>
      </c>
      <c r="Y424" t="str">
        <f t="shared" si="374"/>
        <v>0,156315687323899+12,504374072622i</v>
      </c>
      <c r="Z424" s="67">
        <f t="shared" si="388"/>
        <v>12.505351076325878</v>
      </c>
      <c r="AA424" s="67">
        <f t="shared" si="389"/>
        <v>1.5582960973079742</v>
      </c>
      <c r="AB424" s="92" t="str">
        <f t="shared" si="390"/>
        <v>-0,227085116375392-0,0427004000837253i</v>
      </c>
      <c r="AC424" s="37">
        <f t="shared" si="391"/>
        <v>-12.725321543240719</v>
      </c>
      <c r="AD424" s="60">
        <f t="shared" si="392"/>
        <v>-169.35062569017001</v>
      </c>
      <c r="AE424" t="str">
        <f t="shared" si="393"/>
        <v>34,4450883806789</v>
      </c>
      <c r="AF424" t="str">
        <f t="shared" si="375"/>
        <v>1+389,559346108609i</v>
      </c>
      <c r="AG424">
        <f t="shared" si="394"/>
        <v>389.56062960798164</v>
      </c>
      <c r="AH424">
        <f t="shared" si="395"/>
        <v>1.5682293294593264</v>
      </c>
      <c r="AI424" t="str">
        <f t="shared" si="376"/>
        <v>1+21,6421858949227i</v>
      </c>
      <c r="AJ424">
        <f t="shared" si="396"/>
        <v>21.665276603597544</v>
      </c>
      <c r="AK424">
        <f t="shared" si="397"/>
        <v>1.5246231145026037</v>
      </c>
      <c r="AL424" t="str">
        <f t="shared" si="377"/>
        <v>1-1,47256423225055i</v>
      </c>
      <c r="AM424">
        <f t="shared" si="398"/>
        <v>1.7800127578485645</v>
      </c>
      <c r="AN424">
        <f t="shared" si="399"/>
        <v>-0.9742438906119395</v>
      </c>
      <c r="AO424" s="58" t="str">
        <f t="shared" si="400"/>
        <v>1,79085973357741-2,90174600905528i</v>
      </c>
      <c r="AP424">
        <f t="shared" si="401"/>
        <v>10.65479194971153</v>
      </c>
      <c r="AQ424" s="60">
        <f t="shared" si="402"/>
        <v>-58.318515226029483</v>
      </c>
      <c r="AR424" t="str">
        <f t="shared" si="378"/>
        <v>-1,36472945891784</v>
      </c>
      <c r="AS424" t="str">
        <f t="shared" si="379"/>
        <v>1+16,2121614538866i</v>
      </c>
      <c r="AT424">
        <f t="shared" si="403"/>
        <v>16.242973219422808</v>
      </c>
      <c r="AU424">
        <f t="shared" si="404"/>
        <v>1.5091922856942097</v>
      </c>
      <c r="AV424" t="str">
        <f t="shared" si="380"/>
        <v>1+16,2121614538866i</v>
      </c>
      <c r="AW424">
        <f t="shared" si="405"/>
        <v>16.242973219422808</v>
      </c>
      <c r="AX424">
        <f t="shared" si="406"/>
        <v>1.5091922856942097</v>
      </c>
      <c r="AY424" t="str">
        <f t="shared" si="381"/>
        <v>1-0,000925231348248385i</v>
      </c>
      <c r="AZ424">
        <f t="shared" si="407"/>
        <v>1.0000004280264323</v>
      </c>
      <c r="BA424">
        <f t="shared" si="408"/>
        <v>-9.2523108423281538E-4</v>
      </c>
      <c r="BB424" s="58" t="str">
        <f t="shared" si="409"/>
        <v>-0,00509508859729271+0,0838650894384349i</v>
      </c>
      <c r="BC424">
        <f t="shared" si="410"/>
        <v>-21.512375521769425</v>
      </c>
      <c r="BD424" s="60">
        <f t="shared" si="411"/>
        <v>93.476639719818962</v>
      </c>
      <c r="BE424" s="58" t="str">
        <f t="shared" si="412"/>
        <v>0,00473809165913772-0,0188269512733932i</v>
      </c>
      <c r="BF424" s="37">
        <f t="shared" si="413"/>
        <v>-34.237697065010153</v>
      </c>
      <c r="BG424" s="60">
        <f t="shared" si="414"/>
        <v>-75.873985970351058</v>
      </c>
      <c r="BH424" s="58" t="str">
        <f t="shared" si="415"/>
        <v>0,234230599569142+0,164975264731138i</v>
      </c>
      <c r="BI424" s="37">
        <f t="shared" si="416"/>
        <v>-10.857583572057889</v>
      </c>
      <c r="BJ424" s="60">
        <f t="shared" si="417"/>
        <v>35.158124493789387</v>
      </c>
      <c r="BK424">
        <f t="shared" si="418"/>
        <v>-34.237697065010153</v>
      </c>
      <c r="BL424" s="60">
        <f t="shared" si="419"/>
        <v>-75.873985970351058</v>
      </c>
      <c r="BN424">
        <f t="shared" si="420"/>
        <v>0</v>
      </c>
      <c r="BO424">
        <f t="shared" si="421"/>
        <v>0</v>
      </c>
    </row>
    <row r="425" spans="13:67" x14ac:dyDescent="0.25">
      <c r="M425" s="66">
        <v>7</v>
      </c>
      <c r="N425" s="36">
        <f t="shared" si="422"/>
        <v>117489.75549395311</v>
      </c>
      <c r="O425" s="91" t="str">
        <f t="shared" si="370"/>
        <v>22,5</v>
      </c>
      <c r="P425" s="67" t="str">
        <f t="shared" si="371"/>
        <v>1+797,266697900826i</v>
      </c>
      <c r="Q425" s="67">
        <f t="shared" si="382"/>
        <v>797.26732504329254</v>
      </c>
      <c r="R425" s="67">
        <f t="shared" si="383"/>
        <v>1.569542042026421</v>
      </c>
      <c r="S425" s="67" t="str">
        <f t="shared" si="372"/>
        <v>1+22,1462971639119i</v>
      </c>
      <c r="T425" s="67">
        <f t="shared" si="384"/>
        <v>22.168862805121339</v>
      </c>
      <c r="U425" s="67">
        <f t="shared" si="385"/>
        <v>1.525672702442237</v>
      </c>
      <c r="V425" t="str">
        <f t="shared" si="373"/>
        <v>1-4,6138119091483i</v>
      </c>
      <c r="W425" s="67">
        <f t="shared" si="386"/>
        <v>4.7209385012938565</v>
      </c>
      <c r="X425" s="67">
        <f t="shared" si="387"/>
        <v>-1.3573571423537574</v>
      </c>
      <c r="Y425" t="str">
        <f t="shared" si="374"/>
        <v>0,116554070654151+12,7956383613713i</v>
      </c>
      <c r="Z425" s="67">
        <f t="shared" si="388"/>
        <v>12.796169189502882</v>
      </c>
      <c r="AA425" s="67">
        <f t="shared" si="389"/>
        <v>1.5616876880578088</v>
      </c>
      <c r="AB425" s="92" t="str">
        <f t="shared" si="390"/>
        <v>-0,227143591853999-0,0410231731935147i</v>
      </c>
      <c r="AC425" s="37">
        <f t="shared" si="391"/>
        <v>-12.734593245799745</v>
      </c>
      <c r="AD425" s="60">
        <f t="shared" si="392"/>
        <v>-169.7624770002638</v>
      </c>
      <c r="AE425" t="str">
        <f t="shared" si="393"/>
        <v>34,4450883806789</v>
      </c>
      <c r="AF425" t="str">
        <f t="shared" si="375"/>
        <v>1+398,633348950414i</v>
      </c>
      <c r="AG425">
        <f t="shared" si="394"/>
        <v>398.63460323386693</v>
      </c>
      <c r="AH425">
        <f t="shared" si="395"/>
        <v>1.5682877612044905</v>
      </c>
      <c r="AI425" t="str">
        <f t="shared" si="376"/>
        <v>1+22,1462971639119i</v>
      </c>
      <c r="AJ425">
        <f t="shared" si="396"/>
        <v>22.168862805121339</v>
      </c>
      <c r="AK425">
        <f t="shared" si="397"/>
        <v>1.525672702442237</v>
      </c>
      <c r="AL425" t="str">
        <f t="shared" si="377"/>
        <v>1-1,50686465954528i</v>
      </c>
      <c r="AM425">
        <f t="shared" si="398"/>
        <v>1.8084913884745242</v>
      </c>
      <c r="AN425">
        <f t="shared" si="399"/>
        <v>-0.98489925210666729</v>
      </c>
      <c r="AO425" s="58" t="str">
        <f t="shared" si="400"/>
        <v>1,79085004915999-2,96547582469691i</v>
      </c>
      <c r="AP425">
        <f t="shared" si="401"/>
        <v>10.792243391478388</v>
      </c>
      <c r="AQ425" s="60">
        <f t="shared" si="402"/>
        <v>-58.872233402082394</v>
      </c>
      <c r="AR425" t="str">
        <f t="shared" si="378"/>
        <v>-1,36472945891784</v>
      </c>
      <c r="AS425" t="str">
        <f t="shared" si="379"/>
        <v>1+16,5897912054864i</v>
      </c>
      <c r="AT425">
        <f t="shared" si="403"/>
        <v>16.61990289507234</v>
      </c>
      <c r="AU425">
        <f t="shared" si="404"/>
        <v>1.5105911395177962</v>
      </c>
      <c r="AV425" t="str">
        <f t="shared" si="380"/>
        <v>1+16,5897912054864i</v>
      </c>
      <c r="AW425">
        <f t="shared" si="405"/>
        <v>16.61990289507234</v>
      </c>
      <c r="AX425">
        <f t="shared" si="406"/>
        <v>1.5105911395177962</v>
      </c>
      <c r="AY425" t="str">
        <f t="shared" si="381"/>
        <v>1-0,000904170511503448i</v>
      </c>
      <c r="AZ425">
        <f t="shared" si="407"/>
        <v>1.0000004087620733</v>
      </c>
      <c r="BA425">
        <f t="shared" si="408"/>
        <v>-9.0417026510977651E-4</v>
      </c>
      <c r="BB425" s="58" t="str">
        <f t="shared" si="409"/>
        <v>-0,00486660202809557+0,0819698596592358i</v>
      </c>
      <c r="BC425">
        <f t="shared" si="410"/>
        <v>-21.711634763906783</v>
      </c>
      <c r="BD425" s="60">
        <f t="shared" si="411"/>
        <v>93.397697995620547</v>
      </c>
      <c r="BE425" s="58" t="str">
        <f t="shared" si="412"/>
        <v>0,00446808121423451-0,0184192848889046i</v>
      </c>
      <c r="BF425" s="37">
        <f t="shared" si="413"/>
        <v>-34.446228009706509</v>
      </c>
      <c r="BG425" s="60">
        <f t="shared" si="414"/>
        <v>-76.364779004643268</v>
      </c>
      <c r="BH425" s="58" t="str">
        <f t="shared" si="415"/>
        <v>0,234364282692005+0,161227517863118i</v>
      </c>
      <c r="BI425" s="37">
        <f t="shared" si="416"/>
        <v>-10.919391372428404</v>
      </c>
      <c r="BJ425" s="60">
        <f t="shared" si="417"/>
        <v>34.525464593538153</v>
      </c>
      <c r="BK425">
        <f t="shared" si="418"/>
        <v>-34.446228009706509</v>
      </c>
      <c r="BL425" s="60">
        <f t="shared" si="419"/>
        <v>-76.364779004643268</v>
      </c>
      <c r="BN425">
        <f t="shared" si="420"/>
        <v>0</v>
      </c>
      <c r="BO425">
        <f t="shared" si="421"/>
        <v>0</v>
      </c>
    </row>
    <row r="426" spans="13:67" x14ac:dyDescent="0.25">
      <c r="M426" s="66">
        <v>8</v>
      </c>
      <c r="N426" s="36">
        <f t="shared" si="422"/>
        <v>120226.44346174144</v>
      </c>
      <c r="O426" s="91" t="str">
        <f t="shared" si="370"/>
        <v>22,5</v>
      </c>
      <c r="P426" s="67" t="str">
        <f t="shared" si="371"/>
        <v>1+815,837424940733i</v>
      </c>
      <c r="Q426" s="67">
        <f t="shared" si="382"/>
        <v>815.83803780770484</v>
      </c>
      <c r="R426" s="67">
        <f t="shared" si="383"/>
        <v>1.5695705930045341</v>
      </c>
      <c r="S426" s="67" t="str">
        <f t="shared" si="372"/>
        <v>1+22,6621506927981i</v>
      </c>
      <c r="T426" s="67">
        <f t="shared" si="384"/>
        <v>22.684203182459143</v>
      </c>
      <c r="U426" s="67">
        <f t="shared" si="385"/>
        <v>1.5266984949853595</v>
      </c>
      <c r="V426" t="str">
        <f t="shared" si="373"/>
        <v>1-4,72128139433294i</v>
      </c>
      <c r="W426" s="67">
        <f t="shared" si="386"/>
        <v>4.8260230008231817</v>
      </c>
      <c r="X426" s="67">
        <f t="shared" si="387"/>
        <v>-1.3620741768095006</v>
      </c>
      <c r="Y426" t="str">
        <f t="shared" si="374"/>
        <v>0,074918546722603+13,09368706695i</v>
      </c>
      <c r="Z426" s="67">
        <f t="shared" si="388"/>
        <v>13.093901397057209</v>
      </c>
      <c r="AA426" s="67">
        <f t="shared" si="389"/>
        <v>1.5650746588804645</v>
      </c>
      <c r="AB426" s="92" t="str">
        <f t="shared" si="390"/>
        <v>-0,22719495162185-0,0393672716832928i</v>
      </c>
      <c r="AC426" s="37">
        <f t="shared" si="391"/>
        <v>-12.743551642282998</v>
      </c>
      <c r="AD426" s="60">
        <f t="shared" si="392"/>
        <v>-170.16966456703776</v>
      </c>
      <c r="AE426" t="str">
        <f t="shared" si="393"/>
        <v>34,4450883806789</v>
      </c>
      <c r="AF426" t="str">
        <f t="shared" si="375"/>
        <v>1+407,918712470367i</v>
      </c>
      <c r="AG426">
        <f t="shared" si="394"/>
        <v>407.9199382029297</v>
      </c>
      <c r="AH426">
        <f t="shared" si="395"/>
        <v>1.5683448628973027</v>
      </c>
      <c r="AI426" t="str">
        <f t="shared" si="376"/>
        <v>1+22,6621506927981i</v>
      </c>
      <c r="AJ426">
        <f t="shared" si="396"/>
        <v>22.684203182459143</v>
      </c>
      <c r="AK426">
        <f t="shared" si="397"/>
        <v>1.5266984949853595</v>
      </c>
      <c r="AL426" t="str">
        <f t="shared" si="377"/>
        <v>1-1,54196404642821i</v>
      </c>
      <c r="AM426">
        <f t="shared" si="398"/>
        <v>1.8378392531658634</v>
      </c>
      <c r="AN426">
        <f t="shared" si="399"/>
        <v>-0.99545973152396561</v>
      </c>
      <c r="AO426" s="58" t="str">
        <f t="shared" si="400"/>
        <v>1,79084080060779-3,0307779726861i</v>
      </c>
      <c r="AP426">
        <f t="shared" si="401"/>
        <v>10.931668439072389</v>
      </c>
      <c r="AQ426" s="60">
        <f t="shared" si="402"/>
        <v>-59.421802404952658</v>
      </c>
      <c r="AR426" t="str">
        <f t="shared" si="378"/>
        <v>-1,36472945891784</v>
      </c>
      <c r="AS426" t="str">
        <f t="shared" si="379"/>
        <v>1+16,9762170839751i</v>
      </c>
      <c r="AT426">
        <f t="shared" si="403"/>
        <v>17.00564454768616</v>
      </c>
      <c r="AU426">
        <f t="shared" si="404"/>
        <v>1.5119583795284379</v>
      </c>
      <c r="AV426" t="str">
        <f t="shared" si="380"/>
        <v>1+16,9762170839751i</v>
      </c>
      <c r="AW426">
        <f t="shared" si="405"/>
        <v>17.00564454768616</v>
      </c>
      <c r="AX426">
        <f t="shared" si="406"/>
        <v>1.5119583795284379</v>
      </c>
      <c r="AY426" t="str">
        <f t="shared" si="381"/>
        <v>1-0,000883589077931823i</v>
      </c>
      <c r="AZ426">
        <f t="shared" si="407"/>
        <v>1.0000003903647532</v>
      </c>
      <c r="BA426">
        <f t="shared" si="408"/>
        <v>-8.8358884798386437E-4</v>
      </c>
      <c r="BB426" s="58" t="str">
        <f t="shared" si="409"/>
        <v>-0,00464832625315377+0,0801168555949105i</v>
      </c>
      <c r="BC426">
        <f t="shared" si="410"/>
        <v>-21.910927227621038</v>
      </c>
      <c r="BD426" s="60">
        <f t="shared" si="411"/>
        <v>93.320540141767069</v>
      </c>
      <c r="BE426" s="58" t="str">
        <f t="shared" si="412"/>
        <v>0,00421005827882382-0,0180191532084999i</v>
      </c>
      <c r="BF426" s="37">
        <f t="shared" si="413"/>
        <v>-34.654478869904054</v>
      </c>
      <c r="BG426" s="60">
        <f t="shared" si="414"/>
        <v>-76.849124425270659</v>
      </c>
      <c r="BH426" s="58" t="str">
        <f t="shared" si="415"/>
        <v>0,234491988869244+0,157564578633685i</v>
      </c>
      <c r="BI426" s="37">
        <f t="shared" si="416"/>
        <v>-10.979258788548645</v>
      </c>
      <c r="BJ426" s="60">
        <f t="shared" si="417"/>
        <v>33.898737736814375</v>
      </c>
      <c r="BK426">
        <f t="shared" si="418"/>
        <v>-34.654478869904054</v>
      </c>
      <c r="BL426" s="60">
        <f t="shared" si="419"/>
        <v>-76.849124425270659</v>
      </c>
      <c r="BN426">
        <f t="shared" si="420"/>
        <v>0</v>
      </c>
      <c r="BO426">
        <f t="shared" si="421"/>
        <v>0</v>
      </c>
    </row>
    <row r="427" spans="13:67" x14ac:dyDescent="0.25">
      <c r="M427" s="66">
        <v>9</v>
      </c>
      <c r="N427" s="36">
        <f t="shared" si="422"/>
        <v>123026.87708123829</v>
      </c>
      <c r="O427" s="91" t="str">
        <f t="shared" si="370"/>
        <v>22,5</v>
      </c>
      <c r="P427" s="67" t="str">
        <f t="shared" si="371"/>
        <v>1+834,840719782227i</v>
      </c>
      <c r="Q427" s="67">
        <f t="shared" si="382"/>
        <v>834.84131869865348</v>
      </c>
      <c r="R427" s="67">
        <f t="shared" si="383"/>
        <v>1.5695984940849719</v>
      </c>
      <c r="S427" s="67" t="str">
        <f t="shared" si="372"/>
        <v>1+23,1900199939508i</v>
      </c>
      <c r="T427" s="67">
        <f t="shared" si="384"/>
        <v>23.21157097914395</v>
      </c>
      <c r="U427" s="67">
        <f t="shared" si="385"/>
        <v>1.5277010273807163</v>
      </c>
      <c r="V427" t="str">
        <f t="shared" si="373"/>
        <v>1-4,83125416540641i</v>
      </c>
      <c r="W427" s="67">
        <f t="shared" si="386"/>
        <v>4.9336616027811209</v>
      </c>
      <c r="X427" s="67">
        <f t="shared" si="387"/>
        <v>-1.366692964152566</v>
      </c>
      <c r="Y427" t="str">
        <f t="shared" si="374"/>
        <v>0,031320801000824+13,3986782187271i</v>
      </c>
      <c r="Z427" s="67">
        <f t="shared" si="388"/>
        <v>13.398714826488671</v>
      </c>
      <c r="AA427" s="67">
        <f t="shared" si="389"/>
        <v>1.5684587272615689</v>
      </c>
      <c r="AB427" s="92" t="str">
        <f t="shared" si="390"/>
        <v>-0,227239300127025-0,0377318897729607i</v>
      </c>
      <c r="AC427" s="37">
        <f t="shared" si="391"/>
        <v>-12.752213362416679</v>
      </c>
      <c r="AD427" s="60">
        <f t="shared" si="392"/>
        <v>-170.57235216315863</v>
      </c>
      <c r="AE427" t="str">
        <f t="shared" si="393"/>
        <v>34,4450883806789</v>
      </c>
      <c r="AF427" t="str">
        <f t="shared" si="375"/>
        <v>1+417,420359891114i</v>
      </c>
      <c r="AG427">
        <f t="shared" si="394"/>
        <v>417.42155772267819</v>
      </c>
      <c r="AH427">
        <f t="shared" si="395"/>
        <v>1.5684006648123459</v>
      </c>
      <c r="AI427" t="str">
        <f t="shared" si="376"/>
        <v>1+23,1900199939508i</v>
      </c>
      <c r="AJ427">
        <f t="shared" si="396"/>
        <v>23.21157097914395</v>
      </c>
      <c r="AK427">
        <f t="shared" si="397"/>
        <v>1.5277010273807163</v>
      </c>
      <c r="AL427" t="str">
        <f t="shared" si="377"/>
        <v>1-1,57788100305887i</v>
      </c>
      <c r="AM427">
        <f t="shared" si="398"/>
        <v>1.8680761386555058</v>
      </c>
      <c r="AN427">
        <f t="shared" si="399"/>
        <v>-1.0059215060601996</v>
      </c>
      <c r="AO427" s="58" t="str">
        <f t="shared" si="400"/>
        <v>1,79083196830413-3,09768707723212i</v>
      </c>
      <c r="AP427">
        <f t="shared" si="401"/>
        <v>11.073030740039822</v>
      </c>
      <c r="AQ427" s="60">
        <f t="shared" si="402"/>
        <v>-59.96697427123781</v>
      </c>
      <c r="AR427" t="str">
        <f t="shared" si="378"/>
        <v>-1,36472945891784</v>
      </c>
      <c r="AS427" t="str">
        <f t="shared" si="379"/>
        <v>1+17,3716439774685i</v>
      </c>
      <c r="AT427">
        <f t="shared" si="403"/>
        <v>17.400402710279945</v>
      </c>
      <c r="AU427">
        <f t="shared" si="404"/>
        <v>1.5132947101965821</v>
      </c>
      <c r="AV427" t="str">
        <f t="shared" si="380"/>
        <v>1+17,3716439774685i</v>
      </c>
      <c r="AW427">
        <f t="shared" si="405"/>
        <v>17.400402710279945</v>
      </c>
      <c r="AX427">
        <f t="shared" si="406"/>
        <v>1.5132947101965821</v>
      </c>
      <c r="AY427" t="str">
        <f t="shared" si="381"/>
        <v>1-0,000863476134985003i</v>
      </c>
      <c r="AZ427">
        <f t="shared" si="407"/>
        <v>1.0000003727954483</v>
      </c>
      <c r="BA427">
        <f t="shared" si="408"/>
        <v>-8.6347592038507701E-4</v>
      </c>
      <c r="BB427" s="58" t="str">
        <f t="shared" si="409"/>
        <v>-0,00443980808373908+0,0783051766774886i</v>
      </c>
      <c r="BC427">
        <f t="shared" si="410"/>
        <v>-22.110251428044204</v>
      </c>
      <c r="BD427" s="60">
        <f t="shared" si="411"/>
        <v>93.245126420313568</v>
      </c>
      <c r="BE427" s="58" t="str">
        <f t="shared" si="412"/>
        <v>0,00396350117669439-0,0176264911952868i</v>
      </c>
      <c r="BF427" s="37">
        <f t="shared" si="413"/>
        <v>-34.862464790460891</v>
      </c>
      <c r="BG427" s="60">
        <f t="shared" si="414"/>
        <v>-77.327225742845044</v>
      </c>
      <c r="BH427" s="58" t="str">
        <f t="shared" si="415"/>
        <v>0,234613983624739+0,153984549804139i</v>
      </c>
      <c r="BI427" s="37">
        <f t="shared" si="416"/>
        <v>-11.037220688004389</v>
      </c>
      <c r="BJ427" s="60">
        <f t="shared" si="417"/>
        <v>33.278152149075844</v>
      </c>
      <c r="BK427">
        <f t="shared" si="418"/>
        <v>-34.862464790460891</v>
      </c>
      <c r="BL427" s="60">
        <f t="shared" si="419"/>
        <v>-77.327225742845044</v>
      </c>
      <c r="BN427">
        <f t="shared" si="420"/>
        <v>0</v>
      </c>
      <c r="BO427">
        <f t="shared" si="421"/>
        <v>0</v>
      </c>
    </row>
    <row r="428" spans="13:67" x14ac:dyDescent="0.25">
      <c r="M428" s="66">
        <v>10</v>
      </c>
      <c r="N428" s="36">
        <f t="shared" si="422"/>
        <v>125892.54117941685</v>
      </c>
      <c r="O428" s="91" t="str">
        <f t="shared" si="370"/>
        <v>22,5</v>
      </c>
      <c r="P428" s="67" t="str">
        <f t="shared" si="371"/>
        <v>1+854,286658223774i</v>
      </c>
      <c r="Q428" s="67">
        <f t="shared" si="382"/>
        <v>854.28724350720768</v>
      </c>
      <c r="R428" s="67">
        <f t="shared" si="383"/>
        <v>1.5696257600610828</v>
      </c>
      <c r="S428" s="67" t="str">
        <f t="shared" si="372"/>
        <v>1+23,7301849506604i</v>
      </c>
      <c r="T428" s="67">
        <f t="shared" si="384"/>
        <v>23.751245815589328</v>
      </c>
      <c r="U428" s="67">
        <f t="shared" si="385"/>
        <v>1.5286808231187314</v>
      </c>
      <c r="V428" t="str">
        <f t="shared" si="373"/>
        <v>1-4,94378853138758i</v>
      </c>
      <c r="W428" s="67">
        <f t="shared" si="386"/>
        <v>5.043911680737418</v>
      </c>
      <c r="X428" s="67">
        <f t="shared" si="387"/>
        <v>-1.371215164688443</v>
      </c>
      <c r="Y428" t="str">
        <f t="shared" si="374"/>
        <v>-0,0143316431751199+13,7107735270482i</v>
      </c>
      <c r="Z428" s="67">
        <f t="shared" si="388"/>
        <v>13.710781017360091</v>
      </c>
      <c r="AA428" s="67">
        <f t="shared" si="389"/>
        <v>1.5718416097562979</v>
      </c>
      <c r="AB428" s="92" t="str">
        <f t="shared" si="390"/>
        <v>-0,227276727925176-0,036116230934796i</v>
      </c>
      <c r="AC428" s="37">
        <f t="shared" si="391"/>
        <v>-12.760594598318242</v>
      </c>
      <c r="AD428" s="60">
        <f t="shared" si="392"/>
        <v>-170.97070412229516</v>
      </c>
      <c r="AE428" t="str">
        <f t="shared" si="393"/>
        <v>34,4450883806789</v>
      </c>
      <c r="AF428" t="str">
        <f t="shared" si="375"/>
        <v>1+427,143329111887i</v>
      </c>
      <c r="AG428">
        <f t="shared" si="394"/>
        <v>427.14449967755149</v>
      </c>
      <c r="AH428">
        <f t="shared" si="395"/>
        <v>1.568455196535143</v>
      </c>
      <c r="AI428" t="str">
        <f t="shared" si="376"/>
        <v>1+23,7301849506604i</v>
      </c>
      <c r="AJ428">
        <f t="shared" si="396"/>
        <v>23.751245815589328</v>
      </c>
      <c r="AK428">
        <f t="shared" si="397"/>
        <v>1.5286808231187314</v>
      </c>
      <c r="AL428" t="str">
        <f t="shared" si="377"/>
        <v>1-1,61463457308306i</v>
      </c>
      <c r="AM428">
        <f t="shared" si="398"/>
        <v>1.8992221577780508</v>
      </c>
      <c r="AN428">
        <f t="shared" si="399"/>
        <v>-1.0162809622153322</v>
      </c>
      <c r="AO428" s="58" t="str">
        <f t="shared" si="400"/>
        <v>1,79082353351515-3,16623861456407i</v>
      </c>
      <c r="AP428">
        <f t="shared" si="401"/>
        <v>11.216292959625376</v>
      </c>
      <c r="AQ428" s="60">
        <f t="shared" si="402"/>
        <v>-60.507513663970549</v>
      </c>
      <c r="AR428" t="str">
        <f t="shared" si="378"/>
        <v>-1,36472945891784</v>
      </c>
      <c r="AS428" t="str">
        <f t="shared" si="379"/>
        <v>1+17,7762815465397i</v>
      </c>
      <c r="AT428">
        <f t="shared" si="403"/>
        <v>17.804386696032182</v>
      </c>
      <c r="AU428">
        <f t="shared" si="404"/>
        <v>1.5146008209605035</v>
      </c>
      <c r="AV428" t="str">
        <f t="shared" si="380"/>
        <v>1+17,7762815465397i</v>
      </c>
      <c r="AW428">
        <f t="shared" si="405"/>
        <v>17.804386696032182</v>
      </c>
      <c r="AX428">
        <f t="shared" si="406"/>
        <v>1.5146008209605035</v>
      </c>
      <c r="AY428" t="str">
        <f t="shared" si="381"/>
        <v>1-0,000843821018514408i</v>
      </c>
      <c r="AZ428">
        <f t="shared" si="407"/>
        <v>1.0000003560168924</v>
      </c>
      <c r="BA428">
        <f t="shared" si="408"/>
        <v>-8.4382081823810022E-4</v>
      </c>
      <c r="BB428" s="58" t="str">
        <f t="shared" si="409"/>
        <v>-0,00424061417141994+0,0765339388434276i</v>
      </c>
      <c r="BC428">
        <f t="shared" si="410"/>
        <v>-22.30960594623231</v>
      </c>
      <c r="BD428" s="60">
        <f t="shared" si="411"/>
        <v>93.171417940363185</v>
      </c>
      <c r="BE428" s="58" t="str">
        <f t="shared" si="412"/>
        <v>0,00372791032289224-0,0172412281948394i</v>
      </c>
      <c r="BF428" s="37">
        <f t="shared" si="413"/>
        <v>-35.070200544550552</v>
      </c>
      <c r="BG428" s="60">
        <f t="shared" si="414"/>
        <v>-77.799286181931976</v>
      </c>
      <c r="BH428" s="58" t="str">
        <f t="shared" si="415"/>
        <v>0,234730520836009+0,150485575132437i</v>
      </c>
      <c r="BI428" s="37">
        <f t="shared" si="416"/>
        <v>-11.093312986606932</v>
      </c>
      <c r="BJ428" s="60">
        <f t="shared" si="417"/>
        <v>32.66390427639265</v>
      </c>
      <c r="BK428">
        <f t="shared" si="418"/>
        <v>-35.070200544550552</v>
      </c>
      <c r="BL428" s="60">
        <f t="shared" si="419"/>
        <v>-77.799286181931976</v>
      </c>
      <c r="BN428">
        <f t="shared" si="420"/>
        <v>0</v>
      </c>
      <c r="BO428">
        <f t="shared" si="421"/>
        <v>0</v>
      </c>
    </row>
    <row r="429" spans="13:67" x14ac:dyDescent="0.25">
      <c r="M429" s="66">
        <v>11</v>
      </c>
      <c r="N429" s="36">
        <f t="shared" si="422"/>
        <v>128824.95516931375</v>
      </c>
      <c r="O429" s="91" t="str">
        <f t="shared" si="370"/>
        <v>22,5</v>
      </c>
      <c r="P429" s="67" t="str">
        <f t="shared" si="371"/>
        <v>1+874,185550759333i</v>
      </c>
      <c r="Q429" s="67">
        <f t="shared" si="382"/>
        <v>874.18612272009807</v>
      </c>
      <c r="R429" s="67">
        <f t="shared" si="383"/>
        <v>1.5696524053894856</v>
      </c>
      <c r="S429" s="67" t="str">
        <f t="shared" si="372"/>
        <v>1+24,2829319655371i</v>
      </c>
      <c r="T429" s="67">
        <f t="shared" si="384"/>
        <v>24.303513837363177</v>
      </c>
      <c r="U429" s="67">
        <f t="shared" si="385"/>
        <v>1.5296383941709586</v>
      </c>
      <c r="V429" t="str">
        <f t="shared" si="373"/>
        <v>1-5,05894415948688i</v>
      </c>
      <c r="W429" s="67">
        <f t="shared" si="386"/>
        <v>5.1568319740715234</v>
      </c>
      <c r="X429" s="67">
        <f t="shared" si="387"/>
        <v>-1.375642435955609</v>
      </c>
      <c r="Y429" t="str">
        <f t="shared" si="374"/>
        <v>-0,0621356207600501+14,0301384689769i</v>
      </c>
      <c r="Z429" s="67">
        <f t="shared" si="388"/>
        <v>14.030276059081402</v>
      </c>
      <c r="AA429" s="67">
        <f t="shared" si="389"/>
        <v>1.575225022539259</v>
      </c>
      <c r="AB429" s="92" t="str">
        <f t="shared" si="390"/>
        <v>-0,227307311842714-0,0345195077915302i</v>
      </c>
      <c r="AC429" s="37">
        <f t="shared" si="391"/>
        <v>-12.768711122841259</v>
      </c>
      <c r="AD429" s="60">
        <f t="shared" si="392"/>
        <v>-171.36488523846231</v>
      </c>
      <c r="AE429" t="str">
        <f t="shared" si="393"/>
        <v>34,4450883806789</v>
      </c>
      <c r="AF429" t="str">
        <f t="shared" si="375"/>
        <v>1+437,092775379667i</v>
      </c>
      <c r="AG429">
        <f t="shared" si="394"/>
        <v>437.09391930007445</v>
      </c>
      <c r="AH429">
        <f t="shared" si="395"/>
        <v>1.5685084869778376</v>
      </c>
      <c r="AI429" t="str">
        <f t="shared" si="376"/>
        <v>1+24,2829319655371i</v>
      </c>
      <c r="AJ429">
        <f t="shared" si="396"/>
        <v>24.303513837363177</v>
      </c>
      <c r="AK429">
        <f t="shared" si="397"/>
        <v>1.5296383941709586</v>
      </c>
      <c r="AL429" t="str">
        <f t="shared" si="377"/>
        <v>1-1,65224424373013i</v>
      </c>
      <c r="AM429">
        <f t="shared" si="398"/>
        <v>1.9312977608176707</v>
      </c>
      <c r="AN429">
        <f t="shared" si="399"/>
        <v>-1.0265346982980534</v>
      </c>
      <c r="AO429" s="58" t="str">
        <f t="shared" si="400"/>
        <v>1,79081547835014-3,23646893174162i</v>
      </c>
      <c r="AP429">
        <f t="shared" si="401"/>
        <v>11.361416893491503</v>
      </c>
      <c r="AQ429" s="60">
        <f t="shared" si="402"/>
        <v>-61.043198003329806</v>
      </c>
      <c r="AR429" t="str">
        <f t="shared" si="378"/>
        <v>-1,36472945891784</v>
      </c>
      <c r="AS429" t="str">
        <f t="shared" si="379"/>
        <v>1+18,1903443353838i</v>
      </c>
      <c r="AT429">
        <f t="shared" si="403"/>
        <v>18.217810709298451</v>
      </c>
      <c r="AU429">
        <f t="shared" si="404"/>
        <v>1.5158773865023096</v>
      </c>
      <c r="AV429" t="str">
        <f t="shared" si="380"/>
        <v>1+18,1903443353838i</v>
      </c>
      <c r="AW429">
        <f t="shared" si="405"/>
        <v>18.217810709298451</v>
      </c>
      <c r="AX429">
        <f t="shared" si="406"/>
        <v>1.5158773865023096</v>
      </c>
      <c r="AY429" t="str">
        <f t="shared" si="381"/>
        <v>1-0,000824613307117121i</v>
      </c>
      <c r="AZ429">
        <f t="shared" si="407"/>
        <v>1.0000003399934954</v>
      </c>
      <c r="BA429">
        <f t="shared" si="408"/>
        <v>-8.2461312020839172E-4</v>
      </c>
      <c r="BB429" s="58" t="str">
        <f t="shared" si="409"/>
        <v>-0,00405033016353631+0,0748022744191552i</v>
      </c>
      <c r="BC429">
        <f t="shared" si="410"/>
        <v>-22.508989426277335</v>
      </c>
      <c r="BD429" s="60">
        <f t="shared" si="411"/>
        <v>93.099376642577141</v>
      </c>
      <c r="BE429" s="58" t="str">
        <f t="shared" si="412"/>
        <v>0,00350280735618511-0,0168632885143007i</v>
      </c>
      <c r="BF429" s="37">
        <f t="shared" si="413"/>
        <v>-35.277700549118599</v>
      </c>
      <c r="BG429" s="60">
        <f t="shared" si="414"/>
        <v>-78.265508595885137</v>
      </c>
      <c r="BH429" s="58" t="str">
        <f t="shared" si="415"/>
        <v>0,234841843231917+0,147065838583199i</v>
      </c>
      <c r="BI429" s="37">
        <f t="shared" si="416"/>
        <v>-11.147572532785846</v>
      </c>
      <c r="BJ429" s="60">
        <f t="shared" si="417"/>
        <v>32.056178639247385</v>
      </c>
      <c r="BK429">
        <f t="shared" si="418"/>
        <v>-35.277700549118599</v>
      </c>
      <c r="BL429" s="60">
        <f t="shared" si="419"/>
        <v>-78.265508595885137</v>
      </c>
      <c r="BN429">
        <f t="shared" si="420"/>
        <v>0</v>
      </c>
      <c r="BO429">
        <f t="shared" si="421"/>
        <v>0</v>
      </c>
    </row>
    <row r="430" spans="13:67" x14ac:dyDescent="0.25">
      <c r="M430" s="66">
        <v>12</v>
      </c>
      <c r="N430" s="36">
        <f t="shared" si="422"/>
        <v>131825.67385564081</v>
      </c>
      <c r="O430" s="91" t="str">
        <f t="shared" si="370"/>
        <v>22,5</v>
      </c>
      <c r="P430" s="67" t="str">
        <f t="shared" si="371"/>
        <v>1+894,547948045115i</v>
      </c>
      <c r="Q430" s="67">
        <f t="shared" si="382"/>
        <v>894.54850698647181</v>
      </c>
      <c r="R430" s="67">
        <f t="shared" si="383"/>
        <v>1.5696784441977352</v>
      </c>
      <c r="S430" s="67" t="str">
        <f t="shared" si="372"/>
        <v>1+24,8485541123643i</v>
      </c>
      <c r="T430" s="67">
        <f t="shared" si="384"/>
        <v>24.86866786691834</v>
      </c>
      <c r="U430" s="67">
        <f t="shared" si="385"/>
        <v>1.5305742412259415</v>
      </c>
      <c r="V430" t="str">
        <f t="shared" si="373"/>
        <v>1-5,17678210674256i</v>
      </c>
      <c r="W430" s="67">
        <f t="shared" si="386"/>
        <v>5.2724826202359294</v>
      </c>
      <c r="X430" s="67">
        <f t="shared" si="387"/>
        <v>-1.3799764307991305</v>
      </c>
      <c r="Y430" t="str">
        <f t="shared" si="374"/>
        <v>-0,1121925303996+14,3569423760327i</v>
      </c>
      <c r="Z430" s="67">
        <f t="shared" si="388"/>
        <v>14.35738073440281</v>
      </c>
      <c r="AA430" s="67">
        <f t="shared" si="389"/>
        <v>1.578610681955265</v>
      </c>
      <c r="AB430" s="92" t="str">
        <f t="shared" si="390"/>
        <v>-0,227331115118611-0,0329409420135952i</v>
      </c>
      <c r="AC430" s="37">
        <f t="shared" si="391"/>
        <v>-12.776578308218564</v>
      </c>
      <c r="AD430" s="60">
        <f t="shared" si="392"/>
        <v>-171.75506067412934</v>
      </c>
      <c r="AE430" t="str">
        <f t="shared" si="393"/>
        <v>34,4450883806789</v>
      </c>
      <c r="AF430" t="str">
        <f t="shared" si="375"/>
        <v>1+447,273974022558i</v>
      </c>
      <c r="AG430">
        <f t="shared" si="394"/>
        <v>447.27509190422381</v>
      </c>
      <c r="AH430">
        <f t="shared" si="395"/>
        <v>1.5685605643945164</v>
      </c>
      <c r="AI430" t="str">
        <f t="shared" si="376"/>
        <v>1+24,8485541123643i</v>
      </c>
      <c r="AJ430">
        <f t="shared" si="396"/>
        <v>24.86866786691834</v>
      </c>
      <c r="AK430">
        <f t="shared" si="397"/>
        <v>1.5305742412259415</v>
      </c>
      <c r="AL430" t="str">
        <f t="shared" si="377"/>
        <v>1-1,69072995614525i</v>
      </c>
      <c r="AM430">
        <f t="shared" si="398"/>
        <v>1.9643237474018684</v>
      </c>
      <c r="AN430">
        <f t="shared" si="399"/>
        <v>-1.0366795260065407</v>
      </c>
      <c r="AO430" s="58" t="str">
        <f t="shared" si="400"/>
        <v>1,79080778572356-3,30841526592715i</v>
      </c>
      <c r="AP430">
        <f t="shared" si="401"/>
        <v>11.508363579523502</v>
      </c>
      <c r="AQ430" s="60">
        <f t="shared" si="402"/>
        <v>-61.573817544576812</v>
      </c>
      <c r="AR430" t="str">
        <f t="shared" si="378"/>
        <v>-1,36472945891784</v>
      </c>
      <c r="AS430" t="str">
        <f t="shared" si="379"/>
        <v>1+18,6140518855721i</v>
      </c>
      <c r="AT430">
        <f t="shared" si="403"/>
        <v>18.640893959216928</v>
      </c>
      <c r="AU430">
        <f t="shared" si="404"/>
        <v>1.5171250670219925</v>
      </c>
      <c r="AV430" t="str">
        <f t="shared" si="380"/>
        <v>1+18,6140518855721i</v>
      </c>
      <c r="AW430">
        <f t="shared" si="405"/>
        <v>18.640893959216928</v>
      </c>
      <c r="AX430">
        <f t="shared" si="406"/>
        <v>1.5171250670219925</v>
      </c>
      <c r="AY430" t="str">
        <f t="shared" si="381"/>
        <v>1-0,000805842816610317i</v>
      </c>
      <c r="AZ430">
        <f t="shared" si="407"/>
        <v>1.0000003246912699</v>
      </c>
      <c r="BA430">
        <f t="shared" si="408"/>
        <v>-8.0584264217693834E-4</v>
      </c>
      <c r="BB430" s="58" t="str">
        <f t="shared" si="409"/>
        <v>-0,00386855989249133+0,0731093319923623i</v>
      </c>
      <c r="BC430">
        <f t="shared" si="410"/>
        <v>-22.708400572542445</v>
      </c>
      <c r="BD430" s="60">
        <f t="shared" si="411"/>
        <v>93.028965283789276</v>
      </c>
      <c r="BE430" s="58" t="str">
        <f t="shared" si="412"/>
        <v>0,00328773430007628-0,0164925919603058i</v>
      </c>
      <c r="BF430" s="37">
        <f t="shared" si="413"/>
        <v>-35.484978880760998</v>
      </c>
      <c r="BG430" s="60">
        <f t="shared" si="414"/>
        <v>-78.726095390340063</v>
      </c>
      <c r="BH430" s="58" t="str">
        <f t="shared" si="415"/>
        <v>0,234948182870256+0,143723563546443i</v>
      </c>
      <c r="BI430" s="37">
        <f t="shared" si="416"/>
        <v>-11.200036993018944</v>
      </c>
      <c r="BJ430" s="60">
        <f t="shared" si="417"/>
        <v>31.455147739212528</v>
      </c>
      <c r="BK430">
        <f t="shared" si="418"/>
        <v>-35.484978880760998</v>
      </c>
      <c r="BL430" s="60">
        <f t="shared" si="419"/>
        <v>-78.726095390340063</v>
      </c>
      <c r="BN430">
        <f t="shared" si="420"/>
        <v>0</v>
      </c>
      <c r="BO430">
        <f t="shared" si="421"/>
        <v>0</v>
      </c>
    </row>
    <row r="431" spans="13:67" x14ac:dyDescent="0.25">
      <c r="M431" s="66">
        <v>13</v>
      </c>
      <c r="N431" s="36">
        <f t="shared" si="422"/>
        <v>134896.28825916545</v>
      </c>
      <c r="O431" s="91" t="str">
        <f t="shared" si="370"/>
        <v>22,5</v>
      </c>
      <c r="P431" s="67" t="str">
        <f t="shared" si="371"/>
        <v>1+915,384646493694i</v>
      </c>
      <c r="Q431" s="67">
        <f t="shared" si="382"/>
        <v>915.38519271199982</v>
      </c>
      <c r="R431" s="67">
        <f t="shared" si="383"/>
        <v>1.5697038902918108</v>
      </c>
      <c r="S431" s="67" t="str">
        <f t="shared" si="372"/>
        <v>1+25,4273512914915i</v>
      </c>
      <c r="T431" s="67">
        <f t="shared" si="384"/>
        <v>25.447007558864648</v>
      </c>
      <c r="U431" s="67">
        <f t="shared" si="385"/>
        <v>1.5314888539214471</v>
      </c>
      <c r="V431" t="str">
        <f t="shared" si="373"/>
        <v>1-5,29736485239406i</v>
      </c>
      <c r="W431" s="67">
        <f t="shared" si="386"/>
        <v>5.3909251877001543</v>
      </c>
      <c r="X431" s="67">
        <f t="shared" si="387"/>
        <v>-1.3842187955863776</v>
      </c>
      <c r="Y431" t="str">
        <f t="shared" si="374"/>
        <v>-0,16460854951039+14,6913585239729i</v>
      </c>
      <c r="Z431" s="67">
        <f t="shared" si="388"/>
        <v>14.692280668925541</v>
      </c>
      <c r="AA431" s="67">
        <f t="shared" si="389"/>
        <v>1.5820003050697125</v>
      </c>
      <c r="AB431" s="92" t="str">
        <f t="shared" si="390"/>
        <v>-0,227348187524985-0,0313797642167904i</v>
      </c>
      <c r="AC431" s="37">
        <f t="shared" si="391"/>
        <v>-12.784211144952554</v>
      </c>
      <c r="AD431" s="60">
        <f t="shared" si="392"/>
        <v>-172.14139587664548</v>
      </c>
      <c r="AE431" t="str">
        <f t="shared" si="393"/>
        <v>34,4450883806789</v>
      </c>
      <c r="AF431" t="str">
        <f t="shared" si="375"/>
        <v>1+457,692323246847i</v>
      </c>
      <c r="AG431">
        <f t="shared" si="394"/>
        <v>457.69341568248097</v>
      </c>
      <c r="AH431">
        <f t="shared" si="395"/>
        <v>1.5686114563961842</v>
      </c>
      <c r="AI431" t="str">
        <f t="shared" si="376"/>
        <v>1+25,4273512914915i</v>
      </c>
      <c r="AJ431">
        <f t="shared" si="396"/>
        <v>25.447007558864648</v>
      </c>
      <c r="AK431">
        <f t="shared" si="397"/>
        <v>1.5314888539214471</v>
      </c>
      <c r="AL431" t="str">
        <f t="shared" si="377"/>
        <v>1-1,73011211596258i</v>
      </c>
      <c r="AM431">
        <f t="shared" si="398"/>
        <v>1.9983212789240163</v>
      </c>
      <c r="AN431">
        <f t="shared" si="399"/>
        <v>-1.0467124711189411</v>
      </c>
      <c r="AO431" s="58" t="str">
        <f t="shared" si="400"/>
        <v>1,79080043931883-3,38211576413019i</v>
      </c>
      <c r="AP431">
        <f t="shared" si="401"/>
        <v>11.657093408112615</v>
      </c>
      <c r="AQ431" s="60">
        <f t="shared" si="402"/>
        <v>-62.099175405168751</v>
      </c>
      <c r="AR431" t="str">
        <f t="shared" si="378"/>
        <v>-1,36472945891784</v>
      </c>
      <c r="AS431" t="str">
        <f t="shared" si="379"/>
        <v>1+19,0476288524563i</v>
      </c>
      <c r="AT431">
        <f t="shared" si="403"/>
        <v>19.07386077596577</v>
      </c>
      <c r="AU431">
        <f t="shared" si="404"/>
        <v>1.5183445085092926</v>
      </c>
      <c r="AV431" t="str">
        <f t="shared" si="380"/>
        <v>1+19,0476288524563i</v>
      </c>
      <c r="AW431">
        <f t="shared" si="405"/>
        <v>19.07386077596577</v>
      </c>
      <c r="AX431">
        <f t="shared" si="406"/>
        <v>1.5183445085092926</v>
      </c>
      <c r="AY431" t="str">
        <f t="shared" si="381"/>
        <v>1-0,00078749959463147i</v>
      </c>
      <c r="AZ431">
        <f t="shared" si="407"/>
        <v>1.0000003100777577</v>
      </c>
      <c r="BA431">
        <f t="shared" si="408"/>
        <v>-7.8749943184076637E-4</v>
      </c>
      <c r="BB431" s="58" t="str">
        <f t="shared" si="409"/>
        <v>-0,00369492459769767+0,0714542762704361i</v>
      </c>
      <c r="BC431">
        <f t="shared" si="410"/>
        <v>-22.90783814701544</v>
      </c>
      <c r="BD431" s="60">
        <f t="shared" si="411"/>
        <v>92.960147421738796</v>
      </c>
      <c r="BE431" s="58" t="str">
        <f t="shared" si="412"/>
        <v>0,00308225275197574-0,0161290543383186i</v>
      </c>
      <c r="BF431" s="37">
        <f t="shared" si="413"/>
        <v>-35.692049291968004</v>
      </c>
      <c r="BG431" s="60">
        <f t="shared" si="414"/>
        <v>-79.181248454906637</v>
      </c>
      <c r="BH431" s="58" t="str">
        <f t="shared" si="415"/>
        <v>0,235049761595949+0,140457012065452i</v>
      </c>
      <c r="BI431" s="37">
        <f t="shared" si="416"/>
        <v>-11.250744738902814</v>
      </c>
      <c r="BJ431" s="60">
        <f t="shared" si="417"/>
        <v>30.860972016570081</v>
      </c>
      <c r="BK431">
        <f t="shared" si="418"/>
        <v>-35.692049291968004</v>
      </c>
      <c r="BL431" s="60">
        <f t="shared" si="419"/>
        <v>-79.181248454906637</v>
      </c>
      <c r="BN431">
        <f t="shared" si="420"/>
        <v>0</v>
      </c>
      <c r="BO431">
        <f t="shared" si="421"/>
        <v>0</v>
      </c>
    </row>
    <row r="432" spans="13:67" x14ac:dyDescent="0.25">
      <c r="M432" s="66">
        <v>14</v>
      </c>
      <c r="N432" s="36">
        <f t="shared" si="422"/>
        <v>138038.42646028858</v>
      </c>
      <c r="O432" s="91" t="str">
        <f t="shared" si="370"/>
        <v>22,5</v>
      </c>
      <c r="P432" s="67" t="str">
        <f t="shared" si="371"/>
        <v>1+936,706693998393i</v>
      </c>
      <c r="Q432" s="67">
        <f t="shared" si="382"/>
        <v>936.70722778325944</v>
      </c>
      <c r="R432" s="67">
        <f t="shared" si="383"/>
        <v>1.5697287571634362</v>
      </c>
      <c r="S432" s="67" t="str">
        <f t="shared" si="372"/>
        <v>1+26,0196303888443i</v>
      </c>
      <c r="T432" s="67">
        <f t="shared" si="384"/>
        <v>26.038839558860332</v>
      </c>
      <c r="U432" s="67">
        <f t="shared" si="385"/>
        <v>1.5323827110730335</v>
      </c>
      <c r="V432" t="str">
        <f t="shared" si="373"/>
        <v>1-5,42075633100922i</v>
      </c>
      <c r="W432" s="67">
        <f t="shared" si="386"/>
        <v>5.5122227095951546</v>
      </c>
      <c r="X432" s="67">
        <f t="shared" si="387"/>
        <v>-1.3883711685583315</v>
      </c>
      <c r="Y432" t="str">
        <f t="shared" si="374"/>
        <v>-0,21949485949648+15,0335642246656i</v>
      </c>
      <c r="Z432" s="67">
        <f t="shared" si="388"/>
        <v>15.035166486956197</v>
      </c>
      <c r="AA432" s="67">
        <f t="shared" si="389"/>
        <v>1.5853956102172699</v>
      </c>
      <c r="AB432" s="92" t="str">
        <f t="shared" si="390"/>
        <v>-0,227358565466532-0,0298352138615906i</v>
      </c>
      <c r="AC432" s="37">
        <f t="shared" si="391"/>
        <v>-12.791624260911556</v>
      </c>
      <c r="AD432" s="60">
        <f t="shared" si="392"/>
        <v>-172.52405650253704</v>
      </c>
      <c r="AE432" t="str">
        <f t="shared" si="393"/>
        <v>34,4450883806789</v>
      </c>
      <c r="AF432" t="str">
        <f t="shared" si="375"/>
        <v>1+468,353346999197i</v>
      </c>
      <c r="AG432">
        <f t="shared" si="394"/>
        <v>468.35441456801732</v>
      </c>
      <c r="AH432">
        <f t="shared" si="395"/>
        <v>1.568661189965399</v>
      </c>
      <c r="AI432" t="str">
        <f t="shared" si="376"/>
        <v>1+26,0196303888443i</v>
      </c>
      <c r="AJ432">
        <f t="shared" si="396"/>
        <v>26.038839558860332</v>
      </c>
      <c r="AK432">
        <f t="shared" si="397"/>
        <v>1.5323827110730335</v>
      </c>
      <c r="AL432" t="str">
        <f t="shared" si="377"/>
        <v>1-1,77041160412454i</v>
      </c>
      <c r="AM432">
        <f t="shared" si="398"/>
        <v>2.0333118914762749</v>
      </c>
      <c r="AN432">
        <f t="shared" si="399"/>
        <v>-1.0566307733326872</v>
      </c>
      <c r="AO432" s="58" t="str">
        <f t="shared" si="400"/>
        <v>1,7907934235537-3,45760950343379i</v>
      </c>
      <c r="AP432">
        <f t="shared" si="401"/>
        <v>11.807566230352533</v>
      </c>
      <c r="AQ432" s="60">
        <f t="shared" si="402"/>
        <v>-62.619087543294313</v>
      </c>
      <c r="AR432" t="str">
        <f t="shared" si="378"/>
        <v>-1,36472945891784</v>
      </c>
      <c r="AS432" t="str">
        <f t="shared" si="379"/>
        <v>1+19,4913051242832i</v>
      </c>
      <c r="AT432">
        <f t="shared" si="403"/>
        <v>19.516940729732941</v>
      </c>
      <c r="AU432">
        <f t="shared" si="404"/>
        <v>1.5195363430131592</v>
      </c>
      <c r="AV432" t="str">
        <f t="shared" si="380"/>
        <v>1+19,4913051242832i</v>
      </c>
      <c r="AW432">
        <f t="shared" si="405"/>
        <v>19.516940729732941</v>
      </c>
      <c r="AX432">
        <f t="shared" si="406"/>
        <v>1.5195363430131592</v>
      </c>
      <c r="AY432" t="str">
        <f t="shared" si="381"/>
        <v>1-0,000769573915361484i</v>
      </c>
      <c r="AZ432">
        <f t="shared" si="407"/>
        <v>1.0000002961219618</v>
      </c>
      <c r="BA432">
        <f t="shared" si="408"/>
        <v>-7.6957376343635717E-4</v>
      </c>
      <c r="BB432" s="58" t="str">
        <f t="shared" si="409"/>
        <v>-0,00352906217903901+0,0698362879273257i</v>
      </c>
      <c r="BC432">
        <f t="shared" si="410"/>
        <v>-23.107300966775234</v>
      </c>
      <c r="BD432" s="60">
        <f t="shared" si="411"/>
        <v>92.892887399933699</v>
      </c>
      <c r="BE432" s="58" t="str">
        <f t="shared" si="412"/>
        <v>0,00288594310007988-0,015772587915822i</v>
      </c>
      <c r="BF432" s="37">
        <f t="shared" si="413"/>
        <v>-35.898925227686775</v>
      </c>
      <c r="BG432" s="60">
        <f t="shared" si="414"/>
        <v>-79.631169102603366</v>
      </c>
      <c r="BH432" s="58" t="str">
        <f t="shared" si="415"/>
        <v>0,235146791480525+0,137264484074112i</v>
      </c>
      <c r="BI432" s="37">
        <f t="shared" si="416"/>
        <v>-11.299734736422682</v>
      </c>
      <c r="BJ432" s="60">
        <f t="shared" si="417"/>
        <v>30.273799856639432</v>
      </c>
      <c r="BK432">
        <f t="shared" si="418"/>
        <v>-35.898925227686775</v>
      </c>
      <c r="BL432" s="60">
        <f t="shared" si="419"/>
        <v>-79.631169102603366</v>
      </c>
      <c r="BN432">
        <f t="shared" si="420"/>
        <v>0</v>
      </c>
      <c r="BO432">
        <f t="shared" si="421"/>
        <v>0</v>
      </c>
    </row>
    <row r="433" spans="13:67" x14ac:dyDescent="0.25">
      <c r="M433" s="66">
        <v>15</v>
      </c>
      <c r="N433" s="36">
        <f t="shared" si="422"/>
        <v>141253.75446227577</v>
      </c>
      <c r="O433" s="91" t="str">
        <f t="shared" si="370"/>
        <v>22,5</v>
      </c>
      <c r="P433" s="67" t="str">
        <f t="shared" si="371"/>
        <v>1+958,52539579103i</v>
      </c>
      <c r="Q433" s="67">
        <f t="shared" si="382"/>
        <v>958.52591742547611</v>
      </c>
      <c r="R433" s="67">
        <f t="shared" si="383"/>
        <v>1.5697530579972332</v>
      </c>
      <c r="S433" s="67" t="str">
        <f t="shared" si="372"/>
        <v>1+26,6257054386397i</v>
      </c>
      <c r="T433" s="67">
        <f t="shared" si="384"/>
        <v>26.644477666210829</v>
      </c>
      <c r="U433" s="67">
        <f t="shared" si="385"/>
        <v>1.5332562808989387</v>
      </c>
      <c r="V433" t="str">
        <f t="shared" si="373"/>
        <v>1-5,54702196638327i</v>
      </c>
      <c r="W433" s="67">
        <f t="shared" si="386"/>
        <v>5.6364397180790036</v>
      </c>
      <c r="X433" s="67">
        <f t="shared" si="387"/>
        <v>-1.3924351783100637</v>
      </c>
      <c r="Y433" t="str">
        <f t="shared" si="374"/>
        <v>-0,27696788158009+15,3837409201029i</v>
      </c>
      <c r="Z433" s="67">
        <f t="shared" si="388"/>
        <v>15.386233974052111</v>
      </c>
      <c r="AA433" s="67">
        <f t="shared" si="389"/>
        <v>1.588798317547595</v>
      </c>
      <c r="AB433" s="92" t="str">
        <f t="shared" si="390"/>
        <v>-0,227362272059042-0,0283065391553129i</v>
      </c>
      <c r="AC433" s="37">
        <f t="shared" si="391"/>
        <v>-12.798831940590581</v>
      </c>
      <c r="AD433" s="60">
        <f t="shared" si="392"/>
        <v>-172.90320834923804</v>
      </c>
      <c r="AE433" t="str">
        <f t="shared" si="393"/>
        <v>34,4450883806789</v>
      </c>
      <c r="AF433" t="str">
        <f t="shared" si="375"/>
        <v>1+479,262697895515i</v>
      </c>
      <c r="AG433">
        <f t="shared" si="394"/>
        <v>479.26374116355561</v>
      </c>
      <c r="AH433">
        <f t="shared" si="395"/>
        <v>1.5687097914705728</v>
      </c>
      <c r="AI433" t="str">
        <f t="shared" si="376"/>
        <v>1+26,6257054386397i</v>
      </c>
      <c r="AJ433">
        <f t="shared" si="396"/>
        <v>26.644477666210829</v>
      </c>
      <c r="AK433">
        <f t="shared" si="397"/>
        <v>1.5332562808989387</v>
      </c>
      <c r="AL433" t="str">
        <f t="shared" si="377"/>
        <v>1-1,81164978795317i</v>
      </c>
      <c r="AM433">
        <f t="shared" si="398"/>
        <v>2.0693175092746801</v>
      </c>
      <c r="AN433">
        <f t="shared" si="399"/>
        <v>-1.0664318852964378</v>
      </c>
      <c r="AO433" s="58" t="str">
        <f t="shared" si="400"/>
        <v>1,79078672354719-3,53493651171421i</v>
      </c>
      <c r="AP433">
        <f t="shared" si="401"/>
        <v>11.959741463637583</v>
      </c>
      <c r="AQ433" s="60">
        <f t="shared" si="402"/>
        <v>-63.133382690342501</v>
      </c>
      <c r="AR433" t="str">
        <f t="shared" si="378"/>
        <v>-1,36472945891784</v>
      </c>
      <c r="AS433" t="str">
        <f t="shared" si="379"/>
        <v>1+19,945315944085i</v>
      </c>
      <c r="AT433">
        <f t="shared" si="403"/>
        <v>19.970368752463518</v>
      </c>
      <c r="AU433">
        <f t="shared" si="404"/>
        <v>1.5207011889086213</v>
      </c>
      <c r="AV433" t="str">
        <f t="shared" si="380"/>
        <v>1+19,945315944085i</v>
      </c>
      <c r="AW433">
        <f t="shared" si="405"/>
        <v>19.970368752463518</v>
      </c>
      <c r="AX433">
        <f t="shared" si="406"/>
        <v>1.5207011889086213</v>
      </c>
      <c r="AY433" t="str">
        <f t="shared" si="381"/>
        <v>1-0,000752056274367938i</v>
      </c>
      <c r="AZ433">
        <f t="shared" si="407"/>
        <v>1.00000028279428</v>
      </c>
      <c r="BA433">
        <f t="shared" si="408"/>
        <v>-7.5205613258315764E-4</v>
      </c>
      <c r="BB433" s="58" t="str">
        <f t="shared" si="409"/>
        <v>-0,00337062648072914+0,068254563440036i</v>
      </c>
      <c r="BC433">
        <f t="shared" si="410"/>
        <v>-23.306787901567478</v>
      </c>
      <c r="BD433" s="60">
        <f t="shared" si="411"/>
        <v>92.827150332655549</v>
      </c>
      <c r="BE433" s="58" t="str">
        <f t="shared" si="412"/>
        <v>0,00269840376746512-0,0154231018516699i</v>
      </c>
      <c r="BF433" s="37">
        <f t="shared" si="413"/>
        <v>-36.10561984215807</v>
      </c>
      <c r="BG433" s="60">
        <f t="shared" si="414"/>
        <v>-80.076058016582493</v>
      </c>
      <c r="BH433" s="58" t="str">
        <f t="shared" si="415"/>
        <v>0,235239475243571+0,134144316644006i</v>
      </c>
      <c r="BI433" s="37">
        <f t="shared" si="416"/>
        <v>-11.34704643792989</v>
      </c>
      <c r="BJ433" s="60">
        <f t="shared" si="417"/>
        <v>29.693767642312999</v>
      </c>
      <c r="BK433">
        <f t="shared" si="418"/>
        <v>-36.10561984215807</v>
      </c>
      <c r="BL433" s="60">
        <f t="shared" si="419"/>
        <v>-80.076058016582493</v>
      </c>
      <c r="BN433">
        <f t="shared" si="420"/>
        <v>0</v>
      </c>
      <c r="BO433">
        <f t="shared" si="421"/>
        <v>0</v>
      </c>
    </row>
    <row r="434" spans="13:67" x14ac:dyDescent="0.25">
      <c r="M434" s="66">
        <v>16</v>
      </c>
      <c r="N434" s="36">
        <f t="shared" si="422"/>
        <v>144543.97707459307</v>
      </c>
      <c r="O434" s="91" t="str">
        <f t="shared" si="370"/>
        <v>22,5</v>
      </c>
      <c r="P434" s="67" t="str">
        <f t="shared" si="371"/>
        <v>1+980,852320436097i</v>
      </c>
      <c r="Q434" s="67">
        <f t="shared" si="382"/>
        <v>980.85283019669976</v>
      </c>
      <c r="R434" s="67">
        <f t="shared" si="383"/>
        <v>1.5697768056777106</v>
      </c>
      <c r="S434" s="67" t="str">
        <f t="shared" si="372"/>
        <v>1+27,2458977898916i</v>
      </c>
      <c r="T434" s="67">
        <f t="shared" si="384"/>
        <v>27.264243000259881</v>
      </c>
      <c r="U434" s="67">
        <f t="shared" si="385"/>
        <v>1.5341100212412653</v>
      </c>
      <c r="V434" t="str">
        <f t="shared" si="373"/>
        <v>1-5,67622870622741i</v>
      </c>
      <c r="W434" s="67">
        <f t="shared" si="386"/>
        <v>5.7636422794444915</v>
      </c>
      <c r="X434" s="67">
        <f t="shared" si="387"/>
        <v>-1.3964124423940474</v>
      </c>
      <c r="Y434" t="str">
        <f t="shared" si="374"/>
        <v>-0,33714952374659+15,742074278604i</v>
      </c>
      <c r="Z434" s="67">
        <f t="shared" si="388"/>
        <v>15.745684246626066</v>
      </c>
      <c r="AA434" s="67">
        <f t="shared" si="389"/>
        <v>1.5922101495667575</v>
      </c>
      <c r="AB434" s="92" t="str">
        <f t="shared" si="390"/>
        <v>-0,227359317187141-0,0267929969583563i</v>
      </c>
      <c r="AC434" s="37">
        <f t="shared" si="391"/>
        <v>-12.805848144503589</v>
      </c>
      <c r="AD434" s="60">
        <f t="shared" si="392"/>
        <v>-173.27901729381409</v>
      </c>
      <c r="AE434" t="str">
        <f t="shared" si="393"/>
        <v>34,4450883806789</v>
      </c>
      <c r="AF434" t="str">
        <f t="shared" si="375"/>
        <v>1+490,426160218049i</v>
      </c>
      <c r="AG434">
        <f t="shared" si="394"/>
        <v>490.42717973845976</v>
      </c>
      <c r="AH434">
        <f t="shared" si="395"/>
        <v>1.5687572866799482</v>
      </c>
      <c r="AI434" t="str">
        <f t="shared" si="376"/>
        <v>1+27,2458977898916i</v>
      </c>
      <c r="AJ434">
        <f t="shared" si="396"/>
        <v>27.264243000259881</v>
      </c>
      <c r="AK434">
        <f t="shared" si="397"/>
        <v>1.5341100212412653</v>
      </c>
      <c r="AL434" t="str">
        <f t="shared" si="377"/>
        <v>1-1,8538485324794i</v>
      </c>
      <c r="AM434">
        <f t="shared" si="398"/>
        <v>2.1063604585578477</v>
      </c>
      <c r="AN434">
        <f t="shared" si="399"/>
        <v>-1.0761134708820819</v>
      </c>
      <c r="AO434" s="58" t="str">
        <f t="shared" si="400"/>
        <v>1,79078032508809-3,61413778886486i</v>
      </c>
      <c r="AP434">
        <f t="shared" si="401"/>
        <v>12.11357819420088</v>
      </c>
      <c r="AQ434" s="60">
        <f t="shared" si="402"/>
        <v>-63.641902240023448</v>
      </c>
      <c r="AR434" t="str">
        <f t="shared" si="378"/>
        <v>-1,36472945891784</v>
      </c>
      <c r="AS434" t="str">
        <f t="shared" si="379"/>
        <v>1+20,4099020344078i</v>
      </c>
      <c r="AT434">
        <f t="shared" si="403"/>
        <v>20.434385262447304</v>
      </c>
      <c r="AU434">
        <f t="shared" si="404"/>
        <v>1.5218396511608947</v>
      </c>
      <c r="AV434" t="str">
        <f t="shared" si="380"/>
        <v>1+20,4099020344078i</v>
      </c>
      <c r="AW434">
        <f t="shared" si="405"/>
        <v>20.434385262447304</v>
      </c>
      <c r="AX434">
        <f t="shared" si="406"/>
        <v>1.5218396511608947</v>
      </c>
      <c r="AY434" t="str">
        <f t="shared" si="381"/>
        <v>1-0,000734937383565705i</v>
      </c>
      <c r="AZ434">
        <f t="shared" si="407"/>
        <v>1.0000002700664423</v>
      </c>
      <c r="BA434">
        <f t="shared" si="408"/>
        <v>-7.3493725124444697E-4</v>
      </c>
      <c r="BB434" s="58" t="str">
        <f t="shared" si="409"/>
        <v>-0,00321928660447712+0,0667083149158715i</v>
      </c>
      <c r="BC434">
        <f t="shared" si="410"/>
        <v>-23.506297871484215</v>
      </c>
      <c r="BD434" s="60">
        <f t="shared" si="411"/>
        <v>92.762902090116015</v>
      </c>
      <c r="BE434" s="58" t="str">
        <f t="shared" si="412"/>
        <v>0,00251925048286165-0,0150805025937755i</v>
      </c>
      <c r="BF434" s="37">
        <f t="shared" si="413"/>
        <v>-36.312146015987793</v>
      </c>
      <c r="BG434" s="60">
        <f t="shared" si="414"/>
        <v>-80.516115203698078</v>
      </c>
      <c r="BH434" s="58" t="str">
        <f t="shared" si="415"/>
        <v>0,235328006656831+0,13109488324155i</v>
      </c>
      <c r="BI434" s="37">
        <f t="shared" si="416"/>
        <v>-11.392719677283353</v>
      </c>
      <c r="BJ434" s="60">
        <f t="shared" si="417"/>
        <v>29.120999850092556</v>
      </c>
      <c r="BK434">
        <f t="shared" si="418"/>
        <v>-36.312146015987793</v>
      </c>
      <c r="BL434" s="60">
        <f t="shared" si="419"/>
        <v>-80.516115203698078</v>
      </c>
      <c r="BN434">
        <f t="shared" si="420"/>
        <v>0</v>
      </c>
      <c r="BO434">
        <f t="shared" si="421"/>
        <v>0</v>
      </c>
    </row>
    <row r="435" spans="13:67" x14ac:dyDescent="0.25">
      <c r="M435" s="66">
        <v>17</v>
      </c>
      <c r="N435" s="36">
        <f t="shared" si="422"/>
        <v>147910.83881682079</v>
      </c>
      <c r="O435" s="91" t="str">
        <f t="shared" si="370"/>
        <v>22,5</v>
      </c>
      <c r="P435" s="67" t="str">
        <f t="shared" si="371"/>
        <v>1+1003,69930596457i</v>
      </c>
      <c r="Q435" s="67">
        <f t="shared" si="382"/>
        <v>1003.6998041216107</v>
      </c>
      <c r="R435" s="67">
        <f t="shared" si="383"/>
        <v>1.5698000127960956</v>
      </c>
      <c r="S435" s="67" t="str">
        <f t="shared" si="372"/>
        <v>1+27,8805362767937i</v>
      </c>
      <c r="T435" s="67">
        <f t="shared" si="384"/>
        <v>27.898464170660173</v>
      </c>
      <c r="U435" s="67">
        <f t="shared" si="385"/>
        <v>1.5349443797834581</v>
      </c>
      <c r="V435" t="str">
        <f t="shared" si="373"/>
        <v>1-5,80844505766535i</v>
      </c>
      <c r="W435" s="67">
        <f t="shared" si="386"/>
        <v>5.8938980299897477</v>
      </c>
      <c r="X435" s="67">
        <f t="shared" si="387"/>
        <v>-1.4003045660400915</v>
      </c>
      <c r="Y435" t="str">
        <f t="shared" si="374"/>
        <v>-0,40016743932772+16,1087542932586i</v>
      </c>
      <c r="Z435" s="67">
        <f t="shared" si="388"/>
        <v>16.113723929001498</v>
      </c>
      <c r="AA435" s="67">
        <f t="shared" si="389"/>
        <v>1.5956328316730479</v>
      </c>
      <c r="AB435" s="92" t="str">
        <f t="shared" si="390"/>
        <v>-0,227349697541425-0,0252938526957109i</v>
      </c>
      <c r="AC435" s="37">
        <f t="shared" si="391"/>
        <v>-12.812686528678912</v>
      </c>
      <c r="AD435" s="60">
        <f t="shared" si="392"/>
        <v>-173.6516492382506</v>
      </c>
      <c r="AE435" t="str">
        <f t="shared" si="393"/>
        <v>34,4450883806789</v>
      </c>
      <c r="AF435" t="str">
        <f t="shared" si="375"/>
        <v>1+501,849652982287i</v>
      </c>
      <c r="AG435">
        <f t="shared" si="394"/>
        <v>501.85064929562645</v>
      </c>
      <c r="AH435">
        <f t="shared" si="395"/>
        <v>1.568803700775256</v>
      </c>
      <c r="AI435" t="str">
        <f t="shared" si="376"/>
        <v>1+27,8805362767937i</v>
      </c>
      <c r="AJ435">
        <f t="shared" si="396"/>
        <v>27.898464170660173</v>
      </c>
      <c r="AK435">
        <f t="shared" si="397"/>
        <v>1.5349443797834581</v>
      </c>
      <c r="AL435" t="str">
        <f t="shared" si="377"/>
        <v>1-1,89703021203612i</v>
      </c>
      <c r="AM435">
        <f t="shared" si="398"/>
        <v>2.1444634819408339</v>
      </c>
      <c r="AN435">
        <f t="shared" si="399"/>
        <v>-1.0856734027472339</v>
      </c>
      <c r="AO435" s="58" t="str">
        <f t="shared" si="400"/>
        <v>1,79077421460474-3,6952553285352i</v>
      </c>
      <c r="AP435">
        <f t="shared" si="401"/>
        <v>12.269035276182272</v>
      </c>
      <c r="AQ435" s="60">
        <f t="shared" si="402"/>
        <v>-64.144500097032051</v>
      </c>
      <c r="AR435" t="str">
        <f t="shared" si="378"/>
        <v>-1,36472945891784</v>
      </c>
      <c r="AS435" t="str">
        <f t="shared" si="379"/>
        <v>1+20,8853097249462i</v>
      </c>
      <c r="AT435">
        <f t="shared" si="403"/>
        <v>20.909236291814494</v>
      </c>
      <c r="AU435">
        <f t="shared" si="404"/>
        <v>1.5229523215865759</v>
      </c>
      <c r="AV435" t="str">
        <f t="shared" si="380"/>
        <v>1+20,8853097249462i</v>
      </c>
      <c r="AW435">
        <f t="shared" si="405"/>
        <v>20.909236291814494</v>
      </c>
      <c r="AX435">
        <f t="shared" si="406"/>
        <v>1.5229523215865759</v>
      </c>
      <c r="AY435" t="str">
        <f t="shared" si="381"/>
        <v>1-0,000718208166292285i</v>
      </c>
      <c r="AZ435">
        <f t="shared" si="407"/>
        <v>1.0000002579114518</v>
      </c>
      <c r="BA435">
        <f t="shared" si="408"/>
        <v>-7.1820804280290002E-4</v>
      </c>
      <c r="BB435" s="58" t="str">
        <f t="shared" si="409"/>
        <v>-0,00307472625089133+0,0651967699114625i</v>
      </c>
      <c r="BC435">
        <f t="shared" si="410"/>
        <v>-23.705829844743768</v>
      </c>
      <c r="BD435" s="60">
        <f t="shared" si="411"/>
        <v>92.700109283773742</v>
      </c>
      <c r="BE435" s="58" t="str">
        <f t="shared" si="412"/>
        <v>0,00234811557753951-0,0147446942471792i</v>
      </c>
      <c r="BF435" s="37">
        <f t="shared" si="413"/>
        <v>-36.518516373422678</v>
      </c>
      <c r="BG435" s="60">
        <f t="shared" si="414"/>
        <v>-80.951539954476885</v>
      </c>
      <c r="BH435" s="58" t="str">
        <f t="shared" si="415"/>
        <v>0,235412570931551+0,128114592995358i</v>
      </c>
      <c r="BI435" s="37">
        <f t="shared" si="416"/>
        <v>-11.436794568561497</v>
      </c>
      <c r="BJ435" s="60">
        <f t="shared" si="417"/>
        <v>28.555609186741577</v>
      </c>
      <c r="BK435">
        <f t="shared" si="418"/>
        <v>-36.518516373422678</v>
      </c>
      <c r="BL435" s="60">
        <f t="shared" si="419"/>
        <v>-80.951539954476885</v>
      </c>
      <c r="BN435">
        <f t="shared" si="420"/>
        <v>0</v>
      </c>
      <c r="BO435">
        <f t="shared" si="421"/>
        <v>0</v>
      </c>
    </row>
    <row r="436" spans="13:67" x14ac:dyDescent="0.25">
      <c r="M436" s="66">
        <v>18</v>
      </c>
      <c r="N436" s="36">
        <f t="shared" si="422"/>
        <v>151356.12484362084</v>
      </c>
      <c r="O436" s="91" t="str">
        <f t="shared" si="370"/>
        <v>22,5</v>
      </c>
      <c r="P436" s="67" t="str">
        <f t="shared" si="371"/>
        <v>1+1027,0784661506i</v>
      </c>
      <c r="Q436" s="67">
        <f t="shared" si="382"/>
        <v>1027.0789529682074</v>
      </c>
      <c r="R436" s="67">
        <f t="shared" si="383"/>
        <v>1.5698226916570095</v>
      </c>
      <c r="S436" s="67" t="str">
        <f t="shared" si="372"/>
        <v>1+28,5299573930724i</v>
      </c>
      <c r="T436" s="67">
        <f t="shared" si="384"/>
        <v>28.547477451616047</v>
      </c>
      <c r="U436" s="67">
        <f t="shared" si="385"/>
        <v>1.5357597942640697</v>
      </c>
      <c r="V436" t="str">
        <f t="shared" si="373"/>
        <v>1-5,94374112355674i</v>
      </c>
      <c r="W436" s="67">
        <f t="shared" si="386"/>
        <v>6.0272762126734776</v>
      </c>
      <c r="X436" s="67">
        <f t="shared" si="387"/>
        <v>-1.4041131409858281</v>
      </c>
      <c r="Y436" t="str">
        <f t="shared" si="374"/>
        <v>-0,46615529777138+16,483975382664i</v>
      </c>
      <c r="Z436" s="67">
        <f t="shared" si="388"/>
        <v>16.490565338335525</v>
      </c>
      <c r="AA436" s="67">
        <f t="shared" si="389"/>
        <v>1.5990680926857983</v>
      </c>
      <c r="AB436" s="92" t="str">
        <f t="shared" si="390"/>
        <v>-0,227333396635219-0,0238083802749501i</v>
      </c>
      <c r="AC436" s="37">
        <f t="shared" si="391"/>
        <v>-12.819360464231522</v>
      </c>
      <c r="AD436" s="60">
        <f t="shared" si="392"/>
        <v>-174.02127006087869</v>
      </c>
      <c r="AE436" t="str">
        <f t="shared" si="393"/>
        <v>34,4450883806789</v>
      </c>
      <c r="AF436" t="str">
        <f t="shared" si="375"/>
        <v>1+513,539233075303i</v>
      </c>
      <c r="AG436">
        <f t="shared" si="394"/>
        <v>513.5402067098255</v>
      </c>
      <c r="AH436">
        <f t="shared" si="395"/>
        <v>1.5688490583650636</v>
      </c>
      <c r="AI436" t="str">
        <f t="shared" si="376"/>
        <v>1+28,5299573930724i</v>
      </c>
      <c r="AJ436">
        <f t="shared" si="396"/>
        <v>28.547477451616047</v>
      </c>
      <c r="AK436">
        <f t="shared" si="397"/>
        <v>1.5357597942640697</v>
      </c>
      <c r="AL436" t="str">
        <f t="shared" si="377"/>
        <v>1-1,94121772212144i</v>
      </c>
      <c r="AM436">
        <f t="shared" si="398"/>
        <v>2.1836497532063959</v>
      </c>
      <c r="AN436">
        <f t="shared" si="399"/>
        <v>-1.0951097592409833</v>
      </c>
      <c r="AO436" s="58" t="str">
        <f t="shared" si="400"/>
        <v>1,79076837913631-3,77833214039694i</v>
      </c>
      <c r="AP436">
        <f t="shared" si="401"/>
        <v>12.426071426872307</v>
      </c>
      <c r="AQ436" s="60">
        <f t="shared" si="402"/>
        <v>-64.64104248827671</v>
      </c>
      <c r="AR436" t="str">
        <f t="shared" si="378"/>
        <v>-1,36472945891784</v>
      </c>
      <c r="AS436" t="str">
        <f t="shared" si="379"/>
        <v>1+21,3717910831505i</v>
      </c>
      <c r="AT436">
        <f t="shared" si="403"/>
        <v>21.395173617006041</v>
      </c>
      <c r="AU436">
        <f t="shared" si="404"/>
        <v>1.5240397791117861</v>
      </c>
      <c r="AV436" t="str">
        <f t="shared" si="380"/>
        <v>1+21,3717910831505i</v>
      </c>
      <c r="AW436">
        <f t="shared" si="405"/>
        <v>21.395173617006041</v>
      </c>
      <c r="AX436">
        <f t="shared" si="406"/>
        <v>1.5240397791117861</v>
      </c>
      <c r="AY436" t="str">
        <f t="shared" si="381"/>
        <v>1-0,000701859752495241i</v>
      </c>
      <c r="AZ436">
        <f t="shared" si="407"/>
        <v>1.0000002463035258</v>
      </c>
      <c r="BA436">
        <f t="shared" si="408"/>
        <v>-7.0185963724823984E-4</v>
      </c>
      <c r="BB436" s="58" t="str">
        <f t="shared" si="409"/>
        <v>-0,00293664308808259+0,063719171244538i</v>
      </c>
      <c r="BC436">
        <f t="shared" si="410"/>
        <v>-23.905382835566527</v>
      </c>
      <c r="BD436" s="60">
        <f t="shared" si="411"/>
        <v>92.638739251819501</v>
      </c>
      <c r="BE436" s="58" t="str">
        <f t="shared" si="412"/>
        <v>0,00218464730771378-0,0144155789144291i</v>
      </c>
      <c r="BF436" s="37">
        <f t="shared" si="413"/>
        <v>-36.724743299798071</v>
      </c>
      <c r="BG436" s="60">
        <f t="shared" si="414"/>
        <v>-81.382530809059176</v>
      </c>
      <c r="BH436" s="58" t="str">
        <f t="shared" si="415"/>
        <v>0,235493345089747+0,125201889974067i</v>
      </c>
      <c r="BI436" s="37">
        <f t="shared" si="416"/>
        <v>-11.479311408694224</v>
      </c>
      <c r="BJ436" s="60">
        <f t="shared" si="417"/>
        <v>27.997696763542731</v>
      </c>
      <c r="BK436">
        <f t="shared" si="418"/>
        <v>-36.724743299798071</v>
      </c>
      <c r="BL436" s="60">
        <f t="shared" si="419"/>
        <v>-81.382530809059176</v>
      </c>
      <c r="BN436">
        <f t="shared" si="420"/>
        <v>0</v>
      </c>
      <c r="BO436">
        <f t="shared" si="421"/>
        <v>0</v>
      </c>
    </row>
    <row r="437" spans="13:67" x14ac:dyDescent="0.25">
      <c r="M437" s="66">
        <v>19</v>
      </c>
      <c r="N437" s="36">
        <f t="shared" si="422"/>
        <v>154881.66189124843</v>
      </c>
      <c r="O437" s="91" t="str">
        <f t="shared" si="370"/>
        <v>22,5</v>
      </c>
      <c r="P437" s="67" t="str">
        <f t="shared" si="371"/>
        <v>1+1051,00219693438i</v>
      </c>
      <c r="Q437" s="67">
        <f t="shared" si="382"/>
        <v>1051.0026726706708</v>
      </c>
      <c r="R437" s="67">
        <f t="shared" si="383"/>
        <v>1.5698448542849912</v>
      </c>
      <c r="S437" s="67" t="str">
        <f t="shared" si="372"/>
        <v>1+29,1945054703995i</v>
      </c>
      <c r="T437" s="67">
        <f t="shared" si="384"/>
        <v>29.211626960188067</v>
      </c>
      <c r="U437" s="67">
        <f t="shared" si="385"/>
        <v>1.5365566926868155</v>
      </c>
      <c r="V437" t="str">
        <f t="shared" si="373"/>
        <v>1-6,08218863966656i</v>
      </c>
      <c r="W437" s="67">
        <f t="shared" si="386"/>
        <v>6.1638477145764208</v>
      </c>
      <c r="X437" s="67">
        <f t="shared" si="387"/>
        <v>-1.4078397444118385</v>
      </c>
      <c r="Y437" t="str">
        <f t="shared" si="374"/>
        <v>-0,53525306817248+16,8679364940086i</v>
      </c>
      <c r="Z437" s="67">
        <f t="shared" si="388"/>
        <v>16.876426677851423</v>
      </c>
      <c r="AA437" s="67">
        <f t="shared" si="389"/>
        <v>1.6025176653658375</v>
      </c>
      <c r="AB437" s="92" t="str">
        <f t="shared" si="390"/>
        <v>-0,227310384801135-0,0223358620119122i</v>
      </c>
      <c r="AC437" s="37">
        <f t="shared" si="391"/>
        <v>-12.825883056992902</v>
      </c>
      <c r="AD437" s="60">
        <f t="shared" si="392"/>
        <v>-174.38804557352023</v>
      </c>
      <c r="AE437" t="str">
        <f t="shared" si="393"/>
        <v>34,4450883806789</v>
      </c>
      <c r="AF437" t="str">
        <f t="shared" si="375"/>
        <v>1+525,501098467191i</v>
      </c>
      <c r="AG437">
        <f t="shared" si="394"/>
        <v>525.50204993912666</v>
      </c>
      <c r="AH437">
        <f t="shared" si="395"/>
        <v>1.5688933834978185</v>
      </c>
      <c r="AI437" t="str">
        <f t="shared" si="376"/>
        <v>1+29,1945054703995i</v>
      </c>
      <c r="AJ437">
        <f t="shared" si="396"/>
        <v>29.211626960188067</v>
      </c>
      <c r="AK437">
        <f t="shared" si="397"/>
        <v>1.5365566926868155</v>
      </c>
      <c r="AL437" t="str">
        <f t="shared" si="377"/>
        <v>1-1,98643449153808i</v>
      </c>
      <c r="AM437">
        <f t="shared" si="398"/>
        <v>2.2239428925159368</v>
      </c>
      <c r="AN437">
        <f t="shared" si="399"/>
        <v>-1.1044208207070818</v>
      </c>
      <c r="AO437" s="58" t="str">
        <f t="shared" si="400"/>
        <v>1,79076280630528-3,86341227294854i</v>
      </c>
      <c r="AP437">
        <f t="shared" si="401"/>
        <v>12.584645317827526</v>
      </c>
      <c r="AQ437" s="60">
        <f t="shared" si="402"/>
        <v>-65.131407739780357</v>
      </c>
      <c r="AR437" t="str">
        <f t="shared" si="378"/>
        <v>-1,36472945891784</v>
      </c>
      <c r="AS437" t="str">
        <f t="shared" si="379"/>
        <v>1+21,8696040478763i</v>
      </c>
      <c r="AT437">
        <f t="shared" si="403"/>
        <v>21.892454892288519</v>
      </c>
      <c r="AU437">
        <f t="shared" si="404"/>
        <v>1.5251025900271467</v>
      </c>
      <c r="AV437" t="str">
        <f t="shared" si="380"/>
        <v>1+21,8696040478763i</v>
      </c>
      <c r="AW437">
        <f t="shared" si="405"/>
        <v>21.892454892288519</v>
      </c>
      <c r="AX437">
        <f t="shared" si="406"/>
        <v>1.5251025900271467</v>
      </c>
      <c r="AY437" t="str">
        <f t="shared" si="381"/>
        <v>1-0,000685883474029181i</v>
      </c>
      <c r="AZ437">
        <f t="shared" si="407"/>
        <v>1.0000002352180424</v>
      </c>
      <c r="BA437">
        <f t="shared" si="408"/>
        <v>-6.8588336647442002E-4</v>
      </c>
      <c r="BB437" s="58" t="str">
        <f t="shared" si="409"/>
        <v>-0,00280474814645314+0,0622747767993376i</v>
      </c>
      <c r="BC437">
        <f t="shared" si="410"/>
        <v>-24.104955902142713</v>
      </c>
      <c r="BD437" s="60">
        <f t="shared" si="411"/>
        <v>92.578760044836628</v>
      </c>
      <c r="BE437" s="58" t="str">
        <f t="shared" si="412"/>
        <v>0,00202850920185317-0,0140930570100849i</v>
      </c>
      <c r="BF437" s="37">
        <f t="shared" si="413"/>
        <v>-36.930838959135606</v>
      </c>
      <c r="BG437" s="60">
        <f t="shared" si="414"/>
        <v>-81.809285528683617</v>
      </c>
      <c r="BH437" s="58" t="str">
        <f t="shared" si="415"/>
        <v>0,23557049831997+0,122355252474753i</v>
      </c>
      <c r="BI437" s="37">
        <f t="shared" si="416"/>
        <v>-11.520310584315194</v>
      </c>
      <c r="BJ437" s="60">
        <f t="shared" si="417"/>
        <v>27.447352305056175</v>
      </c>
      <c r="BK437">
        <f t="shared" si="418"/>
        <v>-36.930838959135606</v>
      </c>
      <c r="BL437" s="60">
        <f t="shared" si="419"/>
        <v>-81.809285528683617</v>
      </c>
      <c r="BN437">
        <f t="shared" si="420"/>
        <v>0</v>
      </c>
      <c r="BO437">
        <f t="shared" si="421"/>
        <v>0</v>
      </c>
    </row>
    <row r="438" spans="13:67" x14ac:dyDescent="0.25">
      <c r="M438" s="66">
        <v>20</v>
      </c>
      <c r="N438" s="36">
        <f t="shared" si="422"/>
        <v>158489.31924611164</v>
      </c>
      <c r="O438" s="91" t="str">
        <f t="shared" si="370"/>
        <v>22,5</v>
      </c>
      <c r="P438" s="67" t="str">
        <f t="shared" si="371"/>
        <v>1+1075,48318299463i</v>
      </c>
      <c r="Q438" s="67">
        <f t="shared" si="382"/>
        <v>1075.4836479018454</v>
      </c>
      <c r="R438" s="67">
        <f t="shared" si="383"/>
        <v>1.5698665124308722</v>
      </c>
      <c r="S438" s="67" t="str">
        <f t="shared" si="372"/>
        <v>1+29,8745328609619i</v>
      </c>
      <c r="T438" s="67">
        <f t="shared" si="384"/>
        <v>29.891264838756697</v>
      </c>
      <c r="U438" s="67">
        <f t="shared" si="385"/>
        <v>1.5373354935269303</v>
      </c>
      <c r="V438" t="str">
        <f t="shared" si="373"/>
        <v>1-6,22386101270039i</v>
      </c>
      <c r="W438" s="67">
        <f t="shared" si="386"/>
        <v>6.303685105191402</v>
      </c>
      <c r="X438" s="67">
        <f t="shared" si="387"/>
        <v>-1.4114859379756799</v>
      </c>
      <c r="Y438" t="str">
        <f t="shared" si="374"/>
        <v>-0,60760731616614+17,2608412085558i</v>
      </c>
      <c r="Z438" s="67">
        <f t="shared" si="388"/>
        <v>17.271532238850053</v>
      </c>
      <c r="AA438" s="67">
        <f t="shared" si="389"/>
        <v>1.6059832869261312</v>
      </c>
      <c r="AB438" s="92" t="str">
        <f t="shared" si="390"/>
        <v>-0,227280619167711-0,0208755885652938i</v>
      </c>
      <c r="AC438" s="37">
        <f t="shared" si="391"/>
        <v>-12.832267167179289</v>
      </c>
      <c r="AD438" s="60">
        <f t="shared" si="392"/>
        <v>-174.75214148394176</v>
      </c>
      <c r="AE438" t="str">
        <f t="shared" si="393"/>
        <v>34,4450883806789</v>
      </c>
      <c r="AF438" t="str">
        <f t="shared" si="375"/>
        <v>1+537,741591497315i</v>
      </c>
      <c r="AG438">
        <f t="shared" si="394"/>
        <v>537.74252131114315</v>
      </c>
      <c r="AH438">
        <f t="shared" si="395"/>
        <v>1.5689366996745959</v>
      </c>
      <c r="AI438" t="str">
        <f t="shared" si="376"/>
        <v>1+29,8745328609619i</v>
      </c>
      <c r="AJ438">
        <f t="shared" si="396"/>
        <v>29.891264838756697</v>
      </c>
      <c r="AK438">
        <f t="shared" si="397"/>
        <v>1.5373354935269303</v>
      </c>
      <c r="AL438" t="str">
        <f t="shared" si="377"/>
        <v>1-2,0327044948157i</v>
      </c>
      <c r="AM438">
        <f t="shared" si="398"/>
        <v>2.2653669820238731</v>
      </c>
      <c r="AN438">
        <f t="shared" si="399"/>
        <v>-1.1136050652398195</v>
      </c>
      <c r="AO438" s="58" t="str">
        <f t="shared" si="400"/>
        <v>1,79075748429118-3,95054083687071i</v>
      </c>
      <c r="AP438">
        <f t="shared" si="401"/>
        <v>12.744715661607479</v>
      </c>
      <c r="AQ438" s="60">
        <f t="shared" si="402"/>
        <v>-65.615486022416547</v>
      </c>
      <c r="AR438" t="str">
        <f t="shared" si="378"/>
        <v>-1,36472945891784</v>
      </c>
      <c r="AS438" t="str">
        <f t="shared" si="379"/>
        <v>1+22,3790125661466i</v>
      </c>
      <c r="AT438">
        <f t="shared" si="403"/>
        <v>22.401343786383606</v>
      </c>
      <c r="AU438">
        <f t="shared" si="404"/>
        <v>1.526141308239479</v>
      </c>
      <c r="AV438" t="str">
        <f t="shared" si="380"/>
        <v>1+22,3790125661466i</v>
      </c>
      <c r="AW438">
        <f t="shared" si="405"/>
        <v>22.401343786383606</v>
      </c>
      <c r="AX438">
        <f t="shared" si="406"/>
        <v>1.526141308239479</v>
      </c>
      <c r="AY438" t="str">
        <f t="shared" si="381"/>
        <v>1-0,000670270860059795i</v>
      </c>
      <c r="AZ438">
        <f t="shared" si="407"/>
        <v>1.0000002246314876</v>
      </c>
      <c r="BA438">
        <f t="shared" si="408"/>
        <v>-6.7027075968385049E-4</v>
      </c>
      <c r="BB438" s="58" t="str">
        <f t="shared" si="409"/>
        <v>-0,00267876523868611+0,060862859326491i</v>
      </c>
      <c r="BC438">
        <f t="shared" si="410"/>
        <v>-24.304548144687985</v>
      </c>
      <c r="BD438" s="60">
        <f t="shared" si="411"/>
        <v>92.520140411642899</v>
      </c>
      <c r="BE438" s="58" t="str">
        <f t="shared" si="412"/>
        <v>0,0018793794322607-0,0137770275510563i</v>
      </c>
      <c r="BF438" s="37">
        <f t="shared" si="413"/>
        <v>-37.136815311867302</v>
      </c>
      <c r="BG438" s="60">
        <f t="shared" si="414"/>
        <v>-82.232001072298843</v>
      </c>
      <c r="BH438" s="58" t="str">
        <f t="shared" si="415"/>
        <v>0,235644192318184+0,119573192322094i</v>
      </c>
      <c r="BI438" s="37">
        <f t="shared" si="416"/>
        <v>-11.559832483080502</v>
      </c>
      <c r="BJ438" s="60">
        <f t="shared" si="417"/>
        <v>26.904654389226287</v>
      </c>
      <c r="BK438">
        <f t="shared" si="418"/>
        <v>-37.136815311867302</v>
      </c>
      <c r="BL438" s="60">
        <f t="shared" si="419"/>
        <v>-82.232001072298843</v>
      </c>
      <c r="BN438">
        <f t="shared" si="420"/>
        <v>0</v>
      </c>
      <c r="BO438">
        <f t="shared" si="421"/>
        <v>0</v>
      </c>
    </row>
    <row r="439" spans="13:67" x14ac:dyDescent="0.25">
      <c r="M439" s="66">
        <v>21</v>
      </c>
      <c r="N439" s="36">
        <f t="shared" si="422"/>
        <v>162181.00973589328</v>
      </c>
      <c r="O439" s="91" t="str">
        <f t="shared" si="370"/>
        <v>22,5</v>
      </c>
      <c r="P439" s="67" t="str">
        <f t="shared" si="371"/>
        <v>1+1100,5344044742i</v>
      </c>
      <c r="Q439" s="67">
        <f t="shared" si="382"/>
        <v>1100.5348587988397</v>
      </c>
      <c r="R439" s="67">
        <f t="shared" si="383"/>
        <v>1.5698876775780071</v>
      </c>
      <c r="S439" s="67" t="str">
        <f t="shared" si="372"/>
        <v>1+30,5704001242833i</v>
      </c>
      <c r="T439" s="67">
        <f t="shared" si="384"/>
        <v>30.586751441739938</v>
      </c>
      <c r="U439" s="67">
        <f t="shared" si="385"/>
        <v>1.5380966059338355</v>
      </c>
      <c r="V439" t="str">
        <f t="shared" si="373"/>
        <v>1-6,36883335922569i</v>
      </c>
      <c r="W439" s="67">
        <f t="shared" si="386"/>
        <v>6.4468626755644474</v>
      </c>
      <c r="X439" s="67">
        <f t="shared" si="387"/>
        <v>-1.415053266939253</v>
      </c>
      <c r="Y439" t="str">
        <f t="shared" si="374"/>
        <v>-0,68337151481304+17,6628978495859i</v>
      </c>
      <c r="Z439" s="67">
        <f t="shared" si="388"/>
        <v>17.67611261200166</v>
      </c>
      <c r="AA439" s="67">
        <f t="shared" si="389"/>
        <v>1.6094666995311315</v>
      </c>
      <c r="AB439" s="92" t="str">
        <f t="shared" si="390"/>
        <v>-0,227244043616311-0,0194268588813858i</v>
      </c>
      <c r="AC439" s="37">
        <f t="shared" si="391"/>
        <v>-12.838525429087248</v>
      </c>
      <c r="AD439" s="60">
        <f t="shared" si="392"/>
        <v>-175.11372336321134</v>
      </c>
      <c r="AE439" t="str">
        <f t="shared" si="393"/>
        <v>34,4450883806789</v>
      </c>
      <c r="AF439" t="str">
        <f t="shared" si="375"/>
        <v>1+550,2672022371i</v>
      </c>
      <c r="AG439">
        <f t="shared" si="394"/>
        <v>550.26811088581667</v>
      </c>
      <c r="AH439">
        <f t="shared" si="395"/>
        <v>1.5689790298615554</v>
      </c>
      <c r="AI439" t="str">
        <f t="shared" si="376"/>
        <v>1+30,5704001242833i</v>
      </c>
      <c r="AJ439">
        <f t="shared" si="396"/>
        <v>30.586751441739938</v>
      </c>
      <c r="AK439">
        <f t="shared" si="397"/>
        <v>1.5380966059338355</v>
      </c>
      <c r="AL439" t="str">
        <f t="shared" si="377"/>
        <v>1-2,08005226492249i</v>
      </c>
      <c r="AM439">
        <f t="shared" si="398"/>
        <v>2.3079465818794809</v>
      </c>
      <c r="AN439">
        <f t="shared" si="399"/>
        <v>-1.1226611639479651</v>
      </c>
      <c r="AO439" s="58" t="str">
        <f t="shared" si="400"/>
        <v>1,79075240180556-4,03976402894504i</v>
      </c>
      <c r="AP439">
        <f t="shared" si="401"/>
        <v>12.906241293932357</v>
      </c>
      <c r="AQ439" s="60">
        <f t="shared" si="402"/>
        <v>-66.093179069655136</v>
      </c>
      <c r="AR439" t="str">
        <f t="shared" si="378"/>
        <v>-1,36472945891784</v>
      </c>
      <c r="AS439" t="str">
        <f t="shared" si="379"/>
        <v>1+22,9002867331006i</v>
      </c>
      <c r="AT439">
        <f t="shared" si="403"/>
        <v>22.922110122286373</v>
      </c>
      <c r="AU439">
        <f t="shared" si="404"/>
        <v>1.5271564755201466</v>
      </c>
      <c r="AV439" t="str">
        <f t="shared" si="380"/>
        <v>1+22,9002867331006i</v>
      </c>
      <c r="AW439">
        <f t="shared" si="405"/>
        <v>22.922110122286373</v>
      </c>
      <c r="AX439">
        <f t="shared" si="406"/>
        <v>1.5271564755201466</v>
      </c>
      <c r="AY439" t="str">
        <f t="shared" si="381"/>
        <v>1-0,000655013632572497i</v>
      </c>
      <c r="AZ439">
        <f t="shared" si="407"/>
        <v>1.0000002145214064</v>
      </c>
      <c r="BA439">
        <f t="shared" si="408"/>
        <v>-6.5501353889621387E-4</v>
      </c>
      <c r="BB439" s="58" t="str">
        <f t="shared" si="409"/>
        <v>-0,00255843040397723+0,0594827062381254i</v>
      </c>
      <c r="BC439">
        <f t="shared" si="410"/>
        <v>-24.50415870358405</v>
      </c>
      <c r="BD439" s="60">
        <f t="shared" si="411"/>
        <v>92.462849785319108</v>
      </c>
      <c r="BE439" s="58" t="str">
        <f t="shared" si="412"/>
        <v>0,00173695021028169-0,0134673884243769i</v>
      </c>
      <c r="BF439" s="37">
        <f t="shared" si="413"/>
        <v>-37.34268413267128</v>
      </c>
      <c r="BG439" s="60">
        <f t="shared" si="414"/>
        <v>-82.650873577892241</v>
      </c>
      <c r="BH439" s="58" t="str">
        <f t="shared" si="415"/>
        <v>0,235714581614309+0,116854254178364i</v>
      </c>
      <c r="BI439" s="37">
        <f t="shared" si="416"/>
        <v>-11.597917409651695</v>
      </c>
      <c r="BJ439" s="60">
        <f t="shared" si="417"/>
        <v>26.369670715663958</v>
      </c>
      <c r="BK439">
        <f t="shared" si="418"/>
        <v>-37.34268413267128</v>
      </c>
      <c r="BL439" s="60">
        <f t="shared" si="419"/>
        <v>-82.650873577892241</v>
      </c>
      <c r="BN439">
        <f t="shared" si="420"/>
        <v>0</v>
      </c>
      <c r="BO439">
        <f t="shared" si="421"/>
        <v>0</v>
      </c>
    </row>
    <row r="440" spans="13:67" x14ac:dyDescent="0.25">
      <c r="M440" s="66">
        <v>22</v>
      </c>
      <c r="N440" s="36">
        <f t="shared" si="422"/>
        <v>165958.69074375604</v>
      </c>
      <c r="O440" s="91" t="str">
        <f t="shared" si="370"/>
        <v>22,5</v>
      </c>
      <c r="P440" s="67" t="str">
        <f t="shared" si="371"/>
        <v>1+1126,16914386232i</v>
      </c>
      <c r="Q440" s="67">
        <f t="shared" si="382"/>
        <v>1126.1695878452724</v>
      </c>
      <c r="R440" s="67">
        <f t="shared" si="383"/>
        <v>1.5699083609483608</v>
      </c>
      <c r="S440" s="67" t="str">
        <f t="shared" si="372"/>
        <v>1+31,2824762183979i</v>
      </c>
      <c r="T440" s="67">
        <f t="shared" si="384"/>
        <v>31.298455526665055</v>
      </c>
      <c r="U440" s="67">
        <f t="shared" si="385"/>
        <v>1.5388404299301364</v>
      </c>
      <c r="V440" t="str">
        <f t="shared" si="373"/>
        <v>1-6,51718254549956i</v>
      </c>
      <c r="W440" s="67">
        <f t="shared" si="386"/>
        <v>6.5934564783096983</v>
      </c>
      <c r="X440" s="67">
        <f t="shared" si="387"/>
        <v>-1.4185432593841318</v>
      </c>
      <c r="Y440" t="str">
        <f t="shared" si="374"/>
        <v>-0,76270637013643+18,0743195928521i</v>
      </c>
      <c r="Z440" s="67">
        <f t="shared" si="388"/>
        <v>18.090404908448125</v>
      </c>
      <c r="AA440" s="67">
        <f t="shared" si="389"/>
        <v>1.612969650783298</v>
      </c>
      <c r="AB440" s="92" t="str">
        <f t="shared" si="390"/>
        <v>-0,227200588718615-0,0179889801502021i</v>
      </c>
      <c r="AC440" s="37">
        <f t="shared" si="391"/>
        <v>-12.844670270803654</v>
      </c>
      <c r="AD440" s="60">
        <f t="shared" si="392"/>
        <v>-175.47295661756345</v>
      </c>
      <c r="AE440" t="str">
        <f t="shared" si="393"/>
        <v>34,4450883806789</v>
      </c>
      <c r="AF440" t="str">
        <f t="shared" si="375"/>
        <v>1+563,084571931163i</v>
      </c>
      <c r="AG440">
        <f t="shared" si="394"/>
        <v>563.08545989654283</v>
      </c>
      <c r="AH440">
        <f t="shared" si="395"/>
        <v>1.5690203965021154</v>
      </c>
      <c r="AI440" t="str">
        <f t="shared" si="376"/>
        <v>1+31,2824762183979i</v>
      </c>
      <c r="AJ440">
        <f t="shared" si="396"/>
        <v>31.298455526665055</v>
      </c>
      <c r="AK440">
        <f t="shared" si="397"/>
        <v>1.5388404299301364</v>
      </c>
      <c r="AL440" t="str">
        <f t="shared" si="377"/>
        <v>1-2,1285029062729i</v>
      </c>
      <c r="AM440">
        <f t="shared" si="398"/>
        <v>2.3517067466017489</v>
      </c>
      <c r="AN440">
        <f t="shared" si="399"/>
        <v>-1.1315879757819529</v>
      </c>
      <c r="AO440" s="58" t="str">
        <f t="shared" si="400"/>
        <v>1,790747548068-4,13112915654854i</v>
      </c>
      <c r="AP440">
        <f t="shared" si="401"/>
        <v>13.069181251108937</v>
      </c>
      <c r="AQ440" s="60">
        <f t="shared" si="402"/>
        <v>-66.564399870478226</v>
      </c>
      <c r="AR440" t="str">
        <f t="shared" si="378"/>
        <v>-1,36472945891784</v>
      </c>
      <c r="AS440" t="str">
        <f t="shared" si="379"/>
        <v>1+23,4337029352019i</v>
      </c>
      <c r="AT440">
        <f t="shared" si="403"/>
        <v>23.455030020345106</v>
      </c>
      <c r="AU440">
        <f t="shared" si="404"/>
        <v>1.5281486217499505</v>
      </c>
      <c r="AV440" t="str">
        <f t="shared" si="380"/>
        <v>1+23,4337029352019i</v>
      </c>
      <c r="AW440">
        <f t="shared" si="405"/>
        <v>23.455030020345106</v>
      </c>
      <c r="AX440">
        <f t="shared" si="406"/>
        <v>1.5281486217499505</v>
      </c>
      <c r="AY440" t="str">
        <f t="shared" si="381"/>
        <v>1-0,000640103701983316i</v>
      </c>
      <c r="AZ440">
        <f t="shared" si="407"/>
        <v>1.0000002048663537</v>
      </c>
      <c r="BA440">
        <f t="shared" si="408"/>
        <v>-6.4010361455952094E-4</v>
      </c>
      <c r="BB440" s="58" t="str">
        <f t="shared" si="409"/>
        <v>-0,00244349137557941+0,0581336193989148i</v>
      </c>
      <c r="BC440">
        <f t="shared" si="410"/>
        <v>-24.703786757599907</v>
      </c>
      <c r="BD440" s="60">
        <f t="shared" si="411"/>
        <v>92.406858269428866</v>
      </c>
      <c r="BE440" s="58" t="str">
        <f t="shared" si="412"/>
        <v>0,00160092720448698-0,0131640366339249i</v>
      </c>
      <c r="BF440" s="37">
        <f t="shared" si="413"/>
        <v>-37.548457028403533</v>
      </c>
      <c r="BG440" s="60">
        <f t="shared" si="414"/>
        <v>-83.066098348134616</v>
      </c>
      <c r="BH440" s="58" t="str">
        <f t="shared" si="415"/>
        <v>0,235781813885009+0,114197014864356i</v>
      </c>
      <c r="BI440" s="37">
        <f t="shared" si="416"/>
        <v>-11.634605506490965</v>
      </c>
      <c r="BJ440" s="60">
        <f t="shared" si="417"/>
        <v>25.842458398950615</v>
      </c>
      <c r="BK440">
        <f t="shared" si="418"/>
        <v>-37.548457028403533</v>
      </c>
      <c r="BL440" s="60">
        <f t="shared" si="419"/>
        <v>-83.066098348134616</v>
      </c>
      <c r="BN440">
        <f t="shared" si="420"/>
        <v>0</v>
      </c>
      <c r="BO440">
        <f t="shared" si="421"/>
        <v>0</v>
      </c>
    </row>
    <row r="441" spans="13:67" x14ac:dyDescent="0.25">
      <c r="M441" s="66">
        <v>23</v>
      </c>
      <c r="N441" s="36">
        <f t="shared" si="422"/>
        <v>169824.36524617471</v>
      </c>
      <c r="O441" s="91" t="str">
        <f t="shared" si="370"/>
        <v>22,5</v>
      </c>
      <c r="P441" s="67" t="str">
        <f t="shared" si="371"/>
        <v>1+1152,40099303713i</v>
      </c>
      <c r="Q441" s="67">
        <f t="shared" si="382"/>
        <v>1152.4014269138006</v>
      </c>
      <c r="R441" s="67">
        <f t="shared" si="383"/>
        <v>1.5699285735084594</v>
      </c>
      <c r="S441" s="67" t="str">
        <f t="shared" si="372"/>
        <v>1+32,0111386954758i</v>
      </c>
      <c r="T441" s="67">
        <f t="shared" si="384"/>
        <v>32.026754449693897</v>
      </c>
      <c r="U441" s="67">
        <f t="shared" si="385"/>
        <v>1.5395673566069701</v>
      </c>
      <c r="V441" t="str">
        <f t="shared" si="373"/>
        <v>1-6,66898722822413i</v>
      </c>
      <c r="W441" s="67">
        <f t="shared" si="386"/>
        <v>6.7435443685213903</v>
      </c>
      <c r="X441" s="67">
        <f t="shared" si="387"/>
        <v>-1.4219574255096799</v>
      </c>
      <c r="Y441" t="str">
        <f t="shared" si="374"/>
        <v>-0,84578016200102+18,4953245796082i</v>
      </c>
      <c r="Z441" s="67">
        <f t="shared" si="388"/>
        <v>18.514652991279469</v>
      </c>
      <c r="AA441" s="67">
        <f t="shared" si="389"/>
        <v>1.6164938941951807</v>
      </c>
      <c r="AB441" s="92" t="str">
        <f t="shared" si="390"/>
        <v>-0,227150171654937-0,0165612677742729i</v>
      </c>
      <c r="AC441" s="37">
        <f t="shared" si="391"/>
        <v>-12.850713933924462</v>
      </c>
      <c r="AD441" s="60">
        <f t="shared" si="392"/>
        <v>-175.83000646438032</v>
      </c>
      <c r="AE441" t="str">
        <f t="shared" si="393"/>
        <v>34,4450883806789</v>
      </c>
      <c r="AF441" t="str">
        <f t="shared" si="375"/>
        <v>1+576,200496518565i</v>
      </c>
      <c r="AG441">
        <f t="shared" si="394"/>
        <v>576.20136427141586</v>
      </c>
      <c r="AH441">
        <f t="shared" si="395"/>
        <v>1.5690608215288495</v>
      </c>
      <c r="AI441" t="str">
        <f t="shared" si="376"/>
        <v>1+32,0111386954758i</v>
      </c>
      <c r="AJ441">
        <f t="shared" si="396"/>
        <v>32.026754449693897</v>
      </c>
      <c r="AK441">
        <f t="shared" si="397"/>
        <v>1.5395673566069701</v>
      </c>
      <c r="AL441" t="str">
        <f t="shared" si="377"/>
        <v>1-2,17808210803827i</v>
      </c>
      <c r="AM441">
        <f t="shared" si="398"/>
        <v>2.3966730418136795</v>
      </c>
      <c r="AN441">
        <f t="shared" si="399"/>
        <v>-1.1403845419786378</v>
      </c>
      <c r="AO441" s="58" t="str">
        <f t="shared" si="400"/>
        <v>1,79074291278326-4,22468466273664i</v>
      </c>
      <c r="AP441">
        <f t="shared" si="401"/>
        <v>13.233494842617723</v>
      </c>
      <c r="AQ441" s="60">
        <f t="shared" si="402"/>
        <v>-67.029072340576292</v>
      </c>
      <c r="AR441" t="str">
        <f t="shared" si="378"/>
        <v>-1,36472945891784</v>
      </c>
      <c r="AS441" t="str">
        <f t="shared" si="379"/>
        <v>1+23,979543996781i</v>
      </c>
      <c r="AT441">
        <f t="shared" si="403"/>
        <v>24.000386044677612</v>
      </c>
      <c r="AU441">
        <f t="shared" si="404"/>
        <v>1.5291182651605175</v>
      </c>
      <c r="AV441" t="str">
        <f t="shared" si="380"/>
        <v>1+23,979543996781i</v>
      </c>
      <c r="AW441">
        <f t="shared" si="405"/>
        <v>24.000386044677612</v>
      </c>
      <c r="AX441">
        <f t="shared" si="406"/>
        <v>1.5291182651605175</v>
      </c>
      <c r="AY441" t="str">
        <f t="shared" si="381"/>
        <v>1-0,000625533162849704i</v>
      </c>
      <c r="AZ441">
        <f t="shared" si="407"/>
        <v>1.0000001956458497</v>
      </c>
      <c r="BA441">
        <f t="shared" si="408"/>
        <v>-6.2553308126107041E-4</v>
      </c>
      <c r="BB441" s="58" t="str">
        <f t="shared" si="409"/>
        <v>-0,00233370707075864+0,0568149149137268i</v>
      </c>
      <c r="BC441">
        <f t="shared" si="410"/>
        <v>-24.903431522190157</v>
      </c>
      <c r="BD441" s="60">
        <f t="shared" si="411"/>
        <v>92.352136624433967</v>
      </c>
      <c r="BE441" s="58" t="str">
        <f t="shared" si="412"/>
        <v>0,00147102898117393-0,0128668685275081i</v>
      </c>
      <c r="BF441" s="37">
        <f t="shared" si="413"/>
        <v>-37.754145456114642</v>
      </c>
      <c r="BG441" s="60">
        <f t="shared" si="414"/>
        <v>-83.477869839946337</v>
      </c>
      <c r="BH441" s="58" t="str">
        <f t="shared" si="415"/>
        <v>0,235846030253236+0,111600082691294i</v>
      </c>
      <c r="BI441" s="37">
        <f t="shared" si="416"/>
        <v>-11.669936679572427</v>
      </c>
      <c r="BJ441" s="60">
        <f t="shared" si="417"/>
        <v>25.323064283857587</v>
      </c>
      <c r="BK441">
        <f t="shared" si="418"/>
        <v>-37.754145456114642</v>
      </c>
      <c r="BL441" s="60">
        <f t="shared" si="419"/>
        <v>-83.477869839946337</v>
      </c>
      <c r="BN441">
        <f t="shared" si="420"/>
        <v>0</v>
      </c>
      <c r="BO441">
        <f t="shared" si="421"/>
        <v>0</v>
      </c>
    </row>
    <row r="442" spans="13:67" x14ac:dyDescent="0.25">
      <c r="M442" s="66">
        <v>24</v>
      </c>
      <c r="N442" s="36">
        <f t="shared" si="422"/>
        <v>173780.0828749378</v>
      </c>
      <c r="O442" s="91" t="str">
        <f t="shared" si="370"/>
        <v>22,5</v>
      </c>
      <c r="P442" s="67" t="str">
        <f t="shared" si="371"/>
        <v>1+1179,24386047228i</v>
      </c>
      <c r="Q442" s="67">
        <f t="shared" si="382"/>
        <v>1179.2442844727152</v>
      </c>
      <c r="R442" s="67">
        <f t="shared" si="383"/>
        <v>1.5699483259752038</v>
      </c>
      <c r="S442" s="67" t="str">
        <f t="shared" si="372"/>
        <v>1+32,7567739020078i</v>
      </c>
      <c r="T442" s="67">
        <f t="shared" si="384"/>
        <v>32.772034365709729</v>
      </c>
      <c r="U442" s="67">
        <f t="shared" si="385"/>
        <v>1.5402777683157312</v>
      </c>
      <c r="V442" t="str">
        <f t="shared" si="373"/>
        <v>1-6,82432789625163i</v>
      </c>
      <c r="W442" s="67">
        <f t="shared" si="386"/>
        <v>6.8972060456070317</v>
      </c>
      <c r="X442" s="67">
        <f t="shared" si="387"/>
        <v>-1.4252972570089859</v>
      </c>
      <c r="Y442" t="str">
        <f t="shared" si="374"/>
        <v>-0,9327691010573+18,9261360322712i</v>
      </c>
      <c r="Z442" s="67">
        <f t="shared" si="388"/>
        <v>18.949107717988237</v>
      </c>
      <c r="AA442" s="67">
        <f t="shared" si="389"/>
        <v>1.6200411896454174</v>
      </c>
      <c r="AB442" s="92" t="str">
        <f t="shared" si="390"/>
        <v>-0,227092696113754-0,0151430453513928i</v>
      </c>
      <c r="AC442" s="37">
        <f t="shared" si="391"/>
        <v>-12.856668493274752</v>
      </c>
      <c r="AD442" s="60">
        <f t="shared" si="392"/>
        <v>-176.18503791191065</v>
      </c>
      <c r="AE442" t="str">
        <f t="shared" si="393"/>
        <v>34,4450883806789</v>
      </c>
      <c r="AF442" t="str">
        <f t="shared" si="375"/>
        <v>1+589,621930236141i</v>
      </c>
      <c r="AG442">
        <f t="shared" si="394"/>
        <v>589.62277823655415</v>
      </c>
      <c r="AH442">
        <f t="shared" si="395"/>
        <v>1.5691003263751131</v>
      </c>
      <c r="AI442" t="str">
        <f t="shared" si="376"/>
        <v>1+32,7567739020078i</v>
      </c>
      <c r="AJ442">
        <f t="shared" si="396"/>
        <v>32.772034365709729</v>
      </c>
      <c r="AK442">
        <f t="shared" si="397"/>
        <v>1.5402777683157312</v>
      </c>
      <c r="AL442" t="str">
        <f t="shared" si="377"/>
        <v>1-2,22881615776766i</v>
      </c>
      <c r="AM442">
        <f t="shared" si="398"/>
        <v>2.4428715613241305</v>
      </c>
      <c r="AN442">
        <f t="shared" si="399"/>
        <v>-1.1490500801767574</v>
      </c>
      <c r="AO442" s="58" t="str">
        <f t="shared" si="400"/>
        <v>1,79073848611947-4,32048015192893i</v>
      </c>
      <c r="AP442">
        <f t="shared" si="401"/>
        <v>13.399141718799502</v>
      </c>
      <c r="AQ442" s="60">
        <f t="shared" si="402"/>
        <v>-67.487130974870496</v>
      </c>
      <c r="AR442" t="str">
        <f t="shared" si="378"/>
        <v>-1,36472945891784</v>
      </c>
      <c r="AS442" t="str">
        <f t="shared" si="379"/>
        <v>1+24,5380993299941i</v>
      </c>
      <c r="AT442">
        <f t="shared" si="403"/>
        <v>24.558467353005906</v>
      </c>
      <c r="AU442">
        <f t="shared" si="404"/>
        <v>1.530065912572129</v>
      </c>
      <c r="AV442" t="str">
        <f t="shared" si="380"/>
        <v>1+24,5380993299941i</v>
      </c>
      <c r="AW442">
        <f t="shared" si="405"/>
        <v>24.558467353005906</v>
      </c>
      <c r="AX442">
        <f t="shared" si="406"/>
        <v>1.530065912572129</v>
      </c>
      <c r="AY442" t="str">
        <f t="shared" si="381"/>
        <v>1-0,000611294289678941i</v>
      </c>
      <c r="AZ442">
        <f t="shared" si="407"/>
        <v>1.0000001868403368</v>
      </c>
      <c r="BA442">
        <f t="shared" si="408"/>
        <v>-6.112942135359969E-4</v>
      </c>
      <c r="BB442" s="58" t="str">
        <f t="shared" si="409"/>
        <v>-0,00222884710228617+0,0555259229124606i</v>
      </c>
      <c r="BC442">
        <f t="shared" si="410"/>
        <v>-25.103092247868609</v>
      </c>
      <c r="BD442" s="60">
        <f t="shared" si="411"/>
        <v>92.298656254307829</v>
      </c>
      <c r="BE442" s="58" t="str">
        <f t="shared" si="412"/>
        <v>0,00134698646652483-0,0125757800056439i</v>
      </c>
      <c r="BF442" s="37">
        <f t="shared" si="413"/>
        <v>-37.959760741143363</v>
      </c>
      <c r="BG442" s="60">
        <f t="shared" si="414"/>
        <v>-83.886381657602797</v>
      </c>
      <c r="BH442" s="58" t="str">
        <f t="shared" si="415"/>
        <v>0,235907365575082+0,109062096803758i</v>
      </c>
      <c r="BI442" s="37">
        <f t="shared" si="416"/>
        <v>-11.703950529069107</v>
      </c>
      <c r="BJ442" s="60">
        <f t="shared" si="417"/>
        <v>24.81152527943739</v>
      </c>
      <c r="BK442">
        <f t="shared" si="418"/>
        <v>-37.959760741143363</v>
      </c>
      <c r="BL442" s="60">
        <f t="shared" si="419"/>
        <v>-83.886381657602797</v>
      </c>
      <c r="BN442">
        <f t="shared" si="420"/>
        <v>0</v>
      </c>
      <c r="BO442">
        <f t="shared" si="421"/>
        <v>0</v>
      </c>
    </row>
    <row r="443" spans="13:67" x14ac:dyDescent="0.25">
      <c r="M443" s="66">
        <v>25</v>
      </c>
      <c r="N443" s="36">
        <f t="shared" si="422"/>
        <v>177827.94100389251</v>
      </c>
      <c r="O443" s="91" t="str">
        <f t="shared" si="370"/>
        <v>22,5</v>
      </c>
      <c r="P443" s="67" t="str">
        <f t="shared" si="371"/>
        <v>1+1206,71197861139i</v>
      </c>
      <c r="Q443" s="67">
        <f t="shared" si="382"/>
        <v>1206.7123929604004</v>
      </c>
      <c r="R443" s="67">
        <f t="shared" si="383"/>
        <v>1.5699676288215514</v>
      </c>
      <c r="S443" s="67" t="str">
        <f t="shared" si="372"/>
        <v>1+33,5197771836498i</v>
      </c>
      <c r="T443" s="67">
        <f t="shared" si="384"/>
        <v>33.534690433065421</v>
      </c>
      <c r="U443" s="67">
        <f t="shared" si="385"/>
        <v>1.5409720388561985</v>
      </c>
      <c r="V443" t="str">
        <f t="shared" si="373"/>
        <v>1-6,98328691326038i</v>
      </c>
      <c r="W443" s="67">
        <f t="shared" si="386"/>
        <v>7.0545230960649414</v>
      </c>
      <c r="X443" s="67">
        <f t="shared" si="387"/>
        <v>-1.4285642265178129</v>
      </c>
      <c r="Y443" t="str">
        <f t="shared" si="374"/>
        <v>-1,02385770250779+19,3669823727754i</v>
      </c>
      <c r="Z443" s="67">
        <f t="shared" si="388"/>
        <v>19.394027194535376</v>
      </c>
      <c r="AA443" s="67">
        <f t="shared" si="389"/>
        <v>1.6236133038168747</v>
      </c>
      <c r="AB443" s="92" t="str">
        <f t="shared" si="390"/>
        <v>-0,227028052172722-0,0137336446726494i</v>
      </c>
      <c r="AC443" s="37">
        <f t="shared" si="391"/>
        <v>-12.862545876630026</v>
      </c>
      <c r="AD443" s="60">
        <f t="shared" si="392"/>
        <v>-176.53821574234698</v>
      </c>
      <c r="AE443" t="str">
        <f t="shared" si="393"/>
        <v>34,4450883806789</v>
      </c>
      <c r="AF443" t="str">
        <f t="shared" si="375"/>
        <v>1+603,355989305697i</v>
      </c>
      <c r="AG443">
        <f t="shared" si="394"/>
        <v>603.35681800329098</v>
      </c>
      <c r="AH443">
        <f t="shared" si="395"/>
        <v>1.5691389319864055</v>
      </c>
      <c r="AI443" t="str">
        <f t="shared" si="376"/>
        <v>1+33,5197771836498i</v>
      </c>
      <c r="AJ443">
        <f t="shared" si="396"/>
        <v>33.534690433065421</v>
      </c>
      <c r="AK443">
        <f t="shared" si="397"/>
        <v>1.5409720388561985</v>
      </c>
      <c r="AL443" t="str">
        <f t="shared" si="377"/>
        <v>1-2,28073195532577i</v>
      </c>
      <c r="AM443">
        <f t="shared" si="398"/>
        <v>2.4903289445461034</v>
      </c>
      <c r="AN443">
        <f t="shared" si="399"/>
        <v>-1.1575839782544806</v>
      </c>
      <c r="AO443" s="58" t="str">
        <f t="shared" si="400"/>
        <v>1,79073425868727-4,41856641621013i</v>
      </c>
      <c r="AP443">
        <f t="shared" si="401"/>
        <v>13.566081933615635</v>
      </c>
      <c r="AQ443" s="60">
        <f t="shared" si="402"/>
        <v>-67.938520484302188</v>
      </c>
      <c r="AR443" t="str">
        <f t="shared" si="378"/>
        <v>-1,36472945891784</v>
      </c>
      <c r="AS443" t="str">
        <f t="shared" si="379"/>
        <v>1+25,1096650882721i</v>
      </c>
      <c r="AT443">
        <f t="shared" si="403"/>
        <v>25.129569849983323</v>
      </c>
      <c r="AU443">
        <f t="shared" si="404"/>
        <v>1.5309920596279363</v>
      </c>
      <c r="AV443" t="str">
        <f t="shared" si="380"/>
        <v>1+25,1096650882721i</v>
      </c>
      <c r="AW443">
        <f t="shared" si="405"/>
        <v>25.129569849983323</v>
      </c>
      <c r="AX443">
        <f t="shared" si="406"/>
        <v>1.5309920596279363</v>
      </c>
      <c r="AY443" t="str">
        <f t="shared" si="381"/>
        <v>1-0,000597379532832002i</v>
      </c>
      <c r="AZ443">
        <f t="shared" si="407"/>
        <v>1.0000001784311372</v>
      </c>
      <c r="BA443">
        <f t="shared" si="408"/>
        <v>-5.9737946177127127E-4</v>
      </c>
      <c r="BB443" s="58" t="str">
        <f t="shared" si="409"/>
        <v>-0,00212869131062218+0,0542659873326484i</v>
      </c>
      <c r="BC443">
        <f t="shared" si="410"/>
        <v>-25.302768218651988</v>
      </c>
      <c r="BD443" s="60">
        <f t="shared" si="411"/>
        <v>92.24638919335068</v>
      </c>
      <c r="BE443" s="58" t="str">
        <f t="shared" si="412"/>
        <v>0,00122854242976464-0,0122906667132829i</v>
      </c>
      <c r="BF443" s="37">
        <f t="shared" si="413"/>
        <v>-38.165314095282035</v>
      </c>
      <c r="BG443" s="60">
        <f t="shared" si="414"/>
        <v>-84.291826548996269</v>
      </c>
      <c r="BH443" s="58" t="str">
        <f t="shared" si="415"/>
        <v>0,235965948714423+0,106581726533656i</v>
      </c>
      <c r="BI443" s="37">
        <f t="shared" si="416"/>
        <v>-11.73668628503637</v>
      </c>
      <c r="BJ443" s="60">
        <f t="shared" si="417"/>
        <v>24.307868709048464</v>
      </c>
      <c r="BK443">
        <f t="shared" si="418"/>
        <v>-38.165314095282035</v>
      </c>
      <c r="BL443" s="60">
        <f t="shared" si="419"/>
        <v>-84.291826548996269</v>
      </c>
      <c r="BN443">
        <f t="shared" si="420"/>
        <v>0</v>
      </c>
      <c r="BO443">
        <f t="shared" si="421"/>
        <v>0</v>
      </c>
    </row>
    <row r="444" spans="13:67" x14ac:dyDescent="0.25">
      <c r="M444" s="66">
        <v>26</v>
      </c>
      <c r="N444" s="36">
        <f t="shared" si="422"/>
        <v>181970.08586099857</v>
      </c>
      <c r="O444" s="91" t="str">
        <f t="shared" si="370"/>
        <v>22,5</v>
      </c>
      <c r="P444" s="67" t="str">
        <f t="shared" si="371"/>
        <v>1+1234,81991141427i</v>
      </c>
      <c r="Q444" s="67">
        <f t="shared" si="382"/>
        <v>1234.8203163315488</v>
      </c>
      <c r="R444" s="67">
        <f t="shared" si="383"/>
        <v>1.5699864922820697</v>
      </c>
      <c r="S444" s="67" t="str">
        <f t="shared" si="372"/>
        <v>1+34,3005530948409i</v>
      </c>
      <c r="T444" s="67">
        <f t="shared" si="384"/>
        <v>34.315127023107458</v>
      </c>
      <c r="U444" s="67">
        <f t="shared" si="385"/>
        <v>1.5416505336610986</v>
      </c>
      <c r="V444" t="str">
        <f t="shared" si="373"/>
        <v>1-7,14594856142519i</v>
      </c>
      <c r="W444" s="67">
        <f t="shared" si="386"/>
        <v>7.2155790372315058</v>
      </c>
      <c r="X444" s="67">
        <f t="shared" si="387"/>
        <v>-1.4317597871320076</v>
      </c>
      <c r="Y444" t="str">
        <f t="shared" si="374"/>
        <v>-1,11923917748858+19,8180973436858i</v>
      </c>
      <c r="Z444" s="67">
        <f t="shared" si="388"/>
        <v>19.849677041711068</v>
      </c>
      <c r="AA444" s="67">
        <f t="shared" si="389"/>
        <v>1.6272120106151309</v>
      </c>
      <c r="AB444" s="92" t="str">
        <f t="shared" si="390"/>
        <v>-0,2269561161616-0,0123324057370811i</v>
      </c>
      <c r="AC444" s="37">
        <f t="shared" si="391"/>
        <v>-12.868357884436762</v>
      </c>
      <c r="AD444" s="60">
        <f t="shared" si="392"/>
        <v>-176.88970449789608</v>
      </c>
      <c r="AE444" t="str">
        <f t="shared" si="393"/>
        <v>34,4450883806789</v>
      </c>
      <c r="AF444" t="str">
        <f t="shared" si="375"/>
        <v>1+617,409955707137i</v>
      </c>
      <c r="AG444">
        <f t="shared" si="394"/>
        <v>617.41076554129575</v>
      </c>
      <c r="AH444">
        <f t="shared" si="395"/>
        <v>1.5691766588314717</v>
      </c>
      <c r="AI444" t="str">
        <f t="shared" si="376"/>
        <v>1+34,3005530948409i</v>
      </c>
      <c r="AJ444">
        <f t="shared" si="396"/>
        <v>34.315127023107458</v>
      </c>
      <c r="AK444">
        <f t="shared" si="397"/>
        <v>1.5416505336610986</v>
      </c>
      <c r="AL444" t="str">
        <f t="shared" si="377"/>
        <v>1-2,33385702715563i</v>
      </c>
      <c r="AM444">
        <f t="shared" si="398"/>
        <v>2.5390723942423761</v>
      </c>
      <c r="AN444">
        <f t="shared" si="399"/>
        <v>-1.1659857879385371</v>
      </c>
      <c r="AO444" s="58" t="str">
        <f t="shared" si="400"/>
        <v>1,79073022151982-4,51899546226094i</v>
      </c>
      <c r="AP444">
        <f t="shared" si="401"/>
        <v>13.734276002496571</v>
      </c>
      <c r="AQ444" s="60">
        <f t="shared" si="402"/>
        <v>-68.383195419725126</v>
      </c>
      <c r="AR444" t="str">
        <f t="shared" si="378"/>
        <v>-1,36472945891784</v>
      </c>
      <c r="AS444" t="str">
        <f t="shared" si="379"/>
        <v>1+25,6945443233453i</v>
      </c>
      <c r="AT444">
        <f t="shared" si="403"/>
        <v>25.713996344099382</v>
      </c>
      <c r="AU444">
        <f t="shared" si="404"/>
        <v>1.5318971910245336</v>
      </c>
      <c r="AV444" t="str">
        <f t="shared" si="380"/>
        <v>1+25,6945443233453i</v>
      </c>
      <c r="AW444">
        <f t="shared" si="405"/>
        <v>25.713996344099382</v>
      </c>
      <c r="AX444">
        <f t="shared" si="406"/>
        <v>1.5318971910245336</v>
      </c>
      <c r="AY444" t="str">
        <f t="shared" si="381"/>
        <v>1-0,000583781514520631i</v>
      </c>
      <c r="AZ444">
        <f t="shared" si="407"/>
        <v>1.0000001704004138</v>
      </c>
      <c r="BA444">
        <f t="shared" si="408"/>
        <v>-5.8378144820289777E-4</v>
      </c>
      <c r="BB444" s="58" t="str">
        <f t="shared" si="409"/>
        <v>-0,00203302931597128+0,0530344657003224i</v>
      </c>
      <c r="BC444">
        <f t="shared" si="410"/>
        <v>-25.502458750572217</v>
      </c>
      <c r="BD444" s="60">
        <f t="shared" si="411"/>
        <v>92.195308093208098</v>
      </c>
      <c r="BE444" s="58" t="str">
        <f t="shared" si="412"/>
        <v>0,0011154509866612-0,0120114242156508i</v>
      </c>
      <c r="BF444" s="37">
        <f t="shared" si="413"/>
        <v>-38.370816635008993</v>
      </c>
      <c r="BG444" s="60">
        <f t="shared" si="414"/>
        <v>-84.694396404687978</v>
      </c>
      <c r="BH444" s="58" t="str">
        <f t="shared" si="415"/>
        <v>0,236021902805845+0,104157670765241i</v>
      </c>
      <c r="BI444" s="37">
        <f t="shared" si="416"/>
        <v>-11.768182748075644</v>
      </c>
      <c r="BJ444" s="60">
        <f t="shared" si="417"/>
        <v>23.812112673482915</v>
      </c>
      <c r="BK444">
        <f t="shared" si="418"/>
        <v>-38.370816635008993</v>
      </c>
      <c r="BL444" s="60">
        <f t="shared" si="419"/>
        <v>-84.694396404687978</v>
      </c>
      <c r="BN444">
        <f t="shared" si="420"/>
        <v>0</v>
      </c>
      <c r="BO444">
        <f t="shared" si="421"/>
        <v>0</v>
      </c>
    </row>
    <row r="445" spans="13:67" x14ac:dyDescent="0.25">
      <c r="M445" s="66">
        <v>27</v>
      </c>
      <c r="N445" s="36">
        <f t="shared" si="422"/>
        <v>186208.71366628664</v>
      </c>
      <c r="O445" s="91" t="str">
        <f t="shared" si="370"/>
        <v>22,5</v>
      </c>
      <c r="P445" s="67" t="str">
        <f t="shared" si="371"/>
        <v>1+1263,58256207897i</v>
      </c>
      <c r="Q445" s="67">
        <f t="shared" si="382"/>
        <v>1263.582957779209</v>
      </c>
      <c r="R445" s="67">
        <f t="shared" si="383"/>
        <v>1.5700049263583606</v>
      </c>
      <c r="S445" s="67" t="str">
        <f t="shared" si="372"/>
        <v>1+35,0995156133046i</v>
      </c>
      <c r="T445" s="67">
        <f t="shared" si="384"/>
        <v>35.113757934584747</v>
      </c>
      <c r="U445" s="67">
        <f t="shared" si="385"/>
        <v>1.54231360997714</v>
      </c>
      <c r="V445" t="str">
        <f t="shared" si="373"/>
        <v>1-7,31239908610512i</v>
      </c>
      <c r="W445" s="67">
        <f t="shared" si="386"/>
        <v>7.3804593620228669</v>
      </c>
      <c r="X445" s="67">
        <f t="shared" si="387"/>
        <v>-1.4348853719889836</v>
      </c>
      <c r="Y445" t="str">
        <f t="shared" si="374"/>
        <v>-1,21911584289619+20,2797201321315i</v>
      </c>
      <c r="Z445" s="67">
        <f t="shared" si="388"/>
        <v>20.316330674508627</v>
      </c>
      <c r="AA445" s="67">
        <f t="shared" si="389"/>
        <v>1.6308390915653792</v>
      </c>
      <c r="AB445" s="92" t="str">
        <f t="shared" si="390"/>
        <v>-0,226876750507514-0,0109386767843509i</v>
      </c>
      <c r="AC445" s="37">
        <f t="shared" si="391"/>
        <v>-12.874116209533064</v>
      </c>
      <c r="AD445" s="60">
        <f t="shared" si="392"/>
        <v>-177.23966846947877</v>
      </c>
      <c r="AE445" t="str">
        <f t="shared" si="393"/>
        <v>34,4450883806789</v>
      </c>
      <c r="AF445" t="str">
        <f t="shared" si="375"/>
        <v>1+631,791281039483i</v>
      </c>
      <c r="AG445">
        <f t="shared" si="394"/>
        <v>631.79207243958922</v>
      </c>
      <c r="AH445">
        <f t="shared" si="395"/>
        <v>1.5692135269131549</v>
      </c>
      <c r="AI445" t="str">
        <f t="shared" si="376"/>
        <v>1+35,0995156133046i</v>
      </c>
      <c r="AJ445">
        <f t="shared" si="396"/>
        <v>35.113757934584747</v>
      </c>
      <c r="AK445">
        <f t="shared" si="397"/>
        <v>1.54231360997714</v>
      </c>
      <c r="AL445" t="str">
        <f t="shared" si="377"/>
        <v>1-2,38821954087354i</v>
      </c>
      <c r="AM445">
        <f t="shared" si="398"/>
        <v>2.5891296945904858</v>
      </c>
      <c r="AN445">
        <f t="shared" si="399"/>
        <v>-1.1742552182320907</v>
      </c>
      <c r="AO445" s="58" t="str">
        <f t="shared" si="400"/>
        <v>1,7907263660539-4,62182053893308i</v>
      </c>
      <c r="AP445">
        <f t="shared" si="401"/>
        <v>13.903684955325179</v>
      </c>
      <c r="AQ445" s="60">
        <f t="shared" si="402"/>
        <v>-68.821119785598412</v>
      </c>
      <c r="AR445" t="str">
        <f t="shared" si="378"/>
        <v>-1,36472945891784</v>
      </c>
      <c r="AS445" t="str">
        <f t="shared" si="379"/>
        <v>1+26,2930471459265i</v>
      </c>
      <c r="AT445">
        <f t="shared" si="403"/>
        <v>26.312056708245247</v>
      </c>
      <c r="AU445">
        <f t="shared" si="404"/>
        <v>1.5327817807388617</v>
      </c>
      <c r="AV445" t="str">
        <f t="shared" si="380"/>
        <v>1+26,2930471459265i</v>
      </c>
      <c r="AW445">
        <f t="shared" si="405"/>
        <v>26.312056708245247</v>
      </c>
      <c r="AX445">
        <f t="shared" si="406"/>
        <v>1.5327817807388617</v>
      </c>
      <c r="AY445" t="str">
        <f t="shared" si="381"/>
        <v>1-0,000570493024895516i</v>
      </c>
      <c r="AZ445">
        <f t="shared" si="407"/>
        <v>1.0000001627311326</v>
      </c>
      <c r="BA445">
        <f t="shared" si="408"/>
        <v>-5.704929630042057E-4</v>
      </c>
      <c r="BB445" s="58" t="str">
        <f t="shared" si="409"/>
        <v>-0,00194166008941832+0,0518307289096218i</v>
      </c>
      <c r="BC445">
        <f t="shared" si="410"/>
        <v>-25.702163190254275</v>
      </c>
      <c r="BD445" s="60">
        <f t="shared" si="411"/>
        <v>92.145386210094429</v>
      </c>
      <c r="BE445" s="58" t="str">
        <f t="shared" si="412"/>
        <v>0,00100747712271702-0,0117379481593076i</v>
      </c>
      <c r="BF445" s="37">
        <f t="shared" si="413"/>
        <v>-38.576279399787367</v>
      </c>
      <c r="BG445" s="60">
        <f t="shared" si="414"/>
        <v>-85.094282259384329</v>
      </c>
      <c r="BH445" s="58" t="str">
        <f t="shared" si="415"/>
        <v>0,236075345506327+0,101788657311152i</v>
      </c>
      <c r="BI445" s="37">
        <f t="shared" si="416"/>
        <v>-11.798478234929084</v>
      </c>
      <c r="BJ445" s="60">
        <f t="shared" si="417"/>
        <v>23.324266424495971</v>
      </c>
      <c r="BK445">
        <f t="shared" si="418"/>
        <v>-38.576279399787367</v>
      </c>
      <c r="BL445" s="60">
        <f t="shared" si="419"/>
        <v>-85.094282259384329</v>
      </c>
      <c r="BN445">
        <f t="shared" si="420"/>
        <v>0</v>
      </c>
      <c r="BO445">
        <f t="shared" si="421"/>
        <v>0</v>
      </c>
    </row>
    <row r="446" spans="13:67" x14ac:dyDescent="0.25">
      <c r="M446" s="66">
        <v>28</v>
      </c>
      <c r="N446" s="36">
        <f t="shared" si="422"/>
        <v>190546.07179632492</v>
      </c>
      <c r="O446" s="91" t="str">
        <f t="shared" si="370"/>
        <v>22,5</v>
      </c>
      <c r="P446" s="67" t="str">
        <f t="shared" si="371"/>
        <v>1+1293,01518094358i</v>
      </c>
      <c r="Q446" s="67">
        <f t="shared" si="382"/>
        <v>1293.0155676365846</v>
      </c>
      <c r="R446" s="67">
        <f t="shared" si="383"/>
        <v>1.5700229408243662</v>
      </c>
      <c r="S446" s="67" t="str">
        <f t="shared" si="372"/>
        <v>1+35,9170883595438i</v>
      </c>
      <c r="T446" s="67">
        <f t="shared" si="384"/>
        <v>35.931006613053249</v>
      </c>
      <c r="U446" s="67">
        <f t="shared" si="385"/>
        <v>1.5429616170425484</v>
      </c>
      <c r="V446" t="str">
        <f t="shared" si="373"/>
        <v>1-7,48272674157163i</v>
      </c>
      <c r="W446" s="67">
        <f t="shared" si="386"/>
        <v>7.5492515846957424</v>
      </c>
      <c r="X446" s="67">
        <f t="shared" si="387"/>
        <v>-1.4379423939090823</v>
      </c>
      <c r="Y446" t="str">
        <f t="shared" si="374"/>
        <v>-1,32369955052868+20,7520954966253i</v>
      </c>
      <c r="Z446" s="67">
        <f t="shared" si="388"/>
        <v>20.794269595278553</v>
      </c>
      <c r="AA446" s="67">
        <f t="shared" si="389"/>
        <v>1.6344963361857239</v>
      </c>
      <c r="AB446" s="92" t="str">
        <f t="shared" si="390"/>
        <v>-0,226789803562998-0,00955181434686355i</v>
      </c>
      <c r="AC446" s="37">
        <f t="shared" si="391"/>
        <v>-12.879832456873494</v>
      </c>
      <c r="AD446" s="60">
        <f t="shared" si="392"/>
        <v>-177.58827168770182</v>
      </c>
      <c r="AE446" t="str">
        <f t="shared" si="393"/>
        <v>34,4450883806789</v>
      </c>
      <c r="AF446" t="str">
        <f t="shared" si="375"/>
        <v>1+646,507590471789i</v>
      </c>
      <c r="AG446">
        <f t="shared" si="394"/>
        <v>646.50836385745106</v>
      </c>
      <c r="AH446">
        <f t="shared" si="395"/>
        <v>1.5692495557789989</v>
      </c>
      <c r="AI446" t="str">
        <f t="shared" si="376"/>
        <v>1+35,9170883595438i</v>
      </c>
      <c r="AJ446">
        <f t="shared" si="396"/>
        <v>35.931006613053249</v>
      </c>
      <c r="AK446">
        <f t="shared" si="397"/>
        <v>1.5429616170425484</v>
      </c>
      <c r="AL446" t="str">
        <f t="shared" si="377"/>
        <v>1-2,44384832020388i</v>
      </c>
      <c r="AM446">
        <f t="shared" si="398"/>
        <v>2.6405292295604923</v>
      </c>
      <c r="AN446">
        <f t="shared" si="399"/>
        <v>-1.1823921287059973</v>
      </c>
      <c r="AO446" s="58" t="str">
        <f t="shared" si="400"/>
        <v>1,79072268411169-4,7270961654826i</v>
      </c>
      <c r="AP446">
        <f t="shared" si="401"/>
        <v>14.074270384630127</v>
      </c>
      <c r="AQ446" s="60">
        <f t="shared" si="402"/>
        <v>-69.252266646039956</v>
      </c>
      <c r="AR446" t="str">
        <f t="shared" si="378"/>
        <v>-1,36472945891784</v>
      </c>
      <c r="AS446" t="str">
        <f t="shared" si="379"/>
        <v>1+26,9054908901343i</v>
      </c>
      <c r="AT446">
        <f t="shared" si="403"/>
        <v>26.924068044021503</v>
      </c>
      <c r="AU446">
        <f t="shared" si="404"/>
        <v>1.5336462922514118</v>
      </c>
      <c r="AV446" t="str">
        <f t="shared" si="380"/>
        <v>1+26,9054908901343i</v>
      </c>
      <c r="AW446">
        <f t="shared" si="405"/>
        <v>26.924068044021503</v>
      </c>
      <c r="AX446">
        <f t="shared" si="406"/>
        <v>1.5336462922514118</v>
      </c>
      <c r="AY446" t="str">
        <f t="shared" si="381"/>
        <v>1-0,000557507018223564i</v>
      </c>
      <c r="AZ446">
        <f t="shared" si="407"/>
        <v>1.0000001554070257</v>
      </c>
      <c r="BA446">
        <f t="shared" si="408"/>
        <v>-5.5750696046323199E-4</v>
      </c>
      <c r="BB446" s="58" t="str">
        <f t="shared" si="409"/>
        <v>-0,00185439154238043+0,050654161001582i</v>
      </c>
      <c r="BC446">
        <f t="shared" si="410"/>
        <v>-25.901880913555399</v>
      </c>
      <c r="BD446" s="60">
        <f t="shared" si="411"/>
        <v>92.096597392223174</v>
      </c>
      <c r="BE446" s="58" t="str">
        <f t="shared" si="412"/>
        <v>0,00090439623540859-0,011470134419458i</v>
      </c>
      <c r="BF446" s="37">
        <f t="shared" si="413"/>
        <v>-38.781713370428925</v>
      </c>
      <c r="BG446" s="60">
        <f t="shared" si="414"/>
        <v>-85.491674295478632</v>
      </c>
      <c r="BH446" s="58" t="str">
        <f t="shared" si="415"/>
        <v>0,236126389236151+0,0994734422994685i</v>
      </c>
      <c r="BI446" s="37">
        <f t="shared" si="416"/>
        <v>-11.827610528925272</v>
      </c>
      <c r="BJ446" s="60">
        <f t="shared" si="417"/>
        <v>22.844330746183214</v>
      </c>
      <c r="BK446">
        <f t="shared" si="418"/>
        <v>-38.781713370428925</v>
      </c>
      <c r="BL446" s="60">
        <f t="shared" si="419"/>
        <v>-85.491674295478632</v>
      </c>
      <c r="BN446">
        <f t="shared" si="420"/>
        <v>0</v>
      </c>
      <c r="BO446">
        <f t="shared" si="421"/>
        <v>0</v>
      </c>
    </row>
    <row r="447" spans="13:67" x14ac:dyDescent="0.25">
      <c r="M447" s="66">
        <v>29</v>
      </c>
      <c r="N447" s="36">
        <f t="shared" si="422"/>
        <v>194984.45997580473</v>
      </c>
      <c r="O447" s="91" t="str">
        <f t="shared" si="370"/>
        <v>22,5</v>
      </c>
      <c r="P447" s="67" t="str">
        <f t="shared" si="371"/>
        <v>1+1323,13337357219i</v>
      </c>
      <c r="Q447" s="67">
        <f t="shared" si="382"/>
        <v>1323.1337514629897</v>
      </c>
      <c r="R447" s="67">
        <f t="shared" si="383"/>
        <v>1.5700405452315473</v>
      </c>
      <c r="S447" s="67" t="str">
        <f t="shared" si="372"/>
        <v>1+36,7537048214496i</v>
      </c>
      <c r="T447" s="67">
        <f t="shared" si="384"/>
        <v>36.767306375396174</v>
      </c>
      <c r="U447" s="67">
        <f t="shared" si="385"/>
        <v>1.5435948962611472</v>
      </c>
      <c r="V447" t="str">
        <f t="shared" si="373"/>
        <v>1-7,657021837802i</v>
      </c>
      <c r="W447" s="67">
        <f t="shared" si="386"/>
        <v>7.7220452876538292</v>
      </c>
      <c r="X447" s="67">
        <f t="shared" si="387"/>
        <v>-1.4409322450928459</v>
      </c>
      <c r="Y447" t="str">
        <f t="shared" si="374"/>
        <v>-1,43321213645158+21,2354738968375i</v>
      </c>
      <c r="Z447" s="67">
        <f t="shared" si="388"/>
        <v>21.283783701478903</v>
      </c>
      <c r="AA447" s="67">
        <f t="shared" si="389"/>
        <v>1.6381855423347671</v>
      </c>
      <c r="AB447" s="92" t="str">
        <f t="shared" si="390"/>
        <v>-0,226695109417335-0,00817118332278558i</v>
      </c>
      <c r="AC447" s="37">
        <f t="shared" si="391"/>
        <v>-12.885518163262065</v>
      </c>
      <c r="AD447" s="60">
        <f t="shared" si="392"/>
        <v>-177.93567791575083</v>
      </c>
      <c r="AE447" t="str">
        <f t="shared" si="393"/>
        <v>34,4450883806789</v>
      </c>
      <c r="AF447" t="str">
        <f t="shared" si="375"/>
        <v>1+661,566686786093i</v>
      </c>
      <c r="AG447">
        <f t="shared" si="394"/>
        <v>661.56744256736852</v>
      </c>
      <c r="AH447">
        <f t="shared" si="395"/>
        <v>1.5692847645316106</v>
      </c>
      <c r="AI447" t="str">
        <f t="shared" si="376"/>
        <v>1+36,7537048214496i</v>
      </c>
      <c r="AJ447">
        <f t="shared" si="396"/>
        <v>36.767306375396174</v>
      </c>
      <c r="AK447">
        <f t="shared" si="397"/>
        <v>1.5435948962611472</v>
      </c>
      <c r="AL447" t="str">
        <f t="shared" si="377"/>
        <v>1-2,5007728602617i</v>
      </c>
      <c r="AM447">
        <f t="shared" si="398"/>
        <v>2.6933000016005426</v>
      </c>
      <c r="AN447">
        <f t="shared" si="399"/>
        <v>-1.19039652269545</v>
      </c>
      <c r="AO447" s="58" t="str">
        <f t="shared" si="400"/>
        <v>1,79071916788341-4,83487816047671i</v>
      </c>
      <c r="AP447">
        <f t="shared" si="401"/>
        <v>14.245994489092791</v>
      </c>
      <c r="AQ447" s="60">
        <f t="shared" si="402"/>
        <v>-69.67661772564297</v>
      </c>
      <c r="AR447" t="str">
        <f t="shared" si="378"/>
        <v>-1,36472945891784</v>
      </c>
      <c r="AS447" t="str">
        <f t="shared" si="379"/>
        <v>1+27,5322002817479i</v>
      </c>
      <c r="AT447">
        <f t="shared" si="403"/>
        <v>27.550354849879504</v>
      </c>
      <c r="AU447">
        <f t="shared" si="404"/>
        <v>1.53449117876573</v>
      </c>
      <c r="AV447" t="str">
        <f t="shared" si="380"/>
        <v>1+27,5322002817479i</v>
      </c>
      <c r="AW447">
        <f t="shared" si="405"/>
        <v>27.550354849879504</v>
      </c>
      <c r="AX447">
        <f t="shared" si="406"/>
        <v>1.53449117876573</v>
      </c>
      <c r="AY447" t="str">
        <f t="shared" si="381"/>
        <v>1-0,000544816609152159i</v>
      </c>
      <c r="AZ447">
        <f t="shared" si="407"/>
        <v>1.0000001484125578</v>
      </c>
      <c r="BA447">
        <f t="shared" si="408"/>
        <v>-5.4481655524708024E-4</v>
      </c>
      <c r="BB447" s="58" t="str">
        <f t="shared" si="409"/>
        <v>-0,00177104013363584+0,0495041589424932i</v>
      </c>
      <c r="BC447">
        <f t="shared" si="410"/>
        <v>-26.101611324264869</v>
      </c>
      <c r="BD447" s="60">
        <f t="shared" si="411"/>
        <v>92.048916067444424</v>
      </c>
      <c r="BE447" s="58" t="str">
        <f t="shared" si="412"/>
        <v>0,000805993694836495-0,0112078792344777i</v>
      </c>
      <c r="BF447" s="37">
        <f t="shared" si="413"/>
        <v>-38.987129487526929</v>
      </c>
      <c r="BG447" s="60">
        <f t="shared" si="414"/>
        <v>-85.886761848306421</v>
      </c>
      <c r="BH447" s="58" t="str">
        <f t="shared" si="415"/>
        <v>0,236175141409436+0,0972108095717132i</v>
      </c>
      <c r="BI447" s="37">
        <f t="shared" si="416"/>
        <v>-11.85561683517207</v>
      </c>
      <c r="BJ447" s="60">
        <f t="shared" si="417"/>
        <v>22.37229834180145</v>
      </c>
      <c r="BK447">
        <f t="shared" si="418"/>
        <v>-38.987129487526929</v>
      </c>
      <c r="BL447" s="60">
        <f t="shared" si="419"/>
        <v>-85.886761848306421</v>
      </c>
      <c r="BN447">
        <f t="shared" si="420"/>
        <v>0</v>
      </c>
      <c r="BO447">
        <f t="shared" si="421"/>
        <v>0</v>
      </c>
    </row>
    <row r="448" spans="13:67" x14ac:dyDescent="0.25">
      <c r="M448" s="66">
        <v>30</v>
      </c>
      <c r="N448" s="36">
        <f t="shared" si="422"/>
        <v>199526.23149688813</v>
      </c>
      <c r="O448" s="91" t="str">
        <f t="shared" si="370"/>
        <v>22,5</v>
      </c>
      <c r="P448" s="67" t="str">
        <f t="shared" si="371"/>
        <v>1+1353,95310902921i</v>
      </c>
      <c r="Q448" s="67">
        <f t="shared" si="382"/>
        <v>1353.9534783181671</v>
      </c>
      <c r="R448" s="67">
        <f t="shared" si="383"/>
        <v>1.5700577489139502</v>
      </c>
      <c r="S448" s="67" t="str">
        <f t="shared" si="372"/>
        <v>1+37,6098085841448i</v>
      </c>
      <c r="T448" s="67">
        <f t="shared" si="384"/>
        <v>37.623100639580628</v>
      </c>
      <c r="U448" s="67">
        <f t="shared" si="385"/>
        <v>1.5442137813730221</v>
      </c>
      <c r="V448" t="str">
        <f t="shared" si="373"/>
        <v>1-7,8353767883635i</v>
      </c>
      <c r="W448" s="67">
        <f t="shared" si="386"/>
        <v>7.8989321693267831</v>
      </c>
      <c r="X448" s="67">
        <f t="shared" si="387"/>
        <v>-1.4438562968704154</v>
      </c>
      <c r="Y448" t="str">
        <f t="shared" si="374"/>
        <v>-1,54788589154238+21,7301116263948i</v>
      </c>
      <c r="Z448" s="67">
        <f t="shared" si="388"/>
        <v>21.785171608890632</v>
      </c>
      <c r="AA448" s="67">
        <f t="shared" si="389"/>
        <v>1.6419085165312766</v>
      </c>
      <c r="AB448" s="92" t="str">
        <f t="shared" si="390"/>
        <v>-0,226592487691784-0,00679615707146519i</v>
      </c>
      <c r="AC448" s="37">
        <f t="shared" si="391"/>
        <v>-12.89118481709856</v>
      </c>
      <c r="AD448" s="60">
        <f t="shared" si="392"/>
        <v>-178.28205064385924</v>
      </c>
      <c r="AE448" t="str">
        <f t="shared" si="393"/>
        <v>34,4450883806789</v>
      </c>
      <c r="AF448" t="str">
        <f t="shared" si="375"/>
        <v>1+676,976554514607i</v>
      </c>
      <c r="AG448">
        <f t="shared" si="394"/>
        <v>676.97729309221938</v>
      </c>
      <c r="AH448">
        <f t="shared" si="395"/>
        <v>1.5693191718387873</v>
      </c>
      <c r="AI448" t="str">
        <f t="shared" si="376"/>
        <v>1+37,6098085841448i</v>
      </c>
      <c r="AJ448">
        <f t="shared" si="396"/>
        <v>37.623100639580628</v>
      </c>
      <c r="AK448">
        <f t="shared" si="397"/>
        <v>1.5442137813730221</v>
      </c>
      <c r="AL448" t="str">
        <f t="shared" si="377"/>
        <v>1-2,5590233431917i</v>
      </c>
      <c r="AM448">
        <f t="shared" si="398"/>
        <v>2.747471650627177</v>
      </c>
      <c r="AN448">
        <f t="shared" si="399"/>
        <v>-1.1982685404412636</v>
      </c>
      <c r="AO448" s="58" t="str">
        <f t="shared" si="400"/>
        <v>1,79071580991076-4,94522367139017i</v>
      </c>
      <c r="AP448">
        <f t="shared" si="401"/>
        <v>14.418820112494704</v>
      </c>
      <c r="AQ448" s="60">
        <f t="shared" si="402"/>
        <v>-70.094163007301859</v>
      </c>
      <c r="AR448" t="str">
        <f t="shared" si="378"/>
        <v>-1,36472945891784</v>
      </c>
      <c r="AS448" t="str">
        <f t="shared" si="379"/>
        <v>1+28,1735076103829i</v>
      </c>
      <c r="AT448">
        <f t="shared" si="403"/>
        <v>28.191249193185872</v>
      </c>
      <c r="AU448">
        <f t="shared" si="404"/>
        <v>1.535316883424211</v>
      </c>
      <c r="AV448" t="str">
        <f t="shared" si="380"/>
        <v>1+28,1735076103829i</v>
      </c>
      <c r="AW448">
        <f t="shared" si="405"/>
        <v>28.191249193185872</v>
      </c>
      <c r="AX448">
        <f t="shared" si="406"/>
        <v>1.535316883424211</v>
      </c>
      <c r="AY448" t="str">
        <f t="shared" si="381"/>
        <v>1-0,000532415069058423i</v>
      </c>
      <c r="AZ448">
        <f t="shared" si="407"/>
        <v>1.0000001417328928</v>
      </c>
      <c r="BA448">
        <f t="shared" si="408"/>
        <v>-5.3241501875127598E-4</v>
      </c>
      <c r="BB448" s="58" t="str">
        <f t="shared" si="409"/>
        <v>-0,00169143049321693+0,0483801324021968i</v>
      </c>
      <c r="BC448">
        <f t="shared" si="410"/>
        <v>-26.301353852861244</v>
      </c>
      <c r="BD448" s="60">
        <f t="shared" si="411"/>
        <v>92.002317231089847</v>
      </c>
      <c r="BE448" s="58" t="str">
        <f t="shared" si="412"/>
        <v>0,000712064422159377-0,0109510793285643i</v>
      </c>
      <c r="BF448" s="37">
        <f t="shared" si="413"/>
        <v>-39.192538669959795</v>
      </c>
      <c r="BG448" s="60">
        <f t="shared" si="414"/>
        <v>-86.279733412769389</v>
      </c>
      <c r="BH448" s="58" t="str">
        <f t="shared" si="415"/>
        <v>0,236221704654765+0,0949995700917572i</v>
      </c>
      <c r="BI448" s="37">
        <f t="shared" si="416"/>
        <v>-11.882533740366554</v>
      </c>
      <c r="BJ448" s="60">
        <f t="shared" si="417"/>
        <v>21.908154223788053</v>
      </c>
      <c r="BK448">
        <f t="shared" si="418"/>
        <v>-39.192538669959795</v>
      </c>
      <c r="BL448" s="60">
        <f t="shared" si="419"/>
        <v>-86.279733412769389</v>
      </c>
      <c r="BN448">
        <f t="shared" si="420"/>
        <v>0</v>
      </c>
      <c r="BO448">
        <f t="shared" si="421"/>
        <v>0</v>
      </c>
    </row>
    <row r="449" spans="13:67" x14ac:dyDescent="0.25">
      <c r="M449" s="66">
        <v>31</v>
      </c>
      <c r="N449" s="36">
        <f t="shared" si="422"/>
        <v>204173.79446695308</v>
      </c>
      <c r="O449" s="91" t="str">
        <f t="shared" si="370"/>
        <v>22,5</v>
      </c>
      <c r="P449" s="67" t="str">
        <f t="shared" si="371"/>
        <v>1+1385,49072834633i</v>
      </c>
      <c r="Q449" s="67">
        <f t="shared" si="382"/>
        <v>1385.4910892292462</v>
      </c>
      <c r="R449" s="67">
        <f t="shared" si="383"/>
        <v>1.5700745609931543</v>
      </c>
      <c r="S449" s="67" t="str">
        <f t="shared" si="372"/>
        <v>1+38,4858535651758i</v>
      </c>
      <c r="T449" s="67">
        <f t="shared" si="384"/>
        <v>38.498843159764618</v>
      </c>
      <c r="U449" s="67">
        <f t="shared" si="385"/>
        <v>1.5448185986218088</v>
      </c>
      <c r="V449" t="str">
        <f t="shared" si="373"/>
        <v>1-8,01788615941163i</v>
      </c>
      <c r="W449" s="67">
        <f t="shared" si="386"/>
        <v>8.0800060931464994</v>
      </c>
      <c r="X449" s="67">
        <f t="shared" si="387"/>
        <v>-1.4467158994994147</v>
      </c>
      <c r="Y449" t="str">
        <f t="shared" si="374"/>
        <v>-1,66796405421013+22,2362709487682i</v>
      </c>
      <c r="Z449" s="67">
        <f t="shared" si="388"/>
        <v>22.298740991212259</v>
      </c>
      <c r="AA449" s="67">
        <f t="shared" si="389"/>
        <v>1.6456670742435393</v>
      </c>
      <c r="AB449" s="92" t="str">
        <f t="shared" si="390"/>
        <v>-0,226481743319315-0,0054261175328183i</v>
      </c>
      <c r="AC449" s="37">
        <f t="shared" si="391"/>
        <v>-12.896843878145097</v>
      </c>
      <c r="AD449" s="60">
        <f t="shared" si="392"/>
        <v>-178.62755308500545</v>
      </c>
      <c r="AE449" t="str">
        <f t="shared" si="393"/>
        <v>34,4450883806789</v>
      </c>
      <c r="AF449" t="str">
        <f t="shared" si="375"/>
        <v>1+692,745364173165i</v>
      </c>
      <c r="AG449">
        <f t="shared" si="394"/>
        <v>692.74608593871596</v>
      </c>
      <c r="AH449">
        <f t="shared" si="395"/>
        <v>1.569352795943413</v>
      </c>
      <c r="AI449" t="str">
        <f t="shared" si="376"/>
        <v>1+38,4858535651758i</v>
      </c>
      <c r="AJ449">
        <f t="shared" si="396"/>
        <v>38.498843159764618</v>
      </c>
      <c r="AK449">
        <f t="shared" si="397"/>
        <v>1.5448185986218088</v>
      </c>
      <c r="AL449" t="str">
        <f t="shared" si="377"/>
        <v>1-2,61863065417093i</v>
      </c>
      <c r="AM449">
        <f t="shared" si="398"/>
        <v>2.8030744733174098</v>
      </c>
      <c r="AN449">
        <f t="shared" si="399"/>
        <v>-1.2060084522119601</v>
      </c>
      <c r="AO449" s="58" t="str">
        <f t="shared" si="400"/>
        <v>1,79071260307111-5,05819120490534i</v>
      </c>
      <c r="AP449">
        <f t="shared" si="401"/>
        <v>14.592710778248733</v>
      </c>
      <c r="AQ449" s="60">
        <f t="shared" si="402"/>
        <v>-70.504900329119323</v>
      </c>
      <c r="AR449" t="str">
        <f t="shared" si="378"/>
        <v>-1,36472945891784</v>
      </c>
      <c r="AS449" t="str">
        <f t="shared" si="379"/>
        <v>1+28,8297529056732i</v>
      </c>
      <c r="AT449">
        <f t="shared" si="403"/>
        <v>28.847090886295142</v>
      </c>
      <c r="AU449">
        <f t="shared" si="404"/>
        <v>1.5361238395201768</v>
      </c>
      <c r="AV449" t="str">
        <f t="shared" si="380"/>
        <v>1+28,8297529056732i</v>
      </c>
      <c r="AW449">
        <f t="shared" si="405"/>
        <v>28.847090886295142</v>
      </c>
      <c r="AX449">
        <f t="shared" si="406"/>
        <v>1.5361238395201768</v>
      </c>
      <c r="AY449" t="str">
        <f t="shared" si="381"/>
        <v>1-0,000520295822481651i</v>
      </c>
      <c r="AZ449">
        <f t="shared" si="407"/>
        <v>1.0000001353538623</v>
      </c>
      <c r="BA449">
        <f t="shared" si="408"/>
        <v>-5.2029577553228937E-4</v>
      </c>
      <c r="BB449" s="58" t="str">
        <f t="shared" si="409"/>
        <v>-0,00161539506248092+0,047281503532662i</v>
      </c>
      <c r="BC449">
        <f t="shared" si="410"/>
        <v>-26.501107955323235</v>
      </c>
      <c r="BD449" s="60">
        <f t="shared" si="411"/>
        <v>91.956776434026011</v>
      </c>
      <c r="BE449" s="58" t="str">
        <f t="shared" si="412"/>
        <v>0,00062241248519668-0,0106996320233647i</v>
      </c>
      <c r="BF449" s="37">
        <f t="shared" si="413"/>
        <v>-39.397951833468319</v>
      </c>
      <c r="BG449" s="60">
        <f t="shared" si="414"/>
        <v>-86.670776650979434</v>
      </c>
      <c r="BH449" s="58" t="str">
        <f t="shared" si="415"/>
        <v>0,236266177026288+0,0928385613655776i</v>
      </c>
      <c r="BI449" s="37">
        <f t="shared" si="416"/>
        <v>-11.908397177074505</v>
      </c>
      <c r="BJ449" s="60">
        <f t="shared" si="417"/>
        <v>21.451876104906724</v>
      </c>
      <c r="BK449">
        <f t="shared" si="418"/>
        <v>-39.397951833468319</v>
      </c>
      <c r="BL449" s="60">
        <f t="shared" si="419"/>
        <v>-86.670776650979434</v>
      </c>
      <c r="BN449">
        <f t="shared" si="420"/>
        <v>0</v>
      </c>
      <c r="BO449">
        <f t="shared" si="421"/>
        <v>0</v>
      </c>
    </row>
    <row r="450" spans="13:67" x14ac:dyDescent="0.25">
      <c r="M450" s="66">
        <v>32</v>
      </c>
      <c r="N450" s="36">
        <f t="shared" si="422"/>
        <v>208929.61308540447</v>
      </c>
      <c r="O450" s="91" t="str">
        <f t="shared" si="370"/>
        <v>22,5</v>
      </c>
      <c r="P450" s="67" t="str">
        <f t="shared" si="371"/>
        <v>1+1417,76295318676i</v>
      </c>
      <c r="Q450" s="67">
        <f t="shared" si="382"/>
        <v>1417.7633058549804</v>
      </c>
      <c r="R450" s="67">
        <f t="shared" si="383"/>
        <v>1.5700909903831086</v>
      </c>
      <c r="S450" s="67" t="str">
        <f t="shared" si="372"/>
        <v>1+39,3823042551879i</v>
      </c>
      <c r="T450" s="67">
        <f t="shared" si="384"/>
        <v>39.394998266889047</v>
      </c>
      <c r="U450" s="67">
        <f t="shared" si="385"/>
        <v>1.5454096669186486</v>
      </c>
      <c r="V450" t="str">
        <f t="shared" si="373"/>
        <v>1-8,20464671983081i</v>
      </c>
      <c r="W450" s="67">
        <f t="shared" si="386"/>
        <v>8.2653631376504251</v>
      </c>
      <c r="X450" s="67">
        <f t="shared" si="387"/>
        <v>-1.4495123820079419</v>
      </c>
      <c r="Y450" t="str">
        <f t="shared" si="374"/>
        <v>-1,79370132633708+22,7542202363308i</v>
      </c>
      <c r="Z450" s="67">
        <f t="shared" si="388"/>
        <v>22.824808937021782</v>
      </c>
      <c r="AA450" s="67">
        <f t="shared" si="389"/>
        <v>1.6494630401459836</v>
      </c>
      <c r="AB450" s="92" t="str">
        <f t="shared" si="390"/>
        <v>-0,226362666309551-0,00406045537225502i</v>
      </c>
      <c r="AC450" s="37">
        <f t="shared" si="391"/>
        <v>-12.902506797320632</v>
      </c>
      <c r="AD450" s="60">
        <f t="shared" si="392"/>
        <v>-178.97234817150331</v>
      </c>
      <c r="AE450" t="str">
        <f t="shared" si="393"/>
        <v>34,4450883806789</v>
      </c>
      <c r="AF450" t="str">
        <f t="shared" si="375"/>
        <v>1+708,881476593383i</v>
      </c>
      <c r="AG450">
        <f t="shared" si="394"/>
        <v>708.88218192956083</v>
      </c>
      <c r="AH450">
        <f t="shared" si="395"/>
        <v>1.5693856546731286</v>
      </c>
      <c r="AI450" t="str">
        <f t="shared" si="376"/>
        <v>1+39,3823042551879i</v>
      </c>
      <c r="AJ450">
        <f t="shared" si="396"/>
        <v>39.394998266889047</v>
      </c>
      <c r="AK450">
        <f t="shared" si="397"/>
        <v>1.5454096669186486</v>
      </c>
      <c r="AL450" t="str">
        <f t="shared" si="377"/>
        <v>1-2,67962639778469i</v>
      </c>
      <c r="AM450">
        <f t="shared" si="398"/>
        <v>2.860139442702847</v>
      </c>
      <c r="AN450">
        <f t="shared" si="399"/>
        <v>-1.2136166514401736</v>
      </c>
      <c r="AO450" s="58" t="str">
        <f t="shared" si="400"/>
        <v>1,79070954056246-5,17384065793365i</v>
      </c>
      <c r="AP450">
        <f t="shared" si="401"/>
        <v>14.767630719679055</v>
      </c>
      <c r="AQ450" s="60">
        <f t="shared" si="402"/>
        <v>-70.908834982310466</v>
      </c>
      <c r="AR450" t="str">
        <f t="shared" si="378"/>
        <v>-1,36472945891784</v>
      </c>
      <c r="AS450" t="str">
        <f t="shared" si="379"/>
        <v>1+29,5012841175613i</v>
      </c>
      <c r="AT450">
        <f t="shared" si="403"/>
        <v>29.518227666732884</v>
      </c>
      <c r="AU450">
        <f t="shared" si="404"/>
        <v>1.5369124707062523</v>
      </c>
      <c r="AV450" t="str">
        <f t="shared" si="380"/>
        <v>1+29,5012841175613i</v>
      </c>
      <c r="AW450">
        <f t="shared" si="405"/>
        <v>29.518227666732884</v>
      </c>
      <c r="AX450">
        <f t="shared" si="406"/>
        <v>1.5369124707062523</v>
      </c>
      <c r="AY450" t="str">
        <f t="shared" si="381"/>
        <v>1-0,000508452443636884i</v>
      </c>
      <c r="AZ450">
        <f t="shared" si="407"/>
        <v>1.0000001292619354</v>
      </c>
      <c r="BA450">
        <f t="shared" si="408"/>
        <v>-5.0845239982118999E-4</v>
      </c>
      <c r="BB450" s="58" t="str">
        <f t="shared" si="409"/>
        <v>-0,00154277374969419+0,0462077067471337i</v>
      </c>
      <c r="BC450">
        <f t="shared" si="410"/>
        <v>-26.700873111994163</v>
      </c>
      <c r="BD450" s="60">
        <f t="shared" si="411"/>
        <v>91.912269770914932</v>
      </c>
      <c r="BE450" s="58" t="str">
        <f t="shared" si="412"/>
        <v>0,000536850710594144-0,0104534353393709i</v>
      </c>
      <c r="BF450" s="37">
        <f t="shared" si="413"/>
        <v>-39.603379909314789</v>
      </c>
      <c r="BG450" s="60">
        <f t="shared" si="414"/>
        <v>-87.060078400588381</v>
      </c>
      <c r="BH450" s="58" t="str">
        <f t="shared" si="415"/>
        <v>0,236308652205689+0,0907266468717652i</v>
      </c>
      <c r="BI450" s="37">
        <f t="shared" si="416"/>
        <v>-11.933242392315094</v>
      </c>
      <c r="BJ450" s="60">
        <f t="shared" si="417"/>
        <v>21.00343478860443</v>
      </c>
      <c r="BK450">
        <f t="shared" si="418"/>
        <v>-39.603379909314789</v>
      </c>
      <c r="BL450" s="60">
        <f t="shared" si="419"/>
        <v>-87.060078400588381</v>
      </c>
      <c r="BN450">
        <f t="shared" si="420"/>
        <v>0</v>
      </c>
      <c r="BO450">
        <f t="shared" si="421"/>
        <v>0</v>
      </c>
    </row>
    <row r="451" spans="13:67" x14ac:dyDescent="0.25">
      <c r="M451" s="66">
        <v>33</v>
      </c>
      <c r="N451" s="36">
        <f t="shared" si="422"/>
        <v>213796.20895022334</v>
      </c>
      <c r="O451" s="91" t="str">
        <f t="shared" si="370"/>
        <v>22,5</v>
      </c>
      <c r="P451" s="67" t="str">
        <f t="shared" si="371"/>
        <v>1+1450,78689471128i</v>
      </c>
      <c r="Q451" s="67">
        <f t="shared" si="382"/>
        <v>1450.7872393517935</v>
      </c>
      <c r="R451" s="67">
        <f t="shared" si="383"/>
        <v>1.5701070457948574</v>
      </c>
      <c r="S451" s="67" t="str">
        <f t="shared" si="372"/>
        <v>1+40,2996359642022i</v>
      </c>
      <c r="T451" s="67">
        <f t="shared" si="384"/>
        <v>40.312041114873104</v>
      </c>
      <c r="U451" s="67">
        <f t="shared" si="385"/>
        <v>1.5459872980028564</v>
      </c>
      <c r="V451" t="str">
        <f t="shared" si="373"/>
        <v>1-8,39575749254213i</v>
      </c>
      <c r="W451" s="67">
        <f t="shared" si="386"/>
        <v>8.4551016477377328</v>
      </c>
      <c r="X451" s="67">
        <f t="shared" si="387"/>
        <v>-1.4522470520793926</v>
      </c>
      <c r="Y451" t="str">
        <f t="shared" si="374"/>
        <v>-1,92536441353521+23,2842341126502i</v>
      </c>
      <c r="Z451" s="67">
        <f t="shared" si="388"/>
        <v>23.363702325136977</v>
      </c>
      <c r="AA451" s="67">
        <f t="shared" si="389"/>
        <v>1.6532982483404255</v>
      </c>
      <c r="AB451" s="92" t="str">
        <f t="shared" si="390"/>
        <v>-0,226235031499705-0,00269857015280184i</v>
      </c>
      <c r="AC451" s="37">
        <f t="shared" si="391"/>
        <v>-12.908185036531153</v>
      </c>
      <c r="AD451" s="60">
        <f t="shared" si="392"/>
        <v>-179.31659855214451</v>
      </c>
      <c r="AE451" t="str">
        <f t="shared" si="393"/>
        <v>34,4450883806789</v>
      </c>
      <c r="AF451" t="str">
        <f t="shared" si="375"/>
        <v>1+725,39344735564i</v>
      </c>
      <c r="AG451">
        <f t="shared" si="394"/>
        <v>725.39413663642165</v>
      </c>
      <c r="AH451">
        <f t="shared" si="395"/>
        <v>1.5694177654497836</v>
      </c>
      <c r="AI451" t="str">
        <f t="shared" si="376"/>
        <v>1+40,2996359642022i</v>
      </c>
      <c r="AJ451">
        <f t="shared" si="396"/>
        <v>40.312041114873104</v>
      </c>
      <c r="AK451">
        <f t="shared" si="397"/>
        <v>1.5459872980028564</v>
      </c>
      <c r="AL451" t="str">
        <f t="shared" si="377"/>
        <v>1-2,74204291478359i</v>
      </c>
      <c r="AM451">
        <f t="shared" si="398"/>
        <v>2.918698228065876</v>
      </c>
      <c r="AN451">
        <f t="shared" si="399"/>
        <v>-1.221093647903708</v>
      </c>
      <c r="AO451" s="58" t="str">
        <f t="shared" si="400"/>
        <v>1,79070661588886-5,29223334937368i</v>
      </c>
      <c r="AP451">
        <f t="shared" si="401"/>
        <v>14.943544906223797</v>
      </c>
      <c r="AQ451" s="60">
        <f t="shared" si="402"/>
        <v>-71.305979311843785</v>
      </c>
      <c r="AR451" t="str">
        <f t="shared" si="378"/>
        <v>-1,36472945891784</v>
      </c>
      <c r="AS451" t="str">
        <f t="shared" si="379"/>
        <v>1+30,1884573007839i</v>
      </c>
      <c r="AT451">
        <f t="shared" si="403"/>
        <v>30.20501538157616</v>
      </c>
      <c r="AU451">
        <f t="shared" si="404"/>
        <v>1.5376831911990434</v>
      </c>
      <c r="AV451" t="str">
        <f t="shared" si="380"/>
        <v>1+30,1884573007839i</v>
      </c>
      <c r="AW451">
        <f t="shared" si="405"/>
        <v>30.20501538157616</v>
      </c>
      <c r="AX451">
        <f t="shared" si="406"/>
        <v>1.5376831911990434</v>
      </c>
      <c r="AY451" t="str">
        <f t="shared" si="381"/>
        <v>1-0,0004968786530079i</v>
      </c>
      <c r="AZ451">
        <f t="shared" si="407"/>
        <v>1.0000001234441902</v>
      </c>
      <c r="BA451">
        <f t="shared" si="408"/>
        <v>-4.9687861211671492E-4</v>
      </c>
      <c r="BB451" s="58" t="str">
        <f t="shared" si="409"/>
        <v>-0,00147341360049298+0,045158188500144i</v>
      </c>
      <c r="BC451">
        <f t="shared" si="410"/>
        <v>-26.900648826495349</v>
      </c>
      <c r="BD451" s="60">
        <f t="shared" si="411"/>
        <v>91.868773868682197</v>
      </c>
      <c r="BE451" s="58" t="str">
        <f t="shared" si="412"/>
        <v>0,000455200311960711-0,0102123880878347i</v>
      </c>
      <c r="BF451" s="37">
        <f t="shared" si="413"/>
        <v>-39.808833863026472</v>
      </c>
      <c r="BG451" s="60">
        <f t="shared" si="414"/>
        <v>-87.447824683462343</v>
      </c>
      <c r="BH451" s="58" t="str">
        <f t="shared" si="415"/>
        <v>0,236349219695422+0,0886627155027138i</v>
      </c>
      <c r="BI451" s="37">
        <f t="shared" si="416"/>
        <v>-11.957103920271541</v>
      </c>
      <c r="BJ451" s="60">
        <f t="shared" si="417"/>
        <v>20.562794556838387</v>
      </c>
      <c r="BK451">
        <f t="shared" si="418"/>
        <v>-39.808833863026472</v>
      </c>
      <c r="BL451" s="60">
        <f t="shared" si="419"/>
        <v>-87.447824683462343</v>
      </c>
      <c r="BN451">
        <f t="shared" si="420"/>
        <v>0</v>
      </c>
      <c r="BO451">
        <f t="shared" si="421"/>
        <v>0</v>
      </c>
    </row>
    <row r="452" spans="13:67" x14ac:dyDescent="0.25">
      <c r="M452" s="66">
        <v>34</v>
      </c>
      <c r="N452" s="36">
        <f t="shared" si="422"/>
        <v>218776.16239495538</v>
      </c>
      <c r="O452" s="91" t="str">
        <f t="shared" si="370"/>
        <v>22,5</v>
      </c>
      <c r="P452" s="67" t="str">
        <f t="shared" si="371"/>
        <v>1+1484,58006265081i</v>
      </c>
      <c r="Q452" s="67">
        <f t="shared" si="382"/>
        <v>1484.5803994463497</v>
      </c>
      <c r="R452" s="67">
        <f t="shared" si="383"/>
        <v>1.5701227357411593</v>
      </c>
      <c r="S452" s="67" t="str">
        <f t="shared" si="372"/>
        <v>1+41,2383350736336i</v>
      </c>
      <c r="T452" s="67">
        <f t="shared" si="384"/>
        <v>41.25045793255245</v>
      </c>
      <c r="U452" s="67">
        <f t="shared" si="385"/>
        <v>1.5465517965993478</v>
      </c>
      <c r="V452" t="str">
        <f t="shared" si="373"/>
        <v>1-8,591319807007i</v>
      </c>
      <c r="W452" s="67">
        <f t="shared" si="386"/>
        <v>8.6493222871084416</v>
      </c>
      <c r="X452" s="67">
        <f t="shared" si="387"/>
        <v>-1.4549211959760675</v>
      </c>
      <c r="Y452" t="str">
        <f t="shared" si="374"/>
        <v>-2,06323259086489+23,8265935980994i</v>
      </c>
      <c r="Z452" s="67">
        <f t="shared" si="388"/>
        <v>23.915758219487802</v>
      </c>
      <c r="AA452" s="67">
        <f t="shared" si="389"/>
        <v>1.6571745425392259</v>
      </c>
      <c r="AB452" s="92" t="str">
        <f t="shared" si="390"/>
        <v>-0,226098598292397-0,00133987053609509i</v>
      </c>
      <c r="AC452" s="37">
        <f t="shared" si="391"/>
        <v>-12.913890088543331</v>
      </c>
      <c r="AD452" s="60">
        <f t="shared" si="392"/>
        <v>-179.66046658956085</v>
      </c>
      <c r="AE452" t="str">
        <f t="shared" si="393"/>
        <v>34,4450883806789</v>
      </c>
      <c r="AF452" t="str">
        <f t="shared" si="375"/>
        <v>1+742,290031325405i</v>
      </c>
      <c r="AG452">
        <f t="shared" si="394"/>
        <v>742.29070491625498</v>
      </c>
      <c r="AH452">
        <f t="shared" si="395"/>
        <v>1.5694491452986716</v>
      </c>
      <c r="AI452" t="str">
        <f t="shared" si="376"/>
        <v>1+41,2383350736336i</v>
      </c>
      <c r="AJ452">
        <f t="shared" si="396"/>
        <v>41.25045793255245</v>
      </c>
      <c r="AK452">
        <f t="shared" si="397"/>
        <v>1.5465517965993478</v>
      </c>
      <c r="AL452" t="str">
        <f t="shared" si="377"/>
        <v>1-2,80591329923114i</v>
      </c>
      <c r="AM452">
        <f t="shared" si="398"/>
        <v>2.9787832151404001</v>
      </c>
      <c r="AN452">
        <f t="shared" si="399"/>
        <v>-1.2284400609788551</v>
      </c>
      <c r="AO452" s="58" t="str">
        <f t="shared" si="400"/>
        <v>1,79070382284676-5,41343205262352i</v>
      </c>
      <c r="AP452">
        <f t="shared" si="401"/>
        <v>15.120419065748738</v>
      </c>
      <c r="AQ452" s="60">
        <f t="shared" si="402"/>
        <v>-71.696352321392524</v>
      </c>
      <c r="AR452" t="str">
        <f t="shared" si="378"/>
        <v>-1,36472945891784</v>
      </c>
      <c r="AS452" t="str">
        <f t="shared" si="379"/>
        <v>1+30,891636803659i</v>
      </c>
      <c r="AT452">
        <f t="shared" si="403"/>
        <v>30.907818176137557</v>
      </c>
      <c r="AU452">
        <f t="shared" si="404"/>
        <v>1.5384364059801385</v>
      </c>
      <c r="AV452" t="str">
        <f t="shared" si="380"/>
        <v>1+30,891636803659i</v>
      </c>
      <c r="AW452">
        <f t="shared" si="405"/>
        <v>30.907818176137557</v>
      </c>
      <c r="AX452">
        <f t="shared" si="406"/>
        <v>1.5384364059801385</v>
      </c>
      <c r="AY452" t="str">
        <f t="shared" si="381"/>
        <v>1-0,000485568314017707i</v>
      </c>
      <c r="AZ452">
        <f t="shared" si="407"/>
        <v>1.0000001178882869</v>
      </c>
      <c r="BA452">
        <f t="shared" si="408"/>
        <v>-4.8556827585583234E-4</v>
      </c>
      <c r="BB452" s="58" t="str">
        <f t="shared" si="409"/>
        <v>-0,00140716848260434+0,0441324070686263i</v>
      </c>
      <c r="BC452">
        <f t="shared" si="410"/>
        <v>-27.100434624688784</v>
      </c>
      <c r="BD452" s="60">
        <f t="shared" si="411"/>
        <v>91.826265875191183</v>
      </c>
      <c r="BE452" s="58" t="str">
        <f t="shared" si="412"/>
        <v>0,000377290533396288-0,00997638995389672i</v>
      </c>
      <c r="BF452" s="37">
        <f t="shared" si="413"/>
        <v>-40.014324713232114</v>
      </c>
      <c r="BG452" s="60">
        <f t="shared" si="414"/>
        <v>-87.834200714369672</v>
      </c>
      <c r="BH452" s="58" t="str">
        <f t="shared" si="415"/>
        <v>0,236387965003541+0,0866456810163904i</v>
      </c>
      <c r="BI452" s="37">
        <f t="shared" si="416"/>
        <v>-11.98001555894006</v>
      </c>
      <c r="BJ452" s="60">
        <f t="shared" si="417"/>
        <v>20.129913553798698</v>
      </c>
      <c r="BK452">
        <f t="shared" si="418"/>
        <v>-40.014324713232114</v>
      </c>
      <c r="BL452" s="60">
        <f t="shared" si="419"/>
        <v>-87.834200714369672</v>
      </c>
      <c r="BN452">
        <f t="shared" si="420"/>
        <v>0</v>
      </c>
      <c r="BO452">
        <f t="shared" si="421"/>
        <v>0</v>
      </c>
    </row>
    <row r="453" spans="13:67" x14ac:dyDescent="0.25">
      <c r="M453" s="66">
        <v>35</v>
      </c>
      <c r="N453" s="36">
        <f t="shared" si="422"/>
        <v>223872.11385683404</v>
      </c>
      <c r="O453" s="91" t="str">
        <f t="shared" si="370"/>
        <v>22,5</v>
      </c>
      <c r="P453" s="67" t="str">
        <f t="shared" si="371"/>
        <v>1+1519,1603745903i</v>
      </c>
      <c r="Q453" s="67">
        <f t="shared" si="382"/>
        <v>1519.1607037194387</v>
      </c>
      <c r="R453" s="67">
        <f t="shared" si="383"/>
        <v>1.5701380685410009</v>
      </c>
      <c r="S453" s="67" t="str">
        <f t="shared" si="372"/>
        <v>1+42,198899294175i</v>
      </c>
      <c r="T453" s="67">
        <f t="shared" si="384"/>
        <v>42.210746281485285</v>
      </c>
      <c r="U453" s="67">
        <f t="shared" si="385"/>
        <v>1.5471034605728673</v>
      </c>
      <c r="V453" t="str">
        <f t="shared" si="373"/>
        <v>1-8,79143735295312i</v>
      </c>
      <c r="W453" s="67">
        <f t="shared" si="386"/>
        <v>8.8481280919129652</v>
      </c>
      <c r="X453" s="67">
        <f t="shared" si="387"/>
        <v>-1.4575360784986438</v>
      </c>
      <c r="Y453" t="str">
        <f t="shared" si="374"/>
        <v>-2,20759829521458+24,3815862588567i</v>
      </c>
      <c r="Z453" s="67">
        <f t="shared" si="388"/>
        <v>24.481324284668592</v>
      </c>
      <c r="AA453" s="67">
        <f t="shared" si="389"/>
        <v>1.6610937762074398</v>
      </c>
      <c r="AB453" s="92" t="str">
        <f t="shared" si="390"/>
        <v>-0,225953110381269+0,0000162254860071026i</v>
      </c>
      <c r="AC453" s="37">
        <f t="shared" si="391"/>
        <v>-12.919633496912095</v>
      </c>
      <c r="AD453" s="60">
        <f t="shared" si="392"/>
        <v>179.99588564253179</v>
      </c>
      <c r="AE453" t="str">
        <f t="shared" si="393"/>
        <v>34,4450883806789</v>
      </c>
      <c r="AF453" t="str">
        <f t="shared" si="375"/>
        <v>1+759,580187295151i</v>
      </c>
      <c r="AG453">
        <f t="shared" si="394"/>
        <v>759.58084555321466</v>
      </c>
      <c r="AH453">
        <f t="shared" si="395"/>
        <v>1.5694798108575565</v>
      </c>
      <c r="AI453" t="str">
        <f t="shared" si="376"/>
        <v>1+42,198899294175i</v>
      </c>
      <c r="AJ453">
        <f t="shared" si="396"/>
        <v>42.210746281485285</v>
      </c>
      <c r="AK453">
        <f t="shared" si="397"/>
        <v>1.5471034605728673</v>
      </c>
      <c r="AL453" t="str">
        <f t="shared" si="377"/>
        <v>1-2,87127141605061i</v>
      </c>
      <c r="AM453">
        <f t="shared" si="398"/>
        <v>3.0404275266201095</v>
      </c>
      <c r="AN453">
        <f t="shared" si="399"/>
        <v>-1.2356566129906108</v>
      </c>
      <c r="AO453" s="58" t="str">
        <f t="shared" si="400"/>
        <v>1,79070115551182-5,53750102886412i</v>
      </c>
      <c r="AP453">
        <f t="shared" si="401"/>
        <v>15.298219703165953</v>
      </c>
      <c r="AQ453" s="60">
        <f t="shared" si="402"/>
        <v>-72.079979284011159</v>
      </c>
      <c r="AR453" t="str">
        <f t="shared" si="378"/>
        <v>-1,36472945891784</v>
      </c>
      <c r="AS453" t="str">
        <f t="shared" si="379"/>
        <v>1+31,6111954612665i</v>
      </c>
      <c r="AT453">
        <f t="shared" si="403"/>
        <v>31.627008687044622</v>
      </c>
      <c r="AU453">
        <f t="shared" si="404"/>
        <v>1.5391725109934444</v>
      </c>
      <c r="AV453" t="str">
        <f t="shared" si="380"/>
        <v>1+31,6111954612665i</v>
      </c>
      <c r="AW453">
        <f t="shared" si="405"/>
        <v>31.627008687044622</v>
      </c>
      <c r="AX453">
        <f t="shared" si="406"/>
        <v>1.5391725109934444</v>
      </c>
      <c r="AY453" t="str">
        <f t="shared" si="381"/>
        <v>1-0,000474515429774861i</v>
      </c>
      <c r="AZ453">
        <f t="shared" si="407"/>
        <v>1.0000001125824403</v>
      </c>
      <c r="BA453">
        <f t="shared" si="408"/>
        <v>-4.7451539416012712E-4</v>
      </c>
      <c r="BB453" s="58" t="str">
        <f t="shared" si="409"/>
        <v>-0,00134389878423626+0,0431298323343757i</v>
      </c>
      <c r="BC453">
        <f t="shared" si="410"/>
        <v>-27.300230053684423</v>
      </c>
      <c r="BD453" s="60">
        <f t="shared" si="411"/>
        <v>91.784723448122961</v>
      </c>
      <c r="BE453" s="58" t="str">
        <f t="shared" si="412"/>
        <v>0,000302958307844759-0,00974534157158573i</v>
      </c>
      <c r="BF453" s="37">
        <f t="shared" si="413"/>
        <v>-40.219863550596521</v>
      </c>
      <c r="BG453" s="60">
        <f t="shared" si="414"/>
        <v>-88.219390909345222</v>
      </c>
      <c r="BH453" s="58" t="str">
        <f t="shared" si="415"/>
        <v>0,23642496982052+0,0846744814985951i</v>
      </c>
      <c r="BI453" s="37">
        <f t="shared" si="416"/>
        <v>-12.002010350518455</v>
      </c>
      <c r="BJ453" s="60">
        <f t="shared" si="417"/>
        <v>19.704744164111769</v>
      </c>
      <c r="BK453">
        <f t="shared" si="418"/>
        <v>-40.219863550596521</v>
      </c>
      <c r="BL453" s="60">
        <f t="shared" si="419"/>
        <v>-88.219390909345222</v>
      </c>
      <c r="BN453">
        <f t="shared" si="420"/>
        <v>0</v>
      </c>
      <c r="BO453">
        <f t="shared" si="421"/>
        <v>0</v>
      </c>
    </row>
    <row r="454" spans="13:67" x14ac:dyDescent="0.25">
      <c r="M454" s="66">
        <v>36</v>
      </c>
      <c r="N454" s="36">
        <f t="shared" si="422"/>
        <v>229086.76527677779</v>
      </c>
      <c r="O454" s="91" t="str">
        <f t="shared" si="370"/>
        <v>22,5</v>
      </c>
      <c r="P454" s="67" t="str">
        <f t="shared" si="371"/>
        <v>1+1554,54616546886i</v>
      </c>
      <c r="Q454" s="67">
        <f t="shared" si="382"/>
        <v>1554.5464871061065</v>
      </c>
      <c r="R454" s="67">
        <f t="shared" si="383"/>
        <v>1.5701530523240066</v>
      </c>
      <c r="S454" s="67" t="str">
        <f t="shared" si="372"/>
        <v>1+43,1818379296905i</v>
      </c>
      <c r="T454" s="67">
        <f t="shared" si="384"/>
        <v>43.193415319769031</v>
      </c>
      <c r="U454" s="67">
        <f t="shared" si="385"/>
        <v>1.5476425810790688</v>
      </c>
      <c r="V454" t="str">
        <f t="shared" si="373"/>
        <v>1-8,99621623535219i</v>
      </c>
      <c r="W454" s="67">
        <f t="shared" si="386"/>
        <v>9.051624525642584</v>
      </c>
      <c r="X454" s="67">
        <f t="shared" si="387"/>
        <v>-1.4600929429787779</v>
      </c>
      <c r="Y454" t="str">
        <f t="shared" si="374"/>
        <v>-2,35876774559858+24,9495063593767i</v>
      </c>
      <c r="Z454" s="67">
        <f t="shared" si="388"/>
        <v>25.060759223420479</v>
      </c>
      <c r="AA454" s="67">
        <f t="shared" si="389"/>
        <v>1.6650578126609268</v>
      </c>
      <c r="AB454" s="92" t="str">
        <f t="shared" si="390"/>
        <v>-0,225798295465524+0,00137029032741894i</v>
      </c>
      <c r="AC454" s="37">
        <f t="shared" si="391"/>
        <v>-12.925426875968547</v>
      </c>
      <c r="AD454" s="60">
        <f t="shared" si="392"/>
        <v>179.65229636253935</v>
      </c>
      <c r="AE454" t="str">
        <f t="shared" si="393"/>
        <v>34,4450883806789</v>
      </c>
      <c r="AF454" t="str">
        <f t="shared" si="375"/>
        <v>1+777,27308273443i</v>
      </c>
      <c r="AG454">
        <f t="shared" si="394"/>
        <v>777.27372600872332</v>
      </c>
      <c r="AH454">
        <f t="shared" si="395"/>
        <v>1.5695097783854928</v>
      </c>
      <c r="AI454" t="str">
        <f t="shared" si="376"/>
        <v>1+43,1818379296905i</v>
      </c>
      <c r="AJ454">
        <f t="shared" si="396"/>
        <v>43.193415319769031</v>
      </c>
      <c r="AK454">
        <f t="shared" si="397"/>
        <v>1.5476425810790688</v>
      </c>
      <c r="AL454" t="str">
        <f t="shared" si="377"/>
        <v>1-2,93815191898062i</v>
      </c>
      <c r="AM454">
        <f t="shared" si="398"/>
        <v>3.1036650429789461</v>
      </c>
      <c r="AN454">
        <f t="shared" si="399"/>
        <v>-1.2427441226817364</v>
      </c>
      <c r="AO454" s="58" t="str">
        <f t="shared" si="400"/>
        <v>1,79069860822632-5,66450606113151i</v>
      </c>
      <c r="AP454">
        <f t="shared" si="401"/>
        <v>15.476914115558637</v>
      </c>
      <c r="AQ454" s="60">
        <f t="shared" si="402"/>
        <v>-72.456891359789637</v>
      </c>
      <c r="AR454" t="str">
        <f t="shared" si="378"/>
        <v>-1,36472945891784</v>
      </c>
      <c r="AS454" t="str">
        <f t="shared" si="379"/>
        <v>1+32,3475147931312i</v>
      </c>
      <c r="AT454">
        <f t="shared" si="403"/>
        <v>32.362968239823758</v>
      </c>
      <c r="AU454">
        <f t="shared" si="404"/>
        <v>1.5398918933388865</v>
      </c>
      <c r="AV454" t="str">
        <f t="shared" si="380"/>
        <v>1+32,3475147931312i</v>
      </c>
      <c r="AW454">
        <f t="shared" si="405"/>
        <v>32.362968239823758</v>
      </c>
      <c r="AX454">
        <f t="shared" si="406"/>
        <v>1.5398918933388865</v>
      </c>
      <c r="AY454" t="str">
        <f t="shared" si="381"/>
        <v>1-0,000463714139893838i</v>
      </c>
      <c r="AZ454">
        <f t="shared" si="407"/>
        <v>1.0000001075153959</v>
      </c>
      <c r="BA454">
        <f t="shared" si="408"/>
        <v>-4.6371410665623424E-4</v>
      </c>
      <c r="BB454" s="58" t="str">
        <f t="shared" si="409"/>
        <v>-0,00128347112556663+0,0421499455680531i</v>
      </c>
      <c r="BC454">
        <f t="shared" si="410"/>
        <v>-27.500034680892085</v>
      </c>
      <c r="BD454" s="60">
        <f t="shared" si="411"/>
        <v>91.744124744060187</v>
      </c>
      <c r="BE454" s="58" t="str">
        <f t="shared" si="412"/>
        <v>0,000232047929719025-0,00951914459129989i</v>
      </c>
      <c r="BF454" s="37">
        <f t="shared" si="413"/>
        <v>-40.425461556860625</v>
      </c>
      <c r="BG454" s="60">
        <f t="shared" si="414"/>
        <v>-88.603578893400467</v>
      </c>
      <c r="BH454" s="58" t="str">
        <f t="shared" si="415"/>
        <v>0,236460312188349+0,0827480788355873i</v>
      </c>
      <c r="BI454" s="37">
        <f t="shared" si="416"/>
        <v>-12.023120565333452</v>
      </c>
      <c r="BJ454" s="60">
        <f t="shared" si="417"/>
        <v>19.287233384270579</v>
      </c>
      <c r="BK454">
        <f t="shared" si="418"/>
        <v>-40.425461556860625</v>
      </c>
      <c r="BL454" s="60">
        <f t="shared" si="419"/>
        <v>-88.603578893400467</v>
      </c>
      <c r="BN454">
        <f t="shared" si="420"/>
        <v>0</v>
      </c>
      <c r="BO454">
        <f t="shared" si="421"/>
        <v>0</v>
      </c>
    </row>
    <row r="455" spans="13:67" x14ac:dyDescent="0.25">
      <c r="M455" s="66">
        <v>37</v>
      </c>
      <c r="N455" s="36">
        <f t="shared" si="422"/>
        <v>234422.88153199267</v>
      </c>
      <c r="O455" s="91" t="str">
        <f t="shared" si="370"/>
        <v>22,5</v>
      </c>
      <c r="P455" s="67" t="str">
        <f t="shared" si="371"/>
        <v>1+1590,7561973012i</v>
      </c>
      <c r="Q455" s="67">
        <f t="shared" si="382"/>
        <v>1590.7565116170904</v>
      </c>
      <c r="R455" s="67">
        <f t="shared" si="383"/>
        <v>1.5701676950347496</v>
      </c>
      <c r="S455" s="67" t="str">
        <f t="shared" si="372"/>
        <v>1+44,1876721472556i</v>
      </c>
      <c r="T455" s="67">
        <f t="shared" si="384"/>
        <v>44.198986072005631</v>
      </c>
      <c r="U455" s="67">
        <f t="shared" si="385"/>
        <v>1.5481694427124959</v>
      </c>
      <c r="V455" t="str">
        <f t="shared" si="373"/>
        <v>1-9,20576503067825i</v>
      </c>
      <c r="W455" s="67">
        <f t="shared" si="386"/>
        <v>9.2599195352907113</v>
      </c>
      <c r="X455" s="67">
        <f t="shared" si="387"/>
        <v>-1.4625930113022547</v>
      </c>
      <c r="Y455" t="str">
        <f t="shared" si="374"/>
        <v>-2,51706159268883+25,5306550184143i</v>
      </c>
      <c r="Z455" s="67">
        <f t="shared" si="388"/>
        <v>25.654433237369961</v>
      </c>
      <c r="AA455" s="67">
        <f t="shared" si="389"/>
        <v>1.6690685251172213</v>
      </c>
      <c r="AB455" s="92" t="str">
        <f t="shared" si="390"/>
        <v>-0,225633864954527+0,00272288650959763i</v>
      </c>
      <c r="AC455" s="37">
        <f t="shared" si="391"/>
        <v>-12.931281930878583</v>
      </c>
      <c r="AD455" s="60">
        <f t="shared" si="392"/>
        <v>179.30860408498006</v>
      </c>
      <c r="AE455" t="str">
        <f t="shared" si="393"/>
        <v>34,4450883806789</v>
      </c>
      <c r="AF455" t="str">
        <f t="shared" si="375"/>
        <v>1+795,378098650602i</v>
      </c>
      <c r="AG455">
        <f t="shared" si="394"/>
        <v>795.37872728219656</v>
      </c>
      <c r="AH455">
        <f t="shared" si="395"/>
        <v>1.5695390637714453</v>
      </c>
      <c r="AI455" t="str">
        <f t="shared" si="376"/>
        <v>1+44,1876721472556i</v>
      </c>
      <c r="AJ455">
        <f t="shared" si="396"/>
        <v>44.198986072005631</v>
      </c>
      <c r="AK455">
        <f t="shared" si="397"/>
        <v>1.5481694427124959</v>
      </c>
      <c r="AL455" t="str">
        <f t="shared" si="377"/>
        <v>1-3,00659026894912i</v>
      </c>
      <c r="AM455">
        <f t="shared" si="398"/>
        <v>3.1685304236095861</v>
      </c>
      <c r="AN455">
        <f t="shared" si="399"/>
        <v>-1.2497034988199298</v>
      </c>
      <c r="AO455" s="58" t="str">
        <f t="shared" si="400"/>
        <v>1,79069617558718-5,79451448919605i</v>
      </c>
      <c r="AP455">
        <f t="shared" si="401"/>
        <v>15.656470404016392</v>
      </c>
      <c r="AQ455" s="60">
        <f t="shared" si="402"/>
        <v>-72.827125221585931</v>
      </c>
      <c r="AR455" t="str">
        <f t="shared" si="378"/>
        <v>-1,36472945891784</v>
      </c>
      <c r="AS455" t="str">
        <f t="shared" si="379"/>
        <v>1+33,1009852055092i</v>
      </c>
      <c r="AT455">
        <f t="shared" si="403"/>
        <v>33.116087051089522</v>
      </c>
      <c r="AU455">
        <f t="shared" si="404"/>
        <v>1.5405949314624974</v>
      </c>
      <c r="AV455" t="str">
        <f t="shared" si="380"/>
        <v>1+33,1009852055092i</v>
      </c>
      <c r="AW455">
        <f t="shared" si="405"/>
        <v>33.116087051089522</v>
      </c>
      <c r="AX455">
        <f t="shared" si="406"/>
        <v>1.5405949314624974</v>
      </c>
      <c r="AY455" t="str">
        <f t="shared" si="381"/>
        <v>1-0,000453158717387768i</v>
      </c>
      <c r="AZ455">
        <f t="shared" si="407"/>
        <v>1.0000001026764063</v>
      </c>
      <c r="BA455">
        <f t="shared" si="408"/>
        <v>-4.531586863686312E-4</v>
      </c>
      <c r="BB455" s="58" t="str">
        <f t="shared" si="409"/>
        <v>-0,00122575808278324+0,0411922392149259i</v>
      </c>
      <c r="BC455">
        <f t="shared" si="410"/>
        <v>-27.6998480931152</v>
      </c>
      <c r="BD455" s="60">
        <f t="shared" si="411"/>
        <v>91.704448407773953</v>
      </c>
      <c r="BE455" s="58" t="str">
        <f t="shared" si="412"/>
        <v>0,000164410741259193-0,0092977017403428i</v>
      </c>
      <c r="BF455" s="37">
        <f t="shared" si="413"/>
        <v>-40.631130023993791</v>
      </c>
      <c r="BG455" s="60">
        <f t="shared" si="414"/>
        <v>-88.986947507245986</v>
      </c>
      <c r="BH455" s="58" t="str">
        <f t="shared" si="415"/>
        <v>0,236494066662283+0,0808654581969767i</v>
      </c>
      <c r="BI455" s="37">
        <f t="shared" si="416"/>
        <v>-12.043377689098802</v>
      </c>
      <c r="BJ455" s="60">
        <f t="shared" si="417"/>
        <v>18.877323186188026</v>
      </c>
      <c r="BK455">
        <f t="shared" si="418"/>
        <v>-40.631130023993791</v>
      </c>
      <c r="BL455" s="60">
        <f t="shared" si="419"/>
        <v>-88.986947507245986</v>
      </c>
      <c r="BN455">
        <f t="shared" si="420"/>
        <v>0</v>
      </c>
      <c r="BO455">
        <f t="shared" si="421"/>
        <v>0</v>
      </c>
    </row>
    <row r="456" spans="13:67" x14ac:dyDescent="0.25">
      <c r="M456" s="66">
        <v>38</v>
      </c>
      <c r="N456" s="36">
        <f t="shared" si="422"/>
        <v>239883.29190194907</v>
      </c>
      <c r="O456" s="91" t="str">
        <f t="shared" si="370"/>
        <v>22,5</v>
      </c>
      <c r="P456" s="67" t="str">
        <f t="shared" si="371"/>
        <v>1+1627,8096691255i</v>
      </c>
      <c r="Q456" s="67">
        <f t="shared" si="382"/>
        <v>1627.8099762866889</v>
      </c>
      <c r="R456" s="67">
        <f t="shared" si="383"/>
        <v>1.5701820044369641</v>
      </c>
      <c r="S456" s="67" t="str">
        <f t="shared" si="372"/>
        <v>1+45,216935253486i</v>
      </c>
      <c r="T456" s="67">
        <f t="shared" si="384"/>
        <v>45.227991705557137</v>
      </c>
      <c r="U456" s="67">
        <f t="shared" si="385"/>
        <v>1.548684323651506</v>
      </c>
      <c r="V456" t="str">
        <f t="shared" si="373"/>
        <v>1-9,42019484447625i</v>
      </c>
      <c r="W456" s="67">
        <f t="shared" si="386"/>
        <v>9.4731236088154631</v>
      </c>
      <c r="X456" s="67">
        <f t="shared" si="387"/>
        <v>-1.4650374839602338</v>
      </c>
      <c r="Y456" t="str">
        <f t="shared" si="374"/>
        <v>-2,68281559895782+26,1253403686808i</v>
      </c>
      <c r="Z456" s="67">
        <f t="shared" si="388"/>
        <v>26.262728512426769</v>
      </c>
      <c r="AA456" s="67">
        <f t="shared" si="389"/>
        <v>1.6731277966957765</v>
      </c>
      <c r="AB456" s="92" t="str">
        <f t="shared" si="390"/>
        <v>-0,225459513663806+0,00407456632721399i</v>
      </c>
      <c r="AC456" s="37">
        <f t="shared" si="391"/>
        <v>-12.937210477779328</v>
      </c>
      <c r="AD456" s="60">
        <f t="shared" si="392"/>
        <v>178.96464762559688</v>
      </c>
      <c r="AE456" t="str">
        <f t="shared" si="393"/>
        <v>34,4450883806789</v>
      </c>
      <c r="AF456" t="str">
        <f t="shared" si="375"/>
        <v>1+813,904834562749i</v>
      </c>
      <c r="AG456">
        <f t="shared" si="394"/>
        <v>813.90544888495231</v>
      </c>
      <c r="AH456">
        <f t="shared" si="395"/>
        <v>1.5695676825427116</v>
      </c>
      <c r="AI456" t="str">
        <f t="shared" si="376"/>
        <v>1+45,216935253486i</v>
      </c>
      <c r="AJ456">
        <f t="shared" si="396"/>
        <v>45.227991705557137</v>
      </c>
      <c r="AK456">
        <f t="shared" si="397"/>
        <v>1.548684323651506</v>
      </c>
      <c r="AL456" t="str">
        <f t="shared" si="377"/>
        <v>1-3,07662275287514i</v>
      </c>
      <c r="AM456">
        <f t="shared" si="398"/>
        <v>3.2350591282863759</v>
      </c>
      <c r="AN456">
        <f t="shared" si="399"/>
        <v>-1.2565357339597683</v>
      </c>
      <c r="AO456" s="58" t="str">
        <f t="shared" si="400"/>
        <v>1,7906938524345-5,92759524526684i</v>
      </c>
      <c r="AP456">
        <f t="shared" si="401"/>
        <v>15.836857482386337</v>
      </c>
      <c r="AQ456" s="60">
        <f t="shared" si="402"/>
        <v>-73.190722689791045</v>
      </c>
      <c r="AR456" t="str">
        <f t="shared" si="378"/>
        <v>-1,36472945891784</v>
      </c>
      <c r="AS456" t="str">
        <f t="shared" si="379"/>
        <v>1+33,8720061983864i</v>
      </c>
      <c r="AT456">
        <f t="shared" si="403"/>
        <v>33.886764435447759</v>
      </c>
      <c r="AU456">
        <f t="shared" si="404"/>
        <v>1.541281995342922</v>
      </c>
      <c r="AV456" t="str">
        <f t="shared" si="380"/>
        <v>1+33,8720061983864i</v>
      </c>
      <c r="AW456">
        <f t="shared" si="405"/>
        <v>33.886764435447759</v>
      </c>
      <c r="AX456">
        <f t="shared" si="406"/>
        <v>1.541281995342922</v>
      </c>
      <c r="AY456" t="str">
        <f t="shared" si="381"/>
        <v>1-0,000442843565631923i</v>
      </c>
      <c r="AZ456">
        <f t="shared" si="407"/>
        <v>1.0000000980552071</v>
      </c>
      <c r="BA456">
        <f t="shared" si="408"/>
        <v>-4.4284353668317994E-4</v>
      </c>
      <c r="BB456" s="58" t="str">
        <f t="shared" si="409"/>
        <v>-0,00117063792414789+0,0402562166825138i</v>
      </c>
      <c r="BC456">
        <f t="shared" si="410"/>
        <v>-27.899669895684571</v>
      </c>
      <c r="BD456" s="60">
        <f t="shared" si="411"/>
        <v>91.66567356171177</v>
      </c>
      <c r="BE456" s="58" t="str">
        <f t="shared" si="412"/>
        <v>0,0000999048320991899-0,00908091687705145i</v>
      </c>
      <c r="BF456" s="37">
        <f t="shared" si="413"/>
        <v>-40.836880373463899</v>
      </c>
      <c r="BG456" s="60">
        <f t="shared" si="414"/>
        <v>-89.369678812691333</v>
      </c>
      <c r="BH456" s="58" t="str">
        <f t="shared" si="415"/>
        <v>0,236526304465502+0,0790256275287567i</v>
      </c>
      <c r="BI456" s="37">
        <f t="shared" si="416"/>
        <v>-12.062812413298239</v>
      </c>
      <c r="BJ456" s="60">
        <f t="shared" si="417"/>
        <v>18.474950871920747</v>
      </c>
      <c r="BK456">
        <f t="shared" si="418"/>
        <v>-40.836880373463899</v>
      </c>
      <c r="BL456" s="60">
        <f t="shared" si="419"/>
        <v>-89.369678812691333</v>
      </c>
      <c r="BN456">
        <f t="shared" si="420"/>
        <v>0</v>
      </c>
      <c r="BO456">
        <f t="shared" si="421"/>
        <v>0</v>
      </c>
    </row>
    <row r="457" spans="13:67" x14ac:dyDescent="0.25">
      <c r="M457" s="66">
        <v>39</v>
      </c>
      <c r="N457" s="36">
        <f t="shared" si="422"/>
        <v>245470.89156850305</v>
      </c>
      <c r="O457" s="91" t="str">
        <f t="shared" si="370"/>
        <v>22,5</v>
      </c>
      <c r="P457" s="67" t="str">
        <f t="shared" si="371"/>
        <v>1+1665,72622718297i</v>
      </c>
      <c r="Q457" s="67">
        <f t="shared" si="382"/>
        <v>1665.7265273523176</v>
      </c>
      <c r="R457" s="67">
        <f t="shared" si="383"/>
        <v>1.5701959881176606</v>
      </c>
      <c r="S457" s="67" t="str">
        <f t="shared" si="372"/>
        <v>1+46,2701729773047i</v>
      </c>
      <c r="T457" s="67">
        <f t="shared" si="384"/>
        <v>46.280977813240916</v>
      </c>
      <c r="U457" s="67">
        <f t="shared" si="385"/>
        <v>1.5491874958001934</v>
      </c>
      <c r="V457" t="str">
        <f t="shared" si="373"/>
        <v>1-9,63961937027181i</v>
      </c>
      <c r="W457" s="67">
        <f t="shared" si="386"/>
        <v>9.691349833935389</v>
      </c>
      <c r="X457" s="67">
        <f t="shared" si="387"/>
        <v>-1.4674275401263102</v>
      </c>
      <c r="Y457" t="str">
        <f t="shared" si="374"/>
        <v>-2,85638135087589+26,7338777202205i</v>
      </c>
      <c r="Z457" s="67">
        <f t="shared" si="388"/>
        <v>26.886039730338378</v>
      </c>
      <c r="AA457" s="67">
        <f t="shared" si="389"/>
        <v>1.6772375203640453</v>
      </c>
      <c r="AB457" s="92" t="str">
        <f t="shared" si="390"/>
        <v>-0,225274919503901+0,00542587147581171i</v>
      </c>
      <c r="AC457" s="37">
        <f t="shared" si="391"/>
        <v>-12.943224464001018</v>
      </c>
      <c r="AD457" s="60">
        <f t="shared" si="392"/>
        <v>178.62026610792702</v>
      </c>
      <c r="AE457" t="str">
        <f t="shared" si="393"/>
        <v>34,4450883806789</v>
      </c>
      <c r="AF457" t="str">
        <f t="shared" si="375"/>
        <v>1+832,863113591485i</v>
      </c>
      <c r="AG457">
        <f t="shared" si="394"/>
        <v>832.86371393001798</v>
      </c>
      <c r="AH457">
        <f t="shared" si="395"/>
        <v>1.569595649873156</v>
      </c>
      <c r="AI457" t="str">
        <f t="shared" si="376"/>
        <v>1+46,2701729773047i</v>
      </c>
      <c r="AJ457">
        <f t="shared" si="396"/>
        <v>46.280977813240916</v>
      </c>
      <c r="AK457">
        <f t="shared" si="397"/>
        <v>1.5491874958001934</v>
      </c>
      <c r="AL457" t="str">
        <f t="shared" si="377"/>
        <v>1-3,14828650290864i</v>
      </c>
      <c r="AM457">
        <f t="shared" si="398"/>
        <v>3.3032874389608775</v>
      </c>
      <c r="AN457">
        <f t="shared" si="399"/>
        <v>-1.2632418983737461</v>
      </c>
      <c r="AO457" s="58" t="str">
        <f t="shared" si="400"/>
        <v>1,79069163384061-6,06381889054066i</v>
      </c>
      <c r="AP457">
        <f t="shared" si="401"/>
        <v>16.018045083146053</v>
      </c>
      <c r="AQ457" s="60">
        <f t="shared" si="402"/>
        <v>-73.547730376943178</v>
      </c>
      <c r="AR457" t="str">
        <f t="shared" si="378"/>
        <v>-1,36472945891784</v>
      </c>
      <c r="AS457" t="str">
        <f t="shared" si="379"/>
        <v>1+34,660986577299i</v>
      </c>
      <c r="AT457">
        <f t="shared" si="403"/>
        <v>34.675409017222876</v>
      </c>
      <c r="AU457">
        <f t="shared" si="404"/>
        <v>1.5419534466743741</v>
      </c>
      <c r="AV457" t="str">
        <f t="shared" si="380"/>
        <v>1+34,660986577299i</v>
      </c>
      <c r="AW457">
        <f t="shared" si="405"/>
        <v>34.675409017222876</v>
      </c>
      <c r="AX457">
        <f t="shared" si="406"/>
        <v>1.5419534466743741</v>
      </c>
      <c r="AY457" t="str">
        <f t="shared" si="381"/>
        <v>1-0,000432763215396303i</v>
      </c>
      <c r="AZ457">
        <f t="shared" si="407"/>
        <v>1.0000000936419959</v>
      </c>
      <c r="BA457">
        <f t="shared" si="408"/>
        <v>-4.3276318837976395E-4</v>
      </c>
      <c r="BB457" s="58" t="str">
        <f t="shared" si="409"/>
        <v>-0,00111799435757789+0,0393413921302907i</v>
      </c>
      <c r="BC457">
        <f t="shared" si="410"/>
        <v>-28.099499711630642</v>
      </c>
      <c r="BD457" s="60">
        <f t="shared" si="411"/>
        <v>91.62777979568493</v>
      </c>
      <c r="BE457" s="58" t="str">
        <f t="shared" si="412"/>
        <v>0,0000383947515307071-0,00886869503901754i</v>
      </c>
      <c r="BF457" s="37">
        <f t="shared" si="413"/>
        <v>-41.042724175631662</v>
      </c>
      <c r="BG457" s="60">
        <f t="shared" si="414"/>
        <v>-89.751954096388033</v>
      </c>
      <c r="BH457" s="58" t="str">
        <f t="shared" si="415"/>
        <v>0,236557093637029+0,077227617056353i</v>
      </c>
      <c r="BI457" s="37">
        <f t="shared" si="416"/>
        <v>-12.081454628484581</v>
      </c>
      <c r="BJ457" s="60">
        <f t="shared" si="417"/>
        <v>18.080049418741723</v>
      </c>
      <c r="BK457">
        <f t="shared" si="418"/>
        <v>-41.042724175631662</v>
      </c>
      <c r="BL457" s="60">
        <f t="shared" si="419"/>
        <v>-89.751954096388033</v>
      </c>
      <c r="BN457">
        <f t="shared" si="420"/>
        <v>0</v>
      </c>
      <c r="BO457">
        <f t="shared" si="421"/>
        <v>0</v>
      </c>
    </row>
    <row r="458" spans="13:67" x14ac:dyDescent="0.25">
      <c r="M458" s="66">
        <v>40</v>
      </c>
      <c r="N458" s="36">
        <f t="shared" si="422"/>
        <v>251188.64315095844</v>
      </c>
      <c r="O458" s="91" t="str">
        <f t="shared" si="370"/>
        <v>22,5</v>
      </c>
      <c r="P458" s="67" t="str">
        <f t="shared" si="371"/>
        <v>1+1704,5259753346i</v>
      </c>
      <c r="Q458" s="67">
        <f t="shared" si="382"/>
        <v>1704.5262686712601</v>
      </c>
      <c r="R458" s="67">
        <f t="shared" si="383"/>
        <v>1.57020965349115</v>
      </c>
      <c r="S458" s="67" t="str">
        <f t="shared" si="372"/>
        <v>1+47,3479437592945i</v>
      </c>
      <c r="T458" s="67">
        <f t="shared" si="384"/>
        <v>47.358502702612071</v>
      </c>
      <c r="U458" s="67">
        <f t="shared" si="385"/>
        <v>1.5496792249273539</v>
      </c>
      <c r="V458" t="str">
        <f t="shared" si="373"/>
        <v>1-9,864154949853i</v>
      </c>
      <c r="W458" s="67">
        <f t="shared" si="386"/>
        <v>9.9147139582899442</v>
      </c>
      <c r="X458" s="67">
        <f t="shared" si="387"/>
        <v>-1.4697643377572216</v>
      </c>
      <c r="Y458" t="str">
        <f t="shared" si="374"/>
        <v>-3,03812700467326+27,3565897275923i</v>
      </c>
      <c r="Z458" s="67">
        <f t="shared" si="388"/>
        <v>27.524774607984231</v>
      </c>
      <c r="AA458" s="67">
        <f t="shared" si="389"/>
        <v>1.6813995988256685</v>
      </c>
      <c r="AB458" s="92" t="str">
        <f t="shared" si="390"/>
        <v>-0,225079743163641+0,00677733263950091i</v>
      </c>
      <c r="AC458" s="37">
        <f t="shared" si="391"/>
        <v>-12.949335988381989</v>
      </c>
      <c r="AD458" s="60">
        <f t="shared" si="392"/>
        <v>178.27529897166988</v>
      </c>
      <c r="AE458" t="str">
        <f t="shared" si="393"/>
        <v>34,4450883806789</v>
      </c>
      <c r="AF458" t="str">
        <f t="shared" si="375"/>
        <v>1+852,2629876673i</v>
      </c>
      <c r="AG458">
        <f t="shared" si="394"/>
        <v>852.26357434046918</v>
      </c>
      <c r="AH458">
        <f t="shared" si="395"/>
        <v>1.569622980591252</v>
      </c>
      <c r="AI458" t="str">
        <f t="shared" si="376"/>
        <v>1+47,3479437592945i</v>
      </c>
      <c r="AJ458">
        <f t="shared" si="396"/>
        <v>47.358502702612071</v>
      </c>
      <c r="AK458">
        <f t="shared" si="397"/>
        <v>1.5496792249273539</v>
      </c>
      <c r="AL458" t="str">
        <f t="shared" si="377"/>
        <v>1-3,22161951611851i</v>
      </c>
      <c r="AM458">
        <f t="shared" si="398"/>
        <v>3.3732524818986884</v>
      </c>
      <c r="AN458">
        <f t="shared" si="399"/>
        <v>-1.2698231341643802</v>
      </c>
      <c r="AO458" s="58" t="str">
        <f t="shared" si="400"/>
        <v>1,79068951509961-6,2032576526146i</v>
      </c>
      <c r="AP458">
        <f t="shared" si="401"/>
        <v>16.200003760601778</v>
      </c>
      <c r="AQ458" s="60">
        <f t="shared" si="402"/>
        <v>-73.898199342875031</v>
      </c>
      <c r="AR458" t="str">
        <f t="shared" si="378"/>
        <v>-1,36472945891784</v>
      </c>
      <c r="AS458" t="str">
        <f t="shared" si="379"/>
        <v>1+35,4683446700875i</v>
      </c>
      <c r="AT458">
        <f t="shared" si="403"/>
        <v>35.482438947120365</v>
      </c>
      <c r="AU458">
        <f t="shared" si="404"/>
        <v>1.5426096390460782</v>
      </c>
      <c r="AV458" t="str">
        <f t="shared" si="380"/>
        <v>1+35,4683446700875i</v>
      </c>
      <c r="AW458">
        <f t="shared" si="405"/>
        <v>35.482438947120365</v>
      </c>
      <c r="AX458">
        <f t="shared" si="406"/>
        <v>1.5426096390460782</v>
      </c>
      <c r="AY458" t="str">
        <f t="shared" si="381"/>
        <v>1-0,000422912321945783i</v>
      </c>
      <c r="AZ458">
        <f t="shared" si="407"/>
        <v>1.0000000894274119</v>
      </c>
      <c r="BA458">
        <f t="shared" si="408"/>
        <v>-4.2291229673248164E-4</v>
      </c>
      <c r="BB458" s="58" t="str">
        <f t="shared" si="409"/>
        <v>-0,0010677162892583+0,038447290261579i</v>
      </c>
      <c r="BC458">
        <f t="shared" si="410"/>
        <v>-28.299337180892469</v>
      </c>
      <c r="BD458" s="60">
        <f t="shared" si="411"/>
        <v>91.590747156753437</v>
      </c>
      <c r="BE458" s="58" t="str">
        <f t="shared" si="412"/>
        <v>-0,0000202487670322708-0,00866094248587107i</v>
      </c>
      <c r="BF458" s="37">
        <f t="shared" si="413"/>
        <v>-41.248673169274461</v>
      </c>
      <c r="BG458" s="60">
        <f t="shared" si="414"/>
        <v>-90.133953871576679</v>
      </c>
      <c r="BH458" s="58" t="str">
        <f t="shared" si="415"/>
        <v>0,236586499173159+0,0754704787975637i</v>
      </c>
      <c r="BI458" s="37">
        <f t="shared" si="416"/>
        <v>-12.099333420290685</v>
      </c>
      <c r="BJ458" s="60">
        <f t="shared" si="417"/>
        <v>17.69254781387842</v>
      </c>
      <c r="BK458">
        <f t="shared" si="418"/>
        <v>-41.248673169274461</v>
      </c>
      <c r="BL458" s="60">
        <f t="shared" si="419"/>
        <v>-90.133953871576679</v>
      </c>
      <c r="BN458">
        <f t="shared" si="420"/>
        <v>0</v>
      </c>
      <c r="BO458">
        <f t="shared" si="421"/>
        <v>0</v>
      </c>
    </row>
    <row r="459" spans="13:67" x14ac:dyDescent="0.25">
      <c r="M459" s="66">
        <v>41</v>
      </c>
      <c r="N459" s="36">
        <f t="shared" si="422"/>
        <v>257039.57827688678</v>
      </c>
      <c r="O459" s="91" t="str">
        <f t="shared" si="370"/>
        <v>22,5</v>
      </c>
      <c r="P459" s="67" t="str">
        <f t="shared" si="371"/>
        <v>1+1744,22948572041i</v>
      </c>
      <c r="Q459" s="67">
        <f t="shared" si="382"/>
        <v>1744.2297723799136</v>
      </c>
      <c r="R459" s="67">
        <f t="shared" si="383"/>
        <v>1.570223007802974</v>
      </c>
      <c r="S459" s="67" t="str">
        <f t="shared" si="372"/>
        <v>1+48,4508190477892i</v>
      </c>
      <c r="T459" s="67">
        <f t="shared" si="384"/>
        <v>48.461137691985861</v>
      </c>
      <c r="U459" s="67">
        <f t="shared" si="385"/>
        <v>1.5501597708025421</v>
      </c>
      <c r="V459" t="str">
        <f t="shared" si="373"/>
        <v>1-10,0939206349561i</v>
      </c>
      <c r="W459" s="67">
        <f t="shared" si="386"/>
        <v>10.143334450997491</v>
      </c>
      <c r="X459" s="67">
        <f t="shared" si="387"/>
        <v>-1.4720490137151745</v>
      </c>
      <c r="Y459" t="str">
        <f t="shared" si="374"/>
        <v>-3,22843806724862+27,9938065609448i</v>
      </c>
      <c r="Z459" s="67">
        <f t="shared" si="388"/>
        <v>28.179354466091951</v>
      </c>
      <c r="AA459" s="67">
        <f t="shared" si="389"/>
        <v>1.6856159443468646</v>
      </c>
      <c r="AB459" s="92" t="str">
        <f t="shared" si="390"/>
        <v>-0,224873627789644+0,00812946903670119i</v>
      </c>
      <c r="AC459" s="37">
        <f t="shared" si="391"/>
        <v>-12.955557321681418</v>
      </c>
      <c r="AD459" s="60">
        <f t="shared" si="392"/>
        <v>177.92958598319561</v>
      </c>
      <c r="AE459" t="str">
        <f t="shared" si="393"/>
        <v>34,4450883806789</v>
      </c>
      <c r="AF459" t="str">
        <f t="shared" si="375"/>
        <v>1+872,114742860205i</v>
      </c>
      <c r="AG459">
        <f t="shared" si="394"/>
        <v>872.11531617907133</v>
      </c>
      <c r="AH459">
        <f t="shared" si="395"/>
        <v>1.5696496891879448</v>
      </c>
      <c r="AI459" t="str">
        <f t="shared" si="376"/>
        <v>1+48,4508190477892i</v>
      </c>
      <c r="AJ459">
        <f t="shared" si="396"/>
        <v>48.461137691985861</v>
      </c>
      <c r="AK459">
        <f t="shared" si="397"/>
        <v>1.5501597708025421</v>
      </c>
      <c r="AL459" t="str">
        <f t="shared" si="377"/>
        <v>1-3,29666067463898i</v>
      </c>
      <c r="AM459">
        <f t="shared" si="398"/>
        <v>3.4449922501670649</v>
      </c>
      <c r="AN459">
        <f t="shared" si="399"/>
        <v>-1.2762806495672274</v>
      </c>
      <c r="AO459" s="58" t="str">
        <f t="shared" si="400"/>
        <v>1,79068749171741-6,34598546378187i</v>
      </c>
      <c r="AP459">
        <f t="shared" si="401"/>
        <v>16.382704891611827</v>
      </c>
      <c r="AQ459" s="60">
        <f t="shared" si="402"/>
        <v>-74.242184760955325</v>
      </c>
      <c r="AR459" t="str">
        <f t="shared" si="378"/>
        <v>-1,36472945891784</v>
      </c>
      <c r="AS459" t="str">
        <f t="shared" si="379"/>
        <v>1+36,2945085486989i</v>
      </c>
      <c r="AT459">
        <f t="shared" si="403"/>
        <v>36.308282123939399</v>
      </c>
      <c r="AU459">
        <f t="shared" si="404"/>
        <v>1.5432509181182303</v>
      </c>
      <c r="AV459" t="str">
        <f t="shared" si="380"/>
        <v>1+36,2945085486989i</v>
      </c>
      <c r="AW459">
        <f t="shared" si="405"/>
        <v>36.308282123939399</v>
      </c>
      <c r="AX459">
        <f t="shared" si="406"/>
        <v>1.5432509181182303</v>
      </c>
      <c r="AY459" t="str">
        <f t="shared" si="381"/>
        <v>1-0,000413285662206267i</v>
      </c>
      <c r="AZ459">
        <f t="shared" si="407"/>
        <v>1.0000000854025157</v>
      </c>
      <c r="BA459">
        <f t="shared" si="408"/>
        <v>-4.132856386758449E-4</v>
      </c>
      <c r="BB459" s="58" t="str">
        <f t="shared" si="409"/>
        <v>-0,00101969759281733+0,0375734461177574i</v>
      </c>
      <c r="BC459">
        <f t="shared" si="410"/>
        <v>-28.499181959561618</v>
      </c>
      <c r="BD459" s="60">
        <f t="shared" si="411"/>
        <v>91.554556139306513</v>
      </c>
      <c r="BE459" s="58" t="str">
        <f t="shared" si="412"/>
        <v>-0,0000761490698712691-0,00845756673706643i</v>
      </c>
      <c r="BF459" s="37">
        <f t="shared" si="413"/>
        <v>-41.454739281243036</v>
      </c>
      <c r="BG459" s="60">
        <f t="shared" si="414"/>
        <v>-90.515857877497865</v>
      </c>
      <c r="BH459" s="58" t="str">
        <f t="shared" si="415"/>
        <v>0,236614583162687+0,0737532860852584i</v>
      </c>
      <c r="BI459" s="37">
        <f t="shared" si="416"/>
        <v>-12.116477067949802</v>
      </c>
      <c r="BJ459" s="60">
        <f t="shared" si="417"/>
        <v>17.31237137835123</v>
      </c>
      <c r="BK459">
        <f t="shared" si="418"/>
        <v>-41.454739281243036</v>
      </c>
      <c r="BL459" s="60">
        <f t="shared" si="419"/>
        <v>-90.515857877497865</v>
      </c>
      <c r="BN459">
        <f t="shared" si="420"/>
        <v>0</v>
      </c>
      <c r="BO459">
        <f t="shared" si="421"/>
        <v>0</v>
      </c>
    </row>
    <row r="460" spans="13:67" x14ac:dyDescent="0.25">
      <c r="M460" s="66">
        <v>42</v>
      </c>
      <c r="N460" s="36">
        <f t="shared" si="422"/>
        <v>263026.79918953858</v>
      </c>
      <c r="O460" s="91" t="str">
        <f t="shared" si="370"/>
        <v>22,5</v>
      </c>
      <c r="P460" s="67" t="str">
        <f t="shared" si="371"/>
        <v>1+1784,85780966715i</v>
      </c>
      <c r="Q460" s="67">
        <f t="shared" si="382"/>
        <v>1784.8580898014877</v>
      </c>
      <c r="R460" s="67">
        <f t="shared" si="383"/>
        <v>1.570236058133746</v>
      </c>
      <c r="S460" s="67" t="str">
        <f t="shared" si="372"/>
        <v>1+49,5793836018655i</v>
      </c>
      <c r="T460" s="67">
        <f t="shared" si="384"/>
        <v>49.589467413362385</v>
      </c>
      <c r="U460" s="67">
        <f t="shared" si="385"/>
        <v>1.5506293873292756</v>
      </c>
      <c r="V460" t="str">
        <f t="shared" si="373"/>
        <v>1-10,3290382503886i</v>
      </c>
      <c r="W460" s="67">
        <f t="shared" si="386"/>
        <v>10.377332565644737</v>
      </c>
      <c r="X460" s="67">
        <f t="shared" si="387"/>
        <v>-1.4742826839098917</v>
      </c>
      <c r="Y460" t="str">
        <f t="shared" si="374"/>
        <v>-3,42771821388119+28,6458660810778i</v>
      </c>
      <c r="Z460" s="67">
        <f t="shared" si="388"/>
        <v>28.850214829162301</v>
      </c>
      <c r="AA460" s="67">
        <f t="shared" si="389"/>
        <v>1.6898884785169315</v>
      </c>
      <c r="AB460" s="92" t="str">
        <f t="shared" si="390"/>
        <v>-0,224656198663951+0,00948278792192377i</v>
      </c>
      <c r="AC460" s="37">
        <f t="shared" si="391"/>
        <v>-12.961900927095719</v>
      </c>
      <c r="AD460" s="60">
        <f t="shared" si="392"/>
        <v>177.5829672485408</v>
      </c>
      <c r="AE460" t="str">
        <f t="shared" si="393"/>
        <v>34,4450883806789</v>
      </c>
      <c r="AF460" t="str">
        <f t="shared" si="375"/>
        <v>1+892,428904833578i</v>
      </c>
      <c r="AG460">
        <f t="shared" si="394"/>
        <v>892.42946510212187</v>
      </c>
      <c r="AH460">
        <f t="shared" si="395"/>
        <v>1.569675789824333</v>
      </c>
      <c r="AI460" t="str">
        <f t="shared" si="376"/>
        <v>1+49,5793836018655i</v>
      </c>
      <c r="AJ460">
        <f t="shared" si="396"/>
        <v>49.589467413362385</v>
      </c>
      <c r="AK460">
        <f t="shared" si="397"/>
        <v>1.5506293873292756</v>
      </c>
      <c r="AL460" t="str">
        <f t="shared" si="377"/>
        <v>1-3,3734497662856i</v>
      </c>
      <c r="AM460">
        <f t="shared" si="398"/>
        <v>3.5185456264843813</v>
      </c>
      <c r="AN460">
        <f t="shared" si="399"/>
        <v>-1.2826157134527241</v>
      </c>
      <c r="AO460" s="58" t="str">
        <f t="shared" si="400"/>
        <v>1,79068555940217-6,49207800023219i</v>
      </c>
      <c r="AP460">
        <f t="shared" si="401"/>
        <v>16.566120674032653</v>
      </c>
      <c r="AQ460" s="60">
        <f t="shared" si="402"/>
        <v>-74.579745595876304</v>
      </c>
      <c r="AR460" t="str">
        <f t="shared" si="378"/>
        <v>-1,36472945891784</v>
      </c>
      <c r="AS460" t="str">
        <f t="shared" si="379"/>
        <v>1+37,1399162561574i</v>
      </c>
      <c r="AT460">
        <f t="shared" si="403"/>
        <v>37.153376421455754</v>
      </c>
      <c r="AU460">
        <f t="shared" si="404"/>
        <v>1.5438776217945247</v>
      </c>
      <c r="AV460" t="str">
        <f t="shared" si="380"/>
        <v>1+37,1399162561574i</v>
      </c>
      <c r="AW460">
        <f t="shared" si="405"/>
        <v>37.153376421455754</v>
      </c>
      <c r="AX460">
        <f t="shared" si="406"/>
        <v>1.5438776217945247</v>
      </c>
      <c r="AY460" t="str">
        <f t="shared" si="381"/>
        <v>1-0,000403878131995335i</v>
      </c>
      <c r="AZ460">
        <f t="shared" si="407"/>
        <v>1.0000000815587695</v>
      </c>
      <c r="BA460">
        <f t="shared" si="408"/>
        <v>-4.0387811003546727E-4</v>
      </c>
      <c r="BB460" s="58" t="str">
        <f t="shared" si="409"/>
        <v>-0,000973836888615588+0,0367194048748866i</v>
      </c>
      <c r="BC460">
        <f t="shared" si="410"/>
        <v>-28.699033719160077</v>
      </c>
      <c r="BD460" s="60">
        <f t="shared" si="411"/>
        <v>91.519187675336255</v>
      </c>
      <c r="BE460" s="58" t="str">
        <f t="shared" si="412"/>
        <v>-0,000129423835532696-0,00825847660507986i</v>
      </c>
      <c r="BF460" s="37">
        <f t="shared" si="413"/>
        <v>-41.660934646255797</v>
      </c>
      <c r="BG460" s="60">
        <f t="shared" si="414"/>
        <v>-90.897845076122934</v>
      </c>
      <c r="BH460" s="58" t="str">
        <f t="shared" si="415"/>
        <v>0,236641404916213+0,0720751330996969i</v>
      </c>
      <c r="BI460" s="37">
        <f t="shared" si="416"/>
        <v>-12.13291304512742</v>
      </c>
      <c r="BJ460" s="60">
        <f t="shared" si="417"/>
        <v>16.939442079459962</v>
      </c>
      <c r="BK460">
        <f t="shared" si="418"/>
        <v>-41.660934646255797</v>
      </c>
      <c r="BL460" s="60">
        <f t="shared" si="419"/>
        <v>-90.897845076122934</v>
      </c>
      <c r="BN460">
        <f t="shared" si="420"/>
        <v>0</v>
      </c>
      <c r="BO460">
        <f t="shared" si="421"/>
        <v>0</v>
      </c>
    </row>
    <row r="461" spans="13:67" x14ac:dyDescent="0.25">
      <c r="M461" s="66">
        <v>43</v>
      </c>
      <c r="N461" s="36">
        <f t="shared" si="422"/>
        <v>269153.48039269145</v>
      </c>
      <c r="O461" s="91" t="str">
        <f t="shared" si="370"/>
        <v>22,5</v>
      </c>
      <c r="P461" s="67" t="str">
        <f t="shared" si="371"/>
        <v>1+1826,43248884998i</v>
      </c>
      <c r="Q461" s="67">
        <f t="shared" si="382"/>
        <v>1826.4327626076829</v>
      </c>
      <c r="R461" s="67">
        <f t="shared" si="383"/>
        <v>1.5702488114029067</v>
      </c>
      <c r="S461" s="67" t="str">
        <f t="shared" si="372"/>
        <v>1+50,7342358013884i</v>
      </c>
      <c r="T461" s="67">
        <f t="shared" si="384"/>
        <v>50.744090122406185</v>
      </c>
      <c r="U461" s="67">
        <f t="shared" si="385"/>
        <v>1.5510883226754251</v>
      </c>
      <c r="V461" t="str">
        <f t="shared" si="373"/>
        <v>1-10,5696324586226i</v>
      </c>
      <c r="W461" s="67">
        <f t="shared" si="386"/>
        <v>10.616832404741462</v>
      </c>
      <c r="X461" s="67">
        <f t="shared" si="387"/>
        <v>-1.4764664434585921</v>
      </c>
      <c r="Y461" t="str">
        <f t="shared" si="374"/>
        <v>-3,63639014447995+29,3131140185799i</v>
      </c>
      <c r="Z461" s="67">
        <f t="shared" si="388"/>
        <v>29.537806058492841</v>
      </c>
      <c r="AA461" s="67">
        <f t="shared" si="389"/>
        <v>1.694219131938558</v>
      </c>
      <c r="AB461" s="92" t="str">
        <f t="shared" si="390"/>
        <v>-0,224427062881965+0,0108377840415613i</v>
      </c>
      <c r="AC461" s="37">
        <f t="shared" si="391"/>
        <v>-12.968379480880337</v>
      </c>
      <c r="AD461" s="60">
        <f t="shared" si="392"/>
        <v>177.23528322924165</v>
      </c>
      <c r="AE461" t="str">
        <f t="shared" si="393"/>
        <v>34,4450883806789</v>
      </c>
      <c r="AF461" t="str">
        <f t="shared" si="375"/>
        <v>1+913,21624442499i</v>
      </c>
      <c r="AG461">
        <f t="shared" si="394"/>
        <v>913.21679194027274</v>
      </c>
      <c r="AH461">
        <f t="shared" si="395"/>
        <v>1.5697012963391777</v>
      </c>
      <c r="AI461" t="str">
        <f t="shared" si="376"/>
        <v>1+50,7342358013884i</v>
      </c>
      <c r="AJ461">
        <f t="shared" si="396"/>
        <v>50.744090122406185</v>
      </c>
      <c r="AK461">
        <f t="shared" si="397"/>
        <v>1.5510883226754251</v>
      </c>
      <c r="AL461" t="str">
        <f t="shared" si="377"/>
        <v>1-3,45202750565121i</v>
      </c>
      <c r="AM461">
        <f t="shared" si="398"/>
        <v>3.5939524064423161</v>
      </c>
      <c r="AN461">
        <f t="shared" si="399"/>
        <v>-1.2888296500328222</v>
      </c>
      <c r="AO461" s="58" t="str">
        <f t="shared" si="400"/>
        <v>1,79068371405524-6,64161272217612i</v>
      </c>
      <c r="AP461">
        <f t="shared" si="401"/>
        <v>16.75022412307629</v>
      </c>
      <c r="AQ461" s="60">
        <f t="shared" si="402"/>
        <v>-74.910944293324746</v>
      </c>
      <c r="AR461" t="str">
        <f t="shared" si="378"/>
        <v>-1,36472945891784</v>
      </c>
      <c r="AS461" t="str">
        <f t="shared" si="379"/>
        <v>1+38,00501603882i</v>
      </c>
      <c r="AT461">
        <f t="shared" si="403"/>
        <v>38.018169920591461</v>
      </c>
      <c r="AU461">
        <f t="shared" si="404"/>
        <v>1.5444900803912778</v>
      </c>
      <c r="AV461" t="str">
        <f t="shared" si="380"/>
        <v>1+38,00501603882i</v>
      </c>
      <c r="AW461">
        <f t="shared" si="405"/>
        <v>38.018169920591461</v>
      </c>
      <c r="AX461">
        <f t="shared" si="406"/>
        <v>1.5444900803912778</v>
      </c>
      <c r="AY461" t="str">
        <f t="shared" si="381"/>
        <v>1-0,000394684743315944i</v>
      </c>
      <c r="AZ461">
        <f t="shared" si="407"/>
        <v>1.0000000778880203</v>
      </c>
      <c r="BA461">
        <f t="shared" si="408"/>
        <v>-3.9468472282180297E-4</v>
      </c>
      <c r="BB461" s="58" t="str">
        <f t="shared" si="409"/>
        <v>-0,000930037332718336+0,0358847216428504i</v>
      </c>
      <c r="BC461">
        <f t="shared" si="410"/>
        <v>-28.89889214594994</v>
      </c>
      <c r="BD461" s="60">
        <f t="shared" si="411"/>
        <v>91.484623124902583</v>
      </c>
      <c r="BE461" s="58" t="str">
        <f t="shared" si="412"/>
        <v>-0,0001801853166042-0,00806358222440439i</v>
      </c>
      <c r="BF461" s="37">
        <f t="shared" si="413"/>
        <v>-41.867271626830274</v>
      </c>
      <c r="BG461" s="60">
        <f t="shared" si="414"/>
        <v>-91.280093645855757</v>
      </c>
      <c r="BH461" s="58" t="str">
        <f t="shared" si="415"/>
        <v>0,236667021089742+0,0704351344103386i</v>
      </c>
      <c r="BI461" s="37">
        <f t="shared" si="416"/>
        <v>-12.148668022873645</v>
      </c>
      <c r="BJ461" s="60">
        <f t="shared" si="417"/>
        <v>16.57367883157783</v>
      </c>
      <c r="BK461">
        <f t="shared" si="418"/>
        <v>-41.867271626830274</v>
      </c>
      <c r="BL461" s="60">
        <f t="shared" si="419"/>
        <v>-91.280093645855757</v>
      </c>
      <c r="BN461">
        <f t="shared" si="420"/>
        <v>0</v>
      </c>
      <c r="BO461">
        <f t="shared" si="421"/>
        <v>0</v>
      </c>
    </row>
    <row r="462" spans="13:67" x14ac:dyDescent="0.25">
      <c r="M462" s="66">
        <v>44</v>
      </c>
      <c r="N462" s="36">
        <f t="shared" si="422"/>
        <v>275422.87033381703</v>
      </c>
      <c r="O462" s="91" t="str">
        <f t="shared" si="370"/>
        <v>22,5</v>
      </c>
      <c r="P462" s="67" t="str">
        <f t="shared" si="371"/>
        <v>1+1868,97556671408i</v>
      </c>
      <c r="Q462" s="67">
        <f t="shared" si="382"/>
        <v>1868.9758342402977</v>
      </c>
      <c r="R462" s="67">
        <f t="shared" si="383"/>
        <v>1.5702612743723916</v>
      </c>
      <c r="S462" s="67" t="str">
        <f t="shared" si="372"/>
        <v>1+51,9159879642802i</v>
      </c>
      <c r="T462" s="67">
        <f t="shared" si="384"/>
        <v>51.925618015650876</v>
      </c>
      <c r="U462" s="67">
        <f t="shared" si="385"/>
        <v>1.5515368194008488</v>
      </c>
      <c r="V462" t="str">
        <f t="shared" si="373"/>
        <v>1-10,8158308258917i</v>
      </c>
      <c r="W462" s="67">
        <f t="shared" si="386"/>
        <v>10.861960985674232</v>
      </c>
      <c r="X462" s="67">
        <f t="shared" si="387"/>
        <v>-1.4786013668622158</v>
      </c>
      <c r="Y462" t="str">
        <f t="shared" si="374"/>
        <v>-3,85489648018682+29,9959041571396i</v>
      </c>
      <c r="Z462" s="67">
        <f t="shared" si="388"/>
        <v>30.242594020309525</v>
      </c>
      <c r="AA462" s="67">
        <f t="shared" si="389"/>
        <v>1.6986098438434765</v>
      </c>
      <c r="AB462" s="92" t="str">
        <f t="shared" si="390"/>
        <v>-0,224185809032986+0,01219493904164i</v>
      </c>
      <c r="AC462" s="37">
        <f t="shared" si="391"/>
        <v>-12.975005893080567</v>
      </c>
      <c r="AD462" s="60">
        <f t="shared" si="392"/>
        <v>176.88637476136117</v>
      </c>
      <c r="AE462" t="str">
        <f t="shared" si="393"/>
        <v>34,4450883806789</v>
      </c>
      <c r="AF462" t="str">
        <f t="shared" si="375"/>
        <v>1+934,487783357043i</v>
      </c>
      <c r="AG462">
        <f t="shared" si="394"/>
        <v>934.48831840936339</v>
      </c>
      <c r="AH462">
        <f t="shared" si="395"/>
        <v>1.5697262222562374</v>
      </c>
      <c r="AI462" t="str">
        <f t="shared" si="376"/>
        <v>1+51,9159879642802i</v>
      </c>
      <c r="AJ462">
        <f t="shared" si="396"/>
        <v>51.925618015650876</v>
      </c>
      <c r="AK462">
        <f t="shared" si="397"/>
        <v>1.5515368194008488</v>
      </c>
      <c r="AL462" t="str">
        <f t="shared" si="377"/>
        <v>1-3,5324355556933i</v>
      </c>
      <c r="AM462">
        <f t="shared" si="398"/>
        <v>3.671253322113067</v>
      </c>
      <c r="AN462">
        <f t="shared" si="399"/>
        <v>-1.2949238337767874</v>
      </c>
      <c r="AO462" s="58" t="str">
        <f t="shared" si="400"/>
        <v>1,79068195176239-6,79466891491554i</v>
      </c>
      <c r="AP462">
        <f t="shared" si="401"/>
        <v>16.934989065764768</v>
      </c>
      <c r="AQ462" s="60">
        <f t="shared" si="402"/>
        <v>-75.235846481787064</v>
      </c>
      <c r="AR462" t="str">
        <f t="shared" si="378"/>
        <v>-1,36472945891784</v>
      </c>
      <c r="AS462" t="str">
        <f t="shared" si="379"/>
        <v>1+38,8902665840423i</v>
      </c>
      <c r="AT462">
        <f t="shared" si="403"/>
        <v>38.903121146996376</v>
      </c>
      <c r="AU462">
        <f t="shared" si="404"/>
        <v>1.545088616803199</v>
      </c>
      <c r="AV462" t="str">
        <f t="shared" si="380"/>
        <v>1+38,8902665840423i</v>
      </c>
      <c r="AW462">
        <f t="shared" si="405"/>
        <v>38.903121146996376</v>
      </c>
      <c r="AX462">
        <f t="shared" si="406"/>
        <v>1.545088616803199</v>
      </c>
      <c r="AY462" t="str">
        <f t="shared" si="381"/>
        <v>1-0,00038570062171173i</v>
      </c>
      <c r="AZ462">
        <f t="shared" si="407"/>
        <v>1.0000000743824822</v>
      </c>
      <c r="BA462">
        <f t="shared" si="408"/>
        <v>-3.857006025854846E-4</v>
      </c>
      <c r="BB462" s="58" t="str">
        <f t="shared" si="409"/>
        <v>-0,000888206415136632+0,0350689612670931i</v>
      </c>
      <c r="BC462">
        <f t="shared" si="410"/>
        <v>-29.09875694027361</v>
      </c>
      <c r="BD462" s="60">
        <f t="shared" si="411"/>
        <v>91.45084426678676</v>
      </c>
      <c r="BE462" s="58" t="str">
        <f t="shared" si="412"/>
        <v>-0,000228540571140141-0,0078727950766987i</v>
      </c>
      <c r="BF462" s="37">
        <f t="shared" si="413"/>
        <v>-42.073762833354174</v>
      </c>
      <c r="BG462" s="60">
        <f t="shared" si="414"/>
        <v>-91.662780971852087</v>
      </c>
      <c r="BH462" s="58" t="str">
        <f t="shared" si="415"/>
        <v>0,23669148580287+0,0688324245269954i</v>
      </c>
      <c r="BI462" s="37">
        <f t="shared" si="416"/>
        <v>-12.163767874508835</v>
      </c>
      <c r="BJ462" s="60">
        <f t="shared" si="417"/>
        <v>16.214997784999692</v>
      </c>
      <c r="BK462">
        <f t="shared" si="418"/>
        <v>-42.073762833354174</v>
      </c>
      <c r="BL462" s="60">
        <f t="shared" si="419"/>
        <v>-91.662780971852087</v>
      </c>
      <c r="BN462">
        <f t="shared" si="420"/>
        <v>0</v>
      </c>
      <c r="BO462">
        <f t="shared" si="421"/>
        <v>0</v>
      </c>
    </row>
    <row r="463" spans="13:67" x14ac:dyDescent="0.25">
      <c r="M463" s="66">
        <v>45</v>
      </c>
      <c r="N463" s="36">
        <f t="shared" si="422"/>
        <v>281838.29312644573</v>
      </c>
      <c r="O463" s="91" t="str">
        <f t="shared" si="370"/>
        <v>22,5</v>
      </c>
      <c r="P463" s="67" t="str">
        <f t="shared" si="371"/>
        <v>1+1912,50960016247i</v>
      </c>
      <c r="Q463" s="67">
        <f t="shared" si="382"/>
        <v>1912.5098615990482</v>
      </c>
      <c r="R463" s="67">
        <f t="shared" si="383"/>
        <v>1.5702734536502165</v>
      </c>
      <c r="S463" s="67" t="str">
        <f t="shared" si="372"/>
        <v>1+53,1252666711799i</v>
      </c>
      <c r="T463" s="67">
        <f t="shared" si="384"/>
        <v>53.134677555095578</v>
      </c>
      <c r="U463" s="67">
        <f t="shared" si="385"/>
        <v>1.5519751145823142</v>
      </c>
      <c r="V463" t="str">
        <f t="shared" si="373"/>
        <v>1-11,0677638898291i</v>
      </c>
      <c r="W463" s="67">
        <f t="shared" si="386"/>
        <v>11.112848308197362</v>
      </c>
      <c r="X463" s="67">
        <f t="shared" si="387"/>
        <v>-1.4806885081963599</v>
      </c>
      <c r="Y463" t="str">
        <f t="shared" si="374"/>
        <v>-4,08370070223544+30,6945985211261i</v>
      </c>
      <c r="Z463" s="67">
        <f t="shared" si="388"/>
        <v>30.965060791132881</v>
      </c>
      <c r="AA463" s="67">
        <f t="shared" si="389"/>
        <v>1.7030625616287727</v>
      </c>
      <c r="AB463" s="92" t="str">
        <f t="shared" si="390"/>
        <v>-0,223932006885955+0,0135547208254991i</v>
      </c>
      <c r="AC463" s="37">
        <f t="shared" si="391"/>
        <v>-12.981793328369079</v>
      </c>
      <c r="AD463" s="60">
        <f t="shared" si="392"/>
        <v>176.53608307806911</v>
      </c>
      <c r="AE463" t="str">
        <f t="shared" si="393"/>
        <v>34,4450883806789</v>
      </c>
      <c r="AF463" t="str">
        <f t="shared" si="375"/>
        <v>1+956,254800081237i</v>
      </c>
      <c r="AG463">
        <f t="shared" si="394"/>
        <v>956.25532295428638</v>
      </c>
      <c r="AH463">
        <f t="shared" si="395"/>
        <v>1.5697505807914394</v>
      </c>
      <c r="AI463" t="str">
        <f t="shared" si="376"/>
        <v>1+53,1252666711799i</v>
      </c>
      <c r="AJ463">
        <f t="shared" si="396"/>
        <v>53.134677555095578</v>
      </c>
      <c r="AK463">
        <f t="shared" si="397"/>
        <v>1.5519751145823142</v>
      </c>
      <c r="AL463" t="str">
        <f t="shared" si="377"/>
        <v>1-3,61471654982433i</v>
      </c>
      <c r="AM463">
        <f t="shared" si="398"/>
        <v>3.7504900660545566</v>
      </c>
      <c r="AN463">
        <f t="shared" si="399"/>
        <v>-1.3008996845389542</v>
      </c>
      <c r="AO463" s="58" t="str">
        <f t="shared" si="400"/>
        <v>1,79068026878562-6,95132773088193i</v>
      </c>
      <c r="AP463">
        <f t="shared" si="401"/>
        <v>17.120390133658717</v>
      </c>
      <c r="AQ463" s="60">
        <f t="shared" si="402"/>
        <v>-75.554520686642533</v>
      </c>
      <c r="AR463" t="str">
        <f t="shared" si="378"/>
        <v>-1,36472945891784</v>
      </c>
      <c r="AS463" t="str">
        <f t="shared" si="379"/>
        <v>1+39,7961372633808i</v>
      </c>
      <c r="AT463">
        <f t="shared" si="403"/>
        <v>39.808699314168081</v>
      </c>
      <c r="AU463">
        <f t="shared" si="404"/>
        <v>1.5456735466658489</v>
      </c>
      <c r="AV463" t="str">
        <f t="shared" si="380"/>
        <v>1+39,7961372633808i</v>
      </c>
      <c r="AW463">
        <f t="shared" si="405"/>
        <v>39.808699314168081</v>
      </c>
      <c r="AX463">
        <f t="shared" si="406"/>
        <v>1.5456735466658489</v>
      </c>
      <c r="AY463" t="str">
        <f t="shared" si="381"/>
        <v>1-0,0003769210036825i</v>
      </c>
      <c r="AZ463">
        <f t="shared" si="407"/>
        <v>1.000000071034719</v>
      </c>
      <c r="BA463">
        <f t="shared" si="408"/>
        <v>-3.7692098583284915E-4</v>
      </c>
      <c r="BB463" s="58" t="str">
        <f t="shared" si="409"/>
        <v>-0,00084825576694033+0,0342716981330221i</v>
      </c>
      <c r="BC463">
        <f t="shared" si="410"/>
        <v>-29.298627815923872</v>
      </c>
      <c r="BD463" s="60">
        <f t="shared" si="411"/>
        <v>91.417833289331426</v>
      </c>
      <c r="BE463" s="58" t="str">
        <f t="shared" si="412"/>
        <v>-0,00027459168416536-0,00768602801242677i</v>
      </c>
      <c r="BF463" s="37">
        <f t="shared" si="413"/>
        <v>-42.280421144292959</v>
      </c>
      <c r="BG463" s="60">
        <f t="shared" si="414"/>
        <v>-92.046083632599462</v>
      </c>
      <c r="BH463" s="58" t="str">
        <f t="shared" si="415"/>
        <v>0,236714850751747+0,0672661574601925i</v>
      </c>
      <c r="BI463" s="37">
        <f t="shared" si="416"/>
        <v>-12.178237682265165</v>
      </c>
      <c r="BJ463" s="60">
        <f t="shared" si="417"/>
        <v>15.863312602688918</v>
      </c>
      <c r="BK463">
        <f t="shared" si="418"/>
        <v>-42.280421144292959</v>
      </c>
      <c r="BL463" s="60">
        <f t="shared" si="419"/>
        <v>-92.046083632599462</v>
      </c>
      <c r="BN463">
        <f t="shared" si="420"/>
        <v>0</v>
      </c>
      <c r="BO463">
        <f t="shared" si="421"/>
        <v>0</v>
      </c>
    </row>
    <row r="464" spans="13:67" x14ac:dyDescent="0.25">
      <c r="M464" s="66">
        <v>46</v>
      </c>
      <c r="N464" s="36">
        <f t="shared" si="422"/>
        <v>288403.1503126609</v>
      </c>
      <c r="O464" s="91" t="str">
        <f t="shared" si="370"/>
        <v>22,5</v>
      </c>
      <c r="P464" s="67" t="str">
        <f t="shared" si="371"/>
        <v>1+1957,05767151593i</v>
      </c>
      <c r="Q464" s="67">
        <f t="shared" si="382"/>
        <v>1957.0579270014862</v>
      </c>
      <c r="R464" s="67">
        <f t="shared" si="383"/>
        <v>1.5702853556939811</v>
      </c>
      <c r="S464" s="67" t="str">
        <f t="shared" si="372"/>
        <v>1+54,3627130976647i</v>
      </c>
      <c r="T464" s="67">
        <f t="shared" si="384"/>
        <v>54.371909800364797</v>
      </c>
      <c r="U464" s="67">
        <f t="shared" si="385"/>
        <v>1.5524034399357607</v>
      </c>
      <c r="V464" t="str">
        <f t="shared" si="373"/>
        <v>1-11,3255652286801i</v>
      </c>
      <c r="W464" s="67">
        <f t="shared" si="386"/>
        <v>11.369627423494919</v>
      </c>
      <c r="X464" s="67">
        <f t="shared" si="387"/>
        <v>-1.4827289013154312</v>
      </c>
      <c r="Y464" t="str">
        <f t="shared" si="374"/>
        <v>-4,32328813505713+31,4095675675395i</v>
      </c>
      <c r="Z464" s="67">
        <f t="shared" si="388"/>
        <v>31.705705402633058</v>
      </c>
      <c r="AA464" s="67">
        <f t="shared" si="389"/>
        <v>1.7075792403089862</v>
      </c>
      <c r="AB464" s="92" t="str">
        <f t="shared" si="390"/>
        <v>-0,223665207083156+0,0149175828593661i</v>
      </c>
      <c r="AC464" s="37">
        <f t="shared" si="391"/>
        <v>-12.988755226989783</v>
      </c>
      <c r="AD464" s="60">
        <f t="shared" si="392"/>
        <v>176.18424983614148</v>
      </c>
      <c r="AE464" t="str">
        <f t="shared" si="393"/>
        <v>34,4450883806789</v>
      </c>
      <c r="AF464" t="str">
        <f t="shared" si="375"/>
        <v>1+978,528835757964i</v>
      </c>
      <c r="AG464">
        <f t="shared" si="394"/>
        <v>978.52934672897595</v>
      </c>
      <c r="AH464">
        <f t="shared" si="395"/>
        <v>1.569774384859886</v>
      </c>
      <c r="AI464" t="str">
        <f t="shared" si="376"/>
        <v>1+54,3627130976647i</v>
      </c>
      <c r="AJ464">
        <f t="shared" si="396"/>
        <v>54.371909800364797</v>
      </c>
      <c r="AK464">
        <f t="shared" si="397"/>
        <v>1.5524034399357607</v>
      </c>
      <c r="AL464" t="str">
        <f t="shared" si="377"/>
        <v>1-3,6989141145165i</v>
      </c>
      <c r="AM464">
        <f t="shared" si="398"/>
        <v>3.8317053157268477</v>
      </c>
      <c r="AN464">
        <f t="shared" si="399"/>
        <v>-1.3067586628998265</v>
      </c>
      <c r="AO464" s="58" t="str">
        <f t="shared" si="400"/>
        <v>1,79067866155511-7,11167223266445i</v>
      </c>
      <c r="AP464">
        <f t="shared" si="401"/>
        <v>17.306402754029669</v>
      </c>
      <c r="AQ464" s="60">
        <f t="shared" si="402"/>
        <v>-75.867038056625333</v>
      </c>
      <c r="AR464" t="str">
        <f t="shared" si="378"/>
        <v>-1,36472945891784</v>
      </c>
      <c r="AS464" t="str">
        <f t="shared" si="379"/>
        <v>1+40,7231083814606i</v>
      </c>
      <c r="AT464">
        <f t="shared" si="403"/>
        <v>40.735384572238743</v>
      </c>
      <c r="AU464">
        <f t="shared" si="404"/>
        <v>1.546245178514829</v>
      </c>
      <c r="AV464" t="str">
        <f t="shared" si="380"/>
        <v>1+40,7231083814606i</v>
      </c>
      <c r="AW464">
        <f t="shared" si="405"/>
        <v>40.735384572238743</v>
      </c>
      <c r="AX464">
        <f t="shared" si="406"/>
        <v>1.546245178514829</v>
      </c>
      <c r="AY464" t="str">
        <f t="shared" si="381"/>
        <v>1-0,000368341234158561i</v>
      </c>
      <c r="AZ464">
        <f t="shared" si="407"/>
        <v>1.0000000678376302</v>
      </c>
      <c r="BA464">
        <f t="shared" si="408"/>
        <v>-3.6834121750029751E-4</v>
      </c>
      <c r="BB464" s="58" t="str">
        <f t="shared" si="409"/>
        <v>-0,000810100975861862+0,0334925159731399i</v>
      </c>
      <c r="BC464">
        <f t="shared" si="410"/>
        <v>-29.498504499541674</v>
      </c>
      <c r="BD464" s="60">
        <f t="shared" si="411"/>
        <v>91.385572781464276</v>
      </c>
      <c r="BE464" s="58" t="str">
        <f t="shared" si="412"/>
        <v>-0,000318435979673547-0,00750319526930012i</v>
      </c>
      <c r="BF464" s="37">
        <f t="shared" si="413"/>
        <v>-42.487259726531448</v>
      </c>
      <c r="BG464" s="60">
        <f t="shared" si="414"/>
        <v>-92.430177382394248</v>
      </c>
      <c r="BH464" s="58" t="str">
        <f t="shared" si="415"/>
        <v>0,236737165317069+0,0657355062905865i</v>
      </c>
      <c r="BI464" s="37">
        <f t="shared" si="416"/>
        <v>-12.192101745511994</v>
      </c>
      <c r="BJ464" s="60">
        <f t="shared" si="417"/>
        <v>15.518534724838943</v>
      </c>
      <c r="BK464">
        <f t="shared" si="418"/>
        <v>-42.487259726531448</v>
      </c>
      <c r="BL464" s="60">
        <f t="shared" si="419"/>
        <v>-92.430177382394248</v>
      </c>
      <c r="BN464">
        <f t="shared" si="420"/>
        <v>0</v>
      </c>
      <c r="BO464">
        <f t="shared" si="421"/>
        <v>0</v>
      </c>
    </row>
    <row r="465" spans="13:67" x14ac:dyDescent="0.25">
      <c r="M465" s="66">
        <v>47</v>
      </c>
      <c r="N465" s="36">
        <f t="shared" si="422"/>
        <v>295120.92266663886</v>
      </c>
      <c r="O465" s="91" t="str">
        <f t="shared" si="370"/>
        <v>22,5</v>
      </c>
      <c r="P465" s="67" t="str">
        <f t="shared" si="371"/>
        <v>1+2002,64340075153i</v>
      </c>
      <c r="Q465" s="67">
        <f t="shared" si="382"/>
        <v>2002.6436504215253</v>
      </c>
      <c r="R465" s="67">
        <f t="shared" si="383"/>
        <v>1.5702969868142933</v>
      </c>
      <c r="S465" s="67" t="str">
        <f t="shared" si="372"/>
        <v>1+55,6289833542094i</v>
      </c>
      <c r="T465" s="67">
        <f t="shared" si="384"/>
        <v>55.637970748607522</v>
      </c>
      <c r="U465" s="67">
        <f t="shared" si="385"/>
        <v>1.5528220219359463</v>
      </c>
      <c r="V465" t="str">
        <f t="shared" si="373"/>
        <v>1-11,5893715321269i</v>
      </c>
      <c r="W465" s="67">
        <f t="shared" si="386"/>
        <v>11.632434504852087</v>
      </c>
      <c r="X465" s="67">
        <f t="shared" si="387"/>
        <v>-1.4847235600686592</v>
      </c>
      <c r="Y465" t="str">
        <f t="shared" si="374"/>
        <v>-4,57416697571894+32,141190382432i</v>
      </c>
      <c r="Z465" s="67">
        <f t="shared" si="388"/>
        <v>32.465044628361397</v>
      </c>
      <c r="AA465" s="67">
        <f t="shared" si="389"/>
        <v>1.71216184187892</v>
      </c>
      <c r="AB465" s="92" t="str">
        <f t="shared" si="390"/>
        <v>-0,223384940844972+0,0162839634238235i</v>
      </c>
      <c r="AC465" s="37">
        <f t="shared" si="391"/>
        <v>-12.995905325801559</v>
      </c>
      <c r="AD465" s="60">
        <f t="shared" si="392"/>
        <v>175.83071714675131</v>
      </c>
      <c r="AE465" t="str">
        <f t="shared" si="393"/>
        <v>34,4450883806789</v>
      </c>
      <c r="AF465" t="str">
        <f t="shared" si="375"/>
        <v>1+1001,32170037577i</v>
      </c>
      <c r="AG465">
        <f t="shared" si="394"/>
        <v>1001.3221997156677</v>
      </c>
      <c r="AH465">
        <f t="shared" si="395"/>
        <v>1.5697976470827013</v>
      </c>
      <c r="AI465" t="str">
        <f t="shared" si="376"/>
        <v>1+55,6289833542094i</v>
      </c>
      <c r="AJ465">
        <f t="shared" si="396"/>
        <v>55.637970748607522</v>
      </c>
      <c r="AK465">
        <f t="shared" si="397"/>
        <v>1.5528220219359463</v>
      </c>
      <c r="AL465" t="str">
        <f t="shared" si="377"/>
        <v>1-3,7850728924331i</v>
      </c>
      <c r="AM465">
        <f t="shared" si="398"/>
        <v>3.9149427583340057</v>
      </c>
      <c r="AN465">
        <f t="shared" si="399"/>
        <v>-1.3125022657206717</v>
      </c>
      <c r="AO465" s="58" t="str">
        <f t="shared" si="400"/>
        <v>1,79067712666175-7,27578743705094i</v>
      </c>
      <c r="AP465">
        <f t="shared" si="401"/>
        <v>17.493003139638617</v>
      </c>
      <c r="AQ465" s="60">
        <f t="shared" si="402"/>
        <v>-76.173472102657811</v>
      </c>
      <c r="AR465" t="str">
        <f t="shared" si="378"/>
        <v>-1,36472945891784</v>
      </c>
      <c r="AS465" t="str">
        <f t="shared" si="379"/>
        <v>1+41,6716714306382i</v>
      </c>
      <c r="AT465">
        <f t="shared" si="403"/>
        <v>41.683668262558996</v>
      </c>
      <c r="AU465">
        <f t="shared" si="404"/>
        <v>1.5468038139417508</v>
      </c>
      <c r="AV465" t="str">
        <f t="shared" si="380"/>
        <v>1+41,6716714306382i</v>
      </c>
      <c r="AW465">
        <f t="shared" si="405"/>
        <v>41.683668262558996</v>
      </c>
      <c r="AX465">
        <f t="shared" si="406"/>
        <v>1.5468038139417508</v>
      </c>
      <c r="AY465" t="str">
        <f t="shared" si="381"/>
        <v>1-0,000359956764032546i</v>
      </c>
      <c r="AZ465">
        <f t="shared" si="407"/>
        <v>1.000000064784434</v>
      </c>
      <c r="BA465">
        <f t="shared" si="408"/>
        <v>-3.5995674848614988E-4</v>
      </c>
      <c r="BB465" s="58" t="str">
        <f t="shared" si="409"/>
        <v>-0,000773661410025436+0,0327310076769562i</v>
      </c>
      <c r="BC465">
        <f t="shared" si="410"/>
        <v>-29.698386730040653</v>
      </c>
      <c r="BD465" s="60">
        <f t="shared" si="411"/>
        <v>91.354045723903113</v>
      </c>
      <c r="BE465" s="58" t="str">
        <f t="shared" si="412"/>
        <v>-0,000360166223523871-0,00732421248781646i</v>
      </c>
      <c r="BF465" s="37">
        <f t="shared" si="413"/>
        <v>-42.694292055842212</v>
      </c>
      <c r="BG465" s="60">
        <f t="shared" si="414"/>
        <v>-92.815237129345547</v>
      </c>
      <c r="BH465" s="58" t="str">
        <f t="shared" si="415"/>
        <v>0,236758476667302+0,0642396627473098i</v>
      </c>
      <c r="BI465" s="37">
        <f t="shared" si="416"/>
        <v>-12.205383590402041</v>
      </c>
      <c r="BJ465" s="60">
        <f t="shared" si="417"/>
        <v>15.180573621245353</v>
      </c>
      <c r="BK465">
        <f t="shared" si="418"/>
        <v>-42.694292055842212</v>
      </c>
      <c r="BL465" s="60">
        <f t="shared" si="419"/>
        <v>-92.815237129345547</v>
      </c>
      <c r="BN465">
        <f t="shared" si="420"/>
        <v>0</v>
      </c>
      <c r="BO465">
        <f t="shared" si="421"/>
        <v>0</v>
      </c>
    </row>
    <row r="466" spans="13:67" x14ac:dyDescent="0.25">
      <c r="M466" s="66">
        <v>48</v>
      </c>
      <c r="N466" s="36">
        <f t="shared" si="422"/>
        <v>301995.17204020242</v>
      </c>
      <c r="O466" s="91" t="str">
        <f t="shared" si="370"/>
        <v>22,5</v>
      </c>
      <c r="P466" s="67" t="str">
        <f t="shared" si="371"/>
        <v>1+2049,29095802634i</v>
      </c>
      <c r="Q466" s="67">
        <f t="shared" si="382"/>
        <v>2049.2912020131535</v>
      </c>
      <c r="R466" s="67">
        <f t="shared" si="383"/>
        <v>1.5703083531781143</v>
      </c>
      <c r="S466" s="67" t="str">
        <f t="shared" si="372"/>
        <v>1+56,9247488340652i</v>
      </c>
      <c r="T466" s="67">
        <f t="shared" si="384"/>
        <v>56.933531682317124</v>
      </c>
      <c r="U466" s="67">
        <f t="shared" si="385"/>
        <v>1.5532310819335302</v>
      </c>
      <c r="V466" t="str">
        <f t="shared" si="373"/>
        <v>1-11,8593226737636i</v>
      </c>
      <c r="W466" s="67">
        <f t="shared" si="386"/>
        <v>11.901408919974283</v>
      </c>
      <c r="X466" s="67">
        <f t="shared" si="387"/>
        <v>-1.4866734785267</v>
      </c>
      <c r="Y466" t="str">
        <f t="shared" si="374"/>
        <v>-4,83686937187786+32,8898548819043i</v>
      </c>
      <c r="Z466" s="67">
        <f t="shared" si="388"/>
        <v>33.243613814886821</v>
      </c>
      <c r="AA466" s="67">
        <f t="shared" si="389"/>
        <v>1.7168123345819113</v>
      </c>
      <c r="AB466" s="92" t="str">
        <f t="shared" si="390"/>
        <v>-0,22309071968896+0,0176542848092138i</v>
      </c>
      <c r="AC466" s="37">
        <f t="shared" si="391"/>
        <v>-13.003257679416693</v>
      </c>
      <c r="AD466" s="60">
        <f t="shared" si="392"/>
        <v>175.475327610927</v>
      </c>
      <c r="AE466" t="str">
        <f t="shared" si="393"/>
        <v>34,4450883806789</v>
      </c>
      <c r="AF466" t="str">
        <f t="shared" si="375"/>
        <v>1+1024,64547901317i</v>
      </c>
      <c r="AG466">
        <f t="shared" si="394"/>
        <v>1024.6459669867093</v>
      </c>
      <c r="AH466">
        <f t="shared" si="395"/>
        <v>1.5698203797937229</v>
      </c>
      <c r="AI466" t="str">
        <f t="shared" si="376"/>
        <v>1+56,9247488340652i</v>
      </c>
      <c r="AJ466">
        <f t="shared" si="396"/>
        <v>56.933531682317124</v>
      </c>
      <c r="AK466">
        <f t="shared" si="397"/>
        <v>1.5532310819335302</v>
      </c>
      <c r="AL466" t="str">
        <f t="shared" si="377"/>
        <v>1-3,87323856609864i</v>
      </c>
      <c r="AM466">
        <f t="shared" si="398"/>
        <v>4.0002471161059354</v>
      </c>
      <c r="AN466">
        <f t="shared" si="399"/>
        <v>-1.3181320219106287</v>
      </c>
      <c r="AO466" s="58" t="str">
        <f t="shared" si="400"/>
        <v>1,79067566084984-7,44376036010502i</v>
      </c>
      <c r="AP466">
        <f t="shared" si="401"/>
        <v>17.68016827727444</v>
      </c>
      <c r="AQ466" s="60">
        <f t="shared" si="402"/>
        <v>-76.473898448999222</v>
      </c>
      <c r="AR466" t="str">
        <f t="shared" si="378"/>
        <v>-1,36472945891784</v>
      </c>
      <c r="AS466" t="str">
        <f t="shared" si="379"/>
        <v>1+42,6423293515982i</v>
      </c>
      <c r="AT466">
        <f t="shared" si="403"/>
        <v>42.654053178217112</v>
      </c>
      <c r="AU466">
        <f t="shared" si="404"/>
        <v>1.5473497477470306</v>
      </c>
      <c r="AV466" t="str">
        <f t="shared" si="380"/>
        <v>1+42,6423293515982i</v>
      </c>
      <c r="AW466">
        <f t="shared" si="405"/>
        <v>42.654053178217112</v>
      </c>
      <c r="AX466">
        <f t="shared" si="406"/>
        <v>1.5473497477470306</v>
      </c>
      <c r="AY466" t="str">
        <f t="shared" si="381"/>
        <v>1-0,000351763147747411i</v>
      </c>
      <c r="AZ466">
        <f t="shared" si="407"/>
        <v>1.0000000618686542</v>
      </c>
      <c r="BA466">
        <f t="shared" si="408"/>
        <v>-3.5176313323866993E-4</v>
      </c>
      <c r="BB466" s="58" t="str">
        <f t="shared" si="409"/>
        <v>-0,000738860049451027+0,0319867751037214i</v>
      </c>
      <c r="BC466">
        <f t="shared" si="410"/>
        <v>-29.89827425805769</v>
      </c>
      <c r="BD466" s="60">
        <f t="shared" si="411"/>
        <v>91.323235480539708</v>
      </c>
      <c r="BE466" s="58" t="str">
        <f t="shared" si="412"/>
        <v>-0,000399870817627917-0,00714899672416527i</v>
      </c>
      <c r="BF466" s="37">
        <f t="shared" si="413"/>
        <v>-42.901531937474388</v>
      </c>
      <c r="BG466" s="60">
        <f t="shared" si="414"/>
        <v>-93.201436908533296</v>
      </c>
      <c r="BH466" s="58" t="str">
        <f t="shared" si="415"/>
        <v>0,236778829857349+0,0627778367950803i</v>
      </c>
      <c r="BI466" s="37">
        <f t="shared" si="416"/>
        <v>-12.218105980783257</v>
      </c>
      <c r="BJ466" s="60">
        <f t="shared" si="417"/>
        <v>14.849337031540502</v>
      </c>
      <c r="BK466">
        <f t="shared" si="418"/>
        <v>-42.901531937474388</v>
      </c>
      <c r="BL466" s="60">
        <f t="shared" si="419"/>
        <v>-93.201436908533296</v>
      </c>
      <c r="BN466">
        <f t="shared" si="420"/>
        <v>0</v>
      </c>
      <c r="BO466">
        <f t="shared" si="421"/>
        <v>0</v>
      </c>
    </row>
    <row r="467" spans="13:67" x14ac:dyDescent="0.25">
      <c r="M467" s="66">
        <v>49</v>
      </c>
      <c r="N467" s="36">
        <f t="shared" si="422"/>
        <v>309029.54325135931</v>
      </c>
      <c r="O467" s="91" t="str">
        <f t="shared" ref="O467:O530" si="423">COMPLEX(adc,0)</f>
        <v>22,5</v>
      </c>
      <c r="P467" s="67" t="str">
        <f t="shared" ref="P467:P530" si="424">IMSUM(COMPLEX(1,0),IMDIV(COMPLEX(0,2*PI()*N467),COMPLEX(wp_lf,0)))</f>
        <v>1+2097,02507649267i</v>
      </c>
      <c r="Q467" s="67">
        <f t="shared" si="382"/>
        <v>2097.025314925666</v>
      </c>
      <c r="R467" s="67">
        <f t="shared" si="383"/>
        <v>1.570319460812029</v>
      </c>
      <c r="S467" s="67" t="str">
        <f t="shared" ref="S467:S530" si="425">IMSUM(COMPLEX(1,0),IMDIV(COMPLEX(0,2*PI()*N467),COMPLEX(wz_esr,0)))</f>
        <v>1+58,2506965692409i</v>
      </c>
      <c r="T467" s="67">
        <f t="shared" si="384"/>
        <v>58.259279525254811</v>
      </c>
      <c r="U467" s="67">
        <f t="shared" si="385"/>
        <v>1.5536308362696396</v>
      </c>
      <c r="V467" t="str">
        <f t="shared" ref="V467:V530" si="426">IMSUB(COMPLEX(1,0),IMDIV(COMPLEX(0,2*PI()*N467),COMPLEX(wz_rhp,0)))</f>
        <v>1-12,1355617852585i</v>
      </c>
      <c r="W467" s="67">
        <f t="shared" si="386"/>
        <v>12.176693304991566</v>
      </c>
      <c r="X467" s="67">
        <f t="shared" si="387"/>
        <v>-1.4885796312176234</v>
      </c>
      <c r="Y467" t="str">
        <f t="shared" ref="Y467:Y530" si="427">IMSUM(COMPLEX(1,0),IMDIV(COMPLEX(0,2*PI()*N467),COMPLEX(Q*(wsl/2),0)),IMDIV(IMPOWER(COMPLEX(0,2*PI()*N467),2),IMPOWER(COMPLEX(wsl/2,0),2)))</f>
        <v>-5,11195255053722+33,6559580177836i</v>
      </c>
      <c r="Z467" s="67">
        <f t="shared" si="388"/>
        <v>34.041967760012874</v>
      </c>
      <c r="AA467" s="67">
        <f t="shared" si="389"/>
        <v>1.721532692078104</v>
      </c>
      <c r="AB467" s="92" t="str">
        <f t="shared" si="390"/>
        <v>-0,222782035166907+0,0190289524530832i</v>
      </c>
      <c r="AC467" s="37">
        <f t="shared" si="391"/>
        <v>-13.010826681421555</v>
      </c>
      <c r="AD467" s="60">
        <f t="shared" si="392"/>
        <v>175.1179243600622</v>
      </c>
      <c r="AE467" t="str">
        <f t="shared" si="393"/>
        <v>34,4450883806789</v>
      </c>
      <c r="AF467" t="str">
        <f t="shared" ref="AF467:AF530" si="428">IMSUM(COMPLEX(1,0),IMDIV(COMPLEX(0,2*PI()*N467),COMPLEX(wp_lf_DCM,0)))</f>
        <v>1+1048,51253824634i</v>
      </c>
      <c r="AG467">
        <f t="shared" si="394"/>
        <v>1048.5130151122505</v>
      </c>
      <c r="AH467">
        <f t="shared" si="395"/>
        <v>1.5698425950460411</v>
      </c>
      <c r="AI467" t="str">
        <f t="shared" ref="AI467:AI530" si="429">IMSUM(COMPLEX(1,0),IMDIV(COMPLEX(0,2*PI()*N467),COMPLEX(wz1_dcm,0)))</f>
        <v>1+58,2506965692409i</v>
      </c>
      <c r="AJ467">
        <f t="shared" si="396"/>
        <v>58.259279525254811</v>
      </c>
      <c r="AK467">
        <f t="shared" si="397"/>
        <v>1.5536308362696396</v>
      </c>
      <c r="AL467" t="str">
        <f t="shared" ref="AL467:AL530" si="430">IMSUB(COMPLEX(1,0),IMDIV(COMPLEX(0,2*PI()*N467),COMPLEX(wz2_dcm,0)))</f>
        <v>1-3,96345788212029i</v>
      </c>
      <c r="AM467">
        <f t="shared" si="398"/>
        <v>4.0876641720353515</v>
      </c>
      <c r="AN467">
        <f t="shared" si="399"/>
        <v>-1.3236494884043462</v>
      </c>
      <c r="AO467" s="58" t="str">
        <f t="shared" si="400"/>
        <v>1,79067426101019-7,61568006330294i</v>
      </c>
      <c r="AP467">
        <f t="shared" si="401"/>
        <v>17.867875915197548</v>
      </c>
      <c r="AQ467" s="60">
        <f t="shared" si="402"/>
        <v>-76.768394596591619</v>
      </c>
      <c r="AR467" t="str">
        <f t="shared" ref="AR467:AR530" si="431">COMPLEX(adc_ea,0)</f>
        <v>-1,36472945891784</v>
      </c>
      <c r="AS467" t="str">
        <f t="shared" ref="AS467:AS530" si="432">IMSUM(COMPLEX(1,0), IMDIV(COMPLEX(0,2*PI()*N467), COMPLEX(wp0_ea,0)))</f>
        <v>1+43,6355968000183i</v>
      </c>
      <c r="AT467">
        <f t="shared" si="403"/>
        <v>43.647053830628337</v>
      </c>
      <c r="AU467">
        <f t="shared" si="404"/>
        <v>1.5478832680895553</v>
      </c>
      <c r="AV467" t="str">
        <f t="shared" ref="AV467:AV530" si="433">IMSUM(COMPLEX(1,0),IMDIV(COMPLEX(0,2*PI()*N467),COMPLEX(wp1_ea,0)))</f>
        <v>1+43,6355968000183i</v>
      </c>
      <c r="AW467">
        <f t="shared" si="405"/>
        <v>43.647053830628337</v>
      </c>
      <c r="AX467">
        <f t="shared" si="406"/>
        <v>1.5478832680895553</v>
      </c>
      <c r="AY467" t="str">
        <f t="shared" ref="AY467:AY530" si="434">IMSUM(COMPLEX(1,0),IMDIV(COMPLEX(wz_ea,0),COMPLEX(0,2*PI()*N467)))</f>
        <v>1-0,000343756040939349i</v>
      </c>
      <c r="AZ467">
        <f t="shared" si="407"/>
        <v>1.0000000590841061</v>
      </c>
      <c r="BA467">
        <f t="shared" si="408"/>
        <v>-3.4375602739900393E-4</v>
      </c>
      <c r="BB467" s="58" t="str">
        <f t="shared" si="409"/>
        <v>-0,00070562332499727+0,03125942889802i</v>
      </c>
      <c r="BC467">
        <f t="shared" si="410"/>
        <v>-30.098166845427468</v>
      </c>
      <c r="BD467" s="60">
        <f t="shared" si="411"/>
        <v>91.293125789999408</v>
      </c>
      <c r="BE467" s="58" t="str">
        <f t="shared" si="412"/>
        <v>-0,000437633985806826-0,00697746646075728i</v>
      </c>
      <c r="BF467" s="37">
        <f t="shared" si="413"/>
        <v>-43.108993526849027</v>
      </c>
      <c r="BG467" s="60">
        <f t="shared" si="414"/>
        <v>-93.588949849938388</v>
      </c>
      <c r="BH467" s="58" t="str">
        <f t="shared" si="415"/>
        <v>0,236798267922846+0,0613492562299458i</v>
      </c>
      <c r="BI467" s="37">
        <f t="shared" si="416"/>
        <v>-12.230290930229907</v>
      </c>
      <c r="BJ467" s="60">
        <f t="shared" si="417"/>
        <v>14.524731193407764</v>
      </c>
      <c r="BK467">
        <f t="shared" si="418"/>
        <v>-43.108993526849027</v>
      </c>
      <c r="BL467" s="60">
        <f t="shared" si="419"/>
        <v>-93.588949849938388</v>
      </c>
      <c r="BN467">
        <f t="shared" si="420"/>
        <v>0</v>
      </c>
      <c r="BO467">
        <f t="shared" si="421"/>
        <v>0</v>
      </c>
    </row>
    <row r="468" spans="13:67" x14ac:dyDescent="0.25">
      <c r="M468" s="66">
        <v>50</v>
      </c>
      <c r="N468" s="36">
        <f t="shared" si="422"/>
        <v>316227.7660168382</v>
      </c>
      <c r="O468" s="91" t="str">
        <f t="shared" si="423"/>
        <v>22,5</v>
      </c>
      <c r="P468" s="67" t="str">
        <f t="shared" si="424"/>
        <v>1+2145,87106541196i</v>
      </c>
      <c r="Q468" s="67">
        <f t="shared" ref="Q468:Q531" si="435">IMABS(P468)</f>
        <v>2145.871298417559</v>
      </c>
      <c r="R468" s="67">
        <f t="shared" ref="R468:R531" si="436">IMARGUMENT(P468)</f>
        <v>1.5703303156054409</v>
      </c>
      <c r="S468" s="67" t="str">
        <f t="shared" si="425"/>
        <v>1+59,6075295947767i</v>
      </c>
      <c r="T468" s="67">
        <f t="shared" ref="T468:T531" si="437">IMABS(S468)</f>
        <v>59.615917206667042</v>
      </c>
      <c r="U468" s="67">
        <f t="shared" ref="U468:U531" si="438">IMARGUMENT(S468)</f>
        <v>1.5540214963879639</v>
      </c>
      <c r="V468" t="str">
        <f t="shared" si="426"/>
        <v>1-12,4182353322451i</v>
      </c>
      <c r="W468" s="67">
        <f t="shared" ref="W468:W531" si="439">IMABS(V468)</f>
        <v>12.45843364019011</v>
      </c>
      <c r="X468" s="67">
        <f t="shared" ref="X468:X531" si="440">IMARGUMENT(V468)</f>
        <v>-1.490442973371197</v>
      </c>
      <c r="Y468" t="str">
        <f t="shared" si="427"/>
        <v>-5,4+34,4399059880931i</v>
      </c>
      <c r="Z468" s="67">
        <f t="shared" ref="Z468:Z531" si="441">IMABS(Y468)</f>
        <v>34.860681640907302</v>
      </c>
      <c r="AA468" s="67">
        <f t="shared" ref="AA468:AA531" si="442">IMARGUMENT(Y468)</f>
        <v>1.7263248925071</v>
      </c>
      <c r="AB468" s="92" t="str">
        <f t="shared" ref="AB468:AB531" si="443">(IMDIV(IMPRODUCT(O468,S468,V468),IMPRODUCT(P468,Y468)))</f>
        <v>-0,222458358623737+0,0204083540178557i</v>
      </c>
      <c r="AC468" s="37">
        <f t="shared" ref="AC468:AC531" si="444">20*LOG(IMABS(AB468))</f>
        <v>-13.018627085667489</v>
      </c>
      <c r="AD468" s="60">
        <f t="shared" ref="AD468:AD531" si="445">(180/PI())*IMARGUMENT(AB468)</f>
        <v>174.75835110186543</v>
      </c>
      <c r="AE468" t="str">
        <f t="shared" ref="AE468:AE531" si="446">COMPLEX($B$67,0)</f>
        <v>34,4450883806789</v>
      </c>
      <c r="AF468" t="str">
        <f t="shared" si="428"/>
        <v>1+1072,93553270598i</v>
      </c>
      <c r="AG468">
        <f t="shared" ref="AG468:AG531" si="447">IMABS(AF468)</f>
        <v>1072.9359987171019</v>
      </c>
      <c r="AH468">
        <f t="shared" ref="AH468:AH531" si="448">IMARGUMENT(AF468)</f>
        <v>1.5698643046183891</v>
      </c>
      <c r="AI468" t="str">
        <f t="shared" si="429"/>
        <v>1+59,6075295947767i</v>
      </c>
      <c r="AJ468">
        <f t="shared" ref="AJ468:AJ531" si="449">IMABS(AI468)</f>
        <v>59.615917206667042</v>
      </c>
      <c r="AK468">
        <f t="shared" ref="AK468:AK531" si="450">IMARGUMENT(AI468)</f>
        <v>1.5540214963879639</v>
      </c>
      <c r="AL468" t="str">
        <f t="shared" si="430"/>
        <v>1-4,05577867597361i</v>
      </c>
      <c r="AM468">
        <f t="shared" ref="AM468:AM531" si="451">IMABS(AL468)</f>
        <v>4.1772407960856466</v>
      </c>
      <c r="AN468">
        <f t="shared" ref="AN468:AN531" si="452">IMARGUMENT(AL468)</f>
        <v>-1.3290562463473223</v>
      </c>
      <c r="AO468" s="58" t="str">
        <f t="shared" ref="AO468:AO531" si="453">(IMDIV(IMPRODUCT(AE468,AI468,AL468),IMPRODUCT(AF468)))</f>
        <v>1,79067292417361-7,79163770075574i</v>
      </c>
      <c r="AP468">
        <f t="shared" ref="AP468:AP531" si="454">20*LOG(IMABS(AO468))</f>
        <v>18.056104549627193</v>
      </c>
      <c r="AQ468" s="60">
        <f t="shared" ref="AQ468:AQ531" si="455">(180/PI())*IMARGUMENT(AO468)</f>
        <v>-77.057039698439496</v>
      </c>
      <c r="AR468" t="str">
        <f t="shared" si="431"/>
        <v>-1,36472945891784</v>
      </c>
      <c r="AS468" t="str">
        <f t="shared" si="432"/>
        <v>1+44,6520004194472i</v>
      </c>
      <c r="AT468">
        <f t="shared" ref="AT468:AT531" si="456">IMABS(AS468)</f>
        <v>44.663196722338554</v>
      </c>
      <c r="AU468">
        <f t="shared" ref="AU468:AU531" si="457">IMARGUMENT(AS468)</f>
        <v>1.5484046566332692</v>
      </c>
      <c r="AV468" t="str">
        <f t="shared" si="433"/>
        <v>1+44,6520004194472i</v>
      </c>
      <c r="AW468">
        <f t="shared" ref="AW468:AW531" si="458">IMABS(AV468)</f>
        <v>44.663196722338554</v>
      </c>
      <c r="AX468">
        <f t="shared" ref="AX468:AX531" si="459">IMARGUMENT(AV468)</f>
        <v>1.5484046566332692</v>
      </c>
      <c r="AY468" t="str">
        <f t="shared" si="434"/>
        <v>1-0,000335931198134342i</v>
      </c>
      <c r="AZ468">
        <f t="shared" ref="AZ468:AZ531" si="460">IMABS(AY468)</f>
        <v>1.0000000564248834</v>
      </c>
      <c r="BA468">
        <f t="shared" ref="BA468:BA531" si="461">IMARGUMENT(AY468)</f>
        <v>-3.3593118549775667E-4</v>
      </c>
      <c r="BB468" s="58" t="str">
        <f t="shared" ref="BB468:BB531" si="462">IMDIV(IMPRODUCT(AR468,AY468), AS468)</f>
        <v>-0,000673880964421017+0,0305485883082482i</v>
      </c>
      <c r="BC468">
        <f t="shared" ref="BC468:BC531" si="463">20*LOG(IMABS(BB468))</f>
        <v>-30.298064264680828</v>
      </c>
      <c r="BD468" s="60">
        <f t="shared" ref="BD468:BD531" si="464">(180/PI())*IMARGUMENT(BB468)</f>
        <v>91.263700757374409</v>
      </c>
      <c r="BE468" s="58" t="str">
        <f t="shared" ref="BE468:BE531" si="465">IMPRODUCT(AB468,BB468)</f>
        <v>-0,000473535951687576-0,00680954161461297i</v>
      </c>
      <c r="BF468" s="37">
        <f t="shared" ref="BF468:BF531" si="466">20*LOG(IMABS(BE468))</f>
        <v>-43.316691350348322</v>
      </c>
      <c r="BG468" s="60">
        <f t="shared" ref="BG468:BG531" si="467">(180/PI())*IMARGUMENT(BE468)</f>
        <v>-93.977948140760148</v>
      </c>
      <c r="BH468" s="58" t="str">
        <f t="shared" ref="BH468:BH531" si="468">IMPRODUCT(AO468,BB468)</f>
        <v>0,236816831970308+0,059953166283511i</v>
      </c>
      <c r="BI468" s="37">
        <f t="shared" ref="BI468:BI531" si="469">20*LOG(IMABS(BH468))</f>
        <v>-12.241959715053635</v>
      </c>
      <c r="BJ468" s="60">
        <f t="shared" ref="BJ468:BJ531" si="470">(180/PI())*IMARGUMENT(BH468)</f>
        <v>14.206661058934932</v>
      </c>
      <c r="BK468">
        <f t="shared" ref="BK468:BK531" si="471">IF($B$19=0,BF468,BI468)</f>
        <v>-43.316691350348322</v>
      </c>
      <c r="BL468" s="60">
        <f t="shared" ref="BL468:BL531" si="472">IF($B$19=0,BG468,BJ468)</f>
        <v>-93.977948140760148</v>
      </c>
      <c r="BN468">
        <f t="shared" si="420"/>
        <v>0</v>
      </c>
      <c r="BO468">
        <f t="shared" si="421"/>
        <v>0</v>
      </c>
    </row>
    <row r="469" spans="13:67" x14ac:dyDescent="0.25">
      <c r="M469" s="66">
        <v>51</v>
      </c>
      <c r="N469" s="36">
        <f t="shared" si="422"/>
        <v>323593.65692962846</v>
      </c>
      <c r="O469" s="91" t="str">
        <f t="shared" si="423"/>
        <v>22,5</v>
      </c>
      <c r="P469" s="67" t="str">
        <f t="shared" si="424"/>
        <v>1+2195,85482357409i</v>
      </c>
      <c r="Q469" s="67">
        <f t="shared" si="435"/>
        <v>2195.8550512758347</v>
      </c>
      <c r="R469" s="67">
        <f t="shared" si="436"/>
        <v>1.5703409233136949</v>
      </c>
      <c r="S469" s="67" t="str">
        <f t="shared" si="425"/>
        <v>1+60,9959673215026i</v>
      </c>
      <c r="T469" s="67">
        <f t="shared" si="437"/>
        <v>61.004164033988793</v>
      </c>
      <c r="U469" s="67">
        <f t="shared" si="438"/>
        <v>1.5544032689444298</v>
      </c>
      <c r="V469" t="str">
        <f t="shared" si="426"/>
        <v>1-12,7074931919797i</v>
      </c>
      <c r="W469" s="67">
        <f t="shared" si="439"/>
        <v>12.746779327508985</v>
      </c>
      <c r="X469" s="67">
        <f t="shared" si="440"/>
        <v>-1.4922644411704131</v>
      </c>
      <c r="Y469" t="str">
        <f t="shared" si="427"/>
        <v>-5,70162270752575+35,2421144524237i</v>
      </c>
      <c r="Z469" s="67">
        <f t="shared" si="441"/>
        <v>35.700351995137311</v>
      </c>
      <c r="AA469" s="67">
        <f t="shared" si="442"/>
        <v>1.7311909174391784</v>
      </c>
      <c r="AB469" s="92" t="str">
        <f t="shared" si="443"/>
        <v>-0,222119140982467+0,0217928584070274i</v>
      </c>
      <c r="AC469" s="37">
        <f t="shared" si="444"/>
        <v>-13.02667402761595</v>
      </c>
      <c r="AD469" s="60">
        <f t="shared" si="445"/>
        <v>174.396452172144</v>
      </c>
      <c r="AE469" t="str">
        <f t="shared" si="446"/>
        <v>34,4450883806789</v>
      </c>
      <c r="AF469" t="str">
        <f t="shared" si="428"/>
        <v>1+1097,92741178705i</v>
      </c>
      <c r="AG469">
        <f t="shared" si="447"/>
        <v>1097.9278671904681</v>
      </c>
      <c r="AH469">
        <f t="shared" si="448"/>
        <v>1.5698855200213875</v>
      </c>
      <c r="AI469" t="str">
        <f t="shared" si="429"/>
        <v>1+60,9959673215026i</v>
      </c>
      <c r="AJ469">
        <f t="shared" si="449"/>
        <v>61.004164033988793</v>
      </c>
      <c r="AK469">
        <f t="shared" si="450"/>
        <v>1.5544032689444298</v>
      </c>
      <c r="AL469" t="str">
        <f t="shared" si="430"/>
        <v>1-4,15024989736551i</v>
      </c>
      <c r="AM469">
        <f t="shared" si="451"/>
        <v>4.2690249718855515</v>
      </c>
      <c r="AN469">
        <f t="shared" si="452"/>
        <v>-1.3343538974853191</v>
      </c>
      <c r="AO469" s="58" t="str">
        <f t="shared" si="453"/>
        <v>1,79067164750447-7,97172656753977i</v>
      </c>
      <c r="AP469">
        <f t="shared" si="454"/>
        <v>18.244833410398893</v>
      </c>
      <c r="AQ469" s="60">
        <f t="shared" si="455"/>
        <v>-77.339914346812449</v>
      </c>
      <c r="AR469" t="str">
        <f t="shared" si="431"/>
        <v>-1,36472945891784</v>
      </c>
      <c r="AS469" t="str">
        <f t="shared" si="432"/>
        <v>1+45,6920791205376i</v>
      </c>
      <c r="AT469">
        <f t="shared" si="456"/>
        <v>45.703020626184745</v>
      </c>
      <c r="AU469">
        <f t="shared" si="457"/>
        <v>1.5489141886907309</v>
      </c>
      <c r="AV469" t="str">
        <f t="shared" si="433"/>
        <v>1+45,6920791205376i</v>
      </c>
      <c r="AW469">
        <f t="shared" si="458"/>
        <v>45.703020626184745</v>
      </c>
      <c r="AX469">
        <f t="shared" si="459"/>
        <v>1.5489141886907309</v>
      </c>
      <c r="AY469" t="str">
        <f t="shared" si="434"/>
        <v>1-0,00032828447049716i</v>
      </c>
      <c r="AZ469">
        <f t="shared" si="460"/>
        <v>1.0000000538853453</v>
      </c>
      <c r="BA469">
        <f t="shared" si="461"/>
        <v>-3.2828445870401236E-4</v>
      </c>
      <c r="BB469" s="58" t="str">
        <f t="shared" si="462"/>
        <v>-0,000643565845244909+0,0298538810079988i</v>
      </c>
      <c r="BC469">
        <f t="shared" si="463"/>
        <v>-30.497966298565405</v>
      </c>
      <c r="BD469" s="60">
        <f t="shared" si="464"/>
        <v>91.234944846127618</v>
      </c>
      <c r="BE469" s="58" t="str">
        <f t="shared" si="465"/>
        <v>-0,000507653108996108-0,0066451435438305i</v>
      </c>
      <c r="BF469" s="37">
        <f t="shared" si="466"/>
        <v>-43.524640326181355</v>
      </c>
      <c r="BG469" s="60">
        <f t="shared" si="467"/>
        <v>-94.368602981728387</v>
      </c>
      <c r="BH469" s="58" t="str">
        <f t="shared" si="468"/>
        <v>0,236834561263253+0,0585888292354956i</v>
      </c>
      <c r="BI469" s="37">
        <f t="shared" si="469"/>
        <v>-12.253132888166501</v>
      </c>
      <c r="BJ469" s="60">
        <f t="shared" si="470"/>
        <v>13.895030499315132</v>
      </c>
      <c r="BK469">
        <f t="shared" si="471"/>
        <v>-43.524640326181355</v>
      </c>
      <c r="BL469" s="60">
        <f t="shared" si="472"/>
        <v>-94.368602981728387</v>
      </c>
      <c r="BN469">
        <f t="shared" ref="BN469:BN532" si="473">SUM((BK470&lt;0)*(BK469&gt;0))*N469</f>
        <v>0</v>
      </c>
      <c r="BO469">
        <f t="shared" ref="BO469:BO532" si="474">IF(BN469&gt;0,BL469,0)</f>
        <v>0</v>
      </c>
    </row>
    <row r="470" spans="13:67" x14ac:dyDescent="0.25">
      <c r="M470" s="66">
        <v>52</v>
      </c>
      <c r="N470" s="36">
        <f t="shared" si="422"/>
        <v>331131.12148259126</v>
      </c>
      <c r="O470" s="91" t="str">
        <f t="shared" si="423"/>
        <v>22,5</v>
      </c>
      <c r="P470" s="67" t="str">
        <f t="shared" si="424"/>
        <v>1+2247,00285302927i</v>
      </c>
      <c r="Q470" s="67">
        <f t="shared" si="435"/>
        <v>2247.0030755478906</v>
      </c>
      <c r="R470" s="67">
        <f t="shared" si="436"/>
        <v>1.5703512895611287</v>
      </c>
      <c r="S470" s="67" t="str">
        <f t="shared" si="425"/>
        <v>1+62,4167459174797i</v>
      </c>
      <c r="T470" s="67">
        <f t="shared" si="437"/>
        <v>62.424756074230828</v>
      </c>
      <c r="U470" s="67">
        <f t="shared" si="438"/>
        <v>1.5547763559144971</v>
      </c>
      <c r="V470" t="str">
        <f t="shared" si="426"/>
        <v>1-13,0034887328083i</v>
      </c>
      <c r="W470" s="67">
        <f t="shared" si="439"/>
        <v>13.041883269845364</v>
      </c>
      <c r="X470" s="67">
        <f t="shared" si="440"/>
        <v>-1.4940449520093122</v>
      </c>
      <c r="Y470" t="str">
        <f t="shared" si="427"/>
        <v>-6,01746045531643+36,0630087523215i</v>
      </c>
      <c r="Z470" s="67">
        <f t="shared" si="441"/>
        <v>36.56159775777467</v>
      </c>
      <c r="AA470" s="67">
        <f t="shared" si="442"/>
        <v>1.7361327507091222</v>
      </c>
      <c r="AB470" s="92" t="str">
        <f t="shared" si="443"/>
        <v>-0,221763812559813+0,0231828147183163i</v>
      </c>
      <c r="AC470" s="37">
        <f t="shared" si="444"/>
        <v>-13.034983045715334</v>
      </c>
      <c r="AD470" s="60">
        <f t="shared" si="445"/>
        <v>174.03207259282152</v>
      </c>
      <c r="AE470" t="str">
        <f t="shared" si="446"/>
        <v>34,4450883806789</v>
      </c>
      <c r="AF470" t="str">
        <f t="shared" si="428"/>
        <v>1+1123,50142651463i</v>
      </c>
      <c r="AG470">
        <f t="shared" si="447"/>
        <v>1123.5018715518052</v>
      </c>
      <c r="AH470">
        <f t="shared" si="448"/>
        <v>1.5699062525036473</v>
      </c>
      <c r="AI470" t="str">
        <f t="shared" si="429"/>
        <v>1+62,4167459174797i</v>
      </c>
      <c r="AJ470">
        <f t="shared" si="449"/>
        <v>62.424756074230828</v>
      </c>
      <c r="AK470">
        <f t="shared" si="450"/>
        <v>1.5547763559144971</v>
      </c>
      <c r="AL470" t="str">
        <f t="shared" si="430"/>
        <v>1-4,24692163618805i</v>
      </c>
      <c r="AM470">
        <f t="shared" si="451"/>
        <v>4.3630658239272737</v>
      </c>
      <c r="AN470">
        <f t="shared" si="452"/>
        <v>-1.339544060753606</v>
      </c>
      <c r="AO470" s="58" t="str">
        <f t="shared" si="453"/>
        <v>1,79067042829484-8,15604214916358i</v>
      </c>
      <c r="AP470">
        <f t="shared" si="454"/>
        <v>18.434042445915185</v>
      </c>
      <c r="AQ470" s="60">
        <f t="shared" si="455"/>
        <v>-77.617100372025249</v>
      </c>
      <c r="AR470" t="str">
        <f t="shared" si="431"/>
        <v>-1,36472945891784</v>
      </c>
      <c r="AS470" t="str">
        <f t="shared" si="432"/>
        <v>1+46,756384366784i</v>
      </c>
      <c r="AT470">
        <f t="shared" si="456"/>
        <v>46.767076870961716</v>
      </c>
      <c r="AU470">
        <f t="shared" si="457"/>
        <v>1.5494121333636852</v>
      </c>
      <c r="AV470" t="str">
        <f t="shared" si="433"/>
        <v>1+46,756384366784i</v>
      </c>
      <c r="AW470">
        <f t="shared" si="458"/>
        <v>46.767076870961716</v>
      </c>
      <c r="AX470">
        <f t="shared" si="459"/>
        <v>1.5494121333636852</v>
      </c>
      <c r="AY470" t="str">
        <f t="shared" si="434"/>
        <v>1-0,000320811803631593i</v>
      </c>
      <c r="AZ470">
        <f t="shared" si="460"/>
        <v>1.0000000514601053</v>
      </c>
      <c r="BA470">
        <f t="shared" si="461"/>
        <v>-3.2081179262558729E-4</v>
      </c>
      <c r="BB470" s="58" t="str">
        <f t="shared" si="462"/>
        <v>-0,000614613854137068+0,0291749429203679i</v>
      </c>
      <c r="BC470">
        <f t="shared" si="463"/>
        <v>-30.697872739587623</v>
      </c>
      <c r="BD470" s="60">
        <f t="shared" si="464"/>
        <v>91.206842870164309</v>
      </c>
      <c r="BE470" s="58" t="str">
        <f t="shared" si="465"/>
        <v>-0,000540058184594826-0,00648419505233948i</v>
      </c>
      <c r="BF470" s="37">
        <f t="shared" si="466"/>
        <v>-43.732855785302959</v>
      </c>
      <c r="BG470" s="60">
        <f t="shared" si="467"/>
        <v>-94.761084537014156</v>
      </c>
      <c r="BH470" s="58" t="str">
        <f t="shared" si="468"/>
        <v>0,236851493304539+0,0572555240344945i</v>
      </c>
      <c r="BI470" s="37">
        <f t="shared" si="469"/>
        <v>-12.263830293672422</v>
      </c>
      <c r="BJ470" s="60">
        <f t="shared" si="470"/>
        <v>13.589742498139048</v>
      </c>
      <c r="BK470">
        <f t="shared" si="471"/>
        <v>-43.732855785302959</v>
      </c>
      <c r="BL470" s="60">
        <f t="shared" si="472"/>
        <v>-94.761084537014156</v>
      </c>
      <c r="BN470">
        <f t="shared" si="473"/>
        <v>0</v>
      </c>
      <c r="BO470">
        <f t="shared" si="474"/>
        <v>0</v>
      </c>
    </row>
    <row r="471" spans="13:67" x14ac:dyDescent="0.25">
      <c r="M471" s="66">
        <v>53</v>
      </c>
      <c r="N471" s="36">
        <f t="shared" si="422"/>
        <v>338844.15613920329</v>
      </c>
      <c r="O471" s="91" t="str">
        <f t="shared" si="423"/>
        <v>22,5</v>
      </c>
      <c r="P471" s="67" t="str">
        <f t="shared" si="424"/>
        <v>1+2299,34227313971i</v>
      </c>
      <c r="Q471" s="67">
        <f t="shared" si="435"/>
        <v>2299.3424905931888</v>
      </c>
      <c r="R471" s="67">
        <f t="shared" si="436"/>
        <v>1.5703614198440552</v>
      </c>
      <c r="S471" s="67" t="str">
        <f t="shared" si="425"/>
        <v>1+63,8706186983254i</v>
      </c>
      <c r="T471" s="67">
        <f t="shared" si="437"/>
        <v>63.878446544252107</v>
      </c>
      <c r="U471" s="67">
        <f t="shared" si="438"/>
        <v>1.5551409546981256</v>
      </c>
      <c r="V471" t="str">
        <f t="shared" si="426"/>
        <v>1-13,3063788954844i</v>
      </c>
      <c r="W471" s="67">
        <f t="shared" si="439"/>
        <v>13.343901952209954</v>
      </c>
      <c r="X471" s="67">
        <f t="shared" si="440"/>
        <v>-1.4957854047562089</v>
      </c>
      <c r="Y471" t="str">
        <f t="shared" si="427"/>
        <v>-6,34818317758011+36,9030241368102i</v>
      </c>
      <c r="Z471" s="67">
        <f t="shared" si="441"/>
        <v>37.445061357916181</v>
      </c>
      <c r="AA471" s="67">
        <f t="shared" si="442"/>
        <v>1.7411523771265316</v>
      </c>
      <c r="AB471" s="92" t="str">
        <f t="shared" si="443"/>
        <v>-0,22139178291729+0,0245785511323576i</v>
      </c>
      <c r="AC471" s="37">
        <f t="shared" si="444"/>
        <v>-13.04357010278682</v>
      </c>
      <c r="AD471" s="60">
        <f t="shared" si="445"/>
        <v>173.66505813659302</v>
      </c>
      <c r="AE471" t="str">
        <f t="shared" si="446"/>
        <v>34,4450883806789</v>
      </c>
      <c r="AF471" t="str">
        <f t="shared" si="428"/>
        <v>1+1149,67113656986i</v>
      </c>
      <c r="AG471">
        <f t="shared" si="447"/>
        <v>1149.6715714767561</v>
      </c>
      <c r="AH471">
        <f t="shared" si="448"/>
        <v>1.5699265130577338</v>
      </c>
      <c r="AI471" t="str">
        <f t="shared" si="429"/>
        <v>1+63,8706186983254i</v>
      </c>
      <c r="AJ471">
        <f t="shared" si="449"/>
        <v>63.878446544252107</v>
      </c>
      <c r="AK471">
        <f t="shared" si="450"/>
        <v>1.5551409546981256</v>
      </c>
      <c r="AL471" t="str">
        <f t="shared" si="430"/>
        <v>1-4,34584514907676i</v>
      </c>
      <c r="AM471">
        <f t="shared" si="451"/>
        <v>4.4594136452849948</v>
      </c>
      <c r="AN471">
        <f t="shared" si="452"/>
        <v>-1.3446283690612169</v>
      </c>
      <c r="AO471" s="58" t="str">
        <f t="shared" si="453"/>
        <v>1,79066926395857-8,34468217219505i</v>
      </c>
      <c r="AP471">
        <f t="shared" si="454"/>
        <v>18.623712307499215</v>
      </c>
      <c r="AQ471" s="60">
        <f t="shared" si="455"/>
        <v>-77.888680652516868</v>
      </c>
      <c r="AR471" t="str">
        <f t="shared" si="431"/>
        <v>-1,36472945891784</v>
      </c>
      <c r="AS471" t="str">
        <f t="shared" si="432"/>
        <v>1+47,8454804669155i</v>
      </c>
      <c r="AT471">
        <f t="shared" si="456"/>
        <v>47.855929633745404</v>
      </c>
      <c r="AU471">
        <f t="shared" si="457"/>
        <v>1.5498987536807041</v>
      </c>
      <c r="AV471" t="str">
        <f t="shared" si="433"/>
        <v>1+47,8454804669155i</v>
      </c>
      <c r="AW471">
        <f t="shared" si="458"/>
        <v>47.855929633745404</v>
      </c>
      <c r="AX471">
        <f t="shared" si="459"/>
        <v>1.5498987536807041</v>
      </c>
      <c r="AY471" t="str">
        <f t="shared" si="434"/>
        <v>1-0,000313509235430759i</v>
      </c>
      <c r="AZ471">
        <f t="shared" si="460"/>
        <v>1.0000000491440191</v>
      </c>
      <c r="BA471">
        <f t="shared" si="461"/>
        <v>-3.1350922515935677E-4</v>
      </c>
      <c r="BB471" s="58" t="str">
        <f t="shared" si="462"/>
        <v>-0,000586963752519462+0,0285114180451925i</v>
      </c>
      <c r="BC471">
        <f t="shared" si="463"/>
        <v>-30.897783389575121</v>
      </c>
      <c r="BD471" s="60">
        <f t="shared" si="464"/>
        <v>91.179379986069236</v>
      </c>
      <c r="BE471" s="58" t="str">
        <f t="shared" si="465"/>
        <v>-0,00057082039460168-0,0063266203931295i</v>
      </c>
      <c r="BF471" s="37">
        <f t="shared" si="466"/>
        <v>-43.941353492361941</v>
      </c>
      <c r="BG471" s="60">
        <f t="shared" si="467"/>
        <v>-95.155561877337746</v>
      </c>
      <c r="BH471" s="58" t="str">
        <f t="shared" si="468"/>
        <v>0,236867663915024+0,0559525459267738i</v>
      </c>
      <c r="BI471" s="37">
        <f t="shared" si="469"/>
        <v>-12.274071082075897</v>
      </c>
      <c r="BJ471" s="60">
        <f t="shared" si="470"/>
        <v>13.290699333552361</v>
      </c>
      <c r="BK471">
        <f t="shared" si="471"/>
        <v>-43.941353492361941</v>
      </c>
      <c r="BL471" s="60">
        <f t="shared" si="472"/>
        <v>-95.155561877337746</v>
      </c>
      <c r="BN471">
        <f t="shared" si="473"/>
        <v>0</v>
      </c>
      <c r="BO471">
        <f t="shared" si="474"/>
        <v>0</v>
      </c>
    </row>
    <row r="472" spans="13:67" x14ac:dyDescent="0.25">
      <c r="M472" s="66">
        <v>54</v>
      </c>
      <c r="N472" s="36">
        <f t="shared" si="422"/>
        <v>346736.85045253241</v>
      </c>
      <c r="O472" s="91" t="str">
        <f t="shared" si="423"/>
        <v>22,5</v>
      </c>
      <c r="P472" s="67" t="str">
        <f t="shared" si="424"/>
        <v>1+2352,90083495877i</v>
      </c>
      <c r="Q472" s="67">
        <f t="shared" si="435"/>
        <v>2352.9010474624033</v>
      </c>
      <c r="R472" s="67">
        <f t="shared" si="436"/>
        <v>1.5703713195336759</v>
      </c>
      <c r="S472" s="67" t="str">
        <f t="shared" si="425"/>
        <v>1+65,3583565266325i</v>
      </c>
      <c r="T472" s="67">
        <f t="shared" si="437"/>
        <v>65.366006210127338</v>
      </c>
      <c r="U472" s="67">
        <f t="shared" si="438"/>
        <v>1.5554972582224587</v>
      </c>
      <c r="V472" t="str">
        <f t="shared" si="426"/>
        <v>1-13,6163242763818i</v>
      </c>
      <c r="W472" s="67">
        <f t="shared" si="439"/>
        <v>13.652995524777133</v>
      </c>
      <c r="X472" s="67">
        <f t="shared" si="440"/>
        <v>-1.4974866800214996</v>
      </c>
      <c r="Y472" t="str">
        <f t="shared" si="427"/>
        <v>-6,69449238155152+37,7626059931654i</v>
      </c>
      <c r="Z472" s="67">
        <f t="shared" si="441"/>
        <v>38.351409878147926</v>
      </c>
      <c r="AA472" s="67">
        <f t="shared" si="442"/>
        <v>1.7462517810564029</v>
      </c>
      <c r="AB472" s="92" t="str">
        <f t="shared" si="443"/>
        <v>-0,221002440753099+0,0259803737357441i</v>
      </c>
      <c r="AC472" s="37">
        <f t="shared" si="444"/>
        <v>-13.052451607388509</v>
      </c>
      <c r="AD472" s="60">
        <f t="shared" si="445"/>
        <v>173.29525539862396</v>
      </c>
      <c r="AE472" t="str">
        <f t="shared" si="446"/>
        <v>34,4450883806789</v>
      </c>
      <c r="AF472" t="str">
        <f t="shared" si="428"/>
        <v>1+1176,45041747938i</v>
      </c>
      <c r="AG472">
        <f t="shared" si="447"/>
        <v>1176.4508424865901</v>
      </c>
      <c r="AH472">
        <f t="shared" si="448"/>
        <v>1.5699463124259945</v>
      </c>
      <c r="AI472" t="str">
        <f t="shared" si="429"/>
        <v>1+65,3583565266325i</v>
      </c>
      <c r="AJ472">
        <f t="shared" si="449"/>
        <v>65.366006210127338</v>
      </c>
      <c r="AK472">
        <f t="shared" si="450"/>
        <v>1.5554972582224587</v>
      </c>
      <c r="AL472" t="str">
        <f t="shared" si="430"/>
        <v>1-4,44707288658755i</v>
      </c>
      <c r="AM472">
        <f t="shared" si="451"/>
        <v>4.5581199258709866</v>
      </c>
      <c r="AN472">
        <f t="shared" si="452"/>
        <v>-1.3496084662649399</v>
      </c>
      <c r="AO472" s="58" t="str">
        <f t="shared" si="453"/>
        <v>1,79066815202601-8,53774665607803i</v>
      </c>
      <c r="AP472">
        <f t="shared" si="454"/>
        <v>18.81382433325809</v>
      </c>
      <c r="AQ472" s="60">
        <f t="shared" si="455"/>
        <v>-78.154738935923547</v>
      </c>
      <c r="AR472" t="str">
        <f t="shared" si="431"/>
        <v>-1,36472945891784</v>
      </c>
      <c r="AS472" t="str">
        <f t="shared" si="432"/>
        <v>1+48,9599448741004i</v>
      </c>
      <c r="AT472">
        <f t="shared" si="456"/>
        <v>48.9701562390294</v>
      </c>
      <c r="AU472">
        <f t="shared" si="457"/>
        <v>1.5503743067319411</v>
      </c>
      <c r="AV472" t="str">
        <f t="shared" si="433"/>
        <v>1+48,9599448741004i</v>
      </c>
      <c r="AW472">
        <f t="shared" si="458"/>
        <v>48.9701562390294</v>
      </c>
      <c r="AX472">
        <f t="shared" si="459"/>
        <v>1.5503743067319411</v>
      </c>
      <c r="AY472" t="str">
        <f t="shared" si="434"/>
        <v>1-0,000306372893976336i</v>
      </c>
      <c r="AZ472">
        <f t="shared" si="460"/>
        <v>1.0000000469321739</v>
      </c>
      <c r="BA472">
        <f t="shared" si="461"/>
        <v>-3.0637288439050567E-4</v>
      </c>
      <c r="BB472" s="58" t="str">
        <f t="shared" si="462"/>
        <v>-0,000560557048133393+0,0278629582892228i</v>
      </c>
      <c r="BC472">
        <f t="shared" si="463"/>
        <v>-31.097698059258786</v>
      </c>
      <c r="BD472" s="60">
        <f t="shared" si="464"/>
        <v>91.152541685506009</v>
      </c>
      <c r="BE472" s="58" t="str">
        <f t="shared" si="465"/>
        <v>-0,000600005593918625-0,00617234527013074i</v>
      </c>
      <c r="BF472" s="37">
        <f t="shared" si="466"/>
        <v>-44.150149666647295</v>
      </c>
      <c r="BG472" s="60">
        <f t="shared" si="467"/>
        <v>-95.552202915870026</v>
      </c>
      <c r="BH472" s="58" t="str">
        <f t="shared" si="468"/>
        <v>0,236883107308767+0,0546792060929822i</v>
      </c>
      <c r="BI472" s="37">
        <f t="shared" si="469"/>
        <v>-12.283873726000712</v>
      </c>
      <c r="BJ472" s="60">
        <f t="shared" si="470"/>
        <v>12.997802749582485</v>
      </c>
      <c r="BK472">
        <f t="shared" si="471"/>
        <v>-44.150149666647295</v>
      </c>
      <c r="BL472" s="60">
        <f t="shared" si="472"/>
        <v>-95.552202915870026</v>
      </c>
      <c r="BN472">
        <f t="shared" si="473"/>
        <v>0</v>
      </c>
      <c r="BO472">
        <f t="shared" si="474"/>
        <v>0</v>
      </c>
    </row>
    <row r="473" spans="13:67" x14ac:dyDescent="0.25">
      <c r="M473" s="66">
        <v>55</v>
      </c>
      <c r="N473" s="36">
        <f t="shared" si="422"/>
        <v>354813.38923357555</v>
      </c>
      <c r="O473" s="91" t="str">
        <f t="shared" si="423"/>
        <v>22,5</v>
      </c>
      <c r="P473" s="67" t="str">
        <f t="shared" si="424"/>
        <v>1+2407,70693594483i</v>
      </c>
      <c r="Q473" s="67">
        <f t="shared" si="435"/>
        <v>2407.707143611291</v>
      </c>
      <c r="R473" s="67">
        <f t="shared" si="436"/>
        <v>1.5703809938789297</v>
      </c>
      <c r="S473" s="67" t="str">
        <f t="shared" si="425"/>
        <v>1+66,8807482206898i</v>
      </c>
      <c r="T473" s="67">
        <f t="shared" si="437"/>
        <v>66.888223795817026</v>
      </c>
      <c r="U473" s="67">
        <f t="shared" si="438"/>
        <v>1.5558454550422649</v>
      </c>
      <c r="V473" t="str">
        <f t="shared" si="426"/>
        <v>1-13,9334892126437i</v>
      </c>
      <c r="W473" s="67">
        <f t="shared" si="439"/>
        <v>13.969327887871284</v>
      </c>
      <c r="X473" s="67">
        <f t="shared" si="440"/>
        <v>-1.4991496404292677</v>
      </c>
      <c r="Y473" t="str">
        <f t="shared" si="427"/>
        <v>-7,05712263548265+38,6422100830652i</v>
      </c>
      <c r="Z473" s="67">
        <f t="shared" si="441"/>
        <v>39.281336280681529</v>
      </c>
      <c r="AA473" s="67">
        <f t="shared" si="442"/>
        <v>1.7514329448635926</v>
      </c>
      <c r="AB473" s="92" t="str">
        <f t="shared" si="443"/>
        <v>-0,220595153840364+0,027388565277425i</v>
      </c>
      <c r="AC473" s="37">
        <f t="shared" si="444"/>
        <v>-13.061644435126386</v>
      </c>
      <c r="AD473" s="60">
        <f t="shared" si="445"/>
        <v>172.92251187570577</v>
      </c>
      <c r="AE473" t="str">
        <f t="shared" si="446"/>
        <v>34,4450883806789</v>
      </c>
      <c r="AF473" t="str">
        <f t="shared" si="428"/>
        <v>1+1203,85346797242i</v>
      </c>
      <c r="AG473">
        <f t="shared" si="447"/>
        <v>1203.8538833052883</v>
      </c>
      <c r="AH473">
        <f t="shared" si="448"/>
        <v>1.569965661106254</v>
      </c>
      <c r="AI473" t="str">
        <f t="shared" si="429"/>
        <v>1+66,8807482206898i</v>
      </c>
      <c r="AJ473">
        <f t="shared" si="449"/>
        <v>66.888223795817026</v>
      </c>
      <c r="AK473">
        <f t="shared" si="450"/>
        <v>1.5558454550422649</v>
      </c>
      <c r="AL473" t="str">
        <f t="shared" si="430"/>
        <v>1-4,55065852100677i</v>
      </c>
      <c r="AM473">
        <f t="shared" si="451"/>
        <v>4.6592373812472268</v>
      </c>
      <c r="AN473">
        <f t="shared" si="452"/>
        <v>-1.3544860043274001</v>
      </c>
      <c r="AO473" s="58" t="str">
        <f t="shared" si="453"/>
        <v>1,79066709013856-8,73533796616324i</v>
      </c>
      <c r="AP473">
        <f t="shared" si="454"/>
        <v>19.004360531549448</v>
      </c>
      <c r="AQ473" s="60">
        <f t="shared" si="455"/>
        <v>-78.415359670820166</v>
      </c>
      <c r="AR473" t="str">
        <f t="shared" si="431"/>
        <v>-1,36472945891784</v>
      </c>
      <c r="AS473" t="str">
        <f t="shared" si="432"/>
        <v>1+50,1003684921187i</v>
      </c>
      <c r="AT473">
        <f t="shared" si="456"/>
        <v>50.110347464830859</v>
      </c>
      <c r="AU473">
        <f t="shared" si="457"/>
        <v>1.5508390438010524</v>
      </c>
      <c r="AV473" t="str">
        <f t="shared" si="433"/>
        <v>1+50,1003684921187i</v>
      </c>
      <c r="AW473">
        <f t="shared" si="458"/>
        <v>50.110347464830859</v>
      </c>
      <c r="AX473">
        <f t="shared" si="459"/>
        <v>1.5508390438010524</v>
      </c>
      <c r="AY473" t="str">
        <f t="shared" si="434"/>
        <v>1-0,000299398995485626i</v>
      </c>
      <c r="AZ473">
        <f t="shared" si="460"/>
        <v>1.0000000448198783</v>
      </c>
      <c r="BA473">
        <f t="shared" si="461"/>
        <v>-2.9939898653960861E-4</v>
      </c>
      <c r="BB473" s="58" t="str">
        <f t="shared" si="462"/>
        <v>-0,00053533787230204+0,0272292232992286i</v>
      </c>
      <c r="BC473">
        <f t="shared" si="463"/>
        <v>-31.297616567873462</v>
      </c>
      <c r="BD473" s="60">
        <f t="shared" si="464"/>
        <v>91.126313787776269</v>
      </c>
      <c r="BE473" s="58" t="str">
        <f t="shared" si="465"/>
        <v>-0,000627676419487463-0,00602129683890798i</v>
      </c>
      <c r="BF473" s="37">
        <f t="shared" si="466"/>
        <v>-44.359261002999844</v>
      </c>
      <c r="BG473" s="60">
        <f t="shared" si="467"/>
        <v>-95.951174336517951</v>
      </c>
      <c r="BH473" s="58" t="str">
        <f t="shared" si="468"/>
        <v>0,236897856164852+0,0534348312926078i</v>
      </c>
      <c r="BI473" s="37">
        <f t="shared" si="469"/>
        <v>-12.293256036324019</v>
      </c>
      <c r="BJ473" s="60">
        <f t="shared" si="470"/>
        <v>12.710954116956122</v>
      </c>
      <c r="BK473">
        <f t="shared" si="471"/>
        <v>-44.359261002999844</v>
      </c>
      <c r="BL473" s="60">
        <f t="shared" si="472"/>
        <v>-95.951174336517951</v>
      </c>
      <c r="BN473">
        <f t="shared" si="473"/>
        <v>0</v>
      </c>
      <c r="BO473">
        <f t="shared" si="474"/>
        <v>0</v>
      </c>
    </row>
    <row r="474" spans="13:67" x14ac:dyDescent="0.25">
      <c r="M474" s="66">
        <v>56</v>
      </c>
      <c r="N474" s="36">
        <f t="shared" si="422"/>
        <v>363078.05477010203</v>
      </c>
      <c r="O474" s="91" t="str">
        <f t="shared" si="423"/>
        <v>22,5</v>
      </c>
      <c r="P474" s="67" t="str">
        <f t="shared" si="424"/>
        <v>1+2463,78963501812i</v>
      </c>
      <c r="Q474" s="67">
        <f t="shared" si="435"/>
        <v>2463.7898379575158</v>
      </c>
      <c r="R474" s="67">
        <f t="shared" si="436"/>
        <v>1.5703904480092754</v>
      </c>
      <c r="S474" s="67" t="str">
        <f t="shared" si="425"/>
        <v>1+68,4386009727256i</v>
      </c>
      <c r="T474" s="67">
        <f t="shared" si="437"/>
        <v>68.44590640136164</v>
      </c>
      <c r="U474" s="67">
        <f t="shared" si="438"/>
        <v>1.5561857294381878</v>
      </c>
      <c r="V474" t="str">
        <f t="shared" si="426"/>
        <v>1-14,2580418693178i</v>
      </c>
      <c r="W474" s="67">
        <f t="shared" si="439"/>
        <v>14.293066778939341</v>
      </c>
      <c r="X474" s="67">
        <f t="shared" si="440"/>
        <v>-1.5007751308920059</v>
      </c>
      <c r="Y474" t="str">
        <f t="shared" si="427"/>
        <v>-7,43684312676105+39,5423027842414i</v>
      </c>
      <c r="Z474" s="67">
        <f t="shared" si="441"/>
        <v>40.235560704092066</v>
      </c>
      <c r="AA474" s="67">
        <f t="shared" si="442"/>
        <v>1.7566978472147683</v>
      </c>
      <c r="AB474" s="92" t="str">
        <f t="shared" si="443"/>
        <v>-0,220169269017779+0,0288033838577818i</v>
      </c>
      <c r="AC474" s="37">
        <f t="shared" si="444"/>
        <v>-13.07116594987068</v>
      </c>
      <c r="AD474" s="60">
        <f t="shared" si="445"/>
        <v>172.54667605327623</v>
      </c>
      <c r="AE474" t="str">
        <f t="shared" si="446"/>
        <v>34,4450883806789</v>
      </c>
      <c r="AF474" t="str">
        <f t="shared" si="428"/>
        <v>1+1231,89481750906i</v>
      </c>
      <c r="AG474">
        <f t="shared" si="447"/>
        <v>1231.895223387801</v>
      </c>
      <c r="AH474">
        <f t="shared" si="448"/>
        <v>1.5699845693573811</v>
      </c>
      <c r="AI474" t="str">
        <f t="shared" si="429"/>
        <v>1+68,4386009727256i</v>
      </c>
      <c r="AJ474">
        <f t="shared" si="449"/>
        <v>68.44590640136164</v>
      </c>
      <c r="AK474">
        <f t="shared" si="450"/>
        <v>1.5561857294381878</v>
      </c>
      <c r="AL474" t="str">
        <f t="shared" si="430"/>
        <v>1-4,65665697480894i</v>
      </c>
      <c r="AM474">
        <f t="shared" si="451"/>
        <v>4.7628199820103161</v>
      </c>
      <c r="AN474">
        <f t="shared" si="452"/>
        <v>-1.3592626406532637</v>
      </c>
      <c r="AO474" s="58" t="str">
        <f t="shared" si="453"/>
        <v>1,79066607604388-8,93756086798472i</v>
      </c>
      <c r="AP474">
        <f t="shared" si="454"/>
        <v>19.19530356414344</v>
      </c>
      <c r="AQ474" s="60">
        <f t="shared" si="455"/>
        <v>-78.670627848785784</v>
      </c>
      <c r="AR474" t="str">
        <f t="shared" si="431"/>
        <v>-1,36472945891784</v>
      </c>
      <c r="AS474" t="str">
        <f t="shared" si="432"/>
        <v>1+51,2673559886687i</v>
      </c>
      <c r="AT474">
        <f t="shared" si="456"/>
        <v>51.277107855932009</v>
      </c>
      <c r="AU474">
        <f t="shared" si="457"/>
        <v>1.5512932104943298</v>
      </c>
      <c r="AV474" t="str">
        <f t="shared" si="433"/>
        <v>1+51,2673559886687i</v>
      </c>
      <c r="AW474">
        <f t="shared" si="458"/>
        <v>51.277107855932009</v>
      </c>
      <c r="AX474">
        <f t="shared" si="459"/>
        <v>1.5512932104943298</v>
      </c>
      <c r="AY474" t="str">
        <f t="shared" si="434"/>
        <v>1-0,000292583842305333i</v>
      </c>
      <c r="AZ474">
        <f t="shared" si="460"/>
        <v>1.0000000428026514</v>
      </c>
      <c r="BA474">
        <f t="shared" si="461"/>
        <v>-2.9258383395642379E-4</v>
      </c>
      <c r="BB474" s="58" t="str">
        <f t="shared" si="462"/>
        <v>-0,000511252862640903+0,0266098802980346i</v>
      </c>
      <c r="BC474">
        <f t="shared" si="463"/>
        <v>-31.497538742776598</v>
      </c>
      <c r="BD474" s="60">
        <f t="shared" si="464"/>
        <v>91.10068243253582</v>
      </c>
      <c r="BE474" s="58" t="str">
        <f t="shared" si="465"/>
        <v>-0,000653892427583021-0,00587340370631991i</v>
      </c>
      <c r="BF474" s="37">
        <f t="shared" si="466"/>
        <v>-44.56870469264728</v>
      </c>
      <c r="BG474" s="60">
        <f t="shared" si="467"/>
        <v>-96.352641514187951</v>
      </c>
      <c r="BH474" s="58" t="str">
        <f t="shared" si="468"/>
        <v>0,23691194169606+0,0522187635160635i</v>
      </c>
      <c r="BI474" s="37">
        <f t="shared" si="469"/>
        <v>-12.302235178633161</v>
      </c>
      <c r="BJ474" s="60">
        <f t="shared" si="470"/>
        <v>12.430054583750053</v>
      </c>
      <c r="BK474">
        <f t="shared" si="471"/>
        <v>-44.56870469264728</v>
      </c>
      <c r="BL474" s="60">
        <f t="shared" si="472"/>
        <v>-96.352641514187951</v>
      </c>
      <c r="BN474">
        <f t="shared" si="473"/>
        <v>0</v>
      </c>
      <c r="BO474">
        <f t="shared" si="474"/>
        <v>0</v>
      </c>
    </row>
    <row r="475" spans="13:67" x14ac:dyDescent="0.25">
      <c r="M475" s="66">
        <v>57</v>
      </c>
      <c r="N475" s="36">
        <f t="shared" si="422"/>
        <v>371535.2290971732</v>
      </c>
      <c r="O475" s="91" t="str">
        <f t="shared" si="423"/>
        <v>22,5</v>
      </c>
      <c r="P475" s="67" t="str">
        <f t="shared" si="424"/>
        <v>1+2521,178667968i</v>
      </c>
      <c r="Q475" s="67">
        <f t="shared" si="435"/>
        <v>2521.1788662879312</v>
      </c>
      <c r="R475" s="67">
        <f t="shared" si="436"/>
        <v>1.5703996869374108</v>
      </c>
      <c r="S475" s="67" t="str">
        <f t="shared" si="425"/>
        <v>1+70,0327407768889i</v>
      </c>
      <c r="T475" s="67">
        <f t="shared" si="437"/>
        <v>70.03987993081455</v>
      </c>
      <c r="U475" s="67">
        <f t="shared" si="438"/>
        <v>1.5565182615128412</v>
      </c>
      <c r="V475" t="str">
        <f t="shared" si="426"/>
        <v>1-14,5901543285185i</v>
      </c>
      <c r="W475" s="67">
        <f t="shared" si="439"/>
        <v>14.624383861550788</v>
      </c>
      <c r="X475" s="67">
        <f t="shared" si="440"/>
        <v>-1.5023639788877701</v>
      </c>
      <c r="Y475" t="str">
        <f t="shared" si="427"/>
        <v>-7,83445929345851+40,463361337758i</v>
      </c>
      <c r="Z475" s="67">
        <f t="shared" si="441"/>
        <v>41.21483183479981</v>
      </c>
      <c r="AA475" s="67">
        <f t="shared" si="442"/>
        <v>1.7620484612313116</v>
      </c>
      <c r="AB475" s="92" t="str">
        <f t="shared" si="443"/>
        <v>-0,219724112238994+0,0302250615499801i</v>
      </c>
      <c r="AC475" s="37">
        <f t="shared" si="444"/>
        <v>-13.081034024835581</v>
      </c>
      <c r="AD475" s="60">
        <f t="shared" si="445"/>
        <v>172.1675975007206</v>
      </c>
      <c r="AE475" t="str">
        <f t="shared" si="446"/>
        <v>34,4450883806789</v>
      </c>
      <c r="AF475" t="str">
        <f t="shared" si="428"/>
        <v>1+1260,589333984i</v>
      </c>
      <c r="AG475">
        <f t="shared" si="447"/>
        <v>1260.5897306238157</v>
      </c>
      <c r="AH475">
        <f t="shared" si="448"/>
        <v>1.5700030472047264</v>
      </c>
      <c r="AI475" t="str">
        <f t="shared" si="429"/>
        <v>1+70,0327407768889i</v>
      </c>
      <c r="AJ475">
        <f t="shared" si="449"/>
        <v>70.03987993081455</v>
      </c>
      <c r="AK475">
        <f t="shared" si="450"/>
        <v>1.5565182615128412</v>
      </c>
      <c r="AL475" t="str">
        <f t="shared" si="430"/>
        <v>1-4,76512444977728i</v>
      </c>
      <c r="AM475">
        <f t="shared" si="451"/>
        <v>4.8689229837680958</v>
      </c>
      <c r="AN475">
        <f t="shared" si="452"/>
        <v>-1.3639400355973801</v>
      </c>
      <c r="AO475" s="58" t="str">
        <f t="shared" si="453"/>
        <v>1,79066510759091-9,14452258280683i</v>
      </c>
      <c r="AP475">
        <f t="shared" si="454"/>
        <v>19.386636729157868</v>
      </c>
      <c r="AQ475" s="60">
        <f t="shared" si="455"/>
        <v>-78.920628856436494</v>
      </c>
      <c r="AR475" t="str">
        <f t="shared" si="431"/>
        <v>-1,36472945891784</v>
      </c>
      <c r="AS475" t="str">
        <f t="shared" si="432"/>
        <v>1+52,4615261159675i</v>
      </c>
      <c r="AT475">
        <f t="shared" si="456"/>
        <v>52.471056044416905</v>
      </c>
      <c r="AU475">
        <f t="shared" si="457"/>
        <v>1.5517370468670975</v>
      </c>
      <c r="AV475" t="str">
        <f t="shared" si="433"/>
        <v>1+52,4615261159675i</v>
      </c>
      <c r="AW475">
        <f t="shared" si="458"/>
        <v>52.471056044416905</v>
      </c>
      <c r="AX475">
        <f t="shared" si="459"/>
        <v>1.5517370468670975</v>
      </c>
      <c r="AY475" t="str">
        <f t="shared" si="434"/>
        <v>1-0,000285923820951037i</v>
      </c>
      <c r="AZ475">
        <f t="shared" si="460"/>
        <v>1.0000000408762149</v>
      </c>
      <c r="BA475">
        <f t="shared" si="461"/>
        <v>-2.8592381315938157E-4</v>
      </c>
      <c r="BB475" s="58" t="str">
        <f t="shared" si="462"/>
        <v>-0,000488251050977762+0,0260046039234767i</v>
      </c>
      <c r="BC475">
        <f t="shared" si="463"/>
        <v>-31.697464419083605</v>
      </c>
      <c r="BD475" s="60">
        <f t="shared" si="464"/>
        <v>91.075634072664968</v>
      </c>
      <c r="BE475" s="58" t="str">
        <f t="shared" si="465"/>
        <v>-0,000678710225444093-0,00572859592928022i</v>
      </c>
      <c r="BF475" s="37">
        <f t="shared" si="466"/>
        <v>-44.77849844391919</v>
      </c>
      <c r="BG475" s="60">
        <f t="shared" si="467"/>
        <v>-96.756768426614414</v>
      </c>
      <c r="BH475" s="58" t="str">
        <f t="shared" si="468"/>
        <v>0,236925393714449+0,0510303596442367i</v>
      </c>
      <c r="BI475" s="37">
        <f t="shared" si="469"/>
        <v>-12.31082768992575</v>
      </c>
      <c r="BJ475" s="60">
        <f t="shared" si="470"/>
        <v>12.155005216228492</v>
      </c>
      <c r="BK475">
        <f t="shared" si="471"/>
        <v>-44.77849844391919</v>
      </c>
      <c r="BL475" s="60">
        <f t="shared" si="472"/>
        <v>-96.756768426614414</v>
      </c>
      <c r="BN475">
        <f t="shared" si="473"/>
        <v>0</v>
      </c>
      <c r="BO475">
        <f t="shared" si="474"/>
        <v>0</v>
      </c>
    </row>
    <row r="476" spans="13:67" x14ac:dyDescent="0.25">
      <c r="M476" s="66">
        <v>58</v>
      </c>
      <c r="N476" s="36">
        <f t="shared" si="422"/>
        <v>380189.39632056188</v>
      </c>
      <c r="O476" s="91" t="str">
        <f t="shared" si="423"/>
        <v>22,5</v>
      </c>
      <c r="P476" s="67" t="str">
        <f t="shared" si="424"/>
        <v>1+2579,90446321938i</v>
      </c>
      <c r="Q476" s="67">
        <f t="shared" si="435"/>
        <v>2579.9046570249984</v>
      </c>
      <c r="R476" s="67">
        <f t="shared" si="436"/>
        <v>1.5704087155619322</v>
      </c>
      <c r="S476" s="67" t="str">
        <f t="shared" si="425"/>
        <v>1+71,664012867205i</v>
      </c>
      <c r="T476" s="67">
        <f t="shared" si="437"/>
        <v>71.670989530150379</v>
      </c>
      <c r="U476" s="67">
        <f t="shared" si="438"/>
        <v>1.556843227284799</v>
      </c>
      <c r="V476" t="str">
        <f t="shared" si="426"/>
        <v>1-14,9300026806677i</v>
      </c>
      <c r="W476" s="67">
        <f t="shared" si="439"/>
        <v>14.963454816476865</v>
      </c>
      <c r="X476" s="67">
        <f t="shared" si="440"/>
        <v>-1.5039169947391837</v>
      </c>
      <c r="Y476" t="str">
        <f t="shared" si="427"/>
        <v>-8,25081453277398+41,4058741010517i</v>
      </c>
      <c r="Z476" s="67">
        <f t="shared" si="441"/>
        <v>42.219928357665154</v>
      </c>
      <c r="AA476" s="67">
        <f t="shared" si="442"/>
        <v>1.767486752486723</v>
      </c>
      <c r="AB476" s="92" t="str">
        <f t="shared" si="443"/>
        <v>-0,219258988687519+0,0316538029536001i</v>
      </c>
      <c r="AC476" s="37">
        <f t="shared" si="444"/>
        <v>-13.091267063471772</v>
      </c>
      <c r="AD476" s="60">
        <f t="shared" si="445"/>
        <v>171.78512697535922</v>
      </c>
      <c r="AE476" t="str">
        <f t="shared" si="446"/>
        <v>34,4450883806789</v>
      </c>
      <c r="AF476" t="str">
        <f t="shared" si="428"/>
        <v>1+1289,95223160969i</v>
      </c>
      <c r="AG476">
        <f t="shared" si="447"/>
        <v>1289.9526192208841</v>
      </c>
      <c r="AH476">
        <f t="shared" si="448"/>
        <v>1.5700211044454389</v>
      </c>
      <c r="AI476" t="str">
        <f t="shared" si="429"/>
        <v>1+71,664012867205i</v>
      </c>
      <c r="AJ476">
        <f t="shared" si="449"/>
        <v>71.670989530150379</v>
      </c>
      <c r="AK476">
        <f t="shared" si="450"/>
        <v>1.556843227284799</v>
      </c>
      <c r="AL476" t="str">
        <f t="shared" si="430"/>
        <v>1-4,87611845680278i</v>
      </c>
      <c r="AM476">
        <f t="shared" si="451"/>
        <v>4.9776029577270151</v>
      </c>
      <c r="AN476">
        <f t="shared" si="452"/>
        <v>-1.3685198501385178</v>
      </c>
      <c r="AO476" s="58" t="str">
        <f t="shared" si="453"/>
        <v>1,79066418272544-9,35633284447532i</v>
      </c>
      <c r="AP476">
        <f t="shared" si="454"/>
        <v>19.578343943845255</v>
      </c>
      <c r="AQ476" s="60">
        <f t="shared" si="455"/>
        <v>-79.165448337059559</v>
      </c>
      <c r="AR476" t="str">
        <f t="shared" si="431"/>
        <v>-1,36472945891784</v>
      </c>
      <c r="AS476" t="str">
        <f t="shared" si="432"/>
        <v>1+53,6835120388233i</v>
      </c>
      <c r="AT476">
        <f t="shared" si="456"/>
        <v>53.692825077681341</v>
      </c>
      <c r="AU476">
        <f t="shared" si="457"/>
        <v>1.5521707875474207</v>
      </c>
      <c r="AV476" t="str">
        <f t="shared" si="433"/>
        <v>1+53,6835120388233i</v>
      </c>
      <c r="AW476">
        <f t="shared" si="458"/>
        <v>53.692825077681341</v>
      </c>
      <c r="AX476">
        <f t="shared" si="459"/>
        <v>1.5521707875474207</v>
      </c>
      <c r="AY476" t="str">
        <f t="shared" si="434"/>
        <v>1-0,000279415400191258i</v>
      </c>
      <c r="AZ476">
        <f t="shared" si="460"/>
        <v>1.0000000390364823</v>
      </c>
      <c r="BA476">
        <f t="shared" si="461"/>
        <v>-2.7941539291966201E-4</v>
      </c>
      <c r="BB476" s="58" t="str">
        <f t="shared" si="462"/>
        <v>-0,000466283756253609+0,0254130760702647i</v>
      </c>
      <c r="BC476">
        <f t="shared" si="463"/>
        <v>-31.897393439319902</v>
      </c>
      <c r="BD476" s="60">
        <f t="shared" si="464"/>
        <v>91.051155467290343</v>
      </c>
      <c r="BE476" s="58" t="str">
        <f t="shared" si="465"/>
        <v>-0,000702183597535425-0,00558680501274614i</v>
      </c>
      <c r="BF476" s="37">
        <f t="shared" si="466"/>
        <v>-44.988660502791681</v>
      </c>
      <c r="BG476" s="60">
        <f t="shared" si="467"/>
        <v>-97.163717557350424</v>
      </c>
      <c r="BH476" s="58" t="str">
        <f t="shared" si="468"/>
        <v>0,236938240694057+0,0498689911153809i</v>
      </c>
      <c r="BI476" s="37">
        <f t="shared" si="469"/>
        <v>-12.319049495474658</v>
      </c>
      <c r="BJ476" s="60">
        <f t="shared" si="470"/>
        <v>11.885707130230816</v>
      </c>
      <c r="BK476">
        <f t="shared" si="471"/>
        <v>-44.988660502791681</v>
      </c>
      <c r="BL476" s="60">
        <f t="shared" si="472"/>
        <v>-97.163717557350424</v>
      </c>
      <c r="BN476">
        <f t="shared" si="473"/>
        <v>0</v>
      </c>
      <c r="BO476">
        <f t="shared" si="474"/>
        <v>0</v>
      </c>
    </row>
    <row r="477" spans="13:67" x14ac:dyDescent="0.25">
      <c r="M477" s="66">
        <v>59</v>
      </c>
      <c r="N477" s="36">
        <f t="shared" si="422"/>
        <v>389045.14499428123</v>
      </c>
      <c r="O477" s="91" t="str">
        <f t="shared" si="423"/>
        <v>22,5</v>
      </c>
      <c r="P477" s="67" t="str">
        <f t="shared" si="424"/>
        <v>1+2639,99815796623i</v>
      </c>
      <c r="Q477" s="67">
        <f t="shared" si="435"/>
        <v>2639.9983473602942</v>
      </c>
      <c r="R477" s="67">
        <f t="shared" si="436"/>
        <v>1.5704175386699293</v>
      </c>
      <c r="S477" s="67" t="str">
        <f t="shared" si="425"/>
        <v>1+73,3332821657287i</v>
      </c>
      <c r="T477" s="67">
        <f t="shared" si="437"/>
        <v>73.340100035372089</v>
      </c>
      <c r="U477" s="67">
        <f t="shared" si="438"/>
        <v>1.5571607987805192</v>
      </c>
      <c r="V477" t="str">
        <f t="shared" si="426"/>
        <v>1-15,2777671178601i</v>
      </c>
      <c r="W477" s="67">
        <f t="shared" si="439"/>
        <v>15.310459434895064</v>
      </c>
      <c r="X477" s="67">
        <f t="shared" si="440"/>
        <v>-1.5054349718937221</v>
      </c>
      <c r="Y477" t="str">
        <f t="shared" si="427"/>
        <v>-8,68679198999178+42,3703408068654i</v>
      </c>
      <c r="Z477" s="67">
        <f t="shared" si="441"/>
        <v>43.25166049028995</v>
      </c>
      <c r="AA477" s="67">
        <f t="shared" si="442"/>
        <v>1.7730146768419861</v>
      </c>
      <c r="AB477" s="92" t="str">
        <f t="shared" si="443"/>
        <v>-0,218773182964328+0,0330897836809372i</v>
      </c>
      <c r="AC477" s="37">
        <f t="shared" si="444"/>
        <v>-13.101884020114877</v>
      </c>
      <c r="AD477" s="60">
        <f t="shared" si="445"/>
        <v>171.39911653553077</v>
      </c>
      <c r="AE477" t="str">
        <f t="shared" si="446"/>
        <v>34,4450883806789</v>
      </c>
      <c r="AF477" t="str">
        <f t="shared" si="428"/>
        <v>1+1319,99907898312i</v>
      </c>
      <c r="AG477">
        <f t="shared" si="447"/>
        <v>1319.9994577712087</v>
      </c>
      <c r="AH477">
        <f t="shared" si="448"/>
        <v>1.5700387506536593</v>
      </c>
      <c r="AI477" t="str">
        <f t="shared" si="429"/>
        <v>1+73,3332821657287i</v>
      </c>
      <c r="AJ477">
        <f t="shared" si="449"/>
        <v>73.340100035372089</v>
      </c>
      <c r="AK477">
        <f t="shared" si="450"/>
        <v>1.5571607987805192</v>
      </c>
      <c r="AL477" t="str">
        <f t="shared" si="430"/>
        <v>1-4,98969784637713i</v>
      </c>
      <c r="AM477">
        <f t="shared" si="451"/>
        <v>5.0889178219087574</v>
      </c>
      <c r="AN477">
        <f t="shared" si="452"/>
        <v>-1.3730037437121985</v>
      </c>
      <c r="AO477" s="58" t="str">
        <f t="shared" si="453"/>
        <v>1,79066329948574-9,57310395759898i</v>
      </c>
      <c r="AP477">
        <f t="shared" si="454"/>
        <v>19.770409727296364</v>
      </c>
      <c r="AQ477" s="60">
        <f t="shared" si="455"/>
        <v>-79.405172061474204</v>
      </c>
      <c r="AR477" t="str">
        <f t="shared" si="431"/>
        <v>-1,36472945891784</v>
      </c>
      <c r="AS477" t="str">
        <f t="shared" si="432"/>
        <v>1+54,9339616703474i</v>
      </c>
      <c r="AT477">
        <f t="shared" si="456"/>
        <v>54.943062754083861</v>
      </c>
      <c r="AU477">
        <f t="shared" si="457"/>
        <v>1.5525946618571749</v>
      </c>
      <c r="AV477" t="str">
        <f t="shared" si="433"/>
        <v>1+54,9339616703474i</v>
      </c>
      <c r="AW477">
        <f t="shared" si="458"/>
        <v>54.943062754083861</v>
      </c>
      <c r="AX477">
        <f t="shared" si="459"/>
        <v>1.5525946618571749</v>
      </c>
      <c r="AY477" t="str">
        <f t="shared" si="434"/>
        <v>1-0,000273055129175161i</v>
      </c>
      <c r="AZ477">
        <f t="shared" si="460"/>
        <v>1.000000037279551</v>
      </c>
      <c r="BA477">
        <f t="shared" si="461"/>
        <v>-2.7305512238891272E-4</v>
      </c>
      <c r="BB477" s="58" t="str">
        <f t="shared" si="462"/>
        <v>-0,000445304482186058+0,0248349857347368i</v>
      </c>
      <c r="BC477">
        <f t="shared" si="463"/>
        <v>-32.097325653088362</v>
      </c>
      <c r="BD477" s="60">
        <f t="shared" si="464"/>
        <v>91.027233674955383</v>
      </c>
      <c r="BE477" s="58" t="str">
        <f t="shared" si="465"/>
        <v>-0,000724363626725476-0,00544796390704974i</v>
      </c>
      <c r="BF477" s="37">
        <f t="shared" si="466"/>
        <v>-45.199209673203242</v>
      </c>
      <c r="BG477" s="60">
        <f t="shared" si="467"/>
        <v>-97.573649789513837</v>
      </c>
      <c r="BH477" s="58" t="str">
        <f t="shared" si="468"/>
        <v>0,236950509830776+0,048734043599197i</v>
      </c>
      <c r="BI477" s="37">
        <f t="shared" si="469"/>
        <v>-12.326915925791999</v>
      </c>
      <c r="BJ477" s="60">
        <f t="shared" si="470"/>
        <v>11.622061613481186</v>
      </c>
      <c r="BK477">
        <f t="shared" si="471"/>
        <v>-45.199209673203242</v>
      </c>
      <c r="BL477" s="60">
        <f t="shared" si="472"/>
        <v>-97.573649789513837</v>
      </c>
      <c r="BN477">
        <f t="shared" si="473"/>
        <v>0</v>
      </c>
      <c r="BO477">
        <f t="shared" si="474"/>
        <v>0</v>
      </c>
    </row>
    <row r="478" spans="13:67" x14ac:dyDescent="0.25">
      <c r="M478" s="66">
        <v>60</v>
      </c>
      <c r="N478" s="36">
        <f t="shared" si="422"/>
        <v>398107.17055349716</v>
      </c>
      <c r="O478" s="91" t="str">
        <f t="shared" si="423"/>
        <v>22,5</v>
      </c>
      <c r="P478" s="67" t="str">
        <f t="shared" si="424"/>
        <v>1+2701,49161468094i</v>
      </c>
      <c r="Q478" s="67">
        <f t="shared" si="435"/>
        <v>2701.4917997638699</v>
      </c>
      <c r="R478" s="67">
        <f t="shared" si="436"/>
        <v>1.5704261609395258</v>
      </c>
      <c r="S478" s="67" t="str">
        <f t="shared" si="425"/>
        <v>1+75,0414337411372i</v>
      </c>
      <c r="T478" s="67">
        <f t="shared" si="437"/>
        <v>75.048096431058696</v>
      </c>
      <c r="U478" s="67">
        <f t="shared" si="438"/>
        <v>1.5574711441242444</v>
      </c>
      <c r="V478" t="str">
        <f t="shared" si="426"/>
        <v>1-15,6336320294036i</v>
      </c>
      <c r="W478" s="67">
        <f t="shared" si="439"/>
        <v>15.665581713769651</v>
      </c>
      <c r="X478" s="67">
        <f t="shared" si="440"/>
        <v>-1.5069186872047653</v>
      </c>
      <c r="Y478" t="str">
        <f t="shared" si="427"/>
        <v>-9,1433164317511+43,3572728282125i</v>
      </c>
      <c r="Z478" s="67">
        <f t="shared" si="441"/>
        <v>44.310871605861962</v>
      </c>
      <c r="AA478" s="67">
        <f t="shared" si="442"/>
        <v>1.7786341781124901</v>
      </c>
      <c r="AB478" s="92" t="str">
        <f t="shared" si="443"/>
        <v>-0,21826595935566+0,0345331487768479i</v>
      </c>
      <c r="AC478" s="37">
        <f t="shared" si="444"/>
        <v>-13.112904420329004</v>
      </c>
      <c r="AD478" s="60">
        <f t="shared" si="445"/>
        <v>171.00941966317009</v>
      </c>
      <c r="AE478" t="str">
        <f t="shared" si="446"/>
        <v>34,4450883806789</v>
      </c>
      <c r="AF478" t="str">
        <f t="shared" si="428"/>
        <v>1+1350,74580734047i</v>
      </c>
      <c r="AG478">
        <f t="shared" si="447"/>
        <v>1350.7461775062916</v>
      </c>
      <c r="AH478">
        <f t="shared" si="448"/>
        <v>1.570055995185597</v>
      </c>
      <c r="AI478" t="str">
        <f t="shared" si="429"/>
        <v>1+75,0414337411372i</v>
      </c>
      <c r="AJ478">
        <f t="shared" si="449"/>
        <v>75.048096431058696</v>
      </c>
      <c r="AK478">
        <f t="shared" si="450"/>
        <v>1.5574711441242444</v>
      </c>
      <c r="AL478" t="str">
        <f t="shared" si="430"/>
        <v>1-5,10592283979607i</v>
      </c>
      <c r="AM478">
        <f t="shared" si="451"/>
        <v>5.2029268730159144</v>
      </c>
      <c r="AN478">
        <f t="shared" si="452"/>
        <v>-1.377393372196114</v>
      </c>
      <c r="AO478" s="58" t="str">
        <f t="shared" si="453"/>
        <v>1,79066245599832-9,79495085709573i</v>
      </c>
      <c r="AP478">
        <f t="shared" si="454"/>
        <v>19.96281918312469</v>
      </c>
      <c r="AQ478" s="60">
        <f t="shared" si="455"/>
        <v>-79.639885807745699</v>
      </c>
      <c r="AR478" t="str">
        <f t="shared" si="431"/>
        <v>-1,36472945891784</v>
      </c>
      <c r="AS478" t="str">
        <f t="shared" si="432"/>
        <v>1+56,2135380154859i</v>
      </c>
      <c r="AT478">
        <f t="shared" si="456"/>
        <v>56.222431966417801</v>
      </c>
      <c r="AU478">
        <f t="shared" si="457"/>
        <v>1.553008893930522</v>
      </c>
      <c r="AV478" t="str">
        <f t="shared" si="433"/>
        <v>1+56,2135380154859i</v>
      </c>
      <c r="AW478">
        <f t="shared" si="458"/>
        <v>56.222431966417801</v>
      </c>
      <c r="AX478">
        <f t="shared" si="459"/>
        <v>1.553008893930522</v>
      </c>
      <c r="AY478" t="str">
        <f t="shared" si="434"/>
        <v>1-0,000266839635602865i</v>
      </c>
      <c r="AZ478">
        <f t="shared" si="460"/>
        <v>1.0000000356016949</v>
      </c>
      <c r="BA478">
        <f t="shared" si="461"/>
        <v>-2.6683962926956961E-4</v>
      </c>
      <c r="BB478" s="58" t="str">
        <f t="shared" si="462"/>
        <v>-0,000425268819485926+0,024270028862487i</v>
      </c>
      <c r="BC478">
        <f t="shared" si="463"/>
        <v>-32.297260916751682</v>
      </c>
      <c r="BD478" s="60">
        <f t="shared" si="464"/>
        <v>91.003856046936974</v>
      </c>
      <c r="BE478" s="58" t="str">
        <f t="shared" si="465"/>
        <v>-0,000745298810657511-0,00531200700467374i</v>
      </c>
      <c r="BF478" s="37">
        <f t="shared" si="466"/>
        <v>-45.410165337080699</v>
      </c>
      <c r="BG478" s="60">
        <f t="shared" si="467"/>
        <v>-97.986724289892919</v>
      </c>
      <c r="BH478" s="58" t="str">
        <f t="shared" si="468"/>
        <v>0,236962227099595+0,0476249166779708i</v>
      </c>
      <c r="BI478" s="37">
        <f t="shared" si="469"/>
        <v>-12.334441733626992</v>
      </c>
      <c r="BJ478" s="60">
        <f t="shared" si="470"/>
        <v>11.363970239191266</v>
      </c>
      <c r="BK478">
        <f t="shared" si="471"/>
        <v>-45.410165337080699</v>
      </c>
      <c r="BL478" s="60">
        <f t="shared" si="472"/>
        <v>-97.986724289892919</v>
      </c>
      <c r="BN478">
        <f t="shared" si="473"/>
        <v>0</v>
      </c>
      <c r="BO478">
        <f t="shared" si="474"/>
        <v>0</v>
      </c>
    </row>
    <row r="479" spans="13:67" x14ac:dyDescent="0.25">
      <c r="M479" s="66">
        <v>61</v>
      </c>
      <c r="N479" s="36">
        <f t="shared" si="422"/>
        <v>407380.27780411334</v>
      </c>
      <c r="O479" s="91" t="str">
        <f t="shared" si="423"/>
        <v>22,5</v>
      </c>
      <c r="P479" s="67" t="str">
        <f t="shared" si="424"/>
        <v>1+2764,41743800822i</v>
      </c>
      <c r="Q479" s="67">
        <f t="shared" si="435"/>
        <v>2764.417618878148</v>
      </c>
      <c r="R479" s="67">
        <f t="shared" si="436"/>
        <v>1.5704345869423575</v>
      </c>
      <c r="S479" s="67" t="str">
        <f t="shared" si="425"/>
        <v>1+76,7893732780063i</v>
      </c>
      <c r="T479" s="67">
        <f t="shared" si="437"/>
        <v>76.795884319597405</v>
      </c>
      <c r="U479" s="67">
        <f t="shared" si="438"/>
        <v>1.5577744276259211</v>
      </c>
      <c r="V479" t="str">
        <f t="shared" si="426"/>
        <v>1-15,9977860995846i</v>
      </c>
      <c r="W479" s="67">
        <f t="shared" si="439"/>
        <v>16.029009953458203</v>
      </c>
      <c r="X479" s="67">
        <f t="shared" si="440"/>
        <v>-1.5083689012129464</v>
      </c>
      <c r="Y479" t="str">
        <f t="shared" si="427"/>
        <v>-9,6213562076004+44,3671934495147i</v>
      </c>
      <c r="Z479" s="67">
        <f t="shared" si="441"/>
        <v>45.398439949630323</v>
      </c>
      <c r="AA479" s="67">
        <f t="shared" si="442"/>
        <v>1.7843471855601936</v>
      </c>
      <c r="AB479" s="92" t="str">
        <f t="shared" si="443"/>
        <v>-0,217736562188977+0,0359840110735503i</v>
      </c>
      <c r="AC479" s="37">
        <f t="shared" si="444"/>
        <v>-13.124348380874519</v>
      </c>
      <c r="AD479" s="60">
        <f t="shared" si="445"/>
        <v>170.61589139627188</v>
      </c>
      <c r="AE479" t="str">
        <f t="shared" si="446"/>
        <v>34,4450883806789</v>
      </c>
      <c r="AF479" t="str">
        <f t="shared" si="428"/>
        <v>1+1382,20871900411i</v>
      </c>
      <c r="AG479">
        <f t="shared" si="447"/>
        <v>1382.2090807439308</v>
      </c>
      <c r="AH479">
        <f t="shared" si="448"/>
        <v>1.57007284718449</v>
      </c>
      <c r="AI479" t="str">
        <f t="shared" si="429"/>
        <v>1+76,7893732780063i</v>
      </c>
      <c r="AJ479">
        <f t="shared" si="449"/>
        <v>76.795884319597405</v>
      </c>
      <c r="AK479">
        <f t="shared" si="450"/>
        <v>1.5577744276259211</v>
      </c>
      <c r="AL479" t="str">
        <f t="shared" si="430"/>
        <v>1-5,22485506108957i</v>
      </c>
      <c r="AM479">
        <f t="shared" si="451"/>
        <v>5.319690818966202</v>
      </c>
      <c r="AN479">
        <f t="shared" si="452"/>
        <v>-1.3816903860415644</v>
      </c>
      <c r="AO479" s="58" t="str">
        <f t="shared" si="453"/>
        <v>1,79066165047406-10,0219911691323i</v>
      </c>
      <c r="AP479">
        <f t="shared" si="454"/>
        <v>20.155557982185623</v>
      </c>
      <c r="AQ479" s="60">
        <f t="shared" si="455"/>
        <v>-79.869675249370204</v>
      </c>
      <c r="AR479" t="str">
        <f t="shared" si="431"/>
        <v>-1,36472945891784</v>
      </c>
      <c r="AS479" t="str">
        <f t="shared" si="432"/>
        <v>1+57,5229195225545i</v>
      </c>
      <c r="AT479">
        <f t="shared" si="456"/>
        <v>57.531611053387707</v>
      </c>
      <c r="AU479">
        <f t="shared" si="457"/>
        <v>1.5534137028298456</v>
      </c>
      <c r="AV479" t="str">
        <f t="shared" si="433"/>
        <v>1+57,5229195225545i</v>
      </c>
      <c r="AW479">
        <f t="shared" si="458"/>
        <v>57.531611053387707</v>
      </c>
      <c r="AX479">
        <f t="shared" si="459"/>
        <v>1.5534137028298456</v>
      </c>
      <c r="AY479" t="str">
        <f t="shared" si="434"/>
        <v>1-0,000260765623937404i</v>
      </c>
      <c r="AZ479">
        <f t="shared" si="460"/>
        <v>1.0000000339993547</v>
      </c>
      <c r="BA479">
        <f t="shared" si="461"/>
        <v>-2.6076561802682887E-4</v>
      </c>
      <c r="BB479" s="58" t="str">
        <f t="shared" si="462"/>
        <v>-0,000406134352426652+0,0237179081988436i</v>
      </c>
      <c r="BC479">
        <f t="shared" si="463"/>
        <v>-32.49719909312887</v>
      </c>
      <c r="BD479" s="60">
        <f t="shared" si="464"/>
        <v>90.981010220705315</v>
      </c>
      <c r="BE479" s="58" t="str">
        <f t="shared" si="465"/>
        <v>-0,000765035173584412-0,00517887013656503i</v>
      </c>
      <c r="BF479" s="37">
        <f t="shared" si="466"/>
        <v>-45.621547474003386</v>
      </c>
      <c r="BG479" s="60">
        <f t="shared" si="467"/>
        <v>-98.40309838302278</v>
      </c>
      <c r="BH479" s="58" t="str">
        <f t="shared" si="468"/>
        <v>0,236973417309271+0,0465410235346347i</v>
      </c>
      <c r="BI479" s="37">
        <f t="shared" si="469"/>
        <v>-12.341641110943231</v>
      </c>
      <c r="BJ479" s="60">
        <f t="shared" si="470"/>
        <v>11.111334971335118</v>
      </c>
      <c r="BK479">
        <f t="shared" si="471"/>
        <v>-45.621547474003386</v>
      </c>
      <c r="BL479" s="60">
        <f t="shared" si="472"/>
        <v>-98.40309838302278</v>
      </c>
      <c r="BN479">
        <f t="shared" si="473"/>
        <v>0</v>
      </c>
      <c r="BO479">
        <f t="shared" si="474"/>
        <v>0</v>
      </c>
    </row>
    <row r="480" spans="13:67" x14ac:dyDescent="0.25">
      <c r="M480" s="66">
        <v>62</v>
      </c>
      <c r="N480" s="36">
        <f t="shared" si="422"/>
        <v>416869.38347033598</v>
      </c>
      <c r="O480" s="91" t="str">
        <f t="shared" si="423"/>
        <v>22,5</v>
      </c>
      <c r="P480" s="67" t="str">
        <f t="shared" si="424"/>
        <v>1+2828,80899205254i</v>
      </c>
      <c r="Q480" s="67">
        <f t="shared" si="435"/>
        <v>2828.809168805366</v>
      </c>
      <c r="R480" s="67">
        <f t="shared" si="436"/>
        <v>1.5704428211459984</v>
      </c>
      <c r="S480" s="67" t="str">
        <f t="shared" si="425"/>
        <v>1+78,578027557015i</v>
      </c>
      <c r="T480" s="67">
        <f t="shared" si="437"/>
        <v>78.584390401345033</v>
      </c>
      <c r="U480" s="67">
        <f t="shared" si="438"/>
        <v>1.5580708098671781</v>
      </c>
      <c r="V480" t="str">
        <f t="shared" si="426"/>
        <v>1-16,3704224077114i</v>
      </c>
      <c r="W480" s="67">
        <f t="shared" si="439"/>
        <v>16.400936857597479</v>
      </c>
      <c r="X480" s="67">
        <f t="shared" si="440"/>
        <v>-1.5097863584273681</v>
      </c>
      <c r="Y480" t="str">
        <f t="shared" si="427"/>
        <v>-10,1219253039961+45,400638144053i</v>
      </c>
      <c r="Z480" s="67">
        <f t="shared" si="441"/>
        <v>46.515280454350872</v>
      </c>
      <c r="AA480" s="67">
        <f t="shared" si="442"/>
        <v>1.79015561120486</v>
      </c>
      <c r="AB480" s="92" t="str">
        <f t="shared" si="443"/>
        <v>-0,21718421628532+0,0374424494823686i</v>
      </c>
      <c r="AC480" s="37">
        <f t="shared" si="444"/>
        <v>-13.136236629225293</v>
      </c>
      <c r="AD480" s="60">
        <f t="shared" si="445"/>
        <v>170.21838847162059</v>
      </c>
      <c r="AE480" t="str">
        <f t="shared" si="446"/>
        <v>34,4450883806789</v>
      </c>
      <c r="AF480" t="str">
        <f t="shared" si="428"/>
        <v>1+1414,40449602627i</v>
      </c>
      <c r="AG480">
        <f t="shared" si="447"/>
        <v>1414.4048495318893</v>
      </c>
      <c r="AH480">
        <f t="shared" si="448"/>
        <v>1.5700893155854527</v>
      </c>
      <c r="AI480" t="str">
        <f t="shared" si="429"/>
        <v>1+78,578027557015i</v>
      </c>
      <c r="AJ480">
        <f t="shared" si="449"/>
        <v>78.584390401345033</v>
      </c>
      <c r="AK480">
        <f t="shared" si="450"/>
        <v>1.5580708098671781</v>
      </c>
      <c r="AL480" t="str">
        <f t="shared" si="430"/>
        <v>1-5,3465575696956i</v>
      </c>
      <c r="AM480">
        <f t="shared" si="451"/>
        <v>5.4392718121150478</v>
      </c>
      <c r="AN480">
        <f t="shared" si="452"/>
        <v>-1.3858964285443769</v>
      </c>
      <c r="AO480" s="58" t="str">
        <f t="shared" si="453"/>
        <v>1,79066088120431-10,2543452734909i</v>
      </c>
      <c r="AP480">
        <f t="shared" si="454"/>
        <v>20.348612345381483</v>
      </c>
      <c r="AQ480" s="60">
        <f t="shared" si="455"/>
        <v>-80.094625851557836</v>
      </c>
      <c r="AR480" t="str">
        <f t="shared" si="431"/>
        <v>-1,36472945891784</v>
      </c>
      <c r="AS480" t="str">
        <f t="shared" si="432"/>
        <v>1+58,8628004429599i</v>
      </c>
      <c r="AT480">
        <f t="shared" si="456"/>
        <v>58.871294159273596</v>
      </c>
      <c r="AU480">
        <f t="shared" si="457"/>
        <v>1.5538093026591886</v>
      </c>
      <c r="AV480" t="str">
        <f t="shared" si="433"/>
        <v>1+58,8628004429599i</v>
      </c>
      <c r="AW480">
        <f t="shared" si="458"/>
        <v>58.871294159273596</v>
      </c>
      <c r="AX480">
        <f t="shared" si="459"/>
        <v>1.5538093026591886</v>
      </c>
      <c r="AY480" t="str">
        <f t="shared" si="434"/>
        <v>1-0,000254829873657397i</v>
      </c>
      <c r="AZ480">
        <f t="shared" si="460"/>
        <v>1.0000000324691318</v>
      </c>
      <c r="BA480">
        <f t="shared" si="461"/>
        <v>-2.5482986814132731E-4</v>
      </c>
      <c r="BB480" s="58" t="str">
        <f t="shared" si="462"/>
        <v>-0,000387860569574932+0,0231783331421746i</v>
      </c>
      <c r="BC480">
        <f t="shared" si="463"/>
        <v>-32.697140051205537</v>
      </c>
      <c r="BD480" s="60">
        <f t="shared" si="464"/>
        <v>90.958684113524555</v>
      </c>
      <c r="BE480" s="58" t="str">
        <f t="shared" si="465"/>
        <v>-0,000783616373930273-0,00504849056806576i</v>
      </c>
      <c r="BF480" s="37">
        <f t="shared" si="466"/>
        <v>-45.833376680430831</v>
      </c>
      <c r="BG480" s="60">
        <f t="shared" si="467"/>
        <v>-98.822927414854846</v>
      </c>
      <c r="BH480" s="58" t="str">
        <f t="shared" si="468"/>
        <v>0,236984104154556+0,0454817906476076i</v>
      </c>
      <c r="BI480" s="37">
        <f t="shared" si="469"/>
        <v>-12.348527705824061</v>
      </c>
      <c r="BJ480" s="60">
        <f t="shared" si="470"/>
        <v>10.864058261966722</v>
      </c>
      <c r="BK480">
        <f t="shared" si="471"/>
        <v>-45.833376680430831</v>
      </c>
      <c r="BL480" s="60">
        <f t="shared" si="472"/>
        <v>-98.822927414854846</v>
      </c>
      <c r="BN480">
        <f t="shared" si="473"/>
        <v>0</v>
      </c>
      <c r="BO480">
        <f t="shared" si="474"/>
        <v>0</v>
      </c>
    </row>
    <row r="481" spans="13:67" x14ac:dyDescent="0.25">
      <c r="M481" s="66">
        <v>63</v>
      </c>
      <c r="N481" s="36">
        <f t="shared" si="422"/>
        <v>426579.51880159322</v>
      </c>
      <c r="O481" s="91" t="str">
        <f t="shared" si="423"/>
        <v>22,5</v>
      </c>
      <c r="P481" s="67" t="str">
        <f t="shared" si="424"/>
        <v>1+2894,70041806814i</v>
      </c>
      <c r="Q481" s="67">
        <f t="shared" si="435"/>
        <v>2894.7005907975808</v>
      </c>
      <c r="R481" s="67">
        <f t="shared" si="436"/>
        <v>1.5704508679163276</v>
      </c>
      <c r="S481" s="67" t="str">
        <f t="shared" si="425"/>
        <v>1+80,4083449463374i</v>
      </c>
      <c r="T481" s="67">
        <f t="shared" si="437"/>
        <v>80.414562965977623</v>
      </c>
      <c r="U481" s="67">
        <f t="shared" si="438"/>
        <v>1.5583604477854032</v>
      </c>
      <c r="V481" t="str">
        <f t="shared" si="426"/>
        <v>1-16,7517385304869i</v>
      </c>
      <c r="W481" s="67">
        <f t="shared" si="439"/>
        <v>16.781559635319937</v>
      </c>
      <c r="X481" s="67">
        <f t="shared" si="440"/>
        <v>-1.5111717876062774</v>
      </c>
      <c r="Y481" t="str">
        <f t="shared" si="427"/>
        <v>-10,646085495104+46,4581548578838i</v>
      </c>
      <c r="Z481" s="67">
        <f t="shared" si="441"/>
        <v>47.662346660316423</v>
      </c>
      <c r="AA481" s="67">
        <f t="shared" si="442"/>
        <v>1.7960613469484716</v>
      </c>
      <c r="AB481" s="92" t="str">
        <f t="shared" si="443"/>
        <v>-0,216608127516727+0,0389085072250918i</v>
      </c>
      <c r="AC481" s="37">
        <f t="shared" si="444"/>
        <v>-13.148590522549942</v>
      </c>
      <c r="AD481" s="60">
        <f t="shared" si="445"/>
        <v>169.8167694781491</v>
      </c>
      <c r="AE481" t="str">
        <f t="shared" si="446"/>
        <v>34,4450883806789</v>
      </c>
      <c r="AF481" t="str">
        <f t="shared" si="428"/>
        <v>1+1447,35020903407i</v>
      </c>
      <c r="AG481">
        <f t="shared" si="447"/>
        <v>1447.3505544929212</v>
      </c>
      <c r="AH481">
        <f t="shared" si="448"/>
        <v>1.5701054091202138</v>
      </c>
      <c r="AI481" t="str">
        <f t="shared" si="429"/>
        <v>1+80,4083449463374i</v>
      </c>
      <c r="AJ481">
        <f t="shared" si="449"/>
        <v>80.414562965977623</v>
      </c>
      <c r="AK481">
        <f t="shared" si="450"/>
        <v>1.5583604477854032</v>
      </c>
      <c r="AL481" t="str">
        <f t="shared" si="430"/>
        <v>1-5,47109489389513i</v>
      </c>
      <c r="AM481">
        <f t="shared" si="451"/>
        <v>5.5617334831871759</v>
      </c>
      <c r="AN481">
        <f t="shared" si="452"/>
        <v>-1.3900131342488404</v>
      </c>
      <c r="AO481" s="58" t="str">
        <f t="shared" si="453"/>
        <v>1,79066014655738-10,4921363673969i</v>
      </c>
      <c r="AP481">
        <f t="shared" si="454"/>
        <v>20.541969026598096</v>
      </c>
      <c r="AQ481" s="60">
        <f t="shared" si="455"/>
        <v>-80.314822775238994</v>
      </c>
      <c r="AR481" t="str">
        <f t="shared" si="431"/>
        <v>-1,36472945891784</v>
      </c>
      <c r="AS481" t="str">
        <f t="shared" si="432"/>
        <v>1+60,2338911993013i</v>
      </c>
      <c r="AT481">
        <f t="shared" si="456"/>
        <v>60.242191601976657</v>
      </c>
      <c r="AU481">
        <f t="shared" si="457"/>
        <v>1.5541959026752443</v>
      </c>
      <c r="AV481" t="str">
        <f t="shared" si="433"/>
        <v>1+60,2338911993013i</v>
      </c>
      <c r="AW481">
        <f t="shared" si="458"/>
        <v>60.242191601976657</v>
      </c>
      <c r="AX481">
        <f t="shared" si="459"/>
        <v>1.5541959026752443</v>
      </c>
      <c r="AY481" t="str">
        <f t="shared" si="434"/>
        <v>1-0,000249029237549475i</v>
      </c>
      <c r="AZ481">
        <f t="shared" si="460"/>
        <v>1.0000000310077801</v>
      </c>
      <c r="BA481">
        <f t="shared" si="461"/>
        <v>-2.4902923240157921E-4</v>
      </c>
      <c r="BB481" s="58" t="str">
        <f t="shared" si="462"/>
        <v>-0,000370408778499075+0,022651019599995i</v>
      </c>
      <c r="BC481">
        <f t="shared" si="463"/>
        <v>-32.897083665856847</v>
      </c>
      <c r="BD481" s="60">
        <f t="shared" si="464"/>
        <v>90.936865916191252</v>
      </c>
      <c r="BE481" s="58" t="str">
        <f t="shared" si="465"/>
        <v>-0,000801083807835659-0,00492080699453407i</v>
      </c>
      <c r="BF481" s="37">
        <f t="shared" si="466"/>
        <v>-46.045674188406778</v>
      </c>
      <c r="BG481" s="60">
        <f t="shared" si="467"/>
        <v>-99.24636460565965</v>
      </c>
      <c r="BH481" s="58" t="str">
        <f t="shared" si="468"/>
        <v>0,236994310266134+0,0444466574922943i</v>
      </c>
      <c r="BI481" s="37">
        <f t="shared" si="469"/>
        <v>-12.355114639258758</v>
      </c>
      <c r="BJ481" s="60">
        <f t="shared" si="470"/>
        <v>10.622043140952263</v>
      </c>
      <c r="BK481">
        <f t="shared" si="471"/>
        <v>-46.045674188406778</v>
      </c>
      <c r="BL481" s="60">
        <f t="shared" si="472"/>
        <v>-99.24636460565965</v>
      </c>
      <c r="BN481">
        <f t="shared" si="473"/>
        <v>0</v>
      </c>
      <c r="BO481">
        <f t="shared" si="474"/>
        <v>0</v>
      </c>
    </row>
    <row r="482" spans="13:67" x14ac:dyDescent="0.25">
      <c r="M482" s="66">
        <v>64</v>
      </c>
      <c r="N482" s="36">
        <f t="shared" si="422"/>
        <v>436515.83224016649</v>
      </c>
      <c r="O482" s="91" t="str">
        <f t="shared" si="423"/>
        <v>22,5</v>
      </c>
      <c r="P482" s="67" t="str">
        <f t="shared" si="424"/>
        <v>1+2962,12665256129i</v>
      </c>
      <c r="Q482" s="67">
        <f t="shared" si="435"/>
        <v>2962.1268213589292</v>
      </c>
      <c r="R482" s="67">
        <f t="shared" si="436"/>
        <v>1.5704587315198448</v>
      </c>
      <c r="S482" s="67" t="str">
        <f t="shared" si="425"/>
        <v>1+82,2812959044805i</v>
      </c>
      <c r="T482" s="67">
        <f t="shared" si="437"/>
        <v>82.287372395287235</v>
      </c>
      <c r="U482" s="67">
        <f t="shared" si="438"/>
        <v>1.5586434947559615</v>
      </c>
      <c r="V482" t="str">
        <f t="shared" si="426"/>
        <v>1-17,1419366467668i</v>
      </c>
      <c r="W482" s="67">
        <f t="shared" si="439"/>
        <v>17.17108010585725</v>
      </c>
      <c r="X482" s="67">
        <f t="shared" si="440"/>
        <v>-1.5125259020368487</v>
      </c>
      <c r="Y482" t="str">
        <f t="shared" si="427"/>
        <v>-11,1949485949648+47,5403043003665i</v>
      </c>
      <c r="Z482" s="67">
        <f t="shared" si="441"/>
        <v>48.84063274585364</v>
      </c>
      <c r="AA482" s="67">
        <f t="shared" si="442"/>
        <v>1.8020662615071938</v>
      </c>
      <c r="AB482" s="92" t="str">
        <f t="shared" si="443"/>
        <v>-0,216007483477606+0,0403821900083223i</v>
      </c>
      <c r="AC482" s="37">
        <f t="shared" si="444"/>
        <v>-13.161432066067547</v>
      </c>
      <c r="AD482" s="60">
        <f t="shared" si="445"/>
        <v>169.41089502127181</v>
      </c>
      <c r="AE482" t="str">
        <f t="shared" si="446"/>
        <v>34,4450883806789</v>
      </c>
      <c r="AF482" t="str">
        <f t="shared" si="428"/>
        <v>1+1481,06332628065i</v>
      </c>
      <c r="AG482">
        <f t="shared" si="447"/>
        <v>1481.0636638758995</v>
      </c>
      <c r="AH482">
        <f t="shared" si="448"/>
        <v>1.5701211363217449</v>
      </c>
      <c r="AI482" t="str">
        <f t="shared" si="429"/>
        <v>1+82,2812959044805i</v>
      </c>
      <c r="AJ482">
        <f t="shared" si="449"/>
        <v>82.287372395287235</v>
      </c>
      <c r="AK482">
        <f t="shared" si="450"/>
        <v>1.5586434947559615</v>
      </c>
      <c r="AL482" t="str">
        <f t="shared" si="430"/>
        <v>1-5,59853306502589i</v>
      </c>
      <c r="AM482">
        <f t="shared" si="451"/>
        <v>5.6871409759375746</v>
      </c>
      <c r="AN482">
        <f t="shared" si="452"/>
        <v>-1.394042127478246</v>
      </c>
      <c r="AO482" s="58" t="str">
        <f t="shared" si="453"/>
        <v>1,79065944497497-10,735490530839i</v>
      </c>
      <c r="AP482">
        <f t="shared" si="454"/>
        <v>20.735615295811026</v>
      </c>
      <c r="AQ482" s="60">
        <f t="shared" si="455"/>
        <v>-80.530350788425082</v>
      </c>
      <c r="AR482" t="str">
        <f t="shared" si="431"/>
        <v>-1,36472945891784</v>
      </c>
      <c r="AS482" t="str">
        <f t="shared" si="432"/>
        <v>1+61,6369187620463i</v>
      </c>
      <c r="AT482">
        <f t="shared" si="456"/>
        <v>61.645030249640527</v>
      </c>
      <c r="AU482">
        <f t="shared" si="457"/>
        <v>1.5545737073959447</v>
      </c>
      <c r="AV482" t="str">
        <f t="shared" si="433"/>
        <v>1+61,6369187620463i</v>
      </c>
      <c r="AW482">
        <f t="shared" si="458"/>
        <v>61.645030249640527</v>
      </c>
      <c r="AX482">
        <f t="shared" si="459"/>
        <v>1.5545737073959447</v>
      </c>
      <c r="AY482" t="str">
        <f t="shared" si="434"/>
        <v>1-0,000243360640039593i</v>
      </c>
      <c r="AZ482">
        <f t="shared" si="460"/>
        <v>1.0000000296122002</v>
      </c>
      <c r="BA482">
        <f t="shared" si="461"/>
        <v>-2.4336063523529712E-4</v>
      </c>
      <c r="BB482" s="58" t="str">
        <f t="shared" si="462"/>
        <v>-0,000353742024279596+0,0221356898478464i</v>
      </c>
      <c r="BC482">
        <f t="shared" si="463"/>
        <v>-33.097029817583149</v>
      </c>
      <c r="BD482" s="60">
        <f t="shared" si="464"/>
        <v>90.915544086908383</v>
      </c>
      <c r="BE482" s="58" t="str">
        <f t="shared" si="465"/>
        <v>-0,000817476708936115-0,00479575953671248i</v>
      </c>
      <c r="BF482" s="37">
        <f t="shared" si="466"/>
        <v>-46.258461883650696</v>
      </c>
      <c r="BG482" s="60">
        <f t="shared" si="467"/>
        <v>-99.673560891819818</v>
      </c>
      <c r="BH482" s="58" t="str">
        <f t="shared" si="468"/>
        <v>0,237004057258283+0,0434350762490961i</v>
      </c>
      <c r="BI482" s="37">
        <f t="shared" si="469"/>
        <v>-12.361414521772131</v>
      </c>
      <c r="BJ482" s="60">
        <f t="shared" si="470"/>
        <v>10.385193298483314</v>
      </c>
      <c r="BK482">
        <f t="shared" si="471"/>
        <v>-46.258461883650696</v>
      </c>
      <c r="BL482" s="60">
        <f t="shared" si="472"/>
        <v>-99.673560891819818</v>
      </c>
      <c r="BN482">
        <f t="shared" si="473"/>
        <v>0</v>
      </c>
      <c r="BO482">
        <f t="shared" si="474"/>
        <v>0</v>
      </c>
    </row>
    <row r="483" spans="13:67" x14ac:dyDescent="0.25">
      <c r="M483" s="66">
        <v>65</v>
      </c>
      <c r="N483" s="36">
        <f t="shared" si="422"/>
        <v>446683.59215096442</v>
      </c>
      <c r="O483" s="91" t="str">
        <f t="shared" si="423"/>
        <v>22,5</v>
      </c>
      <c r="P483" s="67" t="str">
        <f t="shared" si="424"/>
        <v>1+3031,12344581403i</v>
      </c>
      <c r="Q483" s="67">
        <f t="shared" si="435"/>
        <v>3031.1236107693662</v>
      </c>
      <c r="R483" s="67">
        <f t="shared" si="436"/>
        <v>1.570466416125933</v>
      </c>
      <c r="S483" s="67" t="str">
        <f t="shared" si="425"/>
        <v>1+84,1978734948343i</v>
      </c>
      <c r="T483" s="67">
        <f t="shared" si="437"/>
        <v>84.203811677691405</v>
      </c>
      <c r="U483" s="67">
        <f t="shared" si="438"/>
        <v>1.558920100672587</v>
      </c>
      <c r="V483" t="str">
        <f t="shared" si="426"/>
        <v>1-17,5412236447571i</v>
      </c>
      <c r="W483" s="67">
        <f t="shared" si="439"/>
        <v>17.569704805584685</v>
      </c>
      <c r="X483" s="67">
        <f t="shared" si="440"/>
        <v>-1.513849399813733</v>
      </c>
      <c r="Y483" t="str">
        <f t="shared" si="427"/>
        <v>-11,7696788158009+48,6476602414598i</v>
      </c>
      <c r="Z483" s="67">
        <f t="shared" si="441"/>
        <v>50.05117567445965</v>
      </c>
      <c r="AA483" s="67">
        <f t="shared" si="442"/>
        <v>1.8081721971456375</v>
      </c>
      <c r="AB483" s="92" t="str">
        <f t="shared" si="443"/>
        <v>-0,215381454279316+0,0418634641450025i</v>
      </c>
      <c r="AC483" s="37">
        <f t="shared" si="444"/>
        <v>-13.174783930677062</v>
      </c>
      <c r="AD483" s="60">
        <f t="shared" si="445"/>
        <v>169.00062789851489</v>
      </c>
      <c r="AE483" t="str">
        <f t="shared" si="446"/>
        <v>34,4450883806789</v>
      </c>
      <c r="AF483" t="str">
        <f t="shared" si="428"/>
        <v>1+1515,56172290702i</v>
      </c>
      <c r="AG483">
        <f t="shared" si="447"/>
        <v>1515.5620528176651</v>
      </c>
      <c r="AH483">
        <f t="shared" si="448"/>
        <v>1.570136505528785</v>
      </c>
      <c r="AI483" t="str">
        <f t="shared" si="429"/>
        <v>1+84,1978734948343i</v>
      </c>
      <c r="AJ483">
        <f t="shared" si="449"/>
        <v>84.203811677691405</v>
      </c>
      <c r="AK483">
        <f t="shared" si="450"/>
        <v>1.558920100672587</v>
      </c>
      <c r="AL483" t="str">
        <f t="shared" si="430"/>
        <v>1-5,72893965249311i</v>
      </c>
      <c r="AM483">
        <f t="shared" si="451"/>
        <v>5.815560982562892</v>
      </c>
      <c r="AN483">
        <f t="shared" si="452"/>
        <v>-1.3979850209857565</v>
      </c>
      <c r="AO483" s="58" t="str">
        <f t="shared" si="453"/>
        <v>1,79065877496895-10,984536793419i</v>
      </c>
      <c r="AP483">
        <f t="shared" si="454"/>
        <v>20.929538922398812</v>
      </c>
      <c r="AQ483" s="60">
        <f t="shared" si="455"/>
        <v>-80.741294184561852</v>
      </c>
      <c r="AR483" t="str">
        <f t="shared" si="431"/>
        <v>-1,36472945891784</v>
      </c>
      <c r="AS483" t="str">
        <f t="shared" si="432"/>
        <v>1+63,0726270349804i</v>
      </c>
      <c r="AT483">
        <f t="shared" si="456"/>
        <v>63.080553906047307</v>
      </c>
      <c r="AU483">
        <f t="shared" si="457"/>
        <v>1.5549429167066944</v>
      </c>
      <c r="AV483" t="str">
        <f t="shared" si="433"/>
        <v>1+63,0726270349804i</v>
      </c>
      <c r="AW483">
        <f t="shared" si="458"/>
        <v>63.080553906047307</v>
      </c>
      <c r="AX483">
        <f t="shared" si="459"/>
        <v>1.5549429167066944</v>
      </c>
      <c r="AY483" t="str">
        <f t="shared" si="434"/>
        <v>1-0,000237821075562319i</v>
      </c>
      <c r="AZ483">
        <f t="shared" si="460"/>
        <v>1.0000000282794317</v>
      </c>
      <c r="BA483">
        <f t="shared" si="461"/>
        <v>-2.378210710786892E-4</v>
      </c>
      <c r="BB483" s="58" t="str">
        <f t="shared" si="462"/>
        <v>-0,000337825011654124+0,0216320723909199i</v>
      </c>
      <c r="BC483">
        <f t="shared" si="463"/>
        <v>-33.296978392257508</v>
      </c>
      <c r="BD483" s="60">
        <f t="shared" si="464"/>
        <v>90.894707345292019</v>
      </c>
      <c r="BE483" s="58" t="str">
        <f t="shared" si="465"/>
        <v>-0,000832832244617382-0,00467328973589444i</v>
      </c>
      <c r="BF483" s="37">
        <f t="shared" si="466"/>
        <v>-46.471762322934566</v>
      </c>
      <c r="BG483" s="60">
        <f t="shared" si="467"/>
        <v>-100.10466475619306</v>
      </c>
      <c r="BH483" s="58" t="str">
        <f t="shared" si="468"/>
        <v>0,237013365774441+0,0424465115178162i</v>
      </c>
      <c r="BI483" s="37">
        <f t="shared" si="469"/>
        <v>-12.367439469858677</v>
      </c>
      <c r="BJ483" s="60">
        <f t="shared" si="470"/>
        <v>10.153413160730155</v>
      </c>
      <c r="BK483">
        <f t="shared" si="471"/>
        <v>-46.471762322934566</v>
      </c>
      <c r="BL483" s="60">
        <f t="shared" si="472"/>
        <v>-100.10466475619306</v>
      </c>
      <c r="BN483">
        <f t="shared" si="473"/>
        <v>0</v>
      </c>
      <c r="BO483">
        <f t="shared" si="474"/>
        <v>0</v>
      </c>
    </row>
    <row r="484" spans="13:67" x14ac:dyDescent="0.25">
      <c r="M484" s="66">
        <v>66</v>
      </c>
      <c r="N484" s="36">
        <f t="shared" ref="N484:N518" si="475">10^(5+(M484/100))</f>
        <v>457088.18961487547</v>
      </c>
      <c r="O484" s="91" t="str">
        <f t="shared" si="423"/>
        <v>22,5</v>
      </c>
      <c r="P484" s="67" t="str">
        <f t="shared" si="424"/>
        <v>1+3101,72738083938i</v>
      </c>
      <c r="Q484" s="67">
        <f t="shared" si="435"/>
        <v>3101.7275420398742</v>
      </c>
      <c r="R484" s="67">
        <f t="shared" si="436"/>
        <v>1.5704739258090685</v>
      </c>
      <c r="S484" s="67" t="str">
        <f t="shared" si="425"/>
        <v>1+86,1590939122051i</v>
      </c>
      <c r="T484" s="67">
        <f t="shared" si="437"/>
        <v>86.164896934727295</v>
      </c>
      <c r="U484" s="67">
        <f t="shared" si="438"/>
        <v>1.5591904120259938</v>
      </c>
      <c r="V484" t="str">
        <f t="shared" si="426"/>
        <v>1-17,9498112317094i</v>
      </c>
      <c r="W484" s="67">
        <f t="shared" si="439"/>
        <v>17.977645097564945</v>
      </c>
      <c r="X484" s="67">
        <f t="shared" si="440"/>
        <v>-1.5151429641160772</v>
      </c>
      <c r="Y484" t="str">
        <f t="shared" si="427"/>
        <v>-12,3714952374659+49,7808098159407i</v>
      </c>
      <c r="Z484" s="67">
        <f t="shared" si="441"/>
        <v>51.295057465037509</v>
      </c>
      <c r="AA484" s="67">
        <f t="shared" si="442"/>
        <v>1.8143809662086321</v>
      </c>
      <c r="AB484" s="92" t="str">
        <f t="shared" si="443"/>
        <v>-0,214729193477411+0,0433522546281831i</v>
      </c>
      <c r="AC484" s="37">
        <f t="shared" si="444"/>
        <v>-13.188669469752853</v>
      </c>
      <c r="AD484" s="60">
        <f t="shared" si="445"/>
        <v>168.58583328673635</v>
      </c>
      <c r="AE484" t="str">
        <f t="shared" si="446"/>
        <v>34,4450883806789</v>
      </c>
      <c r="AF484" t="str">
        <f t="shared" si="428"/>
        <v>1+1550,86369041969i</v>
      </c>
      <c r="AG484">
        <f t="shared" si="447"/>
        <v>1550.8640128206534</v>
      </c>
      <c r="AH484">
        <f t="shared" si="448"/>
        <v>1.5701515248902627</v>
      </c>
      <c r="AI484" t="str">
        <f t="shared" si="429"/>
        <v>1+86,1590939122051i</v>
      </c>
      <c r="AJ484">
        <f t="shared" si="449"/>
        <v>86.164896934727295</v>
      </c>
      <c r="AK484">
        <f t="shared" si="450"/>
        <v>1.5591904120259938</v>
      </c>
      <c r="AL484" t="str">
        <f t="shared" si="430"/>
        <v>1-5,86238379959552i</v>
      </c>
      <c r="AM484">
        <f t="shared" si="451"/>
        <v>5.9470617798842484</v>
      </c>
      <c r="AN484">
        <f t="shared" si="452"/>
        <v>-1.4018434147194352</v>
      </c>
      <c r="AO484" s="58" t="str">
        <f t="shared" si="453"/>
        <v>1,79065813511814-11,2394072027645i</v>
      </c>
      <c r="AP484">
        <f t="shared" si="454"/>
        <v>21.123728158692717</v>
      </c>
      <c r="AQ484" s="60">
        <f t="shared" si="455"/>
        <v>-80.947736707520306</v>
      </c>
      <c r="AR484" t="str">
        <f t="shared" si="431"/>
        <v>-1,36472945891784</v>
      </c>
      <c r="AS484" t="str">
        <f t="shared" si="432"/>
        <v>1+64,5417772496328i</v>
      </c>
      <c r="AT484">
        <f t="shared" si="456"/>
        <v>64.549523704991174</v>
      </c>
      <c r="AU484">
        <f t="shared" si="457"/>
        <v>1.5553037259642937</v>
      </c>
      <c r="AV484" t="str">
        <f t="shared" si="433"/>
        <v>1+64,5417772496328i</v>
      </c>
      <c r="AW484">
        <f t="shared" si="458"/>
        <v>64.549523704991174</v>
      </c>
      <c r="AX484">
        <f t="shared" si="459"/>
        <v>1.5553037259642937</v>
      </c>
      <c r="AY484" t="str">
        <f t="shared" si="434"/>
        <v>1-0,000232407606967243i</v>
      </c>
      <c r="AZ484">
        <f t="shared" si="460"/>
        <v>1.0000000270066476</v>
      </c>
      <c r="BA484">
        <f t="shared" si="461"/>
        <v>-2.324076027828762E-4</v>
      </c>
      <c r="BB484" s="58" t="str">
        <f t="shared" si="462"/>
        <v>-0,000322624030636002+0,0211399018283923i</v>
      </c>
      <c r="BC484">
        <f t="shared" si="463"/>
        <v>-33.496929280884039</v>
      </c>
      <c r="BD484" s="60">
        <f t="shared" si="464"/>
        <v>90.874344666508208</v>
      </c>
      <c r="BE484" s="58" t="str">
        <f t="shared" si="465"/>
        <v>-0,000847185608984356-0,00455334054892763i</v>
      </c>
      <c r="BF484" s="37">
        <f t="shared" si="466"/>
        <v>-46.685598750636885</v>
      </c>
      <c r="BG484" s="60">
        <f t="shared" si="467"/>
        <v>-100.53982204675542</v>
      </c>
      <c r="BH484" s="58" t="str">
        <f t="shared" si="468"/>
        <v>0,237022255530724+0,0414804400383247i</v>
      </c>
      <c r="BI484" s="37">
        <f t="shared" si="469"/>
        <v>-12.373201122191313</v>
      </c>
      <c r="BJ484" s="60">
        <f t="shared" si="470"/>
        <v>9.9266079589878888</v>
      </c>
      <c r="BK484">
        <f t="shared" si="471"/>
        <v>-46.685598750636885</v>
      </c>
      <c r="BL484" s="60">
        <f t="shared" si="472"/>
        <v>-100.53982204675542</v>
      </c>
      <c r="BN484">
        <f t="shared" si="473"/>
        <v>0</v>
      </c>
      <c r="BO484">
        <f t="shared" si="474"/>
        <v>0</v>
      </c>
    </row>
    <row r="485" spans="13:67" x14ac:dyDescent="0.25">
      <c r="M485" s="66">
        <v>67</v>
      </c>
      <c r="N485" s="36">
        <f t="shared" si="475"/>
        <v>467735.14128719864</v>
      </c>
      <c r="O485" s="91" t="str">
        <f t="shared" si="423"/>
        <v>22,5</v>
      </c>
      <c r="P485" s="67" t="str">
        <f t="shared" si="424"/>
        <v>1+3173,97589277827i</v>
      </c>
      <c r="Q485" s="67">
        <f t="shared" si="435"/>
        <v>3173.9760503093935</v>
      </c>
      <c r="R485" s="67">
        <f t="shared" si="436"/>
        <v>1.5704812645509814</v>
      </c>
      <c r="S485" s="67" t="str">
        <f t="shared" si="425"/>
        <v>1+88,1659970216188i</v>
      </c>
      <c r="T485" s="67">
        <f t="shared" si="437"/>
        <v>88.171667959816276</v>
      </c>
      <c r="U485" s="67">
        <f t="shared" si="438"/>
        <v>1.55945457198074</v>
      </c>
      <c r="V485" t="str">
        <f t="shared" si="426"/>
        <v>1-18,3679160461706i</v>
      </c>
      <c r="W485" s="67">
        <f t="shared" si="439"/>
        <v>18.395117283648162</v>
      </c>
      <c r="X485" s="67">
        <f t="shared" si="440"/>
        <v>-1.5164072634827357</v>
      </c>
      <c r="Y485" t="str">
        <f t="shared" si="427"/>
        <v>-13,0016743932771+50,940353834713i</v>
      </c>
      <c r="Z485" s="67">
        <f t="shared" si="441"/>
        <v>52.573407591999946</v>
      </c>
      <c r="AA485" s="67">
        <f t="shared" si="442"/>
        <v>1.8206943474462907</v>
      </c>
      <c r="AB485" s="92" t="str">
        <f t="shared" si="443"/>
        <v>-0,214049839141159+0,0448484431630383i</v>
      </c>
      <c r="AC485" s="37">
        <f t="shared" si="444"/>
        <v>-13.203112734991569</v>
      </c>
      <c r="AD485" s="60">
        <f t="shared" si="445"/>
        <v>168.16637894119557</v>
      </c>
      <c r="AE485" t="str">
        <f t="shared" si="446"/>
        <v>34,4450883806789</v>
      </c>
      <c r="AF485" t="str">
        <f t="shared" si="428"/>
        <v>1+1586,98794638914i</v>
      </c>
      <c r="AG485">
        <f t="shared" si="447"/>
        <v>1586.9882614513631</v>
      </c>
      <c r="AH485">
        <f t="shared" si="448"/>
        <v>1.5701662023696148</v>
      </c>
      <c r="AI485" t="str">
        <f t="shared" si="429"/>
        <v>1+88,1659970216188i</v>
      </c>
      <c r="AJ485">
        <f t="shared" si="449"/>
        <v>88.171667959816276</v>
      </c>
      <c r="AK485">
        <f t="shared" si="450"/>
        <v>1.55945457198074</v>
      </c>
      <c r="AL485" t="str">
        <f t="shared" si="430"/>
        <v>1-5,99893626018631i</v>
      </c>
      <c r="AM485">
        <f t="shared" si="451"/>
        <v>6.0817132663237352</v>
      </c>
      <c r="AN485">
        <f t="shared" si="452"/>
        <v>-1.4056188946954478</v>
      </c>
      <c r="AO485" s="58" t="str">
        <f t="shared" si="453"/>
        <v>1,79065752406533-11,5002368945429i</v>
      </c>
      <c r="AP485">
        <f t="shared" si="454"/>
        <v>21.318171723791714</v>
      </c>
      <c r="AQ485" s="60">
        <f t="shared" si="455"/>
        <v>-81.149761482879441</v>
      </c>
      <c r="AR485" t="str">
        <f t="shared" si="431"/>
        <v>-1,36472945891784</v>
      </c>
      <c r="AS485" t="str">
        <f t="shared" si="432"/>
        <v>1+66,0451483688946i</v>
      </c>
      <c r="AT485">
        <f t="shared" si="456"/>
        <v>66.052718513845448</v>
      </c>
      <c r="AU485">
        <f t="shared" si="457"/>
        <v>1.5556563260986009</v>
      </c>
      <c r="AV485" t="str">
        <f t="shared" si="433"/>
        <v>1+66,0451483688946i</v>
      </c>
      <c r="AW485">
        <f t="shared" si="458"/>
        <v>66.052718513845448</v>
      </c>
      <c r="AX485">
        <f t="shared" si="459"/>
        <v>1.5556563260986009</v>
      </c>
      <c r="AY485" t="str">
        <f t="shared" si="434"/>
        <v>1-0,000227117363961659i</v>
      </c>
      <c r="AZ485">
        <f t="shared" si="460"/>
        <v>1.0000000257911483</v>
      </c>
      <c r="BA485">
        <f t="shared" si="461"/>
        <v>-2.2711736005658067E-4</v>
      </c>
      <c r="BB485" s="58" t="str">
        <f t="shared" si="462"/>
        <v>-0,000308106885452822+0,0206589187204399i</v>
      </c>
      <c r="BC485">
        <f t="shared" si="463"/>
        <v>-33.696882379367793</v>
      </c>
      <c r="BD485" s="60">
        <f t="shared" si="464"/>
        <v>90.854445275537472</v>
      </c>
      <c r="BE485" s="58" t="str">
        <f t="shared" si="465"/>
        <v>-0,000860570112774017-0,00443585634308081i</v>
      </c>
      <c r="BF485" s="37">
        <f t="shared" si="466"/>
        <v>-46.899995114359363</v>
      </c>
      <c r="BG485" s="60">
        <f t="shared" si="467"/>
        <v>-100.97917578326694</v>
      </c>
      <c r="BH485" s="58" t="str">
        <f t="shared" si="468"/>
        <v>0,237030745357514+0,0405363504173571i</v>
      </c>
      <c r="BI485" s="37">
        <f t="shared" si="469"/>
        <v>-12.378710655576061</v>
      </c>
      <c r="BJ485" s="60">
        <f t="shared" si="470"/>
        <v>9.7046837926580292</v>
      </c>
      <c r="BK485">
        <f t="shared" si="471"/>
        <v>-46.899995114359363</v>
      </c>
      <c r="BL485" s="60">
        <f t="shared" si="472"/>
        <v>-100.97917578326694</v>
      </c>
      <c r="BN485">
        <f t="shared" si="473"/>
        <v>0</v>
      </c>
      <c r="BO485">
        <f t="shared" si="474"/>
        <v>0</v>
      </c>
    </row>
    <row r="486" spans="13:67" x14ac:dyDescent="0.25">
      <c r="M486" s="66">
        <v>68</v>
      </c>
      <c r="N486" s="36">
        <f t="shared" si="475"/>
        <v>478630.09232263872</v>
      </c>
      <c r="O486" s="91" t="str">
        <f t="shared" si="423"/>
        <v>22,5</v>
      </c>
      <c r="P486" s="67" t="str">
        <f t="shared" si="424"/>
        <v>1+3247,90728874806i</v>
      </c>
      <c r="Q486" s="67">
        <f t="shared" si="435"/>
        <v>3247.9074426933375</v>
      </c>
      <c r="R486" s="67">
        <f t="shared" si="436"/>
        <v>1.5704884362427662</v>
      </c>
      <c r="S486" s="67" t="str">
        <f t="shared" si="425"/>
        <v>1+90,2196469096684i</v>
      </c>
      <c r="T486" s="67">
        <f t="shared" si="437"/>
        <v>90.225188769573876</v>
      </c>
      <c r="U486" s="67">
        <f t="shared" si="438"/>
        <v>1.5597127204503793</v>
      </c>
      <c r="V486" t="str">
        <f t="shared" si="426"/>
        <v>1-18,7957597728476i</v>
      </c>
      <c r="W486" s="67">
        <f t="shared" si="439"/>
        <v>18.822342719188704</v>
      </c>
      <c r="X486" s="67">
        <f t="shared" si="440"/>
        <v>-1.5176429520854247</v>
      </c>
      <c r="Y486" t="str">
        <f t="shared" si="427"/>
        <v>-13,6615529777138+52,1269071033639i</v>
      </c>
      <c r="Z486" s="67">
        <f t="shared" si="441"/>
        <v>53.887405522307432</v>
      </c>
      <c r="AA486" s="67">
        <f t="shared" si="442"/>
        <v>1.8271140821287708</v>
      </c>
      <c r="AB486" s="92" t="str">
        <f t="shared" si="443"/>
        <v>-0,21334251507512+0,0463518661641619i</v>
      </c>
      <c r="AC486" s="37">
        <f t="shared" si="444"/>
        <v>-13.218138491184938</v>
      </c>
      <c r="AD486" s="60">
        <f t="shared" si="445"/>
        <v>167.74213540669604</v>
      </c>
      <c r="AE486" t="str">
        <f t="shared" si="446"/>
        <v>34,4450883806789</v>
      </c>
      <c r="AF486" t="str">
        <f t="shared" si="428"/>
        <v>1+1623,95364437403i</v>
      </c>
      <c r="AG486">
        <f t="shared" si="447"/>
        <v>1623.953952264563</v>
      </c>
      <c r="AH486">
        <f t="shared" si="448"/>
        <v>1.5701805457490097</v>
      </c>
      <c r="AI486" t="str">
        <f t="shared" si="429"/>
        <v>1+90,2196469096684i</v>
      </c>
      <c r="AJ486">
        <f t="shared" si="449"/>
        <v>90.225188769573876</v>
      </c>
      <c r="AK486">
        <f t="shared" si="450"/>
        <v>1.5597127204503793</v>
      </c>
      <c r="AL486" t="str">
        <f t="shared" si="430"/>
        <v>1-6,13866943618757i</v>
      </c>
      <c r="AM486">
        <f t="shared" si="451"/>
        <v>6.2195869996956725</v>
      </c>
      <c r="AN486">
        <f t="shared" si="452"/>
        <v>-1.4093130319735656</v>
      </c>
      <c r="AO486" s="58" t="str">
        <f t="shared" si="453"/>
        <v>1,79065694051441-11,7671641641118i</v>
      </c>
      <c r="AP486">
        <f t="shared" si="454"/>
        <v>21.512858787664552</v>
      </c>
      <c r="AQ486" s="60">
        <f t="shared" si="455"/>
        <v>-81.347450955162742</v>
      </c>
      <c r="AR486" t="str">
        <f t="shared" si="431"/>
        <v>-1,36472945891784</v>
      </c>
      <c r="AS486" t="str">
        <f t="shared" si="432"/>
        <v>1+67,5835375000326i</v>
      </c>
      <c r="AT486">
        <f t="shared" si="456"/>
        <v>67.590935346526422</v>
      </c>
      <c r="AU486">
        <f t="shared" si="457"/>
        <v>1.5560009037119718</v>
      </c>
      <c r="AV486" t="str">
        <f t="shared" si="433"/>
        <v>1+67,5835375000326i</v>
      </c>
      <c r="AW486">
        <f t="shared" si="458"/>
        <v>67.590935346526422</v>
      </c>
      <c r="AX486">
        <f t="shared" si="459"/>
        <v>1.5560009037119718</v>
      </c>
      <c r="AY486" t="str">
        <f t="shared" si="434"/>
        <v>1-0,000221947541588701i</v>
      </c>
      <c r="AZ486">
        <f t="shared" si="460"/>
        <v>1.0000000246303553</v>
      </c>
      <c r="BA486">
        <f t="shared" si="461"/>
        <v>-2.2194753794426987E-4</v>
      </c>
      <c r="BB486" s="58" t="str">
        <f t="shared" si="462"/>
        <v>-0,00029424282665803+0,020188869457899i</v>
      </c>
      <c r="BC486">
        <f t="shared" si="463"/>
        <v>-33.896837588294503</v>
      </c>
      <c r="BD486" s="60">
        <f t="shared" si="464"/>
        <v>90.834998641564511</v>
      </c>
      <c r="BE486" s="58" t="str">
        <f t="shared" si="465"/>
        <v>-0,000873017270436234-0,00432078289079247i</v>
      </c>
      <c r="BF486" s="37">
        <f t="shared" si="466"/>
        <v>-47.114976079479433</v>
      </c>
      <c r="BG486" s="60">
        <f t="shared" si="467"/>
        <v>-101.42286595173944</v>
      </c>
      <c r="BH486" s="58" t="str">
        <f t="shared" si="468"/>
        <v>0,237038853239169+0,0396137428613236i</v>
      </c>
      <c r="BI486" s="37">
        <f t="shared" si="469"/>
        <v>-12.383978800629937</v>
      </c>
      <c r="BJ486" s="60">
        <f t="shared" si="470"/>
        <v>9.4875476864017649</v>
      </c>
      <c r="BK486">
        <f t="shared" si="471"/>
        <v>-47.114976079479433</v>
      </c>
      <c r="BL486" s="60">
        <f t="shared" si="472"/>
        <v>-101.42286595173944</v>
      </c>
      <c r="BN486">
        <f t="shared" si="473"/>
        <v>0</v>
      </c>
      <c r="BO486">
        <f t="shared" si="474"/>
        <v>0</v>
      </c>
    </row>
    <row r="487" spans="13:67" x14ac:dyDescent="0.25">
      <c r="M487" s="66">
        <v>69</v>
      </c>
      <c r="N487" s="36">
        <f t="shared" si="475"/>
        <v>489778.81936844654</v>
      </c>
      <c r="O487" s="91" t="str">
        <f t="shared" si="423"/>
        <v>22,5</v>
      </c>
      <c r="P487" s="67" t="str">
        <f t="shared" si="424"/>
        <v>1+3323,56076815348i</v>
      </c>
      <c r="Q487" s="67">
        <f t="shared" si="435"/>
        <v>3323.5609185945345</v>
      </c>
      <c r="R487" s="67">
        <f t="shared" si="436"/>
        <v>1.5704954446869461</v>
      </c>
      <c r="S487" s="67" t="str">
        <f t="shared" si="425"/>
        <v>1+92,3211324487078i</v>
      </c>
      <c r="T487" s="67">
        <f t="shared" si="437"/>
        <v>92.32654816796655</v>
      </c>
      <c r="U487" s="67">
        <f t="shared" si="438"/>
        <v>1.5599649941709433</v>
      </c>
      <c r="V487" t="str">
        <f t="shared" si="426"/>
        <v>1-19,2335692601474i</v>
      </c>
      <c r="W487" s="67">
        <f t="shared" si="439"/>
        <v>19.259547930439258</v>
      </c>
      <c r="X487" s="67">
        <f t="shared" si="440"/>
        <v>-1.5188506699995976</v>
      </c>
      <c r="Y487" t="str">
        <f t="shared" si="427"/>
        <v>-14,3525306817248+53,3410987481422i</v>
      </c>
      <c r="Z487" s="67">
        <f t="shared" si="441"/>
        <v>55.238283396833658</v>
      </c>
      <c r="AA487" s="67">
        <f t="shared" si="442"/>
        <v>1.8336418699478709</v>
      </c>
      <c r="AB487" s="92" t="str">
        <f t="shared" si="443"/>
        <v>-0,212606332202607+0,0478623127262828i</v>
      </c>
      <c r="AC487" s="37">
        <f t="shared" si="444"/>
        <v>-13.233772229784673</v>
      </c>
      <c r="AD487" s="60">
        <f t="shared" si="445"/>
        <v>167.31297624097823</v>
      </c>
      <c r="AE487" t="str">
        <f t="shared" si="446"/>
        <v>34,4450883806789</v>
      </c>
      <c r="AF487" t="str">
        <f t="shared" si="428"/>
        <v>1+1661,78038407674i</v>
      </c>
      <c r="AG487">
        <f t="shared" si="447"/>
        <v>1661.7806849588296</v>
      </c>
      <c r="AH487">
        <f t="shared" si="448"/>
        <v>1.5701945626334735</v>
      </c>
      <c r="AI487" t="str">
        <f t="shared" si="429"/>
        <v>1+92,3211324487078i</v>
      </c>
      <c r="AJ487">
        <f t="shared" si="449"/>
        <v>92.32654816796655</v>
      </c>
      <c r="AK487">
        <f t="shared" si="450"/>
        <v>1.5599649941709433</v>
      </c>
      <c r="AL487" t="str">
        <f t="shared" si="430"/>
        <v>1-6,28165741597879i</v>
      </c>
      <c r="AM487">
        <f t="shared" si="451"/>
        <v>6.3607562358355887</v>
      </c>
      <c r="AN487">
        <f t="shared" si="452"/>
        <v>-1.4129273817293213</v>
      </c>
      <c r="AO487" s="58" t="str">
        <f t="shared" si="453"/>
        <v>1,79065638322759-12,040330539845i</v>
      </c>
      <c r="AP487">
        <f t="shared" si="454"/>
        <v>21.707778955560009</v>
      </c>
      <c r="AQ487" s="60">
        <f t="shared" si="455"/>
        <v>-81.54088683070303</v>
      </c>
      <c r="AR487" t="str">
        <f t="shared" si="431"/>
        <v>-1,36472945891784</v>
      </c>
      <c r="AS487" t="str">
        <f t="shared" si="432"/>
        <v>1+69,157760317327i</v>
      </c>
      <c r="AT487">
        <f t="shared" si="456"/>
        <v>69.164989786082145</v>
      </c>
      <c r="AU487">
        <f t="shared" si="457"/>
        <v>1.556337641176526</v>
      </c>
      <c r="AV487" t="str">
        <f t="shared" si="433"/>
        <v>1+69,157760317327i</v>
      </c>
      <c r="AW487">
        <f t="shared" si="458"/>
        <v>69.164989786082145</v>
      </c>
      <c r="AX487">
        <f t="shared" si="459"/>
        <v>1.556337641176526</v>
      </c>
      <c r="AY487" t="str">
        <f t="shared" si="434"/>
        <v>1-0,000216895398740116i</v>
      </c>
      <c r="AZ487">
        <f t="shared" si="460"/>
        <v>1.0000000235218067</v>
      </c>
      <c r="BA487">
        <f t="shared" si="461"/>
        <v>-2.1689539533893497E-4</v>
      </c>
      <c r="BB487" s="58" t="str">
        <f t="shared" si="462"/>
        <v>-0,000281002486274907+0,0197295061345373i</v>
      </c>
      <c r="BC487">
        <f t="shared" si="463"/>
        <v>-34.096794812720148</v>
      </c>
      <c r="BD487" s="60">
        <f t="shared" si="464"/>
        <v>90.815994472490388</v>
      </c>
      <c r="BE487" s="58" t="str">
        <f t="shared" si="465"/>
        <v>-0,000884556884599618-0,00420806736430776i</v>
      </c>
      <c r="BF487" s="37">
        <f t="shared" si="466"/>
        <v>-47.330567042504825</v>
      </c>
      <c r="BG487" s="60">
        <f t="shared" si="467"/>
        <v>-101.87102928653138</v>
      </c>
      <c r="BH487" s="58" t="str">
        <f t="shared" si="468"/>
        <v>0,237046596351978+0,0387121289150052i</v>
      </c>
      <c r="BI487" s="37">
        <f t="shared" si="469"/>
        <v>-12.389015857160128</v>
      </c>
      <c r="BJ487" s="60">
        <f t="shared" si="470"/>
        <v>9.2751076417873506</v>
      </c>
      <c r="BK487">
        <f t="shared" si="471"/>
        <v>-47.330567042504825</v>
      </c>
      <c r="BL487" s="60">
        <f t="shared" si="472"/>
        <v>-101.87102928653138</v>
      </c>
      <c r="BN487">
        <f t="shared" si="473"/>
        <v>0</v>
      </c>
      <c r="BO487">
        <f t="shared" si="474"/>
        <v>0</v>
      </c>
    </row>
    <row r="488" spans="13:67" x14ac:dyDescent="0.25">
      <c r="M488" s="66">
        <v>70</v>
      </c>
      <c r="N488" s="36">
        <f t="shared" si="475"/>
        <v>501187.23362727347</v>
      </c>
      <c r="O488" s="91" t="str">
        <f t="shared" si="423"/>
        <v>22,5</v>
      </c>
      <c r="P488" s="67" t="str">
        <f t="shared" si="424"/>
        <v>1+3400,9764434707i</v>
      </c>
      <c r="Q488" s="67">
        <f t="shared" si="435"/>
        <v>3400.9765904872988</v>
      </c>
      <c r="R488" s="67">
        <f t="shared" si="436"/>
        <v>1.5705022935994886</v>
      </c>
      <c r="S488" s="67" t="str">
        <f t="shared" si="425"/>
        <v>1+94,4715678741862i</v>
      </c>
      <c r="T488" s="67">
        <f t="shared" si="437"/>
        <v>94.476860323610296</v>
      </c>
      <c r="U488" s="67">
        <f t="shared" si="438"/>
        <v>1.5602115267727821</v>
      </c>
      <c r="V488" t="str">
        <f t="shared" si="426"/>
        <v>1-19,6815766404554i</v>
      </c>
      <c r="W488" s="67">
        <f t="shared" si="439"/>
        <v>19.706964734685037</v>
      </c>
      <c r="X488" s="67">
        <f t="shared" si="440"/>
        <v>-1.520031043472835</v>
      </c>
      <c r="Y488" t="str">
        <f t="shared" si="427"/>
        <v>-15,0760731616614+54,5835725495297i</v>
      </c>
      <c r="Z488" s="67">
        <f t="shared" si="441"/>
        <v>56.627328863769826</v>
      </c>
      <c r="AA488" s="67">
        <f t="shared" si="442"/>
        <v>1.8402793647035485</v>
      </c>
      <c r="AB488" s="92" t="str">
        <f t="shared" si="443"/>
        <v>-0,21184039012074+0,0493795225777065i</v>
      </c>
      <c r="AC488" s="37">
        <f t="shared" si="444"/>
        <v>-13.250040181119944</v>
      </c>
      <c r="AD488" s="60">
        <f t="shared" si="445"/>
        <v>166.87877825048676</v>
      </c>
      <c r="AE488" t="str">
        <f t="shared" si="446"/>
        <v>34,4450883806789</v>
      </c>
      <c r="AF488" t="str">
        <f t="shared" si="428"/>
        <v>1+1700,48822173535i</v>
      </c>
      <c r="AG488">
        <f t="shared" si="447"/>
        <v>1700.4885157685285</v>
      </c>
      <c r="AH488">
        <f t="shared" si="448"/>
        <v>1.5702082604549219</v>
      </c>
      <c r="AI488" t="str">
        <f t="shared" si="429"/>
        <v>1+94,4715678741862i</v>
      </c>
      <c r="AJ488">
        <f t="shared" si="449"/>
        <v>94.476860323610296</v>
      </c>
      <c r="AK488">
        <f t="shared" si="450"/>
        <v>1.5602115267727821</v>
      </c>
      <c r="AL488" t="str">
        <f t="shared" si="430"/>
        <v>1-6,42797601367954i</v>
      </c>
      <c r="AM488">
        <f t="shared" si="451"/>
        <v>6.5052959680893467</v>
      </c>
      <c r="AN488">
        <f t="shared" si="452"/>
        <v>-1.4164634824173221</v>
      </c>
      <c r="AO488" s="58" t="str">
        <f t="shared" si="453"/>
        <v>1,79065585102279-12,3198808581728i</v>
      </c>
      <c r="AP488">
        <f t="shared" si="454"/>
        <v>21.902922252741991</v>
      </c>
      <c r="AQ488" s="60">
        <f t="shared" si="455"/>
        <v>-81.730150025818517</v>
      </c>
      <c r="AR488" t="str">
        <f t="shared" si="431"/>
        <v>-1,36472945891784</v>
      </c>
      <c r="AS488" t="str">
        <f t="shared" si="432"/>
        <v>1+70,7686514945529i</v>
      </c>
      <c r="AT488">
        <f t="shared" si="456"/>
        <v>70.775716417126318</v>
      </c>
      <c r="AU488">
        <f t="shared" si="457"/>
        <v>1.5566667167292825</v>
      </c>
      <c r="AV488" t="str">
        <f t="shared" si="433"/>
        <v>1+70,7686514945529i</v>
      </c>
      <c r="AW488">
        <f t="shared" si="458"/>
        <v>70.775716417126318</v>
      </c>
      <c r="AX488">
        <f t="shared" si="459"/>
        <v>1.5566667167292825</v>
      </c>
      <c r="AY488" t="str">
        <f t="shared" si="434"/>
        <v>1-0,000211958256702893i</v>
      </c>
      <c r="AZ488">
        <f t="shared" si="460"/>
        <v>1.0000000224631511</v>
      </c>
      <c r="BA488">
        <f t="shared" si="461"/>
        <v>-2.1195825352872616E-4</v>
      </c>
      <c r="BB488" s="58" t="str">
        <f t="shared" si="462"/>
        <v>-0,000268357815838525+0,0192805864218993i</v>
      </c>
      <c r="BC488">
        <f t="shared" si="463"/>
        <v>-34.296753961970303</v>
      </c>
      <c r="BD488" s="60">
        <f t="shared" si="464"/>
        <v>90.797422709565097</v>
      </c>
      <c r="BE488" s="58" t="str">
        <f t="shared" si="465"/>
        <v>-0,000895217128132415-0,00409765833019789i</v>
      </c>
      <c r="BF488" s="37">
        <f t="shared" si="466"/>
        <v>-47.546794143090253</v>
      </c>
      <c r="BG488" s="60">
        <f t="shared" si="467"/>
        <v>-102.32379903994816</v>
      </c>
      <c r="BH488" s="58" t="str">
        <f t="shared" si="468"/>
        <v>0,237053991100405+0,0378310312060146i</v>
      </c>
      <c r="BI488" s="37">
        <f t="shared" si="469"/>
        <v>-12.3938317092283</v>
      </c>
      <c r="BJ488" s="60">
        <f t="shared" si="470"/>
        <v>9.06727268374655</v>
      </c>
      <c r="BK488">
        <f t="shared" si="471"/>
        <v>-47.546794143090253</v>
      </c>
      <c r="BL488" s="60">
        <f t="shared" si="472"/>
        <v>-102.32379903994816</v>
      </c>
      <c r="BN488">
        <f t="shared" si="473"/>
        <v>0</v>
      </c>
      <c r="BO488">
        <f t="shared" si="474"/>
        <v>0</v>
      </c>
    </row>
    <row r="489" spans="13:67" x14ac:dyDescent="0.25">
      <c r="M489" s="66">
        <v>71</v>
      </c>
      <c r="N489" s="36">
        <f t="shared" si="475"/>
        <v>512861.38399136515</v>
      </c>
      <c r="O489" s="91" t="str">
        <f t="shared" si="423"/>
        <v>22,5</v>
      </c>
      <c r="P489" s="67" t="str">
        <f t="shared" si="424"/>
        <v>1+3480,19536151548i</v>
      </c>
      <c r="Q489" s="67">
        <f t="shared" si="435"/>
        <v>3480.1955051855725</v>
      </c>
      <c r="R489" s="67">
        <f t="shared" si="436"/>
        <v>1.5705089866117745</v>
      </c>
      <c r="S489" s="67" t="str">
        <f t="shared" si="425"/>
        <v>1+96,67209337543i</v>
      </c>
      <c r="T489" s="67">
        <f t="shared" si="437"/>
        <v>96.677265360517168</v>
      </c>
      <c r="U489" s="67">
        <f t="shared" si="438"/>
        <v>1.5604524488508049</v>
      </c>
      <c r="V489" t="str">
        <f t="shared" si="426"/>
        <v>1-20,1400194532146i</v>
      </c>
      <c r="W489" s="67">
        <f t="shared" si="439"/>
        <v>20.164830363180901</v>
      </c>
      <c r="X489" s="67">
        <f t="shared" si="440"/>
        <v>-1.521184685190569</v>
      </c>
      <c r="Y489" t="str">
        <f t="shared" si="427"/>
        <v>-15,8337151481304+55,8549872835817i</v>
      </c>
      <c r="Z489" s="67">
        <f t="shared" si="441"/>
        <v>58.055888072108651</v>
      </c>
      <c r="AA489" s="67">
        <f t="shared" si="442"/>
        <v>1.8470281697743256</v>
      </c>
      <c r="AB489" s="92" t="str">
        <f t="shared" si="443"/>
        <v>-0,211043778836759+0,0509031840270329i</v>
      </c>
      <c r="AC489" s="37">
        <f t="shared" si="444"/>
        <v>-13.266969325115562</v>
      </c>
      <c r="AD489" s="60">
        <f t="shared" si="445"/>
        <v>166.43942173858431</v>
      </c>
      <c r="AE489" t="str">
        <f t="shared" si="446"/>
        <v>34,4450883806789</v>
      </c>
      <c r="AF489" t="str">
        <f t="shared" si="428"/>
        <v>1+1740,09768075774i</v>
      </c>
      <c r="AG489">
        <f t="shared" si="447"/>
        <v>1740.0979680979071</v>
      </c>
      <c r="AH489">
        <f t="shared" si="448"/>
        <v>1.5702216464761005</v>
      </c>
      <c r="AI489" t="str">
        <f t="shared" si="429"/>
        <v>1+96,67209337543i</v>
      </c>
      <c r="AJ489">
        <f t="shared" si="449"/>
        <v>96.677265360517168</v>
      </c>
      <c r="AK489">
        <f t="shared" si="450"/>
        <v>1.5604524488508049</v>
      </c>
      <c r="AL489" t="str">
        <f t="shared" si="430"/>
        <v>1-6,57770280934703i</v>
      </c>
      <c r="AM489">
        <f t="shared" si="451"/>
        <v>6.653282967685338</v>
      </c>
      <c r="AN489">
        <f t="shared" si="452"/>
        <v>-1.4199228550204239</v>
      </c>
      <c r="AO489" s="58" t="str">
        <f t="shared" si="453"/>
        <v>1,79065534277113-12,6059633403763i</v>
      </c>
      <c r="AP489">
        <f t="shared" si="454"/>
        <v>22.098279109563478</v>
      </c>
      <c r="AQ489" s="60">
        <f t="shared" si="455"/>
        <v>-81.915320619995242</v>
      </c>
      <c r="AR489" t="str">
        <f t="shared" si="431"/>
        <v>-1,36472945891784</v>
      </c>
      <c r="AS489" t="str">
        <f t="shared" si="432"/>
        <v>1+72,4170651475346i</v>
      </c>
      <c r="AT489">
        <f t="shared" si="456"/>
        <v>72.423969268345616</v>
      </c>
      <c r="AU489">
        <f t="shared" si="457"/>
        <v>1.5569883045652047</v>
      </c>
      <c r="AV489" t="str">
        <f t="shared" si="433"/>
        <v>1+72,4170651475346i</v>
      </c>
      <c r="AW489">
        <f t="shared" si="458"/>
        <v>72.423969268345616</v>
      </c>
      <c r="AX489">
        <f t="shared" si="459"/>
        <v>1.5569883045652047</v>
      </c>
      <c r="AY489" t="str">
        <f t="shared" si="434"/>
        <v>1-0,000207133497738974i</v>
      </c>
      <c r="AZ489">
        <f t="shared" si="460"/>
        <v>1.0000000214521427</v>
      </c>
      <c r="BA489">
        <f t="shared" si="461"/>
        <v>-2.0713349477666915E-4</v>
      </c>
      <c r="BB489" s="58" t="str">
        <f t="shared" si="462"/>
        <v>-0,00025628202720709+0,0188418734466911i</v>
      </c>
      <c r="BC489">
        <f t="shared" si="463"/>
        <v>-34.496714949448155</v>
      </c>
      <c r="BD489" s="60">
        <f t="shared" si="464"/>
        <v>90.779273522137672</v>
      </c>
      <c r="BE489" s="58" t="str">
        <f t="shared" si="465"/>
        <v>-0,000905024624001252-0,00398950574374742i</v>
      </c>
      <c r="BF489" s="37">
        <f t="shared" si="466"/>
        <v>-47.763684274563722</v>
      </c>
      <c r="BG489" s="60">
        <f t="shared" si="467"/>
        <v>-102.781304739278</v>
      </c>
      <c r="BH489" s="58" t="str">
        <f t="shared" si="468"/>
        <v>0,237061053151723+0,0369699831949048i</v>
      </c>
      <c r="BI489" s="37">
        <f t="shared" si="469"/>
        <v>-12.398435839884677</v>
      </c>
      <c r="BJ489" s="60">
        <f t="shared" si="470"/>
        <v>8.8639529021424259</v>
      </c>
      <c r="BK489">
        <f t="shared" si="471"/>
        <v>-47.763684274563722</v>
      </c>
      <c r="BL489" s="60">
        <f t="shared" si="472"/>
        <v>-102.781304739278</v>
      </c>
      <c r="BN489">
        <f t="shared" si="473"/>
        <v>0</v>
      </c>
      <c r="BO489">
        <f t="shared" si="474"/>
        <v>0</v>
      </c>
    </row>
    <row r="490" spans="13:67" x14ac:dyDescent="0.25">
      <c r="M490" s="66">
        <v>72</v>
      </c>
      <c r="N490" s="36">
        <f t="shared" si="475"/>
        <v>524807.46024977288</v>
      </c>
      <c r="O490" s="91" t="str">
        <f t="shared" si="423"/>
        <v>22,5</v>
      </c>
      <c r="P490" s="67" t="str">
        <f t="shared" si="424"/>
        <v>1+3561,25952520678i</v>
      </c>
      <c r="Q490" s="67">
        <f t="shared" si="435"/>
        <v>3561.2596656065416</v>
      </c>
      <c r="R490" s="67">
        <f t="shared" si="436"/>
        <v>1.5705155272725255</v>
      </c>
      <c r="S490" s="67" t="str">
        <f t="shared" si="425"/>
        <v>1+98,9238757001884i</v>
      </c>
      <c r="T490" s="67">
        <f t="shared" si="437"/>
        <v>98.928929962606617</v>
      </c>
      <c r="U490" s="67">
        <f t="shared" si="438"/>
        <v>1.5606878880331507</v>
      </c>
      <c r="V490" t="str">
        <f t="shared" si="426"/>
        <v>1-20,6091407708726i</v>
      </c>
      <c r="W490" s="67">
        <f t="shared" si="439"/>
        <v>20.633387586958261</v>
      </c>
      <c r="X490" s="67">
        <f t="shared" si="440"/>
        <v>-1.5223121945389797</v>
      </c>
      <c r="Y490" t="str">
        <f t="shared" si="427"/>
        <v>-16,6270637013643+57,1560170712199i</v>
      </c>
      <c r="Z490" s="67">
        <f t="shared" si="441"/>
        <v>59.525368833588985</v>
      </c>
      <c r="AA490" s="67">
        <f t="shared" si="442"/>
        <v>1.8538898333717633</v>
      </c>
      <c r="AB490" s="92" t="str">
        <f t="shared" si="443"/>
        <v>-0,210215580694941+0,0524329319150313i</v>
      </c>
      <c r="AC490" s="37">
        <f t="shared" si="444"/>
        <v>-13.284587400352867</v>
      </c>
      <c r="AD490" s="60">
        <f t="shared" si="445"/>
        <v>165.99479076621134</v>
      </c>
      <c r="AE490" t="str">
        <f t="shared" si="446"/>
        <v>34,4450883806789</v>
      </c>
      <c r="AF490" t="str">
        <f t="shared" si="428"/>
        <v>1+1780,62976260339i</v>
      </c>
      <c r="AG490">
        <f t="shared" si="447"/>
        <v>1780.6300434028976</v>
      </c>
      <c r="AH490">
        <f t="shared" si="448"/>
        <v>1.5702347277944357</v>
      </c>
      <c r="AI490" t="str">
        <f t="shared" si="429"/>
        <v>1+98,9238757001884i</v>
      </c>
      <c r="AJ490">
        <f t="shared" si="449"/>
        <v>98.928929962606617</v>
      </c>
      <c r="AK490">
        <f t="shared" si="450"/>
        <v>1.5606878880331507</v>
      </c>
      <c r="AL490" t="str">
        <f t="shared" si="430"/>
        <v>1-6,73091719011025i</v>
      </c>
      <c r="AM490">
        <f t="shared" si="451"/>
        <v>6.8047958250135379</v>
      </c>
      <c r="AN490">
        <f t="shared" si="452"/>
        <v>-1.4233070023796779</v>
      </c>
      <c r="AO490" s="58" t="str">
        <f t="shared" si="453"/>
        <v>1,79065485739456-12,8987296711763i</v>
      </c>
      <c r="AP490">
        <f t="shared" si="454"/>
        <v>22.293840346890779</v>
      </c>
      <c r="AQ490" s="60">
        <f t="shared" si="455"/>
        <v>-82.096477813781476</v>
      </c>
      <c r="AR490" t="str">
        <f t="shared" si="431"/>
        <v>-1,36472945891784</v>
      </c>
      <c r="AS490" t="str">
        <f t="shared" si="432"/>
        <v>1+74,1038752870111i</v>
      </c>
      <c r="AT490">
        <f t="shared" si="456"/>
        <v>74.110622265319677</v>
      </c>
      <c r="AU490">
        <f t="shared" si="457"/>
        <v>1.5573025749282019</v>
      </c>
      <c r="AV490" t="str">
        <f t="shared" si="433"/>
        <v>1+74,1038752870111i</v>
      </c>
      <c r="AW490">
        <f t="shared" si="458"/>
        <v>74.110622265319677</v>
      </c>
      <c r="AX490">
        <f t="shared" si="459"/>
        <v>1.5573025749282019</v>
      </c>
      <c r="AY490" t="str">
        <f t="shared" si="434"/>
        <v>1-0,000202418563697292i</v>
      </c>
      <c r="AZ490">
        <f t="shared" si="460"/>
        <v>1.0000000204866373</v>
      </c>
      <c r="BA490">
        <f t="shared" si="461"/>
        <v>-2.0241856093270824E-4</v>
      </c>
      <c r="BB490" s="58" t="str">
        <f t="shared" si="462"/>
        <v>-0,000244749536019678+0,0184131356706656i</v>
      </c>
      <c r="BC490">
        <f t="shared" si="463"/>
        <v>-34.696677692451495</v>
      </c>
      <c r="BD490" s="60">
        <f t="shared" si="464"/>
        <v>90.76153730252183</v>
      </c>
      <c r="BE490" s="58" t="str">
        <f t="shared" si="465"/>
        <v>-0,00091400452312305-0,00388356094318206i</v>
      </c>
      <c r="BF490" s="37">
        <f t="shared" si="466"/>
        <v>-47.98126509280435</v>
      </c>
      <c r="BG490" s="60">
        <f t="shared" si="467"/>
        <v>-103.2436719312668</v>
      </c>
      <c r="BH490" s="58" t="str">
        <f t="shared" si="468"/>
        <v>0,23706779746909+0,036128528930806i</v>
      </c>
      <c r="BI490" s="37">
        <f t="shared" si="469"/>
        <v>-12.402837345560725</v>
      </c>
      <c r="BJ490" s="60">
        <f t="shared" si="470"/>
        <v>8.6650594887403596</v>
      </c>
      <c r="BK490">
        <f t="shared" si="471"/>
        <v>-47.98126509280435</v>
      </c>
      <c r="BL490" s="60">
        <f t="shared" si="472"/>
        <v>-103.2436719312668</v>
      </c>
      <c r="BN490">
        <f t="shared" si="473"/>
        <v>0</v>
      </c>
      <c r="BO490">
        <f t="shared" si="474"/>
        <v>0</v>
      </c>
    </row>
    <row r="491" spans="13:67" x14ac:dyDescent="0.25">
      <c r="M491" s="66">
        <v>73</v>
      </c>
      <c r="N491" s="36">
        <f t="shared" si="475"/>
        <v>537031.7963702539</v>
      </c>
      <c r="O491" s="91" t="str">
        <f t="shared" si="423"/>
        <v>22,5</v>
      </c>
      <c r="P491" s="67" t="str">
        <f t="shared" si="424"/>
        <v>1+3644,21191583719i</v>
      </c>
      <c r="Q491" s="67">
        <f t="shared" si="435"/>
        <v>3644.2120530410634</v>
      </c>
      <c r="R491" s="67">
        <f t="shared" si="436"/>
        <v>1.5705219190496844</v>
      </c>
      <c r="S491" s="67" t="str">
        <f t="shared" si="425"/>
        <v>1+101,228108773255i</v>
      </c>
      <c r="T491" s="67">
        <f t="shared" si="437"/>
        <v>101.23304799229324</v>
      </c>
      <c r="U491" s="67">
        <f t="shared" si="438"/>
        <v>1.5609179690483244</v>
      </c>
      <c r="V491" t="str">
        <f t="shared" si="426"/>
        <v>1-21,0891893277615i</v>
      </c>
      <c r="W491" s="67">
        <f t="shared" si="439"/>
        <v>21.112884845566928</v>
      </c>
      <c r="X491" s="67">
        <f t="shared" si="440"/>
        <v>-1.5234141578649159</v>
      </c>
      <c r="Y491" t="str">
        <f t="shared" si="427"/>
        <v>-17,4578016200103+58,4873517356585i</v>
      </c>
      <c r="Z491" s="67">
        <f t="shared" si="441"/>
        <v>61.037243961816216</v>
      </c>
      <c r="AA491" s="67">
        <f t="shared" si="442"/>
        <v>1.8608658435803509</v>
      </c>
      <c r="AB491" s="92" t="str">
        <f t="shared" si="443"/>
        <v>-0,209354872503108+0,0539683455849025i</v>
      </c>
      <c r="AC491" s="37">
        <f t="shared" si="444"/>
        <v>-13.302922911306553</v>
      </c>
      <c r="AD491" s="60">
        <f t="shared" si="445"/>
        <v>165.54477342492549</v>
      </c>
      <c r="AE491" t="str">
        <f t="shared" si="446"/>
        <v>34,4450883806789</v>
      </c>
      <c r="AF491" t="str">
        <f t="shared" si="428"/>
        <v>1+1822,1059579186i</v>
      </c>
      <c r="AG491">
        <f t="shared" si="447"/>
        <v>1822.1062323263316</v>
      </c>
      <c r="AH491">
        <f t="shared" si="448"/>
        <v>1.5702475113457979</v>
      </c>
      <c r="AI491" t="str">
        <f t="shared" si="429"/>
        <v>1+101,228108773255i</v>
      </c>
      <c r="AJ491">
        <f t="shared" si="449"/>
        <v>101.23304799229324</v>
      </c>
      <c r="AK491">
        <f t="shared" si="450"/>
        <v>1.5609179690483244</v>
      </c>
      <c r="AL491" t="str">
        <f t="shared" si="430"/>
        <v>1-6,8877003922619i</v>
      </c>
      <c r="AM491">
        <f t="shared" si="451"/>
        <v>6.9599149918346512</v>
      </c>
      <c r="AN491">
        <f t="shared" si="452"/>
        <v>-1.4266174086001329</v>
      </c>
      <c r="AO491" s="58" t="str">
        <f t="shared" si="453"/>
        <v>1,7906543938635-13,1983350791582i</v>
      </c>
      <c r="AP491">
        <f t="shared" si="454"/>
        <v>22.48959716188681</v>
      </c>
      <c r="AQ491" s="60">
        <f t="shared" si="455"/>
        <v>-82.273699891112116</v>
      </c>
      <c r="AR491" t="str">
        <f t="shared" si="431"/>
        <v>-1,36472945891784</v>
      </c>
      <c r="AS491" t="str">
        <f t="shared" si="432"/>
        <v>1+75,8299762820455i</v>
      </c>
      <c r="AT491">
        <f t="shared" si="456"/>
        <v>75.836569693885679</v>
      </c>
      <c r="AU491">
        <f t="shared" si="457"/>
        <v>1.5576096942001239</v>
      </c>
      <c r="AV491" t="str">
        <f t="shared" si="433"/>
        <v>1+75,8299762820455i</v>
      </c>
      <c r="AW491">
        <f t="shared" si="458"/>
        <v>75.836569693885679</v>
      </c>
      <c r="AX491">
        <f t="shared" si="459"/>
        <v>1.5576096942001239</v>
      </c>
      <c r="AY491" t="str">
        <f t="shared" si="434"/>
        <v>1-0,000197810954657408i</v>
      </c>
      <c r="AZ491">
        <f t="shared" si="460"/>
        <v>1.0000000195645866</v>
      </c>
      <c r="BA491">
        <f t="shared" si="461"/>
        <v>-1.9781095207734833E-4</v>
      </c>
      <c r="BB491" s="58" t="str">
        <f t="shared" si="462"/>
        <v>-0,000233735907682877+0,0179941467729726i</v>
      </c>
      <c r="BC491">
        <f t="shared" si="463"/>
        <v>-34.896642111997387</v>
      </c>
      <c r="BD491" s="60">
        <f t="shared" si="464"/>
        <v>90.744204660974617</v>
      </c>
      <c r="BE491" s="58" t="str">
        <f t="shared" si="465"/>
        <v>-0,000922180580396897-0,00377977664369932i</v>
      </c>
      <c r="BF491" s="37">
        <f t="shared" si="466"/>
        <v>-48.199565023303933</v>
      </c>
      <c r="BG491" s="60">
        <f t="shared" si="467"/>
        <v>-103.71102191409987</v>
      </c>
      <c r="BH491" s="58" t="str">
        <f t="shared" si="468"/>
        <v>0,23707423834315+0,0353062228124779i</v>
      </c>
      <c r="BI491" s="37">
        <f t="shared" si="469"/>
        <v>-12.407044950110556</v>
      </c>
      <c r="BJ491" s="60">
        <f t="shared" si="470"/>
        <v>8.4705047698624938</v>
      </c>
      <c r="BK491">
        <f t="shared" si="471"/>
        <v>-48.199565023303933</v>
      </c>
      <c r="BL491" s="60">
        <f t="shared" si="472"/>
        <v>-103.71102191409987</v>
      </c>
      <c r="BN491">
        <f t="shared" si="473"/>
        <v>0</v>
      </c>
      <c r="BO491">
        <f t="shared" si="474"/>
        <v>0</v>
      </c>
    </row>
    <row r="492" spans="13:67" x14ac:dyDescent="0.25">
      <c r="M492" s="66">
        <v>74</v>
      </c>
      <c r="N492" s="36">
        <f t="shared" si="475"/>
        <v>549540.87385762564</v>
      </c>
      <c r="O492" s="91" t="str">
        <f t="shared" si="423"/>
        <v>22,5</v>
      </c>
      <c r="P492" s="67" t="str">
        <f t="shared" si="424"/>
        <v>1+3729,09651586221i</v>
      </c>
      <c r="Q492" s="67">
        <f t="shared" si="435"/>
        <v>3729.0966499429419</v>
      </c>
      <c r="R492" s="67">
        <f t="shared" si="436"/>
        <v>1.5705281653322538</v>
      </c>
      <c r="S492" s="67" t="str">
        <f t="shared" si="425"/>
        <v>1+103,586014329506i</v>
      </c>
      <c r="T492" s="67">
        <f t="shared" si="437"/>
        <v>103.59084112349228</v>
      </c>
      <c r="U492" s="67">
        <f t="shared" si="438"/>
        <v>1.5611428137908308</v>
      </c>
      <c r="V492" t="str">
        <f t="shared" si="426"/>
        <v>1-21,5804196519804i</v>
      </c>
      <c r="W492" s="67">
        <f t="shared" si="439"/>
        <v>21.603576378821675</v>
      </c>
      <c r="X492" s="67">
        <f t="shared" si="440"/>
        <v>-1.5244911487327175</v>
      </c>
      <c r="Y492" t="str">
        <f t="shared" si="427"/>
        <v>-18,327691010573+59,8496971681589i</v>
      </c>
      <c r="Z492" s="67">
        <f t="shared" si="441"/>
        <v>62.593054797632028</v>
      </c>
      <c r="AA492" s="67">
        <f t="shared" si="442"/>
        <v>1.8679576231856378</v>
      </c>
      <c r="AB492" s="92" t="str">
        <f t="shared" si="443"/>
        <v>-0,208460727867153+0,0555089468855999i</v>
      </c>
      <c r="AC492" s="37">
        <f t="shared" si="444"/>
        <v>-13.322005133583939</v>
      </c>
      <c r="AD492" s="60">
        <f t="shared" si="445"/>
        <v>165.08926212216883</v>
      </c>
      <c r="AE492" t="str">
        <f t="shared" si="446"/>
        <v>34,4450883806789</v>
      </c>
      <c r="AF492" t="str">
        <f t="shared" si="428"/>
        <v>1+1864,54825793111i</v>
      </c>
      <c r="AG492">
        <f t="shared" si="447"/>
        <v>1864.5485260925595</v>
      </c>
      <c r="AH492">
        <f t="shared" si="448"/>
        <v>1.5702600039081782</v>
      </c>
      <c r="AI492" t="str">
        <f t="shared" si="429"/>
        <v>1+103,586014329506i</v>
      </c>
      <c r="AJ492">
        <f t="shared" si="449"/>
        <v>103.59084112349228</v>
      </c>
      <c r="AK492">
        <f t="shared" si="450"/>
        <v>1.5611428137908308</v>
      </c>
      <c r="AL492" t="str">
        <f t="shared" si="430"/>
        <v>1-7,04813554433099i</v>
      </c>
      <c r="AM492">
        <f t="shared" si="451"/>
        <v>7.118722824444137</v>
      </c>
      <c r="AN492">
        <f t="shared" si="452"/>
        <v>-1.4298555385278111</v>
      </c>
      <c r="AO492" s="58" t="str">
        <f t="shared" si="453"/>
        <v>1,79065395119479-13,5049384190768i</v>
      </c>
      <c r="AP492">
        <f t="shared" si="454"/>
        <v>22.685541114161232</v>
      </c>
      <c r="AQ492" s="60">
        <f t="shared" si="455"/>
        <v>-82.447064185791405</v>
      </c>
      <c r="AR492" t="str">
        <f t="shared" si="431"/>
        <v>-1,36472945891784</v>
      </c>
      <c r="AS492" t="str">
        <f t="shared" si="432"/>
        <v>1+77,5962833342329i</v>
      </c>
      <c r="AT492">
        <f t="shared" si="456"/>
        <v>77.602726674302801</v>
      </c>
      <c r="AU492">
        <f t="shared" si="457"/>
        <v>1.5579098249877958</v>
      </c>
      <c r="AV492" t="str">
        <f t="shared" si="433"/>
        <v>1+77,5962833342329i</v>
      </c>
      <c r="AW492">
        <f t="shared" si="458"/>
        <v>77.602726674302801</v>
      </c>
      <c r="AX492">
        <f t="shared" si="459"/>
        <v>1.5579098249877958</v>
      </c>
      <c r="AY492" t="str">
        <f t="shared" si="434"/>
        <v>1-0,000193308227604021i</v>
      </c>
      <c r="AZ492">
        <f t="shared" si="460"/>
        <v>1.0000000186840352</v>
      </c>
      <c r="BA492">
        <f t="shared" si="461"/>
        <v>-1.9330822519616919E-4</v>
      </c>
      <c r="BB492" s="58" t="str">
        <f t="shared" si="462"/>
        <v>-0,000223217805773817+0,0175846855349332i</v>
      </c>
      <c r="BC492">
        <f t="shared" si="463"/>
        <v>-35.096608132655284</v>
      </c>
      <c r="BD492" s="60">
        <f t="shared" si="464"/>
        <v>90.727266420785682</v>
      </c>
      <c r="BE492" s="58" t="str">
        <f t="shared" si="465"/>
        <v>-0,000929575229094065-0,00367810693125179i</v>
      </c>
      <c r="BF492" s="37">
        <f t="shared" si="466"/>
        <v>-48.41861326623922</v>
      </c>
      <c r="BG492" s="60">
        <f t="shared" si="467"/>
        <v>-104.18347145704547</v>
      </c>
      <c r="BH492" s="58" t="str">
        <f t="shared" si="468"/>
        <v>0,237080389422218+0,0345026293546629i</v>
      </c>
      <c r="BI492" s="37">
        <f t="shared" si="469"/>
        <v>-12.411067018494029</v>
      </c>
      <c r="BJ492" s="60">
        <f t="shared" si="470"/>
        <v>8.2802022349942774</v>
      </c>
      <c r="BK492">
        <f t="shared" si="471"/>
        <v>-48.41861326623922</v>
      </c>
      <c r="BL492" s="60">
        <f t="shared" si="472"/>
        <v>-104.18347145704547</v>
      </c>
      <c r="BN492">
        <f t="shared" si="473"/>
        <v>0</v>
      </c>
      <c r="BO492">
        <f t="shared" si="474"/>
        <v>0</v>
      </c>
    </row>
    <row r="493" spans="13:67" x14ac:dyDescent="0.25">
      <c r="M493" s="66">
        <v>75</v>
      </c>
      <c r="N493" s="36">
        <f t="shared" si="475"/>
        <v>562341.32519035018</v>
      </c>
      <c r="O493" s="91" t="str">
        <f t="shared" si="423"/>
        <v>22,5</v>
      </c>
      <c r="P493" s="67" t="str">
        <f t="shared" si="424"/>
        <v>1+3815,95833222038i</v>
      </c>
      <c r="Q493" s="67">
        <f t="shared" si="435"/>
        <v>3815.9584632490619</v>
      </c>
      <c r="R493" s="67">
        <f t="shared" si="436"/>
        <v>1.5705342694320934</v>
      </c>
      <c r="S493" s="67" t="str">
        <f t="shared" si="425"/>
        <v>1+105,998842561677i</v>
      </c>
      <c r="T493" s="67">
        <f t="shared" si="437"/>
        <v>106.00355948936425</v>
      </c>
      <c r="U493" s="67">
        <f t="shared" si="438"/>
        <v>1.5613625413853396</v>
      </c>
      <c r="V493" t="str">
        <f t="shared" si="426"/>
        <v>1-22,0830922003494i</v>
      </c>
      <c r="W493" s="67">
        <f t="shared" si="439"/>
        <v>22.105722361622398</v>
      </c>
      <c r="X493" s="67">
        <f t="shared" si="440"/>
        <v>-1.5255437281778212</v>
      </c>
      <c r="Y493" t="str">
        <f t="shared" si="427"/>
        <v>-19,2385770250777+61,2437757023024i</v>
      </c>
      <c r="Z493" s="67">
        <f t="shared" si="441"/>
        <v>64.194414930146181</v>
      </c>
      <c r="AA493" s="67">
        <f t="shared" si="442"/>
        <v>1.8751665242948643</v>
      </c>
      <c r="AB493" s="92" t="str">
        <f t="shared" si="443"/>
        <v>-0,207532219741354+0,0570541982243364i</v>
      </c>
      <c r="AC493" s="37">
        <f t="shared" si="444"/>
        <v>-13.341864116984912</v>
      </c>
      <c r="AD493" s="60">
        <f t="shared" si="445"/>
        <v>164.62815387852578</v>
      </c>
      <c r="AE493" t="str">
        <f t="shared" si="446"/>
        <v>34,4450883806789</v>
      </c>
      <c r="AF493" t="str">
        <f t="shared" si="428"/>
        <v>1+1907,97916611019i</v>
      </c>
      <c r="AG493">
        <f t="shared" si="447"/>
        <v>1907.9794281675408</v>
      </c>
      <c r="AH493">
        <f t="shared" si="448"/>
        <v>1.5702722121052832</v>
      </c>
      <c r="AI493" t="str">
        <f t="shared" si="429"/>
        <v>1+105,998842561677i</v>
      </c>
      <c r="AJ493">
        <f t="shared" si="449"/>
        <v>106.00355948936425</v>
      </c>
      <c r="AK493">
        <f t="shared" si="450"/>
        <v>1.5613625413853396</v>
      </c>
      <c r="AL493" t="str">
        <f t="shared" si="430"/>
        <v>1-7,21230771115881i</v>
      </c>
      <c r="AM493">
        <f t="shared" si="451"/>
        <v>7.2813036278156158</v>
      </c>
      <c r="AN493">
        <f t="shared" si="452"/>
        <v>-1.4330228372933527</v>
      </c>
      <c r="AO493" s="58" t="str">
        <f t="shared" si="453"/>
        <v>1,79065352844942-13,8187022560829i</v>
      </c>
      <c r="AP493">
        <f t="shared" si="454"/>
        <v>22.881664112291112</v>
      </c>
      <c r="AQ493" s="60">
        <f t="shared" si="455"/>
        <v>-82.616647051875646</v>
      </c>
      <c r="AR493" t="str">
        <f t="shared" si="431"/>
        <v>-1,36472945891784</v>
      </c>
      <c r="AS493" t="str">
        <f t="shared" si="432"/>
        <v>1+79,4037329629526i</v>
      </c>
      <c r="AT493">
        <f t="shared" si="456"/>
        <v>79.410029646461453</v>
      </c>
      <c r="AU493">
        <f t="shared" si="457"/>
        <v>1.5582031262081271</v>
      </c>
      <c r="AV493" t="str">
        <f t="shared" si="433"/>
        <v>1+79,4037329629526i</v>
      </c>
      <c r="AW493">
        <f t="shared" si="458"/>
        <v>79.410029646461453</v>
      </c>
      <c r="AX493">
        <f t="shared" si="459"/>
        <v>1.5582031262081271</v>
      </c>
      <c r="AY493" t="str">
        <f t="shared" si="434"/>
        <v>1-0,000188907995131647i</v>
      </c>
      <c r="AZ493">
        <f t="shared" si="460"/>
        <v>1.0000000178431152</v>
      </c>
      <c r="BA493">
        <f t="shared" si="461"/>
        <v>-1.8890799288450894E-4</v>
      </c>
      <c r="BB493" s="58" t="str">
        <f t="shared" si="462"/>
        <v>-0,000213172942752182+0,0171845357272023i</v>
      </c>
      <c r="BC493">
        <f t="shared" si="463"/>
        <v>-35.296575682387186</v>
      </c>
      <c r="BD493" s="60">
        <f t="shared" si="464"/>
        <v>90.710713613474994</v>
      </c>
      <c r="BE493" s="58" t="str">
        <f t="shared" si="465"/>
        <v>-0,000936209653774834-0,00357850725602274i</v>
      </c>
      <c r="BF493" s="37">
        <f t="shared" si="466"/>
        <v>-48.638439799372108</v>
      </c>
      <c r="BG493" s="60">
        <f t="shared" si="467"/>
        <v>-104.66113250799923</v>
      </c>
      <c r="BH493" s="58" t="str">
        <f t="shared" si="468"/>
        <v>0,237086263741118+0,0337173229596253i</v>
      </c>
      <c r="BI493" s="37">
        <f t="shared" si="469"/>
        <v>-12.414911570096095</v>
      </c>
      <c r="BJ493" s="60">
        <f t="shared" si="470"/>
        <v>8.0940665615993677</v>
      </c>
      <c r="BK493">
        <f t="shared" si="471"/>
        <v>-48.638439799372108</v>
      </c>
      <c r="BL493" s="60">
        <f t="shared" si="472"/>
        <v>-104.66113250799923</v>
      </c>
      <c r="BN493">
        <f t="shared" si="473"/>
        <v>0</v>
      </c>
      <c r="BO493">
        <f t="shared" si="474"/>
        <v>0</v>
      </c>
    </row>
    <row r="494" spans="13:67" x14ac:dyDescent="0.25">
      <c r="M494" s="66">
        <v>76</v>
      </c>
      <c r="N494" s="36">
        <f t="shared" si="475"/>
        <v>575439.93733715697</v>
      </c>
      <c r="O494" s="91" t="str">
        <f t="shared" si="423"/>
        <v>22,5</v>
      </c>
      <c r="P494" s="67" t="str">
        <f t="shared" si="424"/>
        <v>1+3904,84342019646i</v>
      </c>
      <c r="Q494" s="67">
        <f t="shared" si="435"/>
        <v>3904.8435482425657</v>
      </c>
      <c r="R494" s="67">
        <f t="shared" si="436"/>
        <v>1.570540234585676</v>
      </c>
      <c r="S494" s="67" t="str">
        <f t="shared" si="425"/>
        <v>1+108,467872783235i</v>
      </c>
      <c r="T494" s="67">
        <f t="shared" si="437"/>
        <v>108.4724823451554</v>
      </c>
      <c r="U494" s="67">
        <f t="shared" si="438"/>
        <v>1.5615772682494136</v>
      </c>
      <c r="V494" t="str">
        <f t="shared" si="426"/>
        <v>1-22,5974734965073i</v>
      </c>
      <c r="W494" s="67">
        <f t="shared" si="439"/>
        <v>22.619589041920054</v>
      </c>
      <c r="X494" s="67">
        <f t="shared" si="440"/>
        <v>-1.5265724449570528</v>
      </c>
      <c r="Y494" t="str">
        <f t="shared" si="427"/>
        <v>-20,192391774886+62,6703264969803i</v>
      </c>
      <c r="Z494" s="67">
        <f t="shared" si="441"/>
        <v>65.843014123205165</v>
      </c>
      <c r="AA494" s="67">
        <f t="shared" si="442"/>
        <v>1.882493822756143</v>
      </c>
      <c r="AB494" s="92" t="str">
        <f t="shared" si="443"/>
        <v>-0,206568423201393+0,0586035006859262i</v>
      </c>
      <c r="AC494" s="37">
        <f t="shared" si="444"/>
        <v>-13.362530686193798</v>
      </c>
      <c r="AD494" s="60">
        <f t="shared" si="445"/>
        <v>164.16135063663253</v>
      </c>
      <c r="AE494" t="str">
        <f t="shared" si="446"/>
        <v>34,4450883806789</v>
      </c>
      <c r="AF494" t="str">
        <f t="shared" si="428"/>
        <v>1+1952,42171009823i</v>
      </c>
      <c r="AG494">
        <f t="shared" si="447"/>
        <v>1952.4219661904281</v>
      </c>
      <c r="AH494">
        <f t="shared" si="448"/>
        <v>1.570284142410046</v>
      </c>
      <c r="AI494" t="str">
        <f t="shared" si="429"/>
        <v>1+108,467872783235i</v>
      </c>
      <c r="AJ494">
        <f t="shared" si="449"/>
        <v>108.4724823451554</v>
      </c>
      <c r="AK494">
        <f t="shared" si="450"/>
        <v>1.5615772682494136</v>
      </c>
      <c r="AL494" t="str">
        <f t="shared" si="430"/>
        <v>1-7,38030393900125i</v>
      </c>
      <c r="AM494">
        <f t="shared" si="451"/>
        <v>7.4477437007483935</v>
      </c>
      <c r="AN494">
        <f t="shared" si="452"/>
        <v>-1.4361207299180225</v>
      </c>
      <c r="AO494" s="58" t="str">
        <f t="shared" si="453"/>
        <v>1,79065312473073-14,1397929519173i</v>
      </c>
      <c r="AP494">
        <f t="shared" si="454"/>
        <v>23.077958400715872</v>
      </c>
      <c r="AQ494" s="60">
        <f t="shared" si="455"/>
        <v>-82.782523837705611</v>
      </c>
      <c r="AR494" t="str">
        <f t="shared" si="431"/>
        <v>-1,36472945891784</v>
      </c>
      <c r="AS494" t="str">
        <f t="shared" si="432"/>
        <v>1+81,2532835019215i</v>
      </c>
      <c r="AT494">
        <f t="shared" si="456"/>
        <v>81.259436866394964</v>
      </c>
      <c r="AU494">
        <f t="shared" si="457"/>
        <v>1.5584897531713395</v>
      </c>
      <c r="AV494" t="str">
        <f t="shared" si="433"/>
        <v>1+81,2532835019215i</v>
      </c>
      <c r="AW494">
        <f t="shared" si="458"/>
        <v>81.259436866394964</v>
      </c>
      <c r="AX494">
        <f t="shared" si="459"/>
        <v>1.5584897531713395</v>
      </c>
      <c r="AY494" t="str">
        <f t="shared" si="434"/>
        <v>1-0,000184607924178785i</v>
      </c>
      <c r="AZ494">
        <f t="shared" si="460"/>
        <v>1.0000000170400427</v>
      </c>
      <c r="BA494">
        <f t="shared" si="461"/>
        <v>-1.8460792208163375E-4</v>
      </c>
      <c r="BB494" s="58" t="str">
        <f t="shared" si="462"/>
        <v>-0,000203580032878441+0,0167934859992789i</v>
      </c>
      <c r="BC494">
        <f t="shared" si="463"/>
        <v>-35.496544692395318</v>
      </c>
      <c r="BD494" s="60">
        <f t="shared" si="464"/>
        <v>90.694537474096876</v>
      </c>
      <c r="BE494" s="58" t="str">
        <f t="shared" si="465"/>
        <v>-0,000942103861890846-0,00348093442552214i</v>
      </c>
      <c r="BF494" s="37">
        <f t="shared" si="466"/>
        <v>-48.859075378589125</v>
      </c>
      <c r="BG494" s="60">
        <f t="shared" si="467"/>
        <v>-105.1441118892706</v>
      </c>
      <c r="BH494" s="58" t="str">
        <f t="shared" si="468"/>
        <v>0,237091873748719+0,0329498876937762i</v>
      </c>
      <c r="BI494" s="37">
        <f t="shared" si="469"/>
        <v>-12.418586291679446</v>
      </c>
      <c r="BJ494" s="60">
        <f t="shared" si="470"/>
        <v>7.912013636391273</v>
      </c>
      <c r="BK494">
        <f t="shared" si="471"/>
        <v>-48.859075378589125</v>
      </c>
      <c r="BL494" s="60">
        <f t="shared" si="472"/>
        <v>-105.1441118892706</v>
      </c>
      <c r="BN494">
        <f t="shared" si="473"/>
        <v>0</v>
      </c>
      <c r="BO494">
        <f t="shared" si="474"/>
        <v>0</v>
      </c>
    </row>
    <row r="495" spans="13:67" x14ac:dyDescent="0.25">
      <c r="M495" s="66">
        <v>77</v>
      </c>
      <c r="N495" s="36">
        <f t="shared" si="475"/>
        <v>588843.65535558888</v>
      </c>
      <c r="O495" s="91" t="str">
        <f t="shared" si="423"/>
        <v>22,5</v>
      </c>
      <c r="P495" s="67" t="str">
        <f t="shared" si="424"/>
        <v>1+3995,79890784065i</v>
      </c>
      <c r="Q495" s="67">
        <f t="shared" si="435"/>
        <v>3995.7990329720701</v>
      </c>
      <c r="R495" s="67">
        <f t="shared" si="436"/>
        <v>1.5705460639558031</v>
      </c>
      <c r="S495" s="67" t="str">
        <f t="shared" si="425"/>
        <v>1+110,994414106685i</v>
      </c>
      <c r="T495" s="67">
        <f t="shared" si="437"/>
        <v>110.99891874647372</v>
      </c>
      <c r="U495" s="67">
        <f t="shared" si="438"/>
        <v>1.561787108154828</v>
      </c>
      <c r="V495" t="str">
        <f t="shared" si="426"/>
        <v>1-23,123836272226i</v>
      </c>
      <c r="W495" s="67">
        <f t="shared" si="439"/>
        <v>23.145448881901487</v>
      </c>
      <c r="X495" s="67">
        <f t="shared" si="440"/>
        <v>-1.5275778357955248</v>
      </c>
      <c r="Y495" t="str">
        <f t="shared" si="427"/>
        <v>-21,1911584289621+64,1301059283068i</v>
      </c>
      <c r="Z495" s="67">
        <f t="shared" si="441"/>
        <v>67.540622457430942</v>
      </c>
      <c r="AA495" s="67">
        <f t="shared" si="442"/>
        <v>1.8899407123839533</v>
      </c>
      <c r="AB495" s="92" t="str">
        <f t="shared" si="443"/>
        <v>-0,205568418445878+0,060156192238063i</v>
      </c>
      <c r="AC495" s="37">
        <f t="shared" si="444"/>
        <v>-13.384036438911966</v>
      </c>
      <c r="AD495" s="60">
        <f t="shared" si="445"/>
        <v>163.68875958130189</v>
      </c>
      <c r="AE495" t="str">
        <f t="shared" si="446"/>
        <v>34,4450883806789</v>
      </c>
      <c r="AF495" t="str">
        <f t="shared" si="428"/>
        <v>1+1997,89945392033i</v>
      </c>
      <c r="AG495">
        <f t="shared" si="447"/>
        <v>1997.8997041831585</v>
      </c>
      <c r="AH495">
        <f t="shared" si="448"/>
        <v>1.5702958011480583</v>
      </c>
      <c r="AI495" t="str">
        <f t="shared" si="429"/>
        <v>1+110,994414106685i</v>
      </c>
      <c r="AJ495">
        <f t="shared" si="449"/>
        <v>110.99891874647372</v>
      </c>
      <c r="AK495">
        <f t="shared" si="450"/>
        <v>1.561787108154828</v>
      </c>
      <c r="AL495" t="str">
        <f t="shared" si="430"/>
        <v>1-7,55221330168202i</v>
      </c>
      <c r="AM495">
        <f t="shared" si="451"/>
        <v>7.6181313820452603</v>
      </c>
      <c r="AN495">
        <f t="shared" si="452"/>
        <v>-1.439150620977993</v>
      </c>
      <c r="AO495" s="58" t="str">
        <f t="shared" si="453"/>
        <v>1,79065273918236-14,4683807531185i</v>
      </c>
      <c r="AP495">
        <f t="shared" si="454"/>
        <v>23.274416547008499</v>
      </c>
      <c r="AQ495" s="60">
        <f t="shared" si="455"/>
        <v>-82.944768863355222</v>
      </c>
      <c r="AR495" t="str">
        <f t="shared" si="431"/>
        <v>-1,36472945891784</v>
      </c>
      <c r="AS495" t="str">
        <f t="shared" si="432"/>
        <v>1+83,1459156073177i</v>
      </c>
      <c r="AT495">
        <f t="shared" si="456"/>
        <v>83.151928914362529</v>
      </c>
      <c r="AU495">
        <f t="shared" si="457"/>
        <v>1.5587698576623525</v>
      </c>
      <c r="AV495" t="str">
        <f t="shared" si="433"/>
        <v>1+83,1459156073177i</v>
      </c>
      <c r="AW495">
        <f t="shared" si="458"/>
        <v>83.151928914362529</v>
      </c>
      <c r="AX495">
        <f t="shared" si="459"/>
        <v>1.5587698576623525</v>
      </c>
      <c r="AY495" t="str">
        <f t="shared" si="434"/>
        <v>1-0,000180405734790897i</v>
      </c>
      <c r="AZ495">
        <f t="shared" si="460"/>
        <v>1.0000000162731144</v>
      </c>
      <c r="BA495">
        <f t="shared" si="461"/>
        <v>-1.8040573283372159E-4</v>
      </c>
      <c r="BB495" s="58" t="str">
        <f t="shared" si="462"/>
        <v>-0,00019441874724003+0,0164113297713268i</v>
      </c>
      <c r="BC495">
        <f t="shared" si="463"/>
        <v>-35.696515096976285</v>
      </c>
      <c r="BD495" s="60">
        <f t="shared" si="464"/>
        <v>90.678729436647785</v>
      </c>
      <c r="BE495" s="58" t="str">
        <f t="shared" si="465"/>
        <v>-0,00094727675421982-0,00338534659721906i</v>
      </c>
      <c r="BF495" s="37">
        <f t="shared" si="466"/>
        <v>-49.080551535888247</v>
      </c>
      <c r="BG495" s="60">
        <f t="shared" si="467"/>
        <v>-105.63251098205029</v>
      </c>
      <c r="BH495" s="58" t="str">
        <f t="shared" si="468"/>
        <v>0,237097231334252+0,0321999170692644i</v>
      </c>
      <c r="BI495" s="37">
        <f t="shared" si="469"/>
        <v>-12.422098549967767</v>
      </c>
      <c r="BJ495" s="60">
        <f t="shared" si="470"/>
        <v>7.7339605732925572</v>
      </c>
      <c r="BK495">
        <f t="shared" si="471"/>
        <v>-49.080551535888247</v>
      </c>
      <c r="BL495" s="60">
        <f t="shared" si="472"/>
        <v>-105.63251098205029</v>
      </c>
      <c r="BN495">
        <f t="shared" si="473"/>
        <v>0</v>
      </c>
      <c r="BO495">
        <f t="shared" si="474"/>
        <v>0</v>
      </c>
    </row>
    <row r="496" spans="13:67" x14ac:dyDescent="0.25">
      <c r="M496" s="66">
        <v>78</v>
      </c>
      <c r="N496" s="36">
        <f t="shared" si="475"/>
        <v>602559.58607435878</v>
      </c>
      <c r="O496" s="91" t="str">
        <f t="shared" si="423"/>
        <v>22,5</v>
      </c>
      <c r="P496" s="67" t="str">
        <f t="shared" si="424"/>
        <v>1+4088,87302095643i</v>
      </c>
      <c r="Q496" s="67">
        <f t="shared" si="435"/>
        <v>4088.8731432395111</v>
      </c>
      <c r="R496" s="67">
        <f t="shared" si="436"/>
        <v>1.5705517606332826</v>
      </c>
      <c r="S496" s="67" t="str">
        <f t="shared" si="425"/>
        <v>1+113,579806137679i</v>
      </c>
      <c r="T496" s="67">
        <f t="shared" si="437"/>
        <v>113.58420824336781</v>
      </c>
      <c r="U496" s="67">
        <f t="shared" si="438"/>
        <v>1.5619921722875176</v>
      </c>
      <c r="V496" t="str">
        <f t="shared" si="426"/>
        <v>1-23,6624596120164i</v>
      </c>
      <c r="W496" s="67">
        <f t="shared" si="439"/>
        <v>23.683580702467847</v>
      </c>
      <c r="X496" s="67">
        <f t="shared" si="440"/>
        <v>-1.5285604256300587</v>
      </c>
      <c r="Y496" t="str">
        <f t="shared" si="427"/>
        <v>-22,2369955052865+65,6238879906587i</v>
      </c>
      <c r="Z496" s="67">
        <f t="shared" si="441"/>
        <v>69.289094698319232</v>
      </c>
      <c r="AA496" s="67">
        <f t="shared" si="442"/>
        <v>1.8975082990008334</v>
      </c>
      <c r="AB496" s="92" t="str">
        <f t="shared" si="443"/>
        <v>-0,204531294031005+0,0617115460432184i</v>
      </c>
      <c r="AC496" s="37">
        <f t="shared" si="444"/>
        <v>-13.406413741230988</v>
      </c>
      <c r="AD496" s="60">
        <f t="shared" si="445"/>
        <v>163.21029347029958</v>
      </c>
      <c r="AE496" t="str">
        <f t="shared" si="446"/>
        <v>34,4450883806789</v>
      </c>
      <c r="AF496" t="str">
        <f t="shared" si="428"/>
        <v>1+2044,43651047822i</v>
      </c>
      <c r="AG496">
        <f t="shared" si="447"/>
        <v>2044.4367550443719</v>
      </c>
      <c r="AH496">
        <f t="shared" si="448"/>
        <v>1.5703071945009248</v>
      </c>
      <c r="AI496" t="str">
        <f t="shared" si="429"/>
        <v>1+113,579806137679i</v>
      </c>
      <c r="AJ496">
        <f t="shared" si="449"/>
        <v>113.58420824336781</v>
      </c>
      <c r="AK496">
        <f t="shared" si="450"/>
        <v>1.5619921722875176</v>
      </c>
      <c r="AL496" t="str">
        <f t="shared" si="430"/>
        <v>1-7,7281269478207i</v>
      </c>
      <c r="AM496">
        <f t="shared" si="451"/>
        <v>7.7925570977460596</v>
      </c>
      <c r="AN496">
        <f t="shared" si="452"/>
        <v>-1.4421138943229805</v>
      </c>
      <c r="AO496" s="58" t="str">
        <f t="shared" si="453"/>
        <v>1,79065237098652-14,8046398812893i</v>
      </c>
      <c r="AP496">
        <f t="shared" si="454"/>
        <v>23.471031429522007</v>
      </c>
      <c r="AQ496" s="60">
        <f t="shared" si="455"/>
        <v>-83.103455401267766</v>
      </c>
      <c r="AR496" t="str">
        <f t="shared" si="431"/>
        <v>-1,36472945891784</v>
      </c>
      <c r="AS496" t="str">
        <f t="shared" si="432"/>
        <v>1+85,0826327777351i</v>
      </c>
      <c r="AT496">
        <f t="shared" si="456"/>
        <v>85.088509214763675</v>
      </c>
      <c r="AU496">
        <f t="shared" si="457"/>
        <v>1.5590435880203612</v>
      </c>
      <c r="AV496" t="str">
        <f t="shared" si="433"/>
        <v>1+85,0826327777351i</v>
      </c>
      <c r="AW496">
        <f t="shared" si="458"/>
        <v>85.088509214763675</v>
      </c>
      <c r="AX496">
        <f t="shared" si="459"/>
        <v>1.5590435880203612</v>
      </c>
      <c r="AY496" t="str">
        <f t="shared" si="434"/>
        <v>1-0,000176299198911547i</v>
      </c>
      <c r="AZ496">
        <f t="shared" si="460"/>
        <v>1.0000000155407036</v>
      </c>
      <c r="BA496">
        <f t="shared" si="461"/>
        <v>-1.7629919708500461E-4</v>
      </c>
      <c r="BB496" s="58" t="str">
        <f t="shared" si="462"/>
        <v>-0,00018566967079163+0,0160378651282654i</v>
      </c>
      <c r="BC496">
        <f t="shared" si="463"/>
        <v>-35.89648683338217</v>
      </c>
      <c r="BD496" s="60">
        <f t="shared" si="464"/>
        <v>90.66328112957612</v>
      </c>
      <c r="BE496" s="58" t="str">
        <f t="shared" si="465"/>
        <v>-0,000951746194268554-0,00329170327061674i</v>
      </c>
      <c r="BF496" s="37">
        <f t="shared" si="466"/>
        <v>-49.302900574613147</v>
      </c>
      <c r="BG496" s="60">
        <f t="shared" si="467"/>
        <v>-106.1264254001243</v>
      </c>
      <c r="BH496" s="58" t="str">
        <f t="shared" si="468"/>
        <v>0,237102347852434+0,0314670138304381i</v>
      </c>
      <c r="BI496" s="37">
        <f t="shared" si="469"/>
        <v>-12.425455403860145</v>
      </c>
      <c r="BJ496" s="60">
        <f t="shared" si="470"/>
        <v>7.5598257283083532</v>
      </c>
      <c r="BK496">
        <f t="shared" si="471"/>
        <v>-49.302900574613147</v>
      </c>
      <c r="BL496" s="60">
        <f t="shared" si="472"/>
        <v>-106.1264254001243</v>
      </c>
      <c r="BN496">
        <f t="shared" si="473"/>
        <v>0</v>
      </c>
      <c r="BO496">
        <f t="shared" si="474"/>
        <v>0</v>
      </c>
    </row>
    <row r="497" spans="13:67" x14ac:dyDescent="0.25">
      <c r="M497" s="66">
        <v>79</v>
      </c>
      <c r="N497" s="36">
        <f t="shared" si="475"/>
        <v>616595.00186148309</v>
      </c>
      <c r="O497" s="91" t="str">
        <f t="shared" si="423"/>
        <v>22,5</v>
      </c>
      <c r="P497" s="67" t="str">
        <f t="shared" si="424"/>
        <v>1+4184,11510867055i</v>
      </c>
      <c r="Q497" s="67">
        <f t="shared" si="435"/>
        <v>4184.1152281701288</v>
      </c>
      <c r="R497" s="67">
        <f t="shared" si="436"/>
        <v>1.5705573276385667</v>
      </c>
      <c r="S497" s="67" t="str">
        <f t="shared" si="425"/>
        <v>1+116,225419685293i</v>
      </c>
      <c r="T497" s="67">
        <f t="shared" si="437"/>
        <v>116.22972159057466</v>
      </c>
      <c r="U497" s="67">
        <f t="shared" si="438"/>
        <v>1.5621925693061742</v>
      </c>
      <c r="V497" t="str">
        <f t="shared" si="426"/>
        <v>1-24,2136291011028i</v>
      </c>
      <c r="W497" s="67">
        <f t="shared" si="439"/>
        <v>24.234269831083676</v>
      </c>
      <c r="X497" s="67">
        <f t="shared" si="440"/>
        <v>-1.5295207278490792</v>
      </c>
      <c r="Y497" t="str">
        <f t="shared" si="427"/>
        <v>-23,332121364516+67,1524647070583i</v>
      </c>
      <c r="Z497" s="67">
        <f t="shared" si="441"/>
        <v>71.09037490125661</v>
      </c>
      <c r="AA497" s="67">
        <f t="shared" si="442"/>
        <v>1.9051975943071391</v>
      </c>
      <c r="AB497" s="92" t="str">
        <f t="shared" si="443"/>
        <v>-0,203456150341466+0,0632687688992436i</v>
      </c>
      <c r="AC497" s="37">
        <f t="shared" si="444"/>
        <v>-13.429695720045965</v>
      </c>
      <c r="AD497" s="60">
        <f t="shared" si="445"/>
        <v>162.72587097510026</v>
      </c>
      <c r="AE497" t="str">
        <f t="shared" si="446"/>
        <v>34,4450883806789</v>
      </c>
      <c r="AF497" t="str">
        <f t="shared" si="428"/>
        <v>1+2092,05755433528i</v>
      </c>
      <c r="AG497">
        <f t="shared" si="447"/>
        <v>2092.0577933344275</v>
      </c>
      <c r="AH497">
        <f t="shared" si="448"/>
        <v>1.5703183285095401</v>
      </c>
      <c r="AI497" t="str">
        <f t="shared" si="429"/>
        <v>1+116,225419685293i</v>
      </c>
      <c r="AJ497">
        <f t="shared" si="449"/>
        <v>116.22972159057466</v>
      </c>
      <c r="AK497">
        <f t="shared" si="450"/>
        <v>1.5621925693061742</v>
      </c>
      <c r="AL497" t="str">
        <f t="shared" si="430"/>
        <v>1-7,90813814916099i</v>
      </c>
      <c r="AM497">
        <f t="shared" si="451"/>
        <v>7.9711134094438414</v>
      </c>
      <c r="AN497">
        <f t="shared" si="452"/>
        <v>-1.4450119128455301</v>
      </c>
      <c r="AO497" s="58" t="str">
        <f t="shared" si="453"/>
        <v>1,7906520193622-15,1487486254714i</v>
      </c>
      <c r="AP497">
        <f t="shared" si="454"/>
        <v>23.667796225410807</v>
      </c>
      <c r="AQ497" s="60">
        <f t="shared" si="455"/>
        <v>-83.258655659867287</v>
      </c>
      <c r="AR497" t="str">
        <f t="shared" si="431"/>
        <v>-1,36472945891784</v>
      </c>
      <c r="AS497" t="str">
        <f t="shared" si="432"/>
        <v>1+87,0644618862532i</v>
      </c>
      <c r="AT497">
        <f t="shared" si="456"/>
        <v>87.070204568169217</v>
      </c>
      <c r="AU497">
        <f t="shared" si="457"/>
        <v>1.5593110892166488</v>
      </c>
      <c r="AV497" t="str">
        <f t="shared" si="433"/>
        <v>1+87,0644618862532i</v>
      </c>
      <c r="AW497">
        <f t="shared" si="458"/>
        <v>87.070204568169217</v>
      </c>
      <c r="AX497">
        <f t="shared" si="459"/>
        <v>1.5593110892166488</v>
      </c>
      <c r="AY497" t="str">
        <f t="shared" si="434"/>
        <v>1-0,000172286139201056i</v>
      </c>
      <c r="AZ497">
        <f t="shared" si="460"/>
        <v>1.0000000148412569</v>
      </c>
      <c r="BA497">
        <f t="shared" si="461"/>
        <v>-1.7228613749642745E-4</v>
      </c>
      <c r="BB497" s="58" t="str">
        <f t="shared" si="462"/>
        <v>-0,000177314261319743+0,0156728947160928i</v>
      </c>
      <c r="BC497">
        <f t="shared" si="463"/>
        <v>-36.096459841687569</v>
      </c>
      <c r="BD497" s="60">
        <f t="shared" si="464"/>
        <v>90.648184371391494</v>
      </c>
      <c r="BE497" s="58" t="str">
        <f t="shared" si="465"/>
        <v>-0,000955529076765896-0,00319996527866532i</v>
      </c>
      <c r="BF497" s="37">
        <f t="shared" si="466"/>
        <v>-49.526155561733546</v>
      </c>
      <c r="BG497" s="60">
        <f t="shared" si="467"/>
        <v>-106.62594465350827</v>
      </c>
      <c r="BH497" s="58" t="str">
        <f t="shared" si="468"/>
        <v>0,237107234147475+0,0307507897450667i</v>
      </c>
      <c r="BI497" s="37">
        <f t="shared" si="469"/>
        <v>-12.428663616276758</v>
      </c>
      <c r="BJ497" s="60">
        <f t="shared" si="470"/>
        <v>7.3895287115242194</v>
      </c>
      <c r="BK497">
        <f t="shared" si="471"/>
        <v>-49.526155561733546</v>
      </c>
      <c r="BL497" s="60">
        <f t="shared" si="472"/>
        <v>-106.62594465350827</v>
      </c>
      <c r="BN497">
        <f t="shared" si="473"/>
        <v>0</v>
      </c>
      <c r="BO497">
        <f t="shared" si="474"/>
        <v>0</v>
      </c>
    </row>
    <row r="498" spans="13:67" x14ac:dyDescent="0.25">
      <c r="M498" s="66">
        <v>80</v>
      </c>
      <c r="N498" s="36">
        <f t="shared" si="475"/>
        <v>630957.34448019415</v>
      </c>
      <c r="O498" s="91" t="str">
        <f t="shared" si="423"/>
        <v>22,5</v>
      </c>
      <c r="P498" s="67" t="str">
        <f t="shared" si="424"/>
        <v>1+4281,5756695986i</v>
      </c>
      <c r="Q498" s="67">
        <f t="shared" si="435"/>
        <v>4281.5757863780364</v>
      </c>
      <c r="R498" s="67">
        <f t="shared" si="436"/>
        <v>1.5705627679233538</v>
      </c>
      <c r="S498" s="67" t="str">
        <f t="shared" si="425"/>
        <v>1+118,93265748885i</v>
      </c>
      <c r="T498" s="67">
        <f t="shared" si="437"/>
        <v>118.93686147431377</v>
      </c>
      <c r="U498" s="67">
        <f t="shared" si="438"/>
        <v>1.5623884053995307</v>
      </c>
      <c r="V498" t="str">
        <f t="shared" si="426"/>
        <v>1-24,7776369768437i</v>
      </c>
      <c r="W498" s="67">
        <f t="shared" si="439"/>
        <v>24.79780825307455</v>
      </c>
      <c r="X498" s="67">
        <f t="shared" si="440"/>
        <v>-1.5304592445289213</v>
      </c>
      <c r="Y498" t="str">
        <f t="shared" si="427"/>
        <v>-24,4788589154238+68,7166465491133i</v>
      </c>
      <c r="Z498" s="67">
        <f t="shared" si="441"/>
        <v>72.946501264673344</v>
      </c>
      <c r="AA498" s="67">
        <f t="shared" si="442"/>
        <v>1.9130095095931376</v>
      </c>
      <c r="AB498" s="92" t="str">
        <f t="shared" si="443"/>
        <v>-0,202342103299044+0,0648269998322386i</v>
      </c>
      <c r="AC498" s="37">
        <f t="shared" si="444"/>
        <v>-13.453916252304854</v>
      </c>
      <c r="AD498" s="60">
        <f t="shared" si="445"/>
        <v>162.23541703080929</v>
      </c>
      <c r="AE498" t="str">
        <f t="shared" si="446"/>
        <v>34,4450883806789</v>
      </c>
      <c r="AF498" t="str">
        <f t="shared" si="428"/>
        <v>1+2140,7878347993i</v>
      </c>
      <c r="AG498">
        <f t="shared" si="447"/>
        <v>2140.7880683581634</v>
      </c>
      <c r="AH498">
        <f t="shared" si="448"/>
        <v>1.570329209077292</v>
      </c>
      <c r="AI498" t="str">
        <f t="shared" si="429"/>
        <v>1+118,93265748885i</v>
      </c>
      <c r="AJ498">
        <f t="shared" si="449"/>
        <v>118.93686147431377</v>
      </c>
      <c r="AK498">
        <f t="shared" si="450"/>
        <v>1.5623884053995307</v>
      </c>
      <c r="AL498" t="str">
        <f t="shared" si="430"/>
        <v>1-8,09234235002452i</v>
      </c>
      <c r="AM498">
        <f t="shared" si="451"/>
        <v>8.1538950637103724</v>
      </c>
      <c r="AN498">
        <f t="shared" si="452"/>
        <v>-1.4478460182974111</v>
      </c>
      <c r="AO498" s="58" t="str">
        <f t="shared" si="453"/>
        <v>1,79065168356359-15,5008894366771i</v>
      </c>
      <c r="AP498">
        <f t="shared" si="454"/>
        <v>23.864704399024713</v>
      </c>
      <c r="AQ498" s="60">
        <f t="shared" si="455"/>
        <v>-83.410440769940294</v>
      </c>
      <c r="AR498" t="str">
        <f t="shared" si="431"/>
        <v>-1,36472945891784</v>
      </c>
      <c r="AS498" t="str">
        <f t="shared" si="432"/>
        <v>1+89,0924537248976i</v>
      </c>
      <c r="AT498">
        <f t="shared" si="456"/>
        <v>89.098065695743486</v>
      </c>
      <c r="AU498">
        <f t="shared" si="457"/>
        <v>1.5595725029306706</v>
      </c>
      <c r="AV498" t="str">
        <f t="shared" si="433"/>
        <v>1+89,0924537248976i</v>
      </c>
      <c r="AW498">
        <f t="shared" si="458"/>
        <v>89.098065695743486</v>
      </c>
      <c r="AX498">
        <f t="shared" si="459"/>
        <v>1.5595725029306706</v>
      </c>
      <c r="AY498" t="str">
        <f t="shared" si="434"/>
        <v>1-0,000168364427882046i</v>
      </c>
      <c r="AZ498">
        <f t="shared" si="460"/>
        <v>1.0000000141732903</v>
      </c>
      <c r="BA498">
        <f t="shared" si="461"/>
        <v>-1.6836442629119408E-4</v>
      </c>
      <c r="BB498" s="58" t="str">
        <f t="shared" si="462"/>
        <v>-0,00016933481024579+0,0153162256404019i</v>
      </c>
      <c r="BC498">
        <f t="shared" si="463"/>
        <v>-36.296434064662655</v>
      </c>
      <c r="BD498" s="60">
        <f t="shared" si="464"/>
        <v>90.633431166371736</v>
      </c>
      <c r="BE498" s="58" t="str">
        <f t="shared" si="465"/>
        <v>-0,000958641395353985-0,00311009477839706i</v>
      </c>
      <c r="BF498" s="37">
        <f t="shared" si="466"/>
        <v>-49.750350316967513</v>
      </c>
      <c r="BG498" s="60">
        <f t="shared" si="467"/>
        <v>-107.13115180281898</v>
      </c>
      <c r="BH498" s="58" t="str">
        <f t="shared" si="468"/>
        <v>0,237111900576016+0,0300508654002262i</v>
      </c>
      <c r="BI498" s="37">
        <f t="shared" si="469"/>
        <v>-12.431729665637949</v>
      </c>
      <c r="BJ498" s="60">
        <f t="shared" si="470"/>
        <v>7.2229903964314577</v>
      </c>
      <c r="BK498">
        <f t="shared" si="471"/>
        <v>-49.750350316967513</v>
      </c>
      <c r="BL498" s="60">
        <f t="shared" si="472"/>
        <v>-107.13115180281898</v>
      </c>
      <c r="BN498">
        <f t="shared" si="473"/>
        <v>0</v>
      </c>
      <c r="BO498">
        <f t="shared" si="474"/>
        <v>0</v>
      </c>
    </row>
    <row r="499" spans="13:67" x14ac:dyDescent="0.25">
      <c r="M499" s="66">
        <v>81</v>
      </c>
      <c r="N499" s="36">
        <f t="shared" si="475"/>
        <v>645654.22903465747</v>
      </c>
      <c r="O499" s="91" t="str">
        <f t="shared" si="423"/>
        <v>22,5</v>
      </c>
      <c r="P499" s="67" t="str">
        <f t="shared" si="424"/>
        <v>1+4381,30637862003i</v>
      </c>
      <c r="Q499" s="67">
        <f t="shared" si="435"/>
        <v>4381.3064927412415</v>
      </c>
      <c r="R499" s="67">
        <f t="shared" si="436"/>
        <v>1.5705680843721537</v>
      </c>
      <c r="S499" s="67" t="str">
        <f t="shared" si="425"/>
        <v>1+121,702954961668i</v>
      </c>
      <c r="T499" s="67">
        <f t="shared" si="437"/>
        <v>121.70706325600742</v>
      </c>
      <c r="U499" s="67">
        <f t="shared" si="438"/>
        <v>1.5625797843423568</v>
      </c>
      <c r="V499" t="str">
        <f t="shared" si="426"/>
        <v>1-25,3547822836807i</v>
      </c>
      <c r="W499" s="67">
        <f t="shared" si="439"/>
        <v>25.37449476645493</v>
      </c>
      <c r="X499" s="67">
        <f t="shared" si="440"/>
        <v>-1.5313764666665162</v>
      </c>
      <c r="Y499" t="str">
        <f t="shared" si="427"/>
        <v>-25,6796405421016+70,3172628667413i</v>
      </c>
      <c r="Z499" s="67">
        <f t="shared" si="441"/>
        <v>74.859611242925538</v>
      </c>
      <c r="AA499" s="67">
        <f t="shared" si="442"/>
        <v>1.9209448493100627</v>
      </c>
      <c r="AB499" s="92" t="str">
        <f t="shared" si="443"/>
        <v>-0,201188288308371+0,0663853088665742i</v>
      </c>
      <c r="AC499" s="37">
        <f t="shared" si="444"/>
        <v>-13.479109950890699</v>
      </c>
      <c r="AD499" s="60">
        <f t="shared" si="445"/>
        <v>161.73886319430002</v>
      </c>
      <c r="AE499" t="str">
        <f t="shared" si="446"/>
        <v>34,4450883806789</v>
      </c>
      <c r="AF499" t="str">
        <f t="shared" si="428"/>
        <v>1+2190,65318931002i</v>
      </c>
      <c r="AG499">
        <f t="shared" si="447"/>
        <v>2190.6534175524348</v>
      </c>
      <c r="AH499">
        <f t="shared" si="448"/>
        <v>1.5703398419731913</v>
      </c>
      <c r="AI499" t="str">
        <f t="shared" si="429"/>
        <v>1+121,702954961668i</v>
      </c>
      <c r="AJ499">
        <f t="shared" si="449"/>
        <v>121.70706325600742</v>
      </c>
      <c r="AK499">
        <f t="shared" si="450"/>
        <v>1.5625797843423568</v>
      </c>
      <c r="AL499" t="str">
        <f t="shared" si="430"/>
        <v>1-8,28083721791688i</v>
      </c>
      <c r="AM499">
        <f t="shared" si="451"/>
        <v>8.3409990426589395</v>
      </c>
      <c r="AN499">
        <f t="shared" si="452"/>
        <v>-1.4506175311497802</v>
      </c>
      <c r="AO499" s="58" t="str">
        <f t="shared" si="453"/>
        <v>1,7906513628784-15,8612490246266i</v>
      </c>
      <c r="AP499">
        <f t="shared" si="454"/>
        <v>24.061749690671324</v>
      </c>
      <c r="AQ499" s="60">
        <f t="shared" si="455"/>
        <v>-83.558880773594737</v>
      </c>
      <c r="AR499" t="str">
        <f t="shared" si="431"/>
        <v>-1,36472945891784</v>
      </c>
      <c r="AS499" t="str">
        <f t="shared" si="432"/>
        <v>1+91,1676835617853i</v>
      </c>
      <c r="AT499">
        <f t="shared" si="456"/>
        <v>91.173167796352331</v>
      </c>
      <c r="AU499">
        <f t="shared" si="457"/>
        <v>1.5598279676244413</v>
      </c>
      <c r="AV499" t="str">
        <f t="shared" si="433"/>
        <v>1+91,1676835617853i</v>
      </c>
      <c r="AW499">
        <f t="shared" si="458"/>
        <v>91.173167796352331</v>
      </c>
      <c r="AX499">
        <f t="shared" si="459"/>
        <v>1.5598279676244413</v>
      </c>
      <c r="AY499" t="str">
        <f t="shared" si="434"/>
        <v>1-0,000164531985611265i</v>
      </c>
      <c r="AZ499">
        <f t="shared" si="460"/>
        <v>1.000000013535387</v>
      </c>
      <c r="BA499">
        <f t="shared" si="461"/>
        <v>-1.6453198412659561E-4</v>
      </c>
      <c r="BB499" s="58" t="str">
        <f t="shared" si="462"/>
        <v>-0,0001617144051857+0,0149676693670501i</v>
      </c>
      <c r="BC499">
        <f t="shared" si="463"/>
        <v>-36.496409447652155</v>
      </c>
      <c r="BD499" s="60">
        <f t="shared" si="464"/>
        <v>90.619013700365329</v>
      </c>
      <c r="BE499" s="58" t="str">
        <f t="shared" si="465"/>
        <v>-0,000961098309570265-0,00302205524065888i</v>
      </c>
      <c r="BF499" s="37">
        <f t="shared" si="466"/>
        <v>-49.975519398542836</v>
      </c>
      <c r="BG499" s="60">
        <f t="shared" si="467"/>
        <v>-107.64212310533459</v>
      </c>
      <c r="BH499" s="58" t="str">
        <f t="shared" si="468"/>
        <v>0,237116357029014+0,0293668700027413i</v>
      </c>
      <c r="BI499" s="37">
        <f t="shared" si="469"/>
        <v>-12.434659756980828</v>
      </c>
      <c r="BJ499" s="60">
        <f t="shared" si="470"/>
        <v>7.060132926770601</v>
      </c>
      <c r="BK499">
        <f t="shared" si="471"/>
        <v>-49.975519398542836</v>
      </c>
      <c r="BL499" s="60">
        <f t="shared" si="472"/>
        <v>-107.64212310533459</v>
      </c>
      <c r="BN499">
        <f t="shared" si="473"/>
        <v>0</v>
      </c>
      <c r="BO499">
        <f t="shared" si="474"/>
        <v>0</v>
      </c>
    </row>
    <row r="500" spans="13:67" x14ac:dyDescent="0.25">
      <c r="M500" s="66">
        <v>82</v>
      </c>
      <c r="N500" s="36">
        <f t="shared" si="475"/>
        <v>660693.44800759677</v>
      </c>
      <c r="O500" s="91" t="str">
        <f t="shared" si="423"/>
        <v>22,5</v>
      </c>
      <c r="P500" s="67" t="str">
        <f t="shared" si="424"/>
        <v>1+4483,36011427684i</v>
      </c>
      <c r="Q500" s="67">
        <f t="shared" si="435"/>
        <v>4483.3602258003366</v>
      </c>
      <c r="R500" s="67">
        <f t="shared" si="436"/>
        <v>1.5705732798038168</v>
      </c>
      <c r="S500" s="67" t="str">
        <f t="shared" si="425"/>
        <v>1+124,537780952135i</v>
      </c>
      <c r="T500" s="67">
        <f t="shared" si="437"/>
        <v>124.54179573332785</v>
      </c>
      <c r="U500" s="67">
        <f t="shared" si="438"/>
        <v>1.562766807550193</v>
      </c>
      <c r="V500" t="str">
        <f t="shared" si="426"/>
        <v>1-25,9453710316947i</v>
      </c>
      <c r="W500" s="67">
        <f t="shared" si="439"/>
        <v>25.964635140365491</v>
      </c>
      <c r="X500" s="67">
        <f t="shared" si="440"/>
        <v>-1.5322728744084153</v>
      </c>
      <c r="Y500" t="str">
        <f t="shared" si="427"/>
        <v>-26,9370132633707+71,9551623278999i</v>
      </c>
      <c r="Z500" s="67">
        <f t="shared" si="441"/>
        <v>76.831946930853135</v>
      </c>
      <c r="AA500" s="67">
        <f t="shared" si="442"/>
        <v>1.9290043045192862</v>
      </c>
      <c r="AB500" s="92" t="str">
        <f t="shared" si="443"/>
        <v>-0,199993864437201+0,0679426959981852i</v>
      </c>
      <c r="AC500" s="37">
        <f t="shared" si="444"/>
        <v>-13.505312146933125</v>
      </c>
      <c r="AD500" s="60">
        <f t="shared" si="445"/>
        <v>161.2361480094761</v>
      </c>
      <c r="AE500" t="str">
        <f t="shared" si="446"/>
        <v>34,4450883806789</v>
      </c>
      <c r="AF500" t="str">
        <f t="shared" si="428"/>
        <v>1+2241,68005713842i</v>
      </c>
      <c r="AG500">
        <f t="shared" si="447"/>
        <v>2241.6802801854037</v>
      </c>
      <c r="AH500">
        <f t="shared" si="448"/>
        <v>1.5703502328349301</v>
      </c>
      <c r="AI500" t="str">
        <f t="shared" si="429"/>
        <v>1+124,537780952135i</v>
      </c>
      <c r="AJ500">
        <f t="shared" si="449"/>
        <v>124.54179573332785</v>
      </c>
      <c r="AK500">
        <f t="shared" si="450"/>
        <v>1.562766807550193</v>
      </c>
      <c r="AL500" t="str">
        <f t="shared" si="430"/>
        <v>1-8,47372269531199i</v>
      </c>
      <c r="AM500">
        <f t="shared" si="451"/>
        <v>8.5325246156718162</v>
      </c>
      <c r="AN500">
        <f t="shared" si="452"/>
        <v>-1.4533277504939319</v>
      </c>
      <c r="AO500" s="58" t="str">
        <f t="shared" si="453"/>
        <v>1,79065105662642-16,2300184567442i</v>
      </c>
      <c r="AP500">
        <f t="shared" si="454"/>
        <v>24.258926105743733</v>
      </c>
      <c r="AQ500" s="60">
        <f t="shared" si="455"/>
        <v>-83.704044615612489</v>
      </c>
      <c r="AR500" t="str">
        <f t="shared" si="431"/>
        <v>-1,36472945891784</v>
      </c>
      <c r="AS500" t="str">
        <f t="shared" si="432"/>
        <v>1+93,2912517112441i</v>
      </c>
      <c r="AT500">
        <f t="shared" si="456"/>
        <v>93.296611116646176</v>
      </c>
      <c r="AU500">
        <f t="shared" si="457"/>
        <v>1.5600776186152692</v>
      </c>
      <c r="AV500" t="str">
        <f t="shared" si="433"/>
        <v>1+93,2912517112441i</v>
      </c>
      <c r="AW500">
        <f t="shared" si="458"/>
        <v>93.296611116646176</v>
      </c>
      <c r="AX500">
        <f t="shared" si="459"/>
        <v>1.5600776186152692</v>
      </c>
      <c r="AY500" t="str">
        <f t="shared" si="434"/>
        <v>1-0,000160786780377094i</v>
      </c>
      <c r="AZ500">
        <f t="shared" si="460"/>
        <v>1.0000000129261943</v>
      </c>
      <c r="BA500">
        <f t="shared" si="461"/>
        <v>-1.6078677899151992E-4</v>
      </c>
      <c r="BB500" s="58" t="str">
        <f t="shared" si="462"/>
        <v>-0,000154436894187625+0,0146270416249457i</v>
      </c>
      <c r="BC500">
        <f t="shared" si="463"/>
        <v>-36.696385938459223</v>
      </c>
      <c r="BD500" s="60">
        <f t="shared" si="464"/>
        <v>90.604924336687276</v>
      </c>
      <c r="BE500" s="58" t="str">
        <f t="shared" si="465"/>
        <v>-0,000962914211196224-0,00293581143880938i</v>
      </c>
      <c r="BF500" s="37">
        <f t="shared" si="466"/>
        <v>-50.201698085392351</v>
      </c>
      <c r="BG500" s="60">
        <f t="shared" si="467"/>
        <v>-108.1589276538366</v>
      </c>
      <c r="BH500" s="58" t="str">
        <f t="shared" si="468"/>
        <v>0,237120612952675+0,028698441184095i</v>
      </c>
      <c r="BI500" s="37">
        <f t="shared" si="469"/>
        <v>-12.437459832715499</v>
      </c>
      <c r="BJ500" s="60">
        <f t="shared" si="470"/>
        <v>6.9008797210747979</v>
      </c>
      <c r="BK500">
        <f t="shared" si="471"/>
        <v>-50.201698085392351</v>
      </c>
      <c r="BL500" s="60">
        <f t="shared" si="472"/>
        <v>-108.1589276538366</v>
      </c>
      <c r="BN500">
        <f t="shared" si="473"/>
        <v>0</v>
      </c>
      <c r="BO500">
        <f t="shared" si="474"/>
        <v>0</v>
      </c>
    </row>
    <row r="501" spans="13:67" x14ac:dyDescent="0.25">
      <c r="M501" s="66">
        <v>83</v>
      </c>
      <c r="N501" s="36">
        <f t="shared" si="475"/>
        <v>676082.97539198259</v>
      </c>
      <c r="O501" s="91" t="str">
        <f t="shared" si="423"/>
        <v>22,5</v>
      </c>
      <c r="P501" s="67" t="str">
        <f t="shared" si="424"/>
        <v>1+4587,79098681053i</v>
      </c>
      <c r="Q501" s="67">
        <f t="shared" si="435"/>
        <v>4587.7910957954409</v>
      </c>
      <c r="R501" s="67">
        <f t="shared" si="436"/>
        <v>1.5705783569730285</v>
      </c>
      <c r="S501" s="67" t="str">
        <f t="shared" si="425"/>
        <v>1+127,438638522515i</v>
      </c>
      <c r="T501" s="67">
        <f t="shared" si="437"/>
        <v>127.44256191897684</v>
      </c>
      <c r="U501" s="67">
        <f t="shared" si="438"/>
        <v>1.5629495741328565</v>
      </c>
      <c r="V501" t="str">
        <f t="shared" si="426"/>
        <v>1-26,5497163588573i</v>
      </c>
      <c r="W501" s="67">
        <f t="shared" si="439"/>
        <v>26.568542277207737</v>
      </c>
      <c r="X501" s="67">
        <f t="shared" si="440"/>
        <v>-1.5331489372761367</v>
      </c>
      <c r="Y501" t="str">
        <f t="shared" si="427"/>
        <v>-28,2536441353521+73,6312133685641i</v>
      </c>
      <c r="Z501" s="67">
        <f t="shared" si="441"/>
        <v>78.865860732348125</v>
      </c>
      <c r="AA501" s="67">
        <f t="shared" si="442"/>
        <v>1.937188446241489</v>
      </c>
      <c r="AB501" s="92" t="str">
        <f t="shared" si="443"/>
        <v>-0,198758018826097+0,0694980903983842i</v>
      </c>
      <c r="AC501" s="37">
        <f t="shared" si="444"/>
        <v>-13.532558868349478</v>
      </c>
      <c r="AD501" s="60">
        <f t="shared" si="445"/>
        <v>160.72721737840348</v>
      </c>
      <c r="AE501" t="str">
        <f t="shared" si="446"/>
        <v>34,4450883806789</v>
      </c>
      <c r="AF501" t="str">
        <f t="shared" si="428"/>
        <v>1+2293,89549340527i</v>
      </c>
      <c r="AG501">
        <f t="shared" si="447"/>
        <v>2293.8957113750848</v>
      </c>
      <c r="AH501">
        <f t="shared" si="448"/>
        <v>1.5703603871718723</v>
      </c>
      <c r="AI501" t="str">
        <f t="shared" si="429"/>
        <v>1+127,438638522515i</v>
      </c>
      <c r="AJ501">
        <f t="shared" si="449"/>
        <v>127.44256191897684</v>
      </c>
      <c r="AK501">
        <f t="shared" si="450"/>
        <v>1.5629495741328565</v>
      </c>
      <c r="AL501" t="str">
        <f t="shared" si="430"/>
        <v>1-8,67110105264314i</v>
      </c>
      <c r="AM501">
        <f t="shared" si="451"/>
        <v>8.7285733923218505</v>
      </c>
      <c r="AN501">
        <f t="shared" si="452"/>
        <v>-1.4559779539796445</v>
      </c>
      <c r="AO501" s="58" t="str">
        <f t="shared" si="453"/>
        <v>1,79065076415802-16,6073932594648i</v>
      </c>
      <c r="AP501">
        <f t="shared" si="454"/>
        <v>24.456227904207964</v>
      </c>
      <c r="AQ501" s="60">
        <f t="shared" si="455"/>
        <v>-83.846000137022585</v>
      </c>
      <c r="AR501" t="str">
        <f t="shared" si="431"/>
        <v>-1,36472945891784</v>
      </c>
      <c r="AS501" t="str">
        <f t="shared" si="432"/>
        <v>1+95,464284117216i</v>
      </c>
      <c r="AT501">
        <f t="shared" si="456"/>
        <v>95.469521534427599</v>
      </c>
      <c r="AU501">
        <f t="shared" si="457"/>
        <v>1.5603215881468655</v>
      </c>
      <c r="AV501" t="str">
        <f t="shared" si="433"/>
        <v>1+95,464284117216i</v>
      </c>
      <c r="AW501">
        <f t="shared" si="458"/>
        <v>95.469521534427599</v>
      </c>
      <c r="AX501">
        <f t="shared" si="459"/>
        <v>1.5603215881468655</v>
      </c>
      <c r="AY501" t="str">
        <f t="shared" si="434"/>
        <v>1-0,000157126826422144i</v>
      </c>
      <c r="AZ501">
        <f t="shared" si="460"/>
        <v>1.0000000123444197</v>
      </c>
      <c r="BA501">
        <f t="shared" si="461"/>
        <v>-1.57126825129051E-4</v>
      </c>
      <c r="BB501" s="58" t="str">
        <f t="shared" si="462"/>
        <v>-0,000147486851572858+0,0142941623109095i</v>
      </c>
      <c r="BC501">
        <f t="shared" si="463"/>
        <v>-36.896363487235476</v>
      </c>
      <c r="BD501" s="60">
        <f t="shared" si="464"/>
        <v>90.591155612106562</v>
      </c>
      <c r="BE501" s="58" t="str">
        <f t="shared" si="465"/>
        <v>-0,000964102790031245-0,00285132943623822i</v>
      </c>
      <c r="BF501" s="37">
        <f t="shared" si="466"/>
        <v>-50.428922355584966</v>
      </c>
      <c r="BG501" s="60">
        <f t="shared" si="467"/>
        <v>-108.68162700948996</v>
      </c>
      <c r="BH501" s="58" t="str">
        <f t="shared" si="468"/>
        <v>0,237124677368422+0,0280452248096996i</v>
      </c>
      <c r="BI501" s="37">
        <f t="shared" si="469"/>
        <v>-12.440135583027519</v>
      </c>
      <c r="BJ501" s="60">
        <f t="shared" si="470"/>
        <v>6.7451554750839842</v>
      </c>
      <c r="BK501">
        <f t="shared" si="471"/>
        <v>-50.428922355584966</v>
      </c>
      <c r="BL501" s="60">
        <f t="shared" si="472"/>
        <v>-108.68162700948996</v>
      </c>
      <c r="BN501">
        <f t="shared" si="473"/>
        <v>0</v>
      </c>
      <c r="BO501">
        <f t="shared" si="474"/>
        <v>0</v>
      </c>
    </row>
    <row r="502" spans="13:67" x14ac:dyDescent="0.25">
      <c r="M502" s="66">
        <v>84</v>
      </c>
      <c r="N502" s="36">
        <f t="shared" si="475"/>
        <v>691830.97091893724</v>
      </c>
      <c r="O502" s="91" t="str">
        <f t="shared" si="423"/>
        <v>22,5</v>
      </c>
      <c r="P502" s="67" t="str">
        <f t="shared" si="424"/>
        <v>1+4694,65436685202i</v>
      </c>
      <c r="Q502" s="67">
        <f t="shared" si="435"/>
        <v>4694.6544733561323</v>
      </c>
      <c r="R502" s="67">
        <f t="shared" si="436"/>
        <v>1.5705833185717701</v>
      </c>
      <c r="S502" s="67" t="str">
        <f t="shared" si="425"/>
        <v>1+130,40706574589i</v>
      </c>
      <c r="T502" s="67">
        <f t="shared" si="437"/>
        <v>130.41089983760128</v>
      </c>
      <c r="U502" s="67">
        <f t="shared" si="438"/>
        <v>1.5631281809467403</v>
      </c>
      <c r="V502" t="str">
        <f t="shared" si="426"/>
        <v>1-27,1681386970603i</v>
      </c>
      <c r="W502" s="67">
        <f t="shared" si="439"/>
        <v>27.186536378558881</v>
      </c>
      <c r="X502" s="67">
        <f t="shared" si="440"/>
        <v>-1.53400511438781</v>
      </c>
      <c r="Y502" t="str">
        <f t="shared" si="427"/>
        <v>-29,632325908649+75,3463046531806i</v>
      </c>
      <c r="Z502" s="67">
        <f t="shared" si="441"/>
        <v>80.963821325616138</v>
      </c>
      <c r="AA502" s="67">
        <f t="shared" si="442"/>
        <v>1.9454977187304041</v>
      </c>
      <c r="AB502" s="92" t="str">
        <f t="shared" si="443"/>
        <v>-0,197479971319761+0,0710503498763128i</v>
      </c>
      <c r="AC502" s="37">
        <f t="shared" si="444"/>
        <v>-13.560886814422364</v>
      </c>
      <c r="AD502" s="60">
        <f t="shared" si="445"/>
        <v>160.21202493691013</v>
      </c>
      <c r="AE502" t="str">
        <f t="shared" si="446"/>
        <v>34,4450883806789</v>
      </c>
      <c r="AF502" t="str">
        <f t="shared" si="428"/>
        <v>1+2347,32718342601i</v>
      </c>
      <c r="AG502">
        <f t="shared" si="447"/>
        <v>2347.3273964342266</v>
      </c>
      <c r="AH502">
        <f t="shared" si="448"/>
        <v>1.5703703103679731</v>
      </c>
      <c r="AI502" t="str">
        <f t="shared" si="429"/>
        <v>1+130,40706574589i</v>
      </c>
      <c r="AJ502">
        <f t="shared" si="449"/>
        <v>130.41089983760128</v>
      </c>
      <c r="AK502">
        <f t="shared" si="450"/>
        <v>1.5631281809467403</v>
      </c>
      <c r="AL502" t="str">
        <f t="shared" si="430"/>
        <v>1-8,87307694252799i</v>
      </c>
      <c r="AM502">
        <f t="shared" si="451"/>
        <v>8.9292493765165855</v>
      </c>
      <c r="AN502">
        <f t="shared" si="452"/>
        <v>-1.4585693977882717</v>
      </c>
      <c r="AO502" s="58" t="str">
        <f t="shared" si="453"/>
        <v>1,79065048485289-16,9935735219051i</v>
      </c>
      <c r="AP502">
        <f t="shared" si="454"/>
        <v>24.653649590444871</v>
      </c>
      <c r="AQ502" s="60">
        <f t="shared" si="455"/>
        <v>-83.984814070730252</v>
      </c>
      <c r="AR502" t="str">
        <f t="shared" si="431"/>
        <v>-1,36472945891784</v>
      </c>
      <c r="AS502" t="str">
        <f t="shared" si="432"/>
        <v>1+97,6879329502459i</v>
      </c>
      <c r="AT502">
        <f t="shared" si="456"/>
        <v>97.693051155605417</v>
      </c>
      <c r="AU502">
        <f t="shared" si="457"/>
        <v>1.5605600054588675</v>
      </c>
      <c r="AV502" t="str">
        <f t="shared" si="433"/>
        <v>1+97,6879329502459i</v>
      </c>
      <c r="AW502">
        <f t="shared" si="458"/>
        <v>97.693051155605417</v>
      </c>
      <c r="AX502">
        <f t="shared" si="459"/>
        <v>1.5605600054588675</v>
      </c>
      <c r="AY502" t="str">
        <f t="shared" si="434"/>
        <v>1-0,000153550183190382i</v>
      </c>
      <c r="AZ502">
        <f t="shared" si="460"/>
        <v>1.0000000117888292</v>
      </c>
      <c r="BA502">
        <f t="shared" si="461"/>
        <v>-1.535501819835974E-4</v>
      </c>
      <c r="BB502" s="58" t="str">
        <f t="shared" si="462"/>
        <v>-0,000140849545308355+0,0139688553965774i</v>
      </c>
      <c r="BC502">
        <f t="shared" si="463"/>
        <v>-37.096342046374808</v>
      </c>
      <c r="BD502" s="60">
        <f t="shared" si="464"/>
        <v>90.57770023292305</v>
      </c>
      <c r="BE502" s="58" t="str">
        <f t="shared" si="465"/>
        <v>-0,000964677099130549-0,00276857657256007i</v>
      </c>
      <c r="BF502" s="37">
        <f t="shared" si="466"/>
        <v>-50.657228860797183</v>
      </c>
      <c r="BG502" s="60">
        <f t="shared" si="467"/>
        <v>-109.21027483016681</v>
      </c>
      <c r="BH502" s="58" t="str">
        <f t="shared" si="468"/>
        <v>0,237128558892001+0,0274068747924457i</v>
      </c>
      <c r="BI502" s="37">
        <f t="shared" si="469"/>
        <v>-12.442692455929942</v>
      </c>
      <c r="BJ502" s="60">
        <f t="shared" si="470"/>
        <v>6.5928861621928165</v>
      </c>
      <c r="BK502">
        <f t="shared" si="471"/>
        <v>-50.657228860797183</v>
      </c>
      <c r="BL502" s="60">
        <f t="shared" si="472"/>
        <v>-109.21027483016681</v>
      </c>
      <c r="BN502">
        <f t="shared" si="473"/>
        <v>0</v>
      </c>
      <c r="BO502">
        <f t="shared" si="474"/>
        <v>0</v>
      </c>
    </row>
    <row r="503" spans="13:67" x14ac:dyDescent="0.25">
      <c r="M503" s="66">
        <v>85</v>
      </c>
      <c r="N503" s="36">
        <f t="shared" si="475"/>
        <v>707945.78438413853</v>
      </c>
      <c r="O503" s="91" t="str">
        <f t="shared" si="423"/>
        <v>22,5</v>
      </c>
      <c r="P503" s="67" t="str">
        <f t="shared" si="424"/>
        <v>1+4804,00691477992i</v>
      </c>
      <c r="Q503" s="67">
        <f t="shared" si="435"/>
        <v>4804.0070188597028</v>
      </c>
      <c r="R503" s="67">
        <f t="shared" si="436"/>
        <v>1.5705881672307462</v>
      </c>
      <c r="S503" s="67" t="str">
        <f t="shared" si="425"/>
        <v>1+133,444636521665i</v>
      </c>
      <c r="T503" s="67">
        <f t="shared" si="437"/>
        <v>133.44838334127277</v>
      </c>
      <c r="U503" s="67">
        <f t="shared" si="438"/>
        <v>1.5633027226459342</v>
      </c>
      <c r="V503" t="str">
        <f t="shared" si="426"/>
        <v>1-27,8009659420134i</v>
      </c>
      <c r="W503" s="67">
        <f t="shared" si="439"/>
        <v>27.818945114956982</v>
      </c>
      <c r="X503" s="67">
        <f t="shared" si="440"/>
        <v>-1.5348418546761156</v>
      </c>
      <c r="Y503" t="str">
        <f t="shared" si="427"/>
        <v>-31,0759829521456+77,1013455458506i</v>
      </c>
      <c r="Z503" s="67">
        <f t="shared" si="441"/>
        <v>83.128419938205852</v>
      </c>
      <c r="AA503" s="67">
        <f t="shared" si="442"/>
        <v>1.9539324326985956</v>
      </c>
      <c r="AB503" s="92" t="str">
        <f t="shared" si="443"/>
        <v>-0,196158979309348+0,0725982606288796i</v>
      </c>
      <c r="AC503" s="37">
        <f t="shared" si="444"/>
        <v>-13.590333326226871</v>
      </c>
      <c r="AD503" s="60">
        <f t="shared" si="445"/>
        <v>159.69053243308136</v>
      </c>
      <c r="AE503" t="str">
        <f t="shared" si="446"/>
        <v>34,4450883806789</v>
      </c>
      <c r="AF503" t="str">
        <f t="shared" si="428"/>
        <v>1+2402,00345738996i</v>
      </c>
      <c r="AG503">
        <f t="shared" si="447"/>
        <v>2402.0036655495182</v>
      </c>
      <c r="AH503">
        <f t="shared" si="448"/>
        <v>1.5703800076846348</v>
      </c>
      <c r="AI503" t="str">
        <f t="shared" si="429"/>
        <v>1+133,444636521665i</v>
      </c>
      <c r="AJ503">
        <f t="shared" si="449"/>
        <v>133.44838334127277</v>
      </c>
      <c r="AK503">
        <f t="shared" si="450"/>
        <v>1.5633027226459342</v>
      </c>
      <c r="AL503" t="str">
        <f t="shared" si="430"/>
        <v>1-9,07975745525684i</v>
      </c>
      <c r="AM503">
        <f t="shared" si="451"/>
        <v>9.1346590218952439</v>
      </c>
      <c r="AN503">
        <f t="shared" si="452"/>
        <v>-1.4611033166379104</v>
      </c>
      <c r="AO503" s="58" t="str">
        <f t="shared" si="453"/>
        <v>1,79065021811854-17,3887640019524i</v>
      </c>
      <c r="AP503">
        <f t="shared" si="454"/>
        <v>24.851185903439188</v>
      </c>
      <c r="AQ503" s="60">
        <f t="shared" si="455"/>
        <v>-84.120552039047666</v>
      </c>
      <c r="AR503" t="str">
        <f t="shared" si="431"/>
        <v>-1,36472945891784</v>
      </c>
      <c r="AS503" t="str">
        <f t="shared" si="432"/>
        <v>1+99,963377218379i</v>
      </c>
      <c r="AT503">
        <f t="shared" si="456"/>
        <v>99.968378925057763</v>
      </c>
      <c r="AU503">
        <f t="shared" si="457"/>
        <v>1.5607929968548093</v>
      </c>
      <c r="AV503" t="str">
        <f t="shared" si="433"/>
        <v>1+99,963377218379i</v>
      </c>
      <c r="AW503">
        <f t="shared" si="458"/>
        <v>99.968378925057763</v>
      </c>
      <c r="AX503">
        <f t="shared" si="459"/>
        <v>1.5607929968548093</v>
      </c>
      <c r="AY503" t="str">
        <f t="shared" si="434"/>
        <v>1-0,000150054954298224i</v>
      </c>
      <c r="AZ503">
        <f t="shared" si="460"/>
        <v>1.0000000112582446</v>
      </c>
      <c r="BA503">
        <f t="shared" si="461"/>
        <v>-1.5005495317198708E-4</v>
      </c>
      <c r="BB503" s="58" t="str">
        <f t="shared" si="462"/>
        <v>-0,000134510905842448+0,0136509488373019i</v>
      </c>
      <c r="BC503">
        <f t="shared" si="463"/>
        <v>-37.296321570413006</v>
      </c>
      <c r="BD503" s="60">
        <f t="shared" si="464"/>
        <v>90.564551071132058</v>
      </c>
      <c r="BE503" s="58" t="str">
        <f t="shared" si="465"/>
        <v>-0,000964649619525914-0,00268752144832905i</v>
      </c>
      <c r="BF503" s="37">
        <f t="shared" si="466"/>
        <v>-50.886654896639875</v>
      </c>
      <c r="BG503" s="60">
        <f t="shared" si="467"/>
        <v>-109.74491649578657</v>
      </c>
      <c r="BH503" s="58" t="str">
        <f t="shared" si="468"/>
        <v>0,237132265751683+0,0267830529104228i</v>
      </c>
      <c r="BI503" s="37">
        <f t="shared" si="469"/>
        <v>-12.445135666973826</v>
      </c>
      <c r="BJ503" s="60">
        <f t="shared" si="470"/>
        <v>6.4439990320844016</v>
      </c>
      <c r="BK503">
        <f t="shared" si="471"/>
        <v>-50.886654896639875</v>
      </c>
      <c r="BL503" s="60">
        <f t="shared" si="472"/>
        <v>-109.74491649578657</v>
      </c>
      <c r="BN503">
        <f t="shared" si="473"/>
        <v>0</v>
      </c>
      <c r="BO503">
        <f t="shared" si="474"/>
        <v>0</v>
      </c>
    </row>
    <row r="504" spans="13:67" x14ac:dyDescent="0.25">
      <c r="M504" s="66">
        <v>86</v>
      </c>
      <c r="N504" s="36">
        <f t="shared" si="475"/>
        <v>724435.96007499192</v>
      </c>
      <c r="O504" s="91" t="str">
        <f t="shared" si="423"/>
        <v>22,5</v>
      </c>
      <c r="P504" s="67" t="str">
        <f t="shared" si="424"/>
        <v>1+4915,90661076259i</v>
      </c>
      <c r="Q504" s="67">
        <f t="shared" si="435"/>
        <v>4915.9067124732283</v>
      </c>
      <c r="R504" s="67">
        <f t="shared" si="436"/>
        <v>1.5705929055207786</v>
      </c>
      <c r="S504" s="67" t="str">
        <f t="shared" si="425"/>
        <v>1+136,552961410072i</v>
      </c>
      <c r="T504" s="67">
        <f t="shared" si="437"/>
        <v>136.5566229439664</v>
      </c>
      <c r="U504" s="67">
        <f t="shared" si="438"/>
        <v>1.5634732917321934</v>
      </c>
      <c r="V504" t="str">
        <f t="shared" si="426"/>
        <v>1-28,4485336270983i</v>
      </c>
      <c r="W504" s="67">
        <f t="shared" si="439"/>
        <v>28.466103799644632</v>
      </c>
      <c r="X504" s="67">
        <f t="shared" si="440"/>
        <v>-1.5356595971025091</v>
      </c>
      <c r="Y504" t="str">
        <f t="shared" si="427"/>
        <v>-32,5876774559858+78,897266592486i</v>
      </c>
      <c r="Z504" s="67">
        <f t="shared" si="441"/>
        <v>85.362376945239589</v>
      </c>
      <c r="AA504" s="67">
        <f t="shared" si="442"/>
        <v>1.9624927585256295</v>
      </c>
      <c r="AB504" s="92" t="str">
        <f t="shared" si="443"/>
        <v>-0,194794342771943+0,0741405373074679i</v>
      </c>
      <c r="AC504" s="37">
        <f t="shared" si="444"/>
        <v>-13.620936352732391</v>
      </c>
      <c r="AD504" s="60">
        <f t="shared" si="445"/>
        <v>159.1627101069115</v>
      </c>
      <c r="AE504" t="str">
        <f t="shared" si="446"/>
        <v>34,4450883806789</v>
      </c>
      <c r="AF504" t="str">
        <f t="shared" si="428"/>
        <v>1+2457,9533053813i</v>
      </c>
      <c r="AG504">
        <f t="shared" si="447"/>
        <v>2457.9535088025691</v>
      </c>
      <c r="AH504">
        <f t="shared" si="448"/>
        <v>1.5703894842634958</v>
      </c>
      <c r="AI504" t="str">
        <f t="shared" si="429"/>
        <v>1+136,552961410072i</v>
      </c>
      <c r="AJ504">
        <f t="shared" si="449"/>
        <v>136.5566229439664</v>
      </c>
      <c r="AK504">
        <f t="shared" si="450"/>
        <v>1.5634732917321934</v>
      </c>
      <c r="AL504" t="str">
        <f t="shared" si="430"/>
        <v>1-9,29125217557328i</v>
      </c>
      <c r="AM504">
        <f t="shared" si="451"/>
        <v>9.3449112885085857</v>
      </c>
      <c r="AN504">
        <f t="shared" si="452"/>
        <v>-1.4635809238181128</v>
      </c>
      <c r="AO504" s="58" t="str">
        <f>(IMDIV(IMPRODUCT(AE504,AI504,AL504),IMPRODUCT(AF504)))</f>
        <v>1,79064996338921-17,7931742348311i</v>
      </c>
      <c r="AP504">
        <f t="shared" si="454"/>
        <v>25.048831807311082</v>
      </c>
      <c r="AQ504" s="60">
        <f t="shared" si="455"/>
        <v>-84.253278552979452</v>
      </c>
      <c r="AR504" t="str">
        <f t="shared" si="431"/>
        <v>-1,36472945891784</v>
      </c>
      <c r="AS504" t="str">
        <f t="shared" si="432"/>
        <v>1+102,291823392285i</v>
      </c>
      <c r="AT504">
        <f t="shared" si="456"/>
        <v>102.29671125172317</v>
      </c>
      <c r="AU504">
        <f t="shared" si="457"/>
        <v>1.5610206857685713</v>
      </c>
      <c r="AV504" t="str">
        <f t="shared" si="433"/>
        <v>1+102,291823392285i</v>
      </c>
      <c r="AW504">
        <f t="shared" si="458"/>
        <v>102.29671125172317</v>
      </c>
      <c r="AX504">
        <f t="shared" si="459"/>
        <v>1.5610206857685713</v>
      </c>
      <c r="AY504" t="str">
        <f t="shared" si="434"/>
        <v>1-0,000146639286529048i</v>
      </c>
      <c r="AZ504">
        <f t="shared" si="460"/>
        <v>1.0000000107515401</v>
      </c>
      <c r="BA504">
        <f t="shared" si="461"/>
        <v>-1.4663928547798257E-4</v>
      </c>
      <c r="BB504" s="58" t="str">
        <f t="shared" si="462"/>
        <v>-0,000128457496338347+0,0133402744830182i</v>
      </c>
      <c r="BC504">
        <f t="shared" si="463"/>
        <v>-37.496302015931164</v>
      </c>
      <c r="BD504" s="60">
        <f t="shared" si="464"/>
        <v>90.551701160674668</v>
      </c>
      <c r="BE504" s="58" t="str">
        <f t="shared" si="465"/>
        <v>-0,000964032324426715-0,00260813390811655i</v>
      </c>
      <c r="BF504" s="37">
        <f t="shared" si="466"/>
        <v>-51.11723836866355</v>
      </c>
      <c r="BG504" s="60">
        <f t="shared" si="467"/>
        <v>-110.28558873241381</v>
      </c>
      <c r="BH504" s="58" t="str">
        <f t="shared" si="468"/>
        <v>0,237135805805699+0,0261734286287369i</v>
      </c>
      <c r="BI504" s="37">
        <f t="shared" si="469"/>
        <v>-12.447470208620077</v>
      </c>
      <c r="BJ504" s="60">
        <f t="shared" si="470"/>
        <v>6.2984226076952101</v>
      </c>
      <c r="BK504">
        <f t="shared" si="471"/>
        <v>-51.11723836866355</v>
      </c>
      <c r="BL504" s="60">
        <f t="shared" si="472"/>
        <v>-110.28558873241381</v>
      </c>
      <c r="BN504">
        <f t="shared" si="473"/>
        <v>0</v>
      </c>
      <c r="BO504">
        <f t="shared" si="474"/>
        <v>0</v>
      </c>
    </row>
    <row r="505" spans="13:67" x14ac:dyDescent="0.25">
      <c r="M505" s="66">
        <v>87</v>
      </c>
      <c r="N505" s="36">
        <f t="shared" si="475"/>
        <v>741310.24130091805</v>
      </c>
      <c r="O505" s="91" t="str">
        <f t="shared" si="423"/>
        <v>22,5</v>
      </c>
      <c r="P505" s="67" t="str">
        <f t="shared" si="424"/>
        <v>1+5030,41278549997i</v>
      </c>
      <c r="Q505" s="67">
        <f t="shared" si="435"/>
        <v>5030.4128848953906</v>
      </c>
      <c r="R505" s="67">
        <f t="shared" si="436"/>
        <v>1.5705975359541708</v>
      </c>
      <c r="S505" s="67" t="str">
        <f t="shared" si="425"/>
        <v>1+139,733688486111i</v>
      </c>
      <c r="T505" s="67">
        <f t="shared" si="437"/>
        <v>139.73726667547746</v>
      </c>
      <c r="U505" s="67">
        <f t="shared" si="438"/>
        <v>1.5636399786037829</v>
      </c>
      <c r="V505" t="str">
        <f t="shared" si="426"/>
        <v>1-29,111185101273i</v>
      </c>
      <c r="W505" s="67">
        <f t="shared" si="439"/>
        <v>29.128355566364863</v>
      </c>
      <c r="X505" s="67">
        <f t="shared" si="440"/>
        <v>-1.536458770867738</v>
      </c>
      <c r="Y505" t="str">
        <f t="shared" si="427"/>
        <v>-34,170615926888+80,7350200141971i</v>
      </c>
      <c r="Z505" s="67">
        <f t="shared" si="441"/>
        <v>87.6685488046637</v>
      </c>
      <c r="AA505" s="67">
        <f t="shared" si="442"/>
        <v>1.9711787194818977</v>
      </c>
      <c r="AB505" s="92" t="str">
        <f t="shared" si="443"/>
        <v>-0,193385409490053+0,0756758234308349i</v>
      </c>
      <c r="AC505" s="37">
        <f t="shared" si="444"/>
        <v>-13.652734412416045</v>
      </c>
      <c r="AD505" s="60">
        <f t="shared" si="445"/>
        <v>158.62853706920842</v>
      </c>
      <c r="AE505" t="str">
        <f t="shared" si="446"/>
        <v>34,4450883806789</v>
      </c>
      <c r="AF505" t="str">
        <f t="shared" si="428"/>
        <v>1+2515,20639274999i</v>
      </c>
      <c r="AG505">
        <f t="shared" si="447"/>
        <v>2515.2065915408252</v>
      </c>
      <c r="AH505">
        <f t="shared" si="448"/>
        <v>1.5703987451291566</v>
      </c>
      <c r="AI505" t="str">
        <f t="shared" si="429"/>
        <v>1+139,733688486111i</v>
      </c>
      <c r="AJ505">
        <f t="shared" si="449"/>
        <v>139.73726667547746</v>
      </c>
      <c r="AK505">
        <f t="shared" si="450"/>
        <v>1.5636399786037829</v>
      </c>
      <c r="AL505" t="str">
        <f t="shared" si="430"/>
        <v>1-9,50767324077742i</v>
      </c>
      <c r="AM505">
        <f t="shared" si="451"/>
        <v>9.5601177008128406</v>
      </c>
      <c r="AN505">
        <f t="shared" si="452"/>
        <v>-1.4660034112517639</v>
      </c>
      <c r="AO505" s="58" t="str">
        <f t="shared" si="453"/>
        <v>1,79064972012459-18,2070186442003i</v>
      </c>
      <c r="AP505">
        <f t="shared" si="454"/>
        <v>25.246582482180933</v>
      </c>
      <c r="AQ505" s="60">
        <f t="shared" si="455"/>
        <v>-84.383057013125836</v>
      </c>
      <c r="AR505" t="str">
        <f t="shared" si="431"/>
        <v>-1,36472945891784</v>
      </c>
      <c r="AS505" t="str">
        <f t="shared" si="432"/>
        <v>1+104,674506044945i</v>
      </c>
      <c r="AT505">
        <f t="shared" si="456"/>
        <v>104.67928264825484</v>
      </c>
      <c r="AU505">
        <f t="shared" si="457"/>
        <v>1.5612431928293442</v>
      </c>
      <c r="AV505" t="str">
        <f t="shared" si="433"/>
        <v>1+104,674506044945i</v>
      </c>
      <c r="AW505">
        <f t="shared" si="458"/>
        <v>104.67928264825484</v>
      </c>
      <c r="AX505">
        <f t="shared" si="459"/>
        <v>1.5612431928293442</v>
      </c>
      <c r="AY505" t="str">
        <f t="shared" si="434"/>
        <v>1-0,00014330136885059i</v>
      </c>
      <c r="AZ505">
        <f t="shared" si="460"/>
        <v>1.0000000102676412</v>
      </c>
      <c r="BA505">
        <f t="shared" si="461"/>
        <v>-1.4330136786967865E-4</v>
      </c>
      <c r="BB505" s="58" t="str">
        <f t="shared" si="462"/>
        <v>-0,000122676484242956+0,0130366679910356i</v>
      </c>
      <c r="BC505">
        <f t="shared" si="463"/>
        <v>-37.696283341463676</v>
      </c>
      <c r="BD505" s="60">
        <f t="shared" si="464"/>
        <v>90.539143693771848</v>
      </c>
      <c r="BE505" s="58" t="str">
        <f t="shared" si="465"/>
        <v>-0,000962836742875903-0,00253038502179297i</v>
      </c>
      <c r="BF505" s="37">
        <f t="shared" si="466"/>
        <v>-51.349017753879728</v>
      </c>
      <c r="BG505" s="60">
        <f t="shared" si="467"/>
        <v>-110.83231923701977</v>
      </c>
      <c r="BH505" s="58" t="str">
        <f t="shared" si="468"/>
        <v>0,237139186558859+0,0255776789253215i</v>
      </c>
      <c r="BI505" s="37">
        <f t="shared" si="469"/>
        <v>-12.449700859282743</v>
      </c>
      <c r="BJ505" s="60">
        <f t="shared" si="470"/>
        <v>6.1560866806459957</v>
      </c>
      <c r="BK505">
        <f t="shared" si="471"/>
        <v>-51.349017753879728</v>
      </c>
      <c r="BL505" s="60">
        <f t="shared" si="472"/>
        <v>-110.83231923701977</v>
      </c>
      <c r="BN505">
        <f t="shared" si="473"/>
        <v>0</v>
      </c>
      <c r="BO505">
        <f t="shared" si="474"/>
        <v>0</v>
      </c>
    </row>
    <row r="506" spans="13:67" x14ac:dyDescent="0.25">
      <c r="M506" s="66">
        <v>88</v>
      </c>
      <c r="N506" s="36">
        <f t="shared" si="475"/>
        <v>758577.57502918423</v>
      </c>
      <c r="O506" s="91" t="str">
        <f t="shared" si="423"/>
        <v>22,5</v>
      </c>
      <c r="P506" s="67" t="str">
        <f t="shared" si="424"/>
        <v>1+5147,58615168163i</v>
      </c>
      <c r="Q506" s="67">
        <f t="shared" si="435"/>
        <v>5147.5862488145349</v>
      </c>
      <c r="R506" s="67">
        <f t="shared" si="436"/>
        <v>1.5706020609860392</v>
      </c>
      <c r="S506" s="67" t="str">
        <f t="shared" si="425"/>
        <v>1+142,988504213379i</v>
      </c>
      <c r="T506" s="67">
        <f t="shared" si="437"/>
        <v>142.99200095522653</v>
      </c>
      <c r="U506" s="67">
        <f t="shared" si="438"/>
        <v>1.5638028716032162</v>
      </c>
      <c r="V506" t="str">
        <f t="shared" si="426"/>
        <v>1-29,7892717111206i</v>
      </c>
      <c r="W506" s="67">
        <f t="shared" si="439"/>
        <v>29.806051551303636</v>
      </c>
      <c r="X506" s="67">
        <f t="shared" si="440"/>
        <v>-1.5372397956186561</v>
      </c>
      <c r="Y506" t="str">
        <f t="shared" si="427"/>
        <v>-35,8281559895782+82,6155802121744i</v>
      </c>
      <c r="Z506" s="67">
        <f t="shared" si="441"/>
        <v>90.049935343717863</v>
      </c>
      <c r="AA506" s="67">
        <f t="shared" si="442"/>
        <v>1.9799901850043455</v>
      </c>
      <c r="AB506" s="92" t="str">
        <f t="shared" si="443"/>
        <v>-0,191931580430372+0,0772026921734117i</v>
      </c>
      <c r="AC506" s="37">
        <f t="shared" si="444"/>
        <v>-13.685766550243077</v>
      </c>
      <c r="AD506" s="60">
        <f t="shared" si="445"/>
        <v>158.08800167767572</v>
      </c>
      <c r="AE506" t="str">
        <f t="shared" si="446"/>
        <v>34,4450883806789</v>
      </c>
      <c r="AF506" t="str">
        <f t="shared" si="428"/>
        <v>1+2573,79307584082i</v>
      </c>
      <c r="AG506">
        <f t="shared" si="447"/>
        <v>2573.7932701066238</v>
      </c>
      <c r="AH506">
        <f t="shared" si="448"/>
        <v>1.5704077951918445</v>
      </c>
      <c r="AI506" t="str">
        <f t="shared" si="429"/>
        <v>1+142,988504213379i</v>
      </c>
      <c r="AJ506">
        <f t="shared" si="449"/>
        <v>142.99200095522653</v>
      </c>
      <c r="AK506">
        <f t="shared" si="450"/>
        <v>1.5638028716032162</v>
      </c>
      <c r="AL506" t="str">
        <f t="shared" si="430"/>
        <v>1-9,72913540018278i</v>
      </c>
      <c r="AM506">
        <f t="shared" si="451"/>
        <v>9.7803924070095345</v>
      </c>
      <c r="AN506">
        <f t="shared" si="452"/>
        <v>-1.4683719495818883</v>
      </c>
      <c r="AO506" s="58" t="str">
        <f t="shared" si="453"/>
        <v>1,79064948780867-18,6305166558442i</v>
      </c>
      <c r="AP506">
        <f t="shared" si="454"/>
        <v>25.444433315361294</v>
      </c>
      <c r="AQ506" s="60">
        <f t="shared" si="455"/>
        <v>-84.509949712073492</v>
      </c>
      <c r="AR506" t="str">
        <f t="shared" si="431"/>
        <v>-1,36472945891784</v>
      </c>
      <c r="AS506" t="str">
        <f t="shared" si="432"/>
        <v>1+107,112688506242i</v>
      </c>
      <c r="AT506">
        <f t="shared" si="456"/>
        <v>107.11735638557938</v>
      </c>
      <c r="AU506">
        <f t="shared" si="457"/>
        <v>1.5614606359251364</v>
      </c>
      <c r="AV506" t="str">
        <f t="shared" si="433"/>
        <v>1+107,112688506242i</v>
      </c>
      <c r="AW506">
        <f t="shared" si="458"/>
        <v>107.11735638557938</v>
      </c>
      <c r="AX506">
        <f t="shared" si="459"/>
        <v>1.5614606359251364</v>
      </c>
      <c r="AY506" t="str">
        <f t="shared" si="434"/>
        <v>1-0,000140039431454714i</v>
      </c>
      <c r="AZ506">
        <f t="shared" si="460"/>
        <v>1.0000000098055211</v>
      </c>
      <c r="BA506">
        <f t="shared" si="461"/>
        <v>-1.4003943053927427E-4</v>
      </c>
      <c r="BB506" s="58" t="str">
        <f t="shared" si="462"/>
        <v>-0,000117155614131277+0,0127399687407173i</v>
      </c>
      <c r="BC506">
        <f t="shared" si="463"/>
        <v>-37.896265507410732</v>
      </c>
      <c r="BD506" s="60">
        <f t="shared" si="464"/>
        <v>90.52687201734075</v>
      </c>
      <c r="BE506" s="58" t="str">
        <f t="shared" si="465"/>
        <v>-0,000961074022811979-0,00245424706385357i</v>
      </c>
      <c r="BF506" s="37">
        <f t="shared" si="466"/>
        <v>-51.582032057653812</v>
      </c>
      <c r="BG506" s="60">
        <f t="shared" si="467"/>
        <v>-111.38512630498354</v>
      </c>
      <c r="BH506" s="58" t="str">
        <f t="shared" si="468"/>
        <v>0,23714241517843+0,0249954881206623i</v>
      </c>
      <c r="BI506" s="37">
        <f t="shared" si="469"/>
        <v>-12.451832192049441</v>
      </c>
      <c r="BJ506" s="60">
        <f t="shared" si="470"/>
        <v>6.0169223052672605</v>
      </c>
      <c r="BK506">
        <f t="shared" si="471"/>
        <v>-51.582032057653812</v>
      </c>
      <c r="BL506" s="60">
        <f t="shared" si="472"/>
        <v>-111.38512630498354</v>
      </c>
      <c r="BN506">
        <f t="shared" si="473"/>
        <v>0</v>
      </c>
      <c r="BO506">
        <f t="shared" si="474"/>
        <v>0</v>
      </c>
    </row>
    <row r="507" spans="13:67" x14ac:dyDescent="0.25">
      <c r="M507" s="66">
        <v>89</v>
      </c>
      <c r="N507" s="36">
        <f t="shared" si="475"/>
        <v>776247.11662869214</v>
      </c>
      <c r="O507" s="91" t="str">
        <f t="shared" si="423"/>
        <v>22,5</v>
      </c>
      <c r="P507" s="67" t="str">
        <f t="shared" si="424"/>
        <v>1+5267,48883617727i</v>
      </c>
      <c r="Q507" s="67">
        <f t="shared" si="435"/>
        <v>5267.4889310991603</v>
      </c>
      <c r="R507" s="67">
        <f t="shared" si="436"/>
        <v>1.5706064830156146</v>
      </c>
      <c r="S507" s="67" t="str">
        <f t="shared" si="425"/>
        <v>1+146,319134338258i</v>
      </c>
      <c r="T507" s="67">
        <f t="shared" si="437"/>
        <v>146.32255148642395</v>
      </c>
      <c r="U507" s="67">
        <f t="shared" si="438"/>
        <v>1.5639620570639203</v>
      </c>
      <c r="V507" t="str">
        <f t="shared" si="426"/>
        <v>1-30,483152987137i</v>
      </c>
      <c r="W507" s="67">
        <f t="shared" si="439"/>
        <v>30.499551079273267</v>
      </c>
      <c r="X507" s="67">
        <f t="shared" si="440"/>
        <v>-1.5380030816513475</v>
      </c>
      <c r="Y507" t="str">
        <f t="shared" si="427"/>
        <v>-37,563813508759+84,5399442843266i</v>
      </c>
      <c r="Z507" s="67">
        <f t="shared" si="441"/>
        <v>92.50968741119965</v>
      </c>
      <c r="AA507" s="67">
        <f t="shared" si="442"/>
        <v>1.9889268640631335</v>
      </c>
      <c r="AB507" s="92" t="str">
        <f t="shared" si="443"/>
        <v>-0,190432315257428+0,0787196475576379i</v>
      </c>
      <c r="AC507" s="37">
        <f t="shared" si="444"/>
        <v>-13.720072289886113</v>
      </c>
      <c r="AD507" s="60">
        <f t="shared" si="445"/>
        <v>157.54110190793639</v>
      </c>
      <c r="AE507" t="str">
        <f t="shared" si="446"/>
        <v>34,4450883806789</v>
      </c>
      <c r="AF507" t="str">
        <f t="shared" si="428"/>
        <v>1+2633,74441808864i</v>
      </c>
      <c r="AG507">
        <f t="shared" si="447"/>
        <v>2633.744607932415</v>
      </c>
      <c r="AH507">
        <f t="shared" si="448"/>
        <v>1.5704166392500165</v>
      </c>
      <c r="AI507" t="str">
        <f t="shared" si="429"/>
        <v>1+146,319134338258i</v>
      </c>
      <c r="AJ507">
        <f t="shared" si="449"/>
        <v>146.32255148642395</v>
      </c>
      <c r="AK507">
        <f t="shared" si="450"/>
        <v>1.5639620570639203</v>
      </c>
      <c r="AL507" t="str">
        <f t="shared" si="430"/>
        <v>1-9,95575607595766i</v>
      </c>
      <c r="AM507">
        <f t="shared" si="451"/>
        <v>10.005852239762882</v>
      </c>
      <c r="AN507">
        <f t="shared" si="452"/>
        <v>-1.4706876882812703</v>
      </c>
      <c r="AO507" s="58" t="str">
        <f t="shared" si="453"/>
        <v>1,79064926594869-19,0638928140151i</v>
      </c>
      <c r="AP507">
        <f t="shared" si="454"/>
        <v>25.642379892868131</v>
      </c>
      <c r="AQ507" s="60">
        <f t="shared" si="455"/>
        <v>-84.634017838152062</v>
      </c>
      <c r="AR507" t="str">
        <f t="shared" si="431"/>
        <v>-1,36472945891784</v>
      </c>
      <c r="AS507" t="str">
        <f t="shared" si="432"/>
        <v>1+109,607663532789i</v>
      </c>
      <c r="AT507">
        <f t="shared" si="456"/>
        <v>109.6122251626938</v>
      </c>
      <c r="AU507">
        <f t="shared" si="457"/>
        <v>1.5616731302648601</v>
      </c>
      <c r="AV507" t="str">
        <f t="shared" si="433"/>
        <v>1+109,607663532789i</v>
      </c>
      <c r="AW507">
        <f t="shared" si="458"/>
        <v>109.6122251626938</v>
      </c>
      <c r="AX507">
        <f t="shared" si="459"/>
        <v>1.5616731302648601</v>
      </c>
      <c r="AY507" t="str">
        <f t="shared" si="434"/>
        <v>1-0,000136851744819036i</v>
      </c>
      <c r="AZ507">
        <f t="shared" si="460"/>
        <v>1.0000000093642001</v>
      </c>
      <c r="BA507">
        <f t="shared" si="461"/>
        <v>-1.3685174396469793E-4</v>
      </c>
      <c r="BB507" s="58" t="str">
        <f t="shared" si="462"/>
        <v>-0,000111883181769368+0,0124500197500136i</v>
      </c>
      <c r="BC507">
        <f t="shared" si="463"/>
        <v>-38.096248475954056</v>
      </c>
      <c r="BD507" s="60">
        <f t="shared" si="464"/>
        <v>90.51487962949129</v>
      </c>
      <c r="BE507" s="58" t="str">
        <f t="shared" si="465"/>
        <v>-0,000958754993463993-0,00237969349063231i</v>
      </c>
      <c r="BF507" s="37">
        <f t="shared" si="466"/>
        <v>-51.816320765840153</v>
      </c>
      <c r="BG507" s="60">
        <f t="shared" si="467"/>
        <v>-111.94401846257225</v>
      </c>
      <c r="BH507" s="58" t="str">
        <f t="shared" si="468"/>
        <v>0,237145498509323+0,0244265477113507i</v>
      </c>
      <c r="BI507" s="37">
        <f t="shared" si="469"/>
        <v>-12.453868583085921</v>
      </c>
      <c r="BJ507" s="60">
        <f t="shared" si="470"/>
        <v>5.8808617913392363</v>
      </c>
      <c r="BK507">
        <f t="shared" si="471"/>
        <v>-51.816320765840153</v>
      </c>
      <c r="BL507" s="60">
        <f t="shared" si="472"/>
        <v>-111.94401846257225</v>
      </c>
      <c r="BN507">
        <f t="shared" si="473"/>
        <v>0</v>
      </c>
      <c r="BO507">
        <f t="shared" si="474"/>
        <v>0</v>
      </c>
    </row>
    <row r="508" spans="13:67" x14ac:dyDescent="0.25">
      <c r="M508" s="66">
        <v>90</v>
      </c>
      <c r="N508" s="36">
        <f t="shared" si="475"/>
        <v>794328.23472428333</v>
      </c>
      <c r="O508" s="91" t="str">
        <f t="shared" si="423"/>
        <v>22,5</v>
      </c>
      <c r="P508" s="67" t="str">
        <f t="shared" si="424"/>
        <v>1+5390,18441297732i</v>
      </c>
      <c r="Q508" s="67">
        <f t="shared" si="435"/>
        <v>5390.1845057385235</v>
      </c>
      <c r="R508" s="67">
        <f t="shared" si="436"/>
        <v>1.5706108043875149</v>
      </c>
      <c r="S508" s="67" t="str">
        <f t="shared" si="425"/>
        <v>1+149,727344804926i</v>
      </c>
      <c r="T508" s="67">
        <f t="shared" si="437"/>
        <v>149.73068417105827</v>
      </c>
      <c r="U508" s="67">
        <f t="shared" si="438"/>
        <v>1.564117619355845</v>
      </c>
      <c r="V508" t="str">
        <f t="shared" si="426"/>
        <v>1-31,1931968343595i</v>
      </c>
      <c r="W508" s="67">
        <f t="shared" si="439"/>
        <v>31.209221854238784</v>
      </c>
      <c r="X508" s="67">
        <f t="shared" si="440"/>
        <v>-1.5387490301105793</v>
      </c>
      <c r="Y508" t="str">
        <f t="shared" si="427"/>
        <v>-39,3812700467326+86,509132553957i</v>
      </c>
      <c r="Z508" s="67">
        <f t="shared" si="441"/>
        <v>95.051114910514229</v>
      </c>
      <c r="AA508" s="67">
        <f t="shared" si="442"/>
        <v>1.9979882986612236</v>
      </c>
      <c r="AB508" s="92" t="str">
        <f t="shared" si="443"/>
        <v>-0,188887137953788+0,0802251260779419i</v>
      </c>
      <c r="AC508" s="37">
        <f t="shared" si="444"/>
        <v>-13.755691581081768</v>
      </c>
      <c r="AD508" s="60">
        <f t="shared" si="445"/>
        <v>156.98784571709081</v>
      </c>
      <c r="AE508" t="str">
        <f t="shared" si="446"/>
        <v>34,4450883806789</v>
      </c>
      <c r="AF508" t="str">
        <f t="shared" si="428"/>
        <v>1+2695,09220648866i</v>
      </c>
      <c r="AG508">
        <f t="shared" si="447"/>
        <v>2695.0923920110631</v>
      </c>
      <c r="AH508">
        <f t="shared" si="448"/>
        <v>1.5704252819929039</v>
      </c>
      <c r="AI508" t="str">
        <f t="shared" si="429"/>
        <v>1+149,727344804926i</v>
      </c>
      <c r="AJ508">
        <f t="shared" si="449"/>
        <v>149.73068417105827</v>
      </c>
      <c r="AK508">
        <f t="shared" si="450"/>
        <v>1.564117619355845</v>
      </c>
      <c r="AL508" t="str">
        <f t="shared" si="430"/>
        <v>1-10,187655425384i</v>
      </c>
      <c r="AM508">
        <f t="shared" si="451"/>
        <v>10.236616778328473</v>
      </c>
      <c r="AN508">
        <f t="shared" si="452"/>
        <v>-1.4729517557829215</v>
      </c>
      <c r="AO508" s="58" t="str">
        <f t="shared" si="453"/>
        <v>1,79064905407406-19,5073769004888i</v>
      </c>
      <c r="AP508">
        <f t="shared" si="454"/>
        <v>25.840417991242454</v>
      </c>
      <c r="AQ508" s="60">
        <f t="shared" si="455"/>
        <v>-84.75532148044158</v>
      </c>
      <c r="AR508" t="str">
        <f t="shared" si="431"/>
        <v>-1,36472945891784</v>
      </c>
      <c r="AS508" t="str">
        <f t="shared" si="432"/>
        <v>1+112,16075399337i</v>
      </c>
      <c r="AT508">
        <f t="shared" si="456"/>
        <v>112.16521179207599</v>
      </c>
      <c r="AU508">
        <f t="shared" si="457"/>
        <v>1.5618807884390236</v>
      </c>
      <c r="AV508" t="str">
        <f t="shared" si="433"/>
        <v>1+112,16075399337i</v>
      </c>
      <c r="AW508">
        <f t="shared" si="458"/>
        <v>112.16521179207599</v>
      </c>
      <c r="AX508">
        <f t="shared" si="459"/>
        <v>1.5618807884390236</v>
      </c>
      <c r="AY508" t="str">
        <f t="shared" si="434"/>
        <v>1-0,000133736618789909i</v>
      </c>
      <c r="AZ508">
        <f t="shared" si="460"/>
        <v>1.0000000089427414</v>
      </c>
      <c r="BA508">
        <f t="shared" si="461"/>
        <v>-1.3373661799259435E-4</v>
      </c>
      <c r="BB508" s="58" t="str">
        <f t="shared" si="462"/>
        <v>-0,00010684800934131+0,0121666675938106i</v>
      </c>
      <c r="BC508">
        <f t="shared" si="463"/>
        <v>-38.296232210976775</v>
      </c>
      <c r="BD508" s="60">
        <f t="shared" si="464"/>
        <v>90.503160176101204</v>
      </c>
      <c r="BE508" s="58" t="str">
        <f t="shared" si="465"/>
        <v>-0,000955890226981326-0,00230669891525057i</v>
      </c>
      <c r="BF508" s="37">
        <f t="shared" si="466"/>
        <v>-52.051923792058538</v>
      </c>
      <c r="BG508" s="60">
        <f t="shared" si="467"/>
        <v>-112.50899410680799</v>
      </c>
      <c r="BH508" s="58" t="str">
        <f t="shared" si="468"/>
        <v>0,23714844308857+0,0238705562073784i</v>
      </c>
      <c r="BI508" s="37">
        <f t="shared" si="469"/>
        <v>-12.455814219734309</v>
      </c>
      <c r="BJ508" s="60">
        <f t="shared" si="470"/>
        <v>5.747838695659631</v>
      </c>
      <c r="BK508">
        <f t="shared" si="471"/>
        <v>-52.051923792058538</v>
      </c>
      <c r="BL508" s="60">
        <f t="shared" si="472"/>
        <v>-112.50899410680799</v>
      </c>
      <c r="BN508">
        <f t="shared" si="473"/>
        <v>0</v>
      </c>
      <c r="BO508">
        <f t="shared" si="474"/>
        <v>0</v>
      </c>
    </row>
    <row r="509" spans="13:67" x14ac:dyDescent="0.25">
      <c r="M509" s="66">
        <v>91</v>
      </c>
      <c r="N509" s="36">
        <f t="shared" si="475"/>
        <v>812830.51616410096</v>
      </c>
      <c r="O509" s="91" t="str">
        <f t="shared" si="423"/>
        <v>22,5</v>
      </c>
      <c r="P509" s="67" t="str">
        <f t="shared" si="424"/>
        <v>1+5515,73793690064i</v>
      </c>
      <c r="Q509" s="67">
        <f t="shared" si="435"/>
        <v>5515.738027550341</v>
      </c>
      <c r="R509" s="67">
        <f t="shared" si="436"/>
        <v>1.5706150273929882</v>
      </c>
      <c r="S509" s="67" t="str">
        <f t="shared" si="425"/>
        <v>1+153,214942691685i</v>
      </c>
      <c r="T509" s="67">
        <f t="shared" si="437"/>
        <v>153.21820604620169</v>
      </c>
      <c r="U509" s="67">
        <f t="shared" si="438"/>
        <v>1.5642696409300427</v>
      </c>
      <c r="V509" t="str">
        <f t="shared" si="426"/>
        <v>1-31,9197797274342i</v>
      </c>
      <c r="W509" s="67">
        <f t="shared" si="439"/>
        <v>31.935440154285008</v>
      </c>
      <c r="X509" s="67">
        <f t="shared" si="440"/>
        <v>-1.5394780331856006</v>
      </c>
      <c r="Y509" t="str">
        <f t="shared" si="427"/>
        <v>-41,2843806724864+88,524189110751i</v>
      </c>
      <c r="Z509" s="67">
        <f t="shared" si="441"/>
        <v>97.677695228884133</v>
      </c>
      <c r="AA509" s="67">
        <f t="shared" si="442"/>
        <v>2.0071738575114075</v>
      </c>
      <c r="AB509" s="92" t="str">
        <f t="shared" si="443"/>
        <v>-0,187295642514666+0,0817174987824807i</v>
      </c>
      <c r="AC509" s="37">
        <f t="shared" si="444"/>
        <v>-13.792664742045481</v>
      </c>
      <c r="AD509" s="60">
        <f t="shared" si="445"/>
        <v>156.42825139726142</v>
      </c>
      <c r="AE509" t="str">
        <f t="shared" si="446"/>
        <v>34,4450883806789</v>
      </c>
      <c r="AF509" t="str">
        <f t="shared" si="428"/>
        <v>1+2757,86896845032i</v>
      </c>
      <c r="AG509">
        <f t="shared" si="447"/>
        <v>2757.8691497497184</v>
      </c>
      <c r="AH509">
        <f t="shared" si="448"/>
        <v>1.5704337280029983</v>
      </c>
      <c r="AI509" t="str">
        <f t="shared" si="429"/>
        <v>1+153,214942691685i</v>
      </c>
      <c r="AJ509">
        <f t="shared" si="449"/>
        <v>153.21820604620169</v>
      </c>
      <c r="AK509">
        <f t="shared" si="450"/>
        <v>1.5642696409300427</v>
      </c>
      <c r="AL509" t="str">
        <f t="shared" si="430"/>
        <v>1-10,4249564045665i</v>
      </c>
      <c r="AM509">
        <f t="shared" si="451"/>
        <v>10.472808412126714</v>
      </c>
      <c r="AN509">
        <f t="shared" si="452"/>
        <v>-1.4751652596295324</v>
      </c>
      <c r="AO509" s="58" t="str">
        <f t="shared" si="453"/>
        <v>1,79064885173535-19,9612040563988i</v>
      </c>
      <c r="AP509">
        <f t="shared" si="454"/>
        <v>26.038543569675824</v>
      </c>
      <c r="AQ509" s="60">
        <f t="shared" si="455"/>
        <v>-84.873919634924022</v>
      </c>
      <c r="AR509" t="str">
        <f t="shared" si="431"/>
        <v>-1,36472945891784</v>
      </c>
      <c r="AS509" t="str">
        <f t="shared" si="432"/>
        <v>1+114,773313570341i</v>
      </c>
      <c r="AT509">
        <f t="shared" si="456"/>
        <v>114.7776699010562</v>
      </c>
      <c r="AU509">
        <f t="shared" si="457"/>
        <v>1.562083720479061</v>
      </c>
      <c r="AV509" t="str">
        <f t="shared" si="433"/>
        <v>1+114,773313570341i</v>
      </c>
      <c r="AW509">
        <f t="shared" si="458"/>
        <v>114.7776699010562</v>
      </c>
      <c r="AX509">
        <f t="shared" si="459"/>
        <v>1.562083720479061</v>
      </c>
      <c r="AY509" t="str">
        <f t="shared" si="434"/>
        <v>1-0,000130692401686277i</v>
      </c>
      <c r="AZ509">
        <f t="shared" si="460"/>
        <v>1.0000000085402518</v>
      </c>
      <c r="BA509">
        <f t="shared" si="461"/>
        <v>-1.3069240094217965E-4</v>
      </c>
      <c r="BB509" s="58" t="str">
        <f t="shared" si="462"/>
        <v>-0,000102039421788093+0,011889762324059i</v>
      </c>
      <c r="BC509">
        <f t="shared" si="463"/>
        <v>-38.49621667798715</v>
      </c>
      <c r="BD509" s="60">
        <f t="shared" si="464"/>
        <v>90.491707447467988</v>
      </c>
      <c r="BE509" s="58" t="str">
        <f t="shared" si="465"/>
        <v>-0,00095249009917465-0,00223523908015703i</v>
      </c>
      <c r="BF509" s="37">
        <f t="shared" si="466"/>
        <v>-52.288881420032645</v>
      </c>
      <c r="BG509" s="60">
        <f t="shared" si="467"/>
        <v>-113.08004115527059</v>
      </c>
      <c r="BH509" s="58" t="str">
        <f t="shared" si="468"/>
        <v>0,237151255159168+0,0233272189730915i</v>
      </c>
      <c r="BI509" s="37">
        <f t="shared" si="469"/>
        <v>-12.457673108311312</v>
      </c>
      <c r="BJ509" s="60">
        <f t="shared" si="470"/>
        <v>5.6177878125439547</v>
      </c>
      <c r="BK509">
        <f t="shared" si="471"/>
        <v>-52.288881420032645</v>
      </c>
      <c r="BL509" s="60">
        <f t="shared" si="472"/>
        <v>-113.08004115527059</v>
      </c>
      <c r="BN509">
        <f t="shared" si="473"/>
        <v>0</v>
      </c>
      <c r="BO509">
        <f t="shared" si="474"/>
        <v>0</v>
      </c>
    </row>
    <row r="510" spans="13:67" x14ac:dyDescent="0.25">
      <c r="M510" s="66">
        <v>92</v>
      </c>
      <c r="N510" s="36">
        <f t="shared" si="475"/>
        <v>831763.77110267128</v>
      </c>
      <c r="O510" s="91" t="str">
        <f t="shared" si="423"/>
        <v>22,5</v>
      </c>
      <c r="P510" s="67" t="str">
        <f t="shared" si="424"/>
        <v>1+5644,21597808752i</v>
      </c>
      <c r="Q510" s="67">
        <f t="shared" si="435"/>
        <v>5644.2160666737818</v>
      </c>
      <c r="R510" s="67">
        <f t="shared" si="436"/>
        <v>1.5706191542711274</v>
      </c>
      <c r="S510" s="67" t="str">
        <f t="shared" si="425"/>
        <v>1+156,783777169098i</v>
      </c>
      <c r="T510" s="67">
        <f t="shared" si="437"/>
        <v>156.78696624212543</v>
      </c>
      <c r="U510" s="67">
        <f t="shared" si="438"/>
        <v>1.5644182023622417</v>
      </c>
      <c r="V510" t="str">
        <f t="shared" si="426"/>
        <v>1-32,6632869102287i</v>
      </c>
      <c r="W510" s="67">
        <f t="shared" si="439"/>
        <v>32.678591031131027</v>
      </c>
      <c r="X510" s="67">
        <f t="shared" si="440"/>
        <v>-1.5401904743023158</v>
      </c>
      <c r="Y510" t="str">
        <f t="shared" si="427"/>
        <v>-43,2771821388121+90,5861823643675i</v>
      </c>
      <c r="Z510" s="67">
        <f t="shared" si="441"/>
        <v>100.39308207852952</v>
      </c>
      <c r="AA510" s="67">
        <f t="shared" si="442"/>
        <v>2.0164827299379224</v>
      </c>
      <c r="AB510" s="92" t="str">
        <f t="shared" si="443"/>
        <v>-0,185657498680747+0,0831950738367838i</v>
      </c>
      <c r="AC510" s="37">
        <f t="shared" si="444"/>
        <v>-13.831032396897687</v>
      </c>
      <c r="AD510" s="60">
        <f t="shared" si="445"/>
        <v>155.86234791642059</v>
      </c>
      <c r="AE510" t="str">
        <f t="shared" si="446"/>
        <v>34,4450883806789</v>
      </c>
      <c r="AF510" t="str">
        <f t="shared" si="428"/>
        <v>1+2822,10798904376i</v>
      </c>
      <c r="AG510">
        <f t="shared" si="447"/>
        <v>2822.1081662162801</v>
      </c>
      <c r="AH510">
        <f t="shared" si="448"/>
        <v>1.5704419817584809</v>
      </c>
      <c r="AI510" t="str">
        <f t="shared" si="429"/>
        <v>1+156,783777169098i</v>
      </c>
      <c r="AJ510">
        <f t="shared" si="449"/>
        <v>156.78696624212543</v>
      </c>
      <c r="AK510">
        <f t="shared" si="450"/>
        <v>1.5644182023622417</v>
      </c>
      <c r="AL510" t="str">
        <f t="shared" si="430"/>
        <v>1-10,6677848336252i</v>
      </c>
      <c r="AM510">
        <f t="shared" si="451"/>
        <v>10.714552405794834</v>
      </c>
      <c r="AN510">
        <f t="shared" si="452"/>
        <v>-1.4773292866401677</v>
      </c>
      <c r="AO510" s="58" t="str">
        <f t="shared" si="453"/>
        <v>1,79064865850338-20,4256149069105i</v>
      </c>
      <c r="AP510">
        <f t="shared" si="454"/>
        <v>26.236752762429955</v>
      </c>
      <c r="AQ510" s="60">
        <f t="shared" si="455"/>
        <v>-84.989870211676617</v>
      </c>
      <c r="AR510" t="str">
        <f t="shared" si="431"/>
        <v>-1,36472945891784</v>
      </c>
      <c r="AS510" t="str">
        <f t="shared" si="432"/>
        <v>1+117,446727477371i</v>
      </c>
      <c r="AT510">
        <f t="shared" si="456"/>
        <v>117.45098464952881</v>
      </c>
      <c r="AU510">
        <f t="shared" si="457"/>
        <v>1.5622820339153316</v>
      </c>
      <c r="AV510" t="str">
        <f t="shared" si="433"/>
        <v>1+117,446727477371i</v>
      </c>
      <c r="AW510">
        <f t="shared" si="458"/>
        <v>117.45098464952881</v>
      </c>
      <c r="AX510">
        <f t="shared" si="459"/>
        <v>1.5622820339153316</v>
      </c>
      <c r="AY510" t="str">
        <f t="shared" si="434"/>
        <v>1-0,000127717479423938i</v>
      </c>
      <c r="AZ510">
        <f t="shared" si="460"/>
        <v>1.0000000081558773</v>
      </c>
      <c r="BA510">
        <f t="shared" si="461"/>
        <v>-1.2771747872950594E-4</v>
      </c>
      <c r="BB510" s="58" t="str">
        <f t="shared" si="462"/>
        <v>-0,0000974472242086535+0,0116191573916486i</v>
      </c>
      <c r="BC510">
        <f t="shared" si="463"/>
        <v>-38.696201844045277</v>
      </c>
      <c r="BD510" s="60">
        <f t="shared" si="464"/>
        <v>90.480515375036106</v>
      </c>
      <c r="BE510" s="58" t="str">
        <f t="shared" si="465"/>
        <v>-0,000948564849219457-0,00216529082712462i</v>
      </c>
      <c r="BF510" s="37">
        <f t="shared" si="466"/>
        <v>-52.52723424094296</v>
      </c>
      <c r="BG510" s="60">
        <f t="shared" si="467"/>
        <v>-113.65713670854329</v>
      </c>
      <c r="BH510" s="58" t="str">
        <f t="shared" si="468"/>
        <v>0,237153940683293+0,0227962480717285i</v>
      </c>
      <c r="BI510" s="37">
        <f t="shared" si="469"/>
        <v>-12.459449081615315</v>
      </c>
      <c r="BJ510" s="60">
        <f t="shared" si="470"/>
        <v>5.4906451633595008</v>
      </c>
      <c r="BK510">
        <f t="shared" si="471"/>
        <v>-52.52723424094296</v>
      </c>
      <c r="BL510" s="60">
        <f t="shared" si="472"/>
        <v>-113.65713670854329</v>
      </c>
      <c r="BN510">
        <f t="shared" si="473"/>
        <v>0</v>
      </c>
      <c r="BO510">
        <f t="shared" si="474"/>
        <v>0</v>
      </c>
    </row>
    <row r="511" spans="13:67" x14ac:dyDescent="0.25">
      <c r="M511" s="66">
        <v>93</v>
      </c>
      <c r="N511" s="36">
        <f t="shared" si="475"/>
        <v>851138.03820237669</v>
      </c>
      <c r="O511" s="91" t="str">
        <f t="shared" si="423"/>
        <v>22,5</v>
      </c>
      <c r="P511" s="67" t="str">
        <f t="shared" si="424"/>
        <v>1+5775,68665729602i</v>
      </c>
      <c r="Q511" s="67">
        <f t="shared" si="435"/>
        <v>5775.6867438658128</v>
      </c>
      <c r="R511" s="67">
        <f t="shared" si="436"/>
        <v>1.5706231872100571</v>
      </c>
      <c r="S511" s="67" t="str">
        <f t="shared" si="425"/>
        <v>1+160,435740480445i</v>
      </c>
      <c r="T511" s="67">
        <f t="shared" si="437"/>
        <v>160.43885696273423</v>
      </c>
      <c r="U511" s="67">
        <f t="shared" si="438"/>
        <v>1.5645633823954344</v>
      </c>
      <c r="V511" t="str">
        <f t="shared" si="426"/>
        <v>1-33,4241126000927i</v>
      </c>
      <c r="W511" s="67">
        <f t="shared" si="439"/>
        <v>33.439068514294405</v>
      </c>
      <c r="X511" s="67">
        <f t="shared" si="440"/>
        <v>-1.5408867283118575</v>
      </c>
      <c r="Y511" t="str">
        <f t="shared" si="427"/>
        <v>-45,3639014447995+92,6962056109237i</v>
      </c>
      <c r="Z511" s="67">
        <f t="shared" si="441"/>
        <v>103.20111476605339</v>
      </c>
      <c r="AA511" s="67">
        <f t="shared" si="442"/>
        <v>2.0259139200520271</v>
      </c>
      <c r="AB511" s="92" t="str">
        <f t="shared" si="443"/>
        <v>-0,183972457669144+0,0846560995909023i</v>
      </c>
      <c r="AC511" s="37">
        <f t="shared" si="444"/>
        <v>-13.870835408086377</v>
      </c>
      <c r="AD511" s="60">
        <f t="shared" si="445"/>
        <v>155.29017524367291</v>
      </c>
      <c r="AE511" t="str">
        <f t="shared" si="446"/>
        <v>34,4450883806789</v>
      </c>
      <c r="AF511" t="str">
        <f t="shared" si="428"/>
        <v>1+2887,84332864801i</v>
      </c>
      <c r="AG511">
        <f t="shared" si="447"/>
        <v>2887.8435017875913</v>
      </c>
      <c r="AH511">
        <f t="shared" si="448"/>
        <v>1.570450047635598</v>
      </c>
      <c r="AI511" t="str">
        <f t="shared" si="429"/>
        <v>1+160,435740480445i</v>
      </c>
      <c r="AJ511">
        <f t="shared" si="449"/>
        <v>160.43885696273423</v>
      </c>
      <c r="AK511">
        <f t="shared" si="450"/>
        <v>1.5645633823954344</v>
      </c>
      <c r="AL511" t="str">
        <f t="shared" si="430"/>
        <v>1-10,9162694634076i</v>
      </c>
      <c r="AM511">
        <f t="shared" si="451"/>
        <v>10.961976965754181</v>
      </c>
      <c r="AN511">
        <f t="shared" si="452"/>
        <v>-1.4794449030925862</v>
      </c>
      <c r="AO511" s="58" t="str">
        <f t="shared" si="453"/>
        <v>1,79064847396827-20,9008556888047i</v>
      </c>
      <c r="AP511">
        <f t="shared" si="454"/>
        <v>26.435041871543575</v>
      </c>
      <c r="AQ511" s="60">
        <f t="shared" si="455"/>
        <v>-85.103230043014008</v>
      </c>
      <c r="AR511" t="str">
        <f t="shared" si="431"/>
        <v>-1,36472945891784</v>
      </c>
      <c r="AS511" t="str">
        <f t="shared" si="432"/>
        <v>1+120,182413193901i</v>
      </c>
      <c r="AT511">
        <f t="shared" si="456"/>
        <v>120.18657346438307</v>
      </c>
      <c r="AU511">
        <f t="shared" si="457"/>
        <v>1.5624758338338138</v>
      </c>
      <c r="AV511" t="str">
        <f t="shared" si="433"/>
        <v>1+120,182413193901i</v>
      </c>
      <c r="AW511">
        <f t="shared" si="458"/>
        <v>120.18657346438307</v>
      </c>
      <c r="AX511">
        <f t="shared" si="459"/>
        <v>1.5624758338338138</v>
      </c>
      <c r="AY511" t="str">
        <f t="shared" si="434"/>
        <v>1-0,00012481027465973i</v>
      </c>
      <c r="AZ511">
        <f t="shared" si="460"/>
        <v>1.0000000077888023</v>
      </c>
      <c r="BA511">
        <f t="shared" si="461"/>
        <v>-1.2481027401164832E-4</v>
      </c>
      <c r="BB511" s="58" t="str">
        <f t="shared" si="462"/>
        <v>-0,000093061680275498+0,0113547095699924i</v>
      </c>
      <c r="BC511">
        <f t="shared" si="463"/>
        <v>-38.896187677693483</v>
      </c>
      <c r="BD511" s="60">
        <f t="shared" si="464"/>
        <v>90.469578028197603</v>
      </c>
      <c r="BE511" s="58" t="str">
        <f t="shared" si="465"/>
        <v>-0,000944124638147944-0,00209683206458435i</v>
      </c>
      <c r="BF511" s="37">
        <f t="shared" si="466"/>
        <v>-52.767023085779869</v>
      </c>
      <c r="BG511" s="60">
        <f t="shared" si="467"/>
        <v>-114.24024672812946</v>
      </c>
      <c r="BH511" s="58" t="str">
        <f t="shared" si="468"/>
        <v>0,237156505354931+0,0222773621134557i</v>
      </c>
      <c r="BI511" s="37">
        <f t="shared" si="469"/>
        <v>-12.461145806149895</v>
      </c>
      <c r="BJ511" s="60">
        <f t="shared" si="470"/>
        <v>5.3663479851835998</v>
      </c>
      <c r="BK511">
        <f t="shared" si="471"/>
        <v>-52.767023085779869</v>
      </c>
      <c r="BL511" s="60">
        <f t="shared" si="472"/>
        <v>-114.24024672812946</v>
      </c>
      <c r="BN511">
        <f t="shared" si="473"/>
        <v>0</v>
      </c>
      <c r="BO511">
        <f t="shared" si="474"/>
        <v>0</v>
      </c>
    </row>
    <row r="512" spans="13:67" x14ac:dyDescent="0.25">
      <c r="M512" s="66">
        <v>94</v>
      </c>
      <c r="N512" s="36">
        <f t="shared" si="475"/>
        <v>870963.58995608077</v>
      </c>
      <c r="O512" s="91" t="str">
        <f t="shared" si="423"/>
        <v>22,5</v>
      </c>
      <c r="P512" s="67" t="str">
        <f t="shared" si="424"/>
        <v>1+5910,21968202046i</v>
      </c>
      <c r="Q512" s="67">
        <f t="shared" si="435"/>
        <v>5910.2197666196844</v>
      </c>
      <c r="R512" s="67">
        <f t="shared" si="436"/>
        <v>1.5706271283480944</v>
      </c>
      <c r="S512" s="67" t="str">
        <f t="shared" si="425"/>
        <v>1+164,172768945013i</v>
      </c>
      <c r="T512" s="67">
        <f t="shared" si="437"/>
        <v>164.17581448883581</v>
      </c>
      <c r="U512" s="67">
        <f t="shared" si="438"/>
        <v>1.5647052579815017</v>
      </c>
      <c r="V512" t="str">
        <f t="shared" si="426"/>
        <v>1-34,2026601968777i</v>
      </c>
      <c r="W512" s="67">
        <f t="shared" si="439"/>
        <v>34.217275820016447</v>
      </c>
      <c r="X512" s="67">
        <f t="shared" si="440"/>
        <v>-1.5415671616755902</v>
      </c>
      <c r="Y512" t="str">
        <f t="shared" si="427"/>
        <v>-47,5489648018678+94,8553776126741i</v>
      </c>
      <c r="Z512" s="67">
        <f t="shared" si="441"/>
        <v>106.10582790672836</v>
      </c>
      <c r="AA512" s="67">
        <f t="shared" si="442"/>
        <v>2.0354662412529287</v>
      </c>
      <c r="AB512" s="92" t="str">
        <f t="shared" si="443"/>
        <v>-0,182240357858565+0,0860987681685913i</v>
      </c>
      <c r="AC512" s="37">
        <f t="shared" si="444"/>
        <v>-13.912114803827617</v>
      </c>
      <c r="AD512" s="60">
        <f t="shared" si="445"/>
        <v>154.71178465604768</v>
      </c>
      <c r="AE512" t="str">
        <f t="shared" si="446"/>
        <v>34,4450883806789</v>
      </c>
      <c r="AF512" t="str">
        <f t="shared" si="428"/>
        <v>1+2955,10984101024i</v>
      </c>
      <c r="AG512">
        <f t="shared" si="447"/>
        <v>2955.1100102086834</v>
      </c>
      <c r="AH512">
        <f t="shared" si="448"/>
        <v>1.57045792991098</v>
      </c>
      <c r="AI512" t="str">
        <f t="shared" si="429"/>
        <v>1+164,172768945013i</v>
      </c>
      <c r="AJ512">
        <f t="shared" si="449"/>
        <v>164.17581448883581</v>
      </c>
      <c r="AK512">
        <f t="shared" si="450"/>
        <v>1.5647052579815017</v>
      </c>
      <c r="AL512" t="str">
        <f t="shared" si="430"/>
        <v>1-11,1705420437534i</v>
      </c>
      <c r="AM512">
        <f t="shared" si="451"/>
        <v>11.215213308326435</v>
      </c>
      <c r="AN512">
        <f t="shared" si="452"/>
        <v>-1.4815131549196434</v>
      </c>
      <c r="AO512" s="58" t="str">
        <f t="shared" si="453"/>
        <v>1,79064829773861-21,3871783810349i</v>
      </c>
      <c r="AP512">
        <f t="shared" si="454"/>
        <v>26.633407359816815</v>
      </c>
      <c r="AQ512" s="60">
        <f t="shared" si="455"/>
        <v>-85.214054892489344</v>
      </c>
      <c r="AR512" t="str">
        <f t="shared" si="431"/>
        <v>-1,36472945891784</v>
      </c>
      <c r="AS512" t="str">
        <f t="shared" si="432"/>
        <v>1+122,981821216709i</v>
      </c>
      <c r="AT512">
        <f t="shared" si="456"/>
        <v>122.98588679104029</v>
      </c>
      <c r="AU512">
        <f t="shared" si="457"/>
        <v>1.5626652229315261</v>
      </c>
      <c r="AV512" t="str">
        <f t="shared" si="433"/>
        <v>1+122,981821216709i</v>
      </c>
      <c r="AW512">
        <f t="shared" si="458"/>
        <v>122.98588679104029</v>
      </c>
      <c r="AX512">
        <f t="shared" si="459"/>
        <v>1.5626652229315261</v>
      </c>
      <c r="AY512" t="str">
        <f t="shared" si="434"/>
        <v>1-0,000121969245955206i</v>
      </c>
      <c r="AZ512">
        <f t="shared" si="460"/>
        <v>1.0000000074382485</v>
      </c>
      <c r="BA512">
        <f t="shared" si="461"/>
        <v>-1.2196924535038097E-4</v>
      </c>
      <c r="BB512" s="58" t="str">
        <f t="shared" si="462"/>
        <v>-0,0000888734916194681+0,0110962788802872i</v>
      </c>
      <c r="BC512">
        <f t="shared" si="463"/>
        <v>-39.096174148889425</v>
      </c>
      <c r="BD512" s="60">
        <f t="shared" si="464"/>
        <v>90.458889611164665</v>
      </c>
      <c r="BE512" s="58" t="str">
        <f t="shared" si="465"/>
        <v>-0,000939179605931011-0,00202984173219325i</v>
      </c>
      <c r="BF512" s="37">
        <f t="shared" si="466"/>
        <v>-53.008288952717059</v>
      </c>
      <c r="BG512" s="60">
        <f t="shared" si="467"/>
        <v>-114.82932573278767</v>
      </c>
      <c r="BH512" s="58" t="str">
        <f t="shared" si="468"/>
        <v>0,23715895461193+0,0217702861068301i</v>
      </c>
      <c r="BI512" s="37">
        <f t="shared" si="469"/>
        <v>-12.462766789072608</v>
      </c>
      <c r="BJ512" s="60">
        <f t="shared" si="470"/>
        <v>5.2448347186753237</v>
      </c>
      <c r="BK512">
        <f t="shared" si="471"/>
        <v>-53.008288952717059</v>
      </c>
      <c r="BL512" s="60">
        <f t="shared" si="472"/>
        <v>-114.82932573278767</v>
      </c>
      <c r="BN512">
        <f t="shared" si="473"/>
        <v>0</v>
      </c>
      <c r="BO512">
        <f t="shared" si="474"/>
        <v>0</v>
      </c>
    </row>
    <row r="513" spans="13:67" x14ac:dyDescent="0.25">
      <c r="M513" s="66">
        <v>95</v>
      </c>
      <c r="N513" s="36">
        <f t="shared" si="475"/>
        <v>891250.93813374708</v>
      </c>
      <c r="O513" s="91" t="str">
        <f t="shared" si="423"/>
        <v>22,5</v>
      </c>
      <c r="P513" s="67" t="str">
        <f t="shared" si="424"/>
        <v>1+6047,88638345134i</v>
      </c>
      <c r="Q513" s="67">
        <f t="shared" si="435"/>
        <v>6047.8864661248499</v>
      </c>
      <c r="R513" s="67">
        <f t="shared" si="436"/>
        <v>1.5706309797748828</v>
      </c>
      <c r="S513" s="67" t="str">
        <f t="shared" si="425"/>
        <v>1+167,99684398476i</v>
      </c>
      <c r="T513" s="67">
        <f t="shared" si="437"/>
        <v>167.9998202047841</v>
      </c>
      <c r="U513" s="67">
        <f t="shared" si="438"/>
        <v>1.5648439043218982</v>
      </c>
      <c r="V513" t="str">
        <f t="shared" si="426"/>
        <v>1-34,9993424968249i</v>
      </c>
      <c r="W513" s="67">
        <f t="shared" si="439"/>
        <v>35.013625565057581</v>
      </c>
      <c r="X513" s="67">
        <f t="shared" si="440"/>
        <v>-1.5422321326465795</v>
      </c>
      <c r="Y513" t="str">
        <f t="shared" si="427"/>
        <v>-49,8370070223542+97,0648431911943i</v>
      </c>
      <c r="Z513" s="67">
        <f t="shared" si="441"/>
        <v>109.11146160086629</v>
      </c>
      <c r="AA513" s="67">
        <f t="shared" si="442"/>
        <v>2.0451383111071304</v>
      </c>
      <c r="AB513" s="92" t="str">
        <f t="shared" si="443"/>
        <v>-0,180461130381106+0,0875212195933935i</v>
      </c>
      <c r="AC513" s="37">
        <f t="shared" si="444"/>
        <v>-13.954911700625122</v>
      </c>
      <c r="AD513" s="60">
        <f t="shared" si="445"/>
        <v>154.12723902375939</v>
      </c>
      <c r="AE513" t="str">
        <f t="shared" si="446"/>
        <v>34,4450883806789</v>
      </c>
      <c r="AF513" t="str">
        <f t="shared" si="428"/>
        <v>1+3023,94319172567i</v>
      </c>
      <c r="AG513">
        <f t="shared" si="447"/>
        <v>3023.9433570726874</v>
      </c>
      <c r="AH513">
        <f t="shared" si="448"/>
        <v>1.5704656327639097</v>
      </c>
      <c r="AI513" t="str">
        <f t="shared" si="429"/>
        <v>1+167,99684398476i</v>
      </c>
      <c r="AJ513">
        <f t="shared" si="449"/>
        <v>167.9998202047841</v>
      </c>
      <c r="AK513">
        <f t="shared" si="450"/>
        <v>1.5648439043218982</v>
      </c>
      <c r="AL513" t="str">
        <f t="shared" si="430"/>
        <v>1-11,4307373933504i</v>
      </c>
      <c r="AM513">
        <f t="shared" si="451"/>
        <v>11.47439572943774</v>
      </c>
      <c r="AN513">
        <f t="shared" si="452"/>
        <v>-1.4835350679183692</v>
      </c>
      <c r="AO513" s="58" t="str">
        <f t="shared" si="453"/>
        <v>1,79064812944061-21,8848408383303i</v>
      </c>
      <c r="AP513">
        <f t="shared" si="454"/>
        <v>26.83184584406607</v>
      </c>
      <c r="AQ513" s="60">
        <f t="shared" si="455"/>
        <v>-85.322399464672387</v>
      </c>
      <c r="AR513" t="str">
        <f t="shared" si="431"/>
        <v>-1,36472945891784</v>
      </c>
      <c r="AS513" t="str">
        <f t="shared" si="432"/>
        <v>1+125,846435828983i</v>
      </c>
      <c r="AT513">
        <f t="shared" si="456"/>
        <v>125.85040886249968</v>
      </c>
      <c r="AU513">
        <f t="shared" si="457"/>
        <v>1.5628503015706992</v>
      </c>
      <c r="AV513" t="str">
        <f t="shared" si="433"/>
        <v>1+125,846435828983i</v>
      </c>
      <c r="AW513">
        <f t="shared" si="458"/>
        <v>125.85040886249968</v>
      </c>
      <c r="AX513">
        <f t="shared" si="459"/>
        <v>1.5628503015706992</v>
      </c>
      <c r="AY513" t="str">
        <f t="shared" si="434"/>
        <v>1-0,000119192886959341i</v>
      </c>
      <c r="AZ513">
        <f t="shared" si="460"/>
        <v>1.000000007103472</v>
      </c>
      <c r="BA513">
        <f t="shared" si="461"/>
        <v>-1.1919288639488544E-4</v>
      </c>
      <c r="BB513" s="58" t="str">
        <f t="shared" si="462"/>
        <v>-0,0000848737781402372+0,0108437285184156i</v>
      </c>
      <c r="BC513">
        <f t="shared" si="463"/>
        <v>-39.296161228942509</v>
      </c>
      <c r="BD513" s="60">
        <f t="shared" si="464"/>
        <v>90.448444459912594</v>
      </c>
      <c r="BE513" s="58" t="str">
        <f t="shared" si="465"/>
        <v>-0,000933739926928493-0,00196429976255345i</v>
      </c>
      <c r="BF513" s="37">
        <f t="shared" si="466"/>
        <v>-53.251072929567613</v>
      </c>
      <c r="BG513" s="60">
        <f t="shared" si="467"/>
        <v>-115.42431651632798</v>
      </c>
      <c r="BH513" s="58" t="str">
        <f t="shared" si="468"/>
        <v>0,237161293647523+0,0212747513136095i</v>
      </c>
      <c r="BI513" s="37">
        <f t="shared" si="469"/>
        <v>-12.464315384876446</v>
      </c>
      <c r="BJ513" s="60">
        <f t="shared" si="470"/>
        <v>5.1260449952402141</v>
      </c>
      <c r="BK513">
        <f t="shared" si="471"/>
        <v>-53.251072929567613</v>
      </c>
      <c r="BL513" s="60">
        <f t="shared" si="472"/>
        <v>-115.42431651632798</v>
      </c>
      <c r="BN513">
        <f t="shared" si="473"/>
        <v>0</v>
      </c>
      <c r="BO513">
        <f t="shared" si="474"/>
        <v>0</v>
      </c>
    </row>
    <row r="514" spans="13:67" x14ac:dyDescent="0.25">
      <c r="M514" s="66">
        <v>96</v>
      </c>
      <c r="N514" s="36">
        <f t="shared" si="475"/>
        <v>912010.83935591124</v>
      </c>
      <c r="O514" s="91" t="str">
        <f t="shared" si="423"/>
        <v>22,5</v>
      </c>
      <c r="P514" s="67" t="str">
        <f t="shared" si="424"/>
        <v>1+6188,75975429595i</v>
      </c>
      <c r="Q514" s="67">
        <f t="shared" si="435"/>
        <v>6188.7598350875815</v>
      </c>
      <c r="R514" s="67">
        <f t="shared" si="436"/>
        <v>1.5706347435324985</v>
      </c>
      <c r="S514" s="67" t="str">
        <f t="shared" si="425"/>
        <v>1+171,909993174888i</v>
      </c>
      <c r="T514" s="67">
        <f t="shared" si="437"/>
        <v>171.91290164903288</v>
      </c>
      <c r="U514" s="67">
        <f t="shared" si="438"/>
        <v>1.5649793949074153</v>
      </c>
      <c r="V514" t="str">
        <f t="shared" si="426"/>
        <v>1-35,8145819114349i</v>
      </c>
      <c r="W514" s="67">
        <f t="shared" si="439"/>
        <v>35.82853998547639</v>
      </c>
      <c r="X514" s="67">
        <f t="shared" si="440"/>
        <v>-1.5428819914475613</v>
      </c>
      <c r="Y514" t="str">
        <f t="shared" si="427"/>
        <v>-52,2328813505712+99,3257738343794i</v>
      </c>
      <c r="Z514" s="67">
        <f t="shared" si="441"/>
        <v>112.22247208995681</v>
      </c>
      <c r="AA514" s="67">
        <f t="shared" si="442"/>
        <v>2.0549285466605225</v>
      </c>
      <c r="AB514" s="92" t="str">
        <f t="shared" si="443"/>
        <v>-0,178634804569666+0,0889215464622446i</v>
      </c>
      <c r="AC514" s="37">
        <f t="shared" si="444"/>
        <v>-13.999267220973309</v>
      </c>
      <c r="AD514" s="60">
        <f t="shared" si="445"/>
        <v>153.53661307082277</v>
      </c>
      <c r="AE514" t="str">
        <f t="shared" si="446"/>
        <v>34,4450883806789</v>
      </c>
      <c r="AF514" t="str">
        <f t="shared" si="428"/>
        <v>1+3094,37987714798i</v>
      </c>
      <c r="AG514">
        <f t="shared" si="447"/>
        <v>3094.3800387312394</v>
      </c>
      <c r="AH514">
        <f t="shared" si="448"/>
        <v>1.570473160278538</v>
      </c>
      <c r="AI514" t="str">
        <f t="shared" si="429"/>
        <v>1+171,909993174888i</v>
      </c>
      <c r="AJ514">
        <f t="shared" si="449"/>
        <v>171.91290164903288</v>
      </c>
      <c r="AK514">
        <f t="shared" si="450"/>
        <v>1.5649793949074153</v>
      </c>
      <c r="AL514" t="str">
        <f t="shared" si="430"/>
        <v>1-11,696993471217i</v>
      </c>
      <c r="AM514">
        <f t="shared" si="451"/>
        <v>11.739661675946762</v>
      </c>
      <c r="AN514">
        <f t="shared" si="452"/>
        <v>-1.4855116479703809</v>
      </c>
      <c r="AO514" s="58" t="str">
        <f t="shared" si="453"/>
        <v>1,79064796871724-22,3941069279131i</v>
      </c>
      <c r="AP514">
        <f t="shared" si="454"/>
        <v>27.030354088639932</v>
      </c>
      <c r="AQ514" s="60">
        <f t="shared" si="455"/>
        <v>-85.428317415626992</v>
      </c>
      <c r="AR514" t="str">
        <f t="shared" si="431"/>
        <v>-1,36472945891784</v>
      </c>
      <c r="AS514" t="str">
        <f t="shared" si="432"/>
        <v>1+128,777775887308i</v>
      </c>
      <c r="AT514">
        <f t="shared" si="456"/>
        <v>128.78165848629894</v>
      </c>
      <c r="AU514">
        <f t="shared" si="457"/>
        <v>1.5630311678317301</v>
      </c>
      <c r="AV514" t="str">
        <f t="shared" si="433"/>
        <v>1+128,777775887308i</v>
      </c>
      <c r="AW514">
        <f t="shared" si="458"/>
        <v>128.78165848629894</v>
      </c>
      <c r="AX514">
        <f t="shared" si="459"/>
        <v>1.5630311678317301</v>
      </c>
      <c r="AY514" t="str">
        <f t="shared" si="434"/>
        <v>1-0,000116479725609847i</v>
      </c>
      <c r="AZ514">
        <f t="shared" si="460"/>
        <v>1.0000000067837631</v>
      </c>
      <c r="BA514">
        <f t="shared" si="461"/>
        <v>-1.1647972508306642E-4</v>
      </c>
      <c r="BB514" s="58" t="str">
        <f t="shared" si="462"/>
        <v>-0,0000810540592010562+0,0105969247834566i</v>
      </c>
      <c r="BC514">
        <f t="shared" si="463"/>
        <v>-39.496148890453121</v>
      </c>
      <c r="BD514" s="60">
        <f t="shared" si="464"/>
        <v>90.438237039191506</v>
      </c>
      <c r="BE514" s="58" t="str">
        <f t="shared" si="465"/>
        <v>-0,000927815863464088-0,00190018704002342i</v>
      </c>
      <c r="BF514" s="37">
        <f t="shared" si="466"/>
        <v>-53.495416111426422</v>
      </c>
      <c r="BG514" s="60">
        <f t="shared" si="467"/>
        <v>-116.0251498899857</v>
      </c>
      <c r="BH514" s="58" t="str">
        <f t="shared" si="468"/>
        <v>0,237163527421315+0,0207904951068358i</v>
      </c>
      <c r="BI514" s="37">
        <f t="shared" si="469"/>
        <v>-12.465794801813182</v>
      </c>
      <c r="BJ514" s="60">
        <f t="shared" si="470"/>
        <v>5.0099196235645245</v>
      </c>
      <c r="BK514">
        <f t="shared" si="471"/>
        <v>-53.495416111426422</v>
      </c>
      <c r="BL514" s="60">
        <f t="shared" si="472"/>
        <v>-116.0251498899857</v>
      </c>
      <c r="BN514">
        <f t="shared" si="473"/>
        <v>0</v>
      </c>
      <c r="BO514">
        <f t="shared" si="474"/>
        <v>0</v>
      </c>
    </row>
    <row r="515" spans="13:67" x14ac:dyDescent="0.25">
      <c r="M515" s="66">
        <v>97</v>
      </c>
      <c r="N515" s="36">
        <f t="shared" si="475"/>
        <v>933254.30079699249</v>
      </c>
      <c r="O515" s="91" t="str">
        <f t="shared" si="423"/>
        <v>22,5</v>
      </c>
      <c r="P515" s="67" t="str">
        <f t="shared" si="424"/>
        <v>1+6332,91448748021i</v>
      </c>
      <c r="Q515" s="67">
        <f t="shared" si="435"/>
        <v>6332.9145664327989</v>
      </c>
      <c r="R515" s="67">
        <f t="shared" si="436"/>
        <v>1.5706384216165359</v>
      </c>
      <c r="S515" s="67" t="str">
        <f t="shared" si="425"/>
        <v>1+175,914291318895i</v>
      </c>
      <c r="T515" s="67">
        <f t="shared" si="437"/>
        <v>175.91713358916766</v>
      </c>
      <c r="U515" s="67">
        <f t="shared" si="438"/>
        <v>1.5651118015570449</v>
      </c>
      <c r="V515" t="str">
        <f t="shared" si="426"/>
        <v>1-36,6488106914364i</v>
      </c>
      <c r="W515" s="67">
        <f t="shared" si="439"/>
        <v>36.662451160509484</v>
      </c>
      <c r="X515" s="67">
        <f t="shared" si="440"/>
        <v>-1.5435170804454481</v>
      </c>
      <c r="Y515" t="str">
        <f t="shared" si="427"/>
        <v>-54,7416697571894+101,639368317584i</v>
      </c>
      <c r="Z515" s="67">
        <f t="shared" si="441"/>
        <v>115.44354291082151</v>
      </c>
      <c r="AA515" s="67">
        <f t="shared" si="442"/>
        <v>2.0648351602383963</v>
      </c>
      <c r="AB515" s="92" t="str">
        <f t="shared" si="443"/>
        <v>-0,176761513206932+0,0902977991724065i</v>
      </c>
      <c r="AC515" s="37">
        <f t="shared" si="444"/>
        <v>-14.045222406392881</v>
      </c>
      <c r="AD515" s="60">
        <f t="shared" si="445"/>
        <v>152.93999360786069</v>
      </c>
      <c r="AE515" t="str">
        <f t="shared" si="446"/>
        <v>34,4450883806789</v>
      </c>
      <c r="AF515" t="str">
        <f t="shared" si="428"/>
        <v>1+3166,45724374011i</v>
      </c>
      <c r="AG515">
        <f t="shared" si="447"/>
        <v>3166.4574016452857</v>
      </c>
      <c r="AH515">
        <f t="shared" si="448"/>
        <v>1.5704805164460496</v>
      </c>
      <c r="AI515" t="str">
        <f t="shared" si="429"/>
        <v>1+175,914291318895i</v>
      </c>
      <c r="AJ515">
        <f t="shared" si="449"/>
        <v>175.91713358916766</v>
      </c>
      <c r="AK515">
        <f t="shared" si="450"/>
        <v>1.5651118015570449</v>
      </c>
      <c r="AL515" t="str">
        <f t="shared" si="430"/>
        <v>1-11,9694514498501i</v>
      </c>
      <c r="AM515">
        <f t="shared" si="451"/>
        <v>12.011151818635824</v>
      </c>
      <c r="AN515">
        <f t="shared" si="452"/>
        <v>-1.4874438812723922</v>
      </c>
      <c r="AO515" s="58" t="str">
        <f t="shared" si="453"/>
        <v>1,79064781522762-22,9152466694054i</v>
      </c>
      <c r="AP515">
        <f t="shared" si="454"/>
        <v>27.228928999189318</v>
      </c>
      <c r="AQ515" s="60">
        <f t="shared" si="455"/>
        <v>-85.531861364015413</v>
      </c>
      <c r="AR515" t="str">
        <f t="shared" si="431"/>
        <v>-1,36472945891784</v>
      </c>
      <c r="AS515" t="str">
        <f t="shared" si="432"/>
        <v>1+131,777395626984i</v>
      </c>
      <c r="AT515">
        <f t="shared" si="456"/>
        <v>131.7811898498062</v>
      </c>
      <c r="AU515">
        <f t="shared" si="457"/>
        <v>1.5632079175649451</v>
      </c>
      <c r="AV515" t="str">
        <f t="shared" si="433"/>
        <v>1+131,777395626984i</v>
      </c>
      <c r="AW515">
        <f t="shared" si="458"/>
        <v>131.7811898498062</v>
      </c>
      <c r="AX515">
        <f t="shared" si="459"/>
        <v>1.5632079175649451</v>
      </c>
      <c r="AY515" t="str">
        <f t="shared" si="434"/>
        <v>1-0,000113828323352662i</v>
      </c>
      <c r="AZ515">
        <f t="shared" si="460"/>
        <v>1.0000000064784436</v>
      </c>
      <c r="BA515">
        <f t="shared" si="461"/>
        <v>-1.1382832286104176E-4</v>
      </c>
      <c r="BB515" s="58" t="str">
        <f t="shared" si="462"/>
        <v>-0,00007740623566812+0,010355737007772i</v>
      </c>
      <c r="BC515">
        <f t="shared" si="463"/>
        <v>-39.696137107254444</v>
      </c>
      <c r="BD515" s="60">
        <f t="shared" si="464"/>
        <v>90.428261939605349</v>
      </c>
      <c r="BE515" s="58" t="str">
        <f t="shared" si="465"/>
        <v>-0,000921417817261705-0,00183748535658986i</v>
      </c>
      <c r="BF515" s="37">
        <f t="shared" si="466"/>
        <v>-53.741359513647311</v>
      </c>
      <c r="BG515" s="60">
        <f t="shared" si="467"/>
        <v>-116.63174445253392</v>
      </c>
      <c r="BH515" s="58" t="str">
        <f t="shared" si="468"/>
        <v>0,237165660669801+0,0203172608321238i</v>
      </c>
      <c r="BI515" s="37">
        <f t="shared" si="469"/>
        <v>-12.467208108065142</v>
      </c>
      <c r="BJ515" s="60">
        <f t="shared" si="470"/>
        <v>4.8964005755899374</v>
      </c>
      <c r="BK515">
        <f t="shared" si="471"/>
        <v>-53.741359513647311</v>
      </c>
      <c r="BL515" s="60">
        <f t="shared" si="472"/>
        <v>-116.63174445253392</v>
      </c>
      <c r="BN515">
        <f t="shared" si="473"/>
        <v>0</v>
      </c>
      <c r="BO515">
        <f t="shared" si="474"/>
        <v>0</v>
      </c>
    </row>
    <row r="516" spans="13:67" x14ac:dyDescent="0.25">
      <c r="M516" s="66">
        <v>98</v>
      </c>
      <c r="N516" s="36">
        <f t="shared" si="475"/>
        <v>954992.58602143743</v>
      </c>
      <c r="O516" s="91" t="str">
        <f t="shared" si="423"/>
        <v>22,5</v>
      </c>
      <c r="P516" s="67" t="str">
        <f t="shared" si="424"/>
        <v>1+6480,42701575176i</v>
      </c>
      <c r="Q516" s="67">
        <f t="shared" si="435"/>
        <v>6480.4270929071699</v>
      </c>
      <c r="R516" s="67">
        <f t="shared" si="436"/>
        <v>1.5706420159771632</v>
      </c>
      <c r="S516" s="67" t="str">
        <f t="shared" si="425"/>
        <v>1+180,01186154866i</v>
      </c>
      <c r="T516" s="67">
        <f t="shared" si="437"/>
        <v>180.01463912197232</v>
      </c>
      <c r="U516" s="67">
        <f t="shared" si="438"/>
        <v>1.5652411944559641</v>
      </c>
      <c r="V516" t="str">
        <f t="shared" si="426"/>
        <v>1-37,5024711559708i</v>
      </c>
      <c r="W516" s="67">
        <f t="shared" si="439"/>
        <v>37.515801241669116</v>
      </c>
      <c r="X516" s="67">
        <f t="shared" si="440"/>
        <v>-1.5441377343224156</v>
      </c>
      <c r="Y516" t="str">
        <f t="shared" si="427"/>
        <v>-57,3686937187784+104,006853339226i</v>
      </c>
      <c r="Z516" s="67">
        <f t="shared" si="441"/>
        <v>118.77959656660849</v>
      </c>
      <c r="AA516" s="67">
        <f t="shared" si="442"/>
        <v>2.0748561557888436</v>
      </c>
      <c r="AB516" s="92" t="str">
        <f t="shared" si="443"/>
        <v>-0,17484149751922+0,0916479917021464i</v>
      </c>
      <c r="AC516" s="37">
        <f t="shared" si="444"/>
        <v>-14.092818125997011</v>
      </c>
      <c r="AD516" s="60">
        <f t="shared" si="445"/>
        <v>152.33747973392511</v>
      </c>
      <c r="AE516" t="str">
        <f t="shared" si="446"/>
        <v>34,4450883806789</v>
      </c>
      <c r="AF516" t="str">
        <f t="shared" si="428"/>
        <v>1+3240,21350787588i</v>
      </c>
      <c r="AG516">
        <f t="shared" si="447"/>
        <v>3240.2136621866953</v>
      </c>
      <c r="AH516">
        <f t="shared" si="448"/>
        <v>1.5704877051667785</v>
      </c>
      <c r="AI516" t="str">
        <f t="shared" si="429"/>
        <v>1+180,01186154866i</v>
      </c>
      <c r="AJ516">
        <f t="shared" si="449"/>
        <v>180.01463912197232</v>
      </c>
      <c r="AK516">
        <f t="shared" si="450"/>
        <v>1.5652411944559641</v>
      </c>
      <c r="AL516" t="str">
        <f t="shared" si="430"/>
        <v>1-12,2482557900763i</v>
      </c>
      <c r="AM516">
        <f t="shared" si="451"/>
        <v>12.289010126903532</v>
      </c>
      <c r="AN516">
        <f t="shared" si="452"/>
        <v>-1.4893327345756591</v>
      </c>
      <c r="AO516" s="58" t="str">
        <f t="shared" si="453"/>
        <v>1,79064766864617-23,4485363779967i</v>
      </c>
      <c r="AP516">
        <f t="shared" si="454"/>
        <v>27.427567616682168</v>
      </c>
      <c r="AQ516" s="60">
        <f t="shared" si="455"/>
        <v>-85.63308290276278</v>
      </c>
      <c r="AR516" t="str">
        <f t="shared" si="431"/>
        <v>-1,36472945891784</v>
      </c>
      <c r="AS516" t="str">
        <f t="shared" si="432"/>
        <v>1+134,846885486101i</v>
      </c>
      <c r="AT516">
        <f t="shared" si="456"/>
        <v>134.85059334426987</v>
      </c>
      <c r="AU516">
        <f t="shared" si="457"/>
        <v>1.5633806444411928</v>
      </c>
      <c r="AV516" t="str">
        <f t="shared" si="433"/>
        <v>1+134,846885486101i</v>
      </c>
      <c r="AW516">
        <f t="shared" si="458"/>
        <v>134.85059334426987</v>
      </c>
      <c r="AX516">
        <f t="shared" si="459"/>
        <v>1.5633806444411928</v>
      </c>
      <c r="AY516" t="str">
        <f t="shared" si="434"/>
        <v>1-0,000111237274379215i</v>
      </c>
      <c r="AZ516">
        <f t="shared" si="460"/>
        <v>1.0000000061868655</v>
      </c>
      <c r="BA516">
        <f t="shared" si="461"/>
        <v>-1.1123727392040829E-4</v>
      </c>
      <c r="BB516" s="58" t="str">
        <f t="shared" si="462"/>
        <v>-0,0000739225727566984+0,0101200374886355i</v>
      </c>
      <c r="BC516">
        <f t="shared" si="463"/>
        <v>-39.896125854357209</v>
      </c>
      <c r="BD516" s="60">
        <f t="shared" si="464"/>
        <v>90.418513874756698</v>
      </c>
      <c r="BE516" s="58" t="str">
        <f t="shared" si="465"/>
        <v>-0,000914556378462622-0,00177617736479828i</v>
      </c>
      <c r="BF516" s="37">
        <f t="shared" si="466"/>
        <v>-53.988943980354236</v>
      </c>
      <c r="BG516" s="60">
        <f t="shared" si="467"/>
        <v>-117.24400639131827</v>
      </c>
      <c r="BH516" s="58" t="str">
        <f t="shared" si="468"/>
        <v>0,237167697916393+0,0198547976720776i</v>
      </c>
      <c r="BI516" s="37">
        <f t="shared" si="469"/>
        <v>-12.468558237675033</v>
      </c>
      <c r="BJ516" s="60">
        <f t="shared" si="470"/>
        <v>4.7854309719939279</v>
      </c>
      <c r="BK516">
        <f t="shared" si="471"/>
        <v>-53.988943980354236</v>
      </c>
      <c r="BL516" s="60">
        <f t="shared" si="472"/>
        <v>-117.24400639131827</v>
      </c>
      <c r="BN516">
        <f t="shared" si="473"/>
        <v>0</v>
      </c>
      <c r="BO516">
        <f t="shared" si="474"/>
        <v>0</v>
      </c>
    </row>
    <row r="517" spans="13:67" x14ac:dyDescent="0.25">
      <c r="M517" s="66">
        <v>99</v>
      </c>
      <c r="N517" s="36">
        <f t="shared" si="475"/>
        <v>977237.22095581202</v>
      </c>
      <c r="O517" s="91" t="str">
        <f t="shared" si="423"/>
        <v>22,5</v>
      </c>
      <c r="P517" s="67" t="str">
        <f t="shared" si="424"/>
        <v>1+6631,37555220565i</v>
      </c>
      <c r="Q517" s="67">
        <f t="shared" si="435"/>
        <v>6631.375627604788</v>
      </c>
      <c r="R517" s="67">
        <f t="shared" si="436"/>
        <v>1.5706455285201575</v>
      </c>
      <c r="S517" s="67" t="str">
        <f t="shared" si="425"/>
        <v>1+184,204876450157i</v>
      </c>
      <c r="T517" s="67">
        <f t="shared" si="437"/>
        <v>184.20759079912426</v>
      </c>
      <c r="U517" s="67">
        <f t="shared" si="438"/>
        <v>1.5653676421926601</v>
      </c>
      <c r="V517" t="str">
        <f t="shared" si="426"/>
        <v>1-38,3760159271161i</v>
      </c>
      <c r="W517" s="67">
        <f t="shared" si="439"/>
        <v>38.389042687181835</v>
      </c>
      <c r="X517" s="67">
        <f t="shared" si="440"/>
        <v>-1.5447442802436071</v>
      </c>
      <c r="Y517" t="str">
        <f t="shared" si="427"/>
        <v>-60,1195255053722+106,429484171202i</v>
      </c>
      <c r="Z517" s="67">
        <f t="shared" si="441"/>
        <v>122.23580673411223</v>
      </c>
      <c r="AA517" s="67">
        <f t="shared" si="442"/>
        <v>2.0849893258247376</v>
      </c>
      <c r="AB517" s="92" t="str">
        <f t="shared" si="443"/>
        <v>-0,172875111856363+0,092970107939661i</v>
      </c>
      <c r="AC517" s="37">
        <f t="shared" si="444"/>
        <v>-14.142094980835811</v>
      </c>
      <c r="AD517" s="60">
        <f t="shared" si="445"/>
        <v>151.72918300416742</v>
      </c>
      <c r="AE517" t="str">
        <f t="shared" si="446"/>
        <v>34,4450883806789</v>
      </c>
      <c r="AF517" t="str">
        <f t="shared" si="428"/>
        <v>1+3315,68777610283i</v>
      </c>
      <c r="AG517">
        <f t="shared" si="447"/>
        <v>3315.6879269011019</v>
      </c>
      <c r="AH517">
        <f t="shared" si="448"/>
        <v>1.5704947302522767</v>
      </c>
      <c r="AI517" t="str">
        <f t="shared" si="429"/>
        <v>1+184,204876450157i</v>
      </c>
      <c r="AJ517">
        <f t="shared" si="449"/>
        <v>184.20759079912426</v>
      </c>
      <c r="AK517">
        <f t="shared" si="450"/>
        <v>1.5653676421926601</v>
      </c>
      <c r="AL517" t="str">
        <f t="shared" si="430"/>
        <v>1-12,5335543176473i</v>
      </c>
      <c r="AM517">
        <f t="shared" si="451"/>
        <v>12.573383945200083</v>
      </c>
      <c r="AN517">
        <f t="shared" si="452"/>
        <v>-1.4911791554332903</v>
      </c>
      <c r="AO517" s="58" t="str">
        <f t="shared" si="453"/>
        <v>1,79064752866197-23,9942588109497i</v>
      </c>
      <c r="AP517">
        <f t="shared" si="454"/>
        <v>27.626267111655515</v>
      </c>
      <c r="AQ517" s="60">
        <f t="shared" si="455"/>
        <v>-85.732032611218074</v>
      </c>
      <c r="AR517" t="str">
        <f t="shared" si="431"/>
        <v>-1,36472945891784</v>
      </c>
      <c r="AS517" t="str">
        <f t="shared" si="432"/>
        <v>1+137,987872948813i</v>
      </c>
      <c r="AT517">
        <f t="shared" si="456"/>
        <v>137.99149640806769</v>
      </c>
      <c r="AU517">
        <f t="shared" si="457"/>
        <v>1.5635494400012995</v>
      </c>
      <c r="AV517" t="str">
        <f t="shared" si="433"/>
        <v>1+137,987872948813i</v>
      </c>
      <c r="AW517">
        <f t="shared" si="458"/>
        <v>137.99149640806769</v>
      </c>
      <c r="AX517">
        <f t="shared" si="459"/>
        <v>1.5635494400012995</v>
      </c>
      <c r="AY517" t="str">
        <f t="shared" si="434"/>
        <v>1-0,000108705204881043i</v>
      </c>
      <c r="AZ517">
        <f t="shared" si="460"/>
        <v>1.0000000059084106</v>
      </c>
      <c r="BA517">
        <f t="shared" si="461"/>
        <v>-1.0870520445285967E-4</v>
      </c>
      <c r="BB517" s="58" t="str">
        <f t="shared" si="462"/>
        <v>-0,0000705956836478543+0,00988970142137357i</v>
      </c>
      <c r="BC517">
        <f t="shared" si="463"/>
        <v>-40.096115107896573</v>
      </c>
      <c r="BD517" s="60">
        <f t="shared" si="464"/>
        <v>90.408987678455958</v>
      </c>
      <c r="BE517" s="58" t="str">
        <f t="shared" si="465"/>
        <v>-0,00090724237192892-0,0017162465277748i</v>
      </c>
      <c r="BF517" s="37">
        <f t="shared" si="466"/>
        <v>-54.238210088732401</v>
      </c>
      <c r="BG517" s="60">
        <f t="shared" si="467"/>
        <v>-117.86182931737666</v>
      </c>
      <c r="BH517" s="58" t="str">
        <f t="shared" si="468"/>
        <v>0,237169643480996+0,0194028605137699i</v>
      </c>
      <c r="BI517" s="37">
        <f t="shared" si="469"/>
        <v>-12.469847996241072</v>
      </c>
      <c r="BJ517" s="60">
        <f t="shared" si="470"/>
        <v>4.6769550672378806</v>
      </c>
      <c r="BK517">
        <f t="shared" si="471"/>
        <v>-54.238210088732401</v>
      </c>
      <c r="BL517" s="60">
        <f t="shared" si="472"/>
        <v>-117.86182931737666</v>
      </c>
      <c r="BN517">
        <f t="shared" si="473"/>
        <v>0</v>
      </c>
      <c r="BO517">
        <f t="shared" si="474"/>
        <v>0</v>
      </c>
    </row>
    <row r="518" spans="13:67" x14ac:dyDescent="0.25">
      <c r="M518" s="66">
        <v>100</v>
      </c>
      <c r="N518" s="36">
        <f t="shared" si="475"/>
        <v>1000000</v>
      </c>
      <c r="O518" s="91" t="str">
        <f t="shared" si="423"/>
        <v>22,5</v>
      </c>
      <c r="P518" s="67" t="str">
        <f t="shared" si="424"/>
        <v>1+6785,84013175396i</v>
      </c>
      <c r="Q518" s="67">
        <f t="shared" si="435"/>
        <v>6785.8402054368034</v>
      </c>
      <c r="R518" s="67">
        <f t="shared" si="436"/>
        <v>1.5706489611079153</v>
      </c>
      <c r="S518" s="67" t="str">
        <f t="shared" si="425"/>
        <v>1+188,495559215388i</v>
      </c>
      <c r="T518" s="67">
        <f t="shared" si="437"/>
        <v>188.49821177910903</v>
      </c>
      <c r="U518" s="67">
        <f t="shared" si="438"/>
        <v>1.5654912117952129</v>
      </c>
      <c r="V518" t="str">
        <f t="shared" si="426"/>
        <v>1-39,2699081698724i</v>
      </c>
      <c r="W518" s="67">
        <f t="shared" si="439"/>
        <v>39.282638501890517</v>
      </c>
      <c r="X518" s="67">
        <f t="shared" si="440"/>
        <v>-1.5453370380214999</v>
      </c>
      <c r="Y518" t="str">
        <f t="shared" si="427"/>
        <v>-63,0000000000002+108,908545324446i</v>
      </c>
      <c r="Z518" s="67">
        <f t="shared" si="441"/>
        <v>125.81761102757805</v>
      </c>
      <c r="AA518" s="67">
        <f t="shared" si="442"/>
        <v>2.0952322490186885</v>
      </c>
      <c r="AB518" s="92" t="str">
        <f t="shared" si="443"/>
        <v>-0,170862827997353+0,0942621085483669i</v>
      </c>
      <c r="AC518" s="37">
        <f t="shared" si="444"/>
        <v>-14.193093204317472</v>
      </c>
      <c r="AD518" s="60">
        <f t="shared" si="445"/>
        <v>151.11522756024178</v>
      </c>
      <c r="AE518" t="str">
        <f t="shared" si="446"/>
        <v>34,4450883806789</v>
      </c>
      <c r="AF518" t="str">
        <f t="shared" si="428"/>
        <v>1+3392,92006587698i</v>
      </c>
      <c r="AG518">
        <f t="shared" si="447"/>
        <v>3392.9202132426653</v>
      </c>
      <c r="AH518">
        <f t="shared" si="448"/>
        <v>1.5705015954273347</v>
      </c>
      <c r="AI518" t="str">
        <f t="shared" si="429"/>
        <v>1+188,495559215388i</v>
      </c>
      <c r="AJ518">
        <f t="shared" si="449"/>
        <v>188.49821177910903</v>
      </c>
      <c r="AK518">
        <f t="shared" si="450"/>
        <v>1.5654912117952129</v>
      </c>
      <c r="AL518" t="str">
        <f t="shared" si="430"/>
        <v>1-12,8254983016186i</v>
      </c>
      <c r="AM518">
        <f t="shared" si="451"/>
        <v>12.864424071244759</v>
      </c>
      <c r="AN518">
        <f t="shared" si="452"/>
        <v>-1.4929840724544139</v>
      </c>
      <c r="AO518" s="58" t="str">
        <f t="shared" si="453"/>
        <v>1,7906473949781-24,5527033175218i</v>
      </c>
      <c r="AP518">
        <f t="shared" si="454"/>
        <v>27.825024778696775</v>
      </c>
      <c r="AQ518" s="60">
        <f t="shared" si="455"/>
        <v>-85.828760067753834</v>
      </c>
      <c r="AR518" t="str">
        <f t="shared" si="431"/>
        <v>-1,36472945891784</v>
      </c>
      <c r="AS518" t="str">
        <f t="shared" si="432"/>
        <v>1+141,202023408247i</v>
      </c>
      <c r="AT518">
        <f t="shared" si="456"/>
        <v>141.2055643895917</v>
      </c>
      <c r="AU518">
        <f t="shared" si="457"/>
        <v>1.5637143937044091</v>
      </c>
      <c r="AV518" t="str">
        <f t="shared" si="433"/>
        <v>1+141,202023408247i</v>
      </c>
      <c r="AW518">
        <f t="shared" si="458"/>
        <v>141.2055643895917</v>
      </c>
      <c r="AX518">
        <f t="shared" si="459"/>
        <v>1.5637143937044091</v>
      </c>
      <c r="AY518" t="str">
        <f t="shared" si="434"/>
        <v>1-0,000106230772321383i</v>
      </c>
      <c r="AZ518">
        <f t="shared" si="460"/>
        <v>1.0000000056424885</v>
      </c>
      <c r="BA518">
        <f t="shared" si="461"/>
        <v>-1.0623077192177906E-4</v>
      </c>
      <c r="BB518" s="58" t="str">
        <f t="shared" si="462"/>
        <v>-0,0000674185138412078+0,00966460683398603i</v>
      </c>
      <c r="BC518">
        <f t="shared" si="463"/>
        <v>-40.296104845081459</v>
      </c>
      <c r="BD518" s="60">
        <f t="shared" si="464"/>
        <v>90.399678301993433</v>
      </c>
      <c r="BE518" s="58" t="str">
        <f t="shared" si="465"/>
        <v>-0,000899486900528192-0,00165767706640727i</v>
      </c>
      <c r="BF518" s="37">
        <f t="shared" si="466"/>
        <v>-54.489198049398915</v>
      </c>
      <c r="BG518" s="60">
        <f t="shared" si="467"/>
        <v>-118.48509413776473</v>
      </c>
      <c r="BH518" s="58" t="str">
        <f t="shared" si="468"/>
        <v>0,23717150148917+0,018961209819216i</v>
      </c>
      <c r="BI518" s="37">
        <f t="shared" si="469"/>
        <v>-12.471080066384665</v>
      </c>
      <c r="BJ518" s="60">
        <f t="shared" si="470"/>
        <v>4.5709182342395973</v>
      </c>
      <c r="BK518">
        <f t="shared" si="471"/>
        <v>-54.489198049398915</v>
      </c>
      <c r="BL518" s="60">
        <f t="shared" si="472"/>
        <v>-118.48509413776473</v>
      </c>
      <c r="BN518">
        <f t="shared" si="473"/>
        <v>0</v>
      </c>
      <c r="BO518">
        <f t="shared" si="474"/>
        <v>0</v>
      </c>
    </row>
    <row r="519" spans="13:67" x14ac:dyDescent="0.25">
      <c r="M519" s="66">
        <v>1</v>
      </c>
      <c r="N519" s="36">
        <f>10^(6+(M519/100))</f>
        <v>1023292.9922807553</v>
      </c>
      <c r="O519" s="91" t="str">
        <f t="shared" si="423"/>
        <v>22,5</v>
      </c>
      <c r="P519" s="67" t="str">
        <f t="shared" si="424"/>
        <v>1+6943,90265356134i</v>
      </c>
      <c r="Q519" s="67">
        <f t="shared" si="435"/>
        <v>6943.9027255669571</v>
      </c>
      <c r="R519" s="67">
        <f t="shared" si="436"/>
        <v>1.5706523155604399</v>
      </c>
      <c r="S519" s="67" t="str">
        <f t="shared" si="425"/>
        <v>1+192,886184821149i</v>
      </c>
      <c r="T519" s="67">
        <f t="shared" si="437"/>
        <v>192.88877700596902</v>
      </c>
      <c r="U519" s="67">
        <f t="shared" si="438"/>
        <v>1.565611968766758</v>
      </c>
      <c r="V519" t="str">
        <f t="shared" si="426"/>
        <v>1-40,1846218377393i</v>
      </c>
      <c r="W519" s="67">
        <f t="shared" si="439"/>
        <v>40.197062482750084</v>
      </c>
      <c r="X519" s="67">
        <f t="shared" si="440"/>
        <v>-1.5459163202769801</v>
      </c>
      <c r="Y519" t="str">
        <f t="shared" si="427"/>
        <v>-66,0162270752579+111,445351229997i</v>
      </c>
      <c r="Z519" s="67">
        <f t="shared" si="441"/>
        <v>129.53072433993955</v>
      </c>
      <c r="AA519" s="67">
        <f t="shared" si="442"/>
        <v>2.1055822885037685</v>
      </c>
      <c r="AB519" s="92" t="str">
        <f t="shared" si="443"/>
        <v>-0,168805239020606+0,0955219383498264i</v>
      </c>
      <c r="AC519" s="37">
        <f t="shared" si="444"/>
        <v>-14.24585255905976</v>
      </c>
      <c r="AD519" s="60">
        <f t="shared" si="445"/>
        <v>150.49575022041108</v>
      </c>
      <c r="AE519" t="str">
        <f t="shared" si="446"/>
        <v>34,4450883806789</v>
      </c>
      <c r="AF519" t="str">
        <f t="shared" si="428"/>
        <v>1+3471,95132678067i</v>
      </c>
      <c r="AG519">
        <f t="shared" si="447"/>
        <v>3471.9514707919029</v>
      </c>
      <c r="AH519">
        <f t="shared" si="448"/>
        <v>1.5705083043319565</v>
      </c>
      <c r="AI519" t="str">
        <f t="shared" si="429"/>
        <v>1+192,886184821149i</v>
      </c>
      <c r="AJ519">
        <f t="shared" si="449"/>
        <v>192.88877700596902</v>
      </c>
      <c r="AK519">
        <f t="shared" si="450"/>
        <v>1.565611968766758</v>
      </c>
      <c r="AL519" t="str">
        <f t="shared" si="430"/>
        <v>1-13,1242425345551i</v>
      </c>
      <c r="AM519">
        <f t="shared" si="451"/>
        <v>13.162284836069505</v>
      </c>
      <c r="AN519">
        <f t="shared" si="452"/>
        <v>-1.4947483955642764</v>
      </c>
      <c r="AO519" s="58" t="str">
        <f t="shared" si="453"/>
        <v>1,790647267311-25,1241659923831i</v>
      </c>
      <c r="AP519">
        <f t="shared" si="454"/>
        <v>28.023838031147015</v>
      </c>
      <c r="AQ519" s="60">
        <f t="shared" si="455"/>
        <v>-85.923313862750021</v>
      </c>
      <c r="AR519" t="str">
        <f t="shared" si="431"/>
        <v>-1,36472945891784</v>
      </c>
      <c r="AS519" t="str">
        <f t="shared" si="432"/>
        <v>1+144,491041049522i</v>
      </c>
      <c r="AT519">
        <f t="shared" si="456"/>
        <v>144.49450143024356</v>
      </c>
      <c r="AU519">
        <f t="shared" si="457"/>
        <v>1.5638755929752308</v>
      </c>
      <c r="AV519" t="str">
        <f t="shared" si="433"/>
        <v>1+144,491041049522i</v>
      </c>
      <c r="AW519">
        <f t="shared" si="458"/>
        <v>144.49450143024356</v>
      </c>
      <c r="AX519">
        <f t="shared" si="459"/>
        <v>1.5638755929752308</v>
      </c>
      <c r="AY519" t="str">
        <f t="shared" si="434"/>
        <v>1-0,000103812664723337i</v>
      </c>
      <c r="AZ519">
        <f t="shared" si="460"/>
        <v>1.0000000053885347</v>
      </c>
      <c r="BA519">
        <f t="shared" si="461"/>
        <v>-1.038126643504049E-4</v>
      </c>
      <c r="BB519" s="58" t="str">
        <f t="shared" si="462"/>
        <v>-0,0000643843262107173+0,00944463452321526i</v>
      </c>
      <c r="BC519">
        <f t="shared" si="463"/>
        <v>-40.496095044146486</v>
      </c>
      <c r="BD519" s="60">
        <f t="shared" si="464"/>
        <v>90.390580811473015</v>
      </c>
      <c r="BE519" s="58" t="str">
        <f t="shared" si="465"/>
        <v>-0,000891301385088029-0,00160045390379261i</v>
      </c>
      <c r="BF519" s="37">
        <f t="shared" si="466"/>
        <v>-54.74194760320627</v>
      </c>
      <c r="BG519" s="60">
        <f t="shared" si="467"/>
        <v>-119.11366896811596</v>
      </c>
      <c r="BH519" s="58" t="str">
        <f t="shared" si="468"/>
        <v>0,237173275880865+0,0185296114987723i</v>
      </c>
      <c r="BI519" s="37">
        <f t="shared" si="469"/>
        <v>-12.47225701299948</v>
      </c>
      <c r="BJ519" s="60">
        <f t="shared" si="470"/>
        <v>4.4672669487230072</v>
      </c>
      <c r="BK519">
        <f t="shared" si="471"/>
        <v>-54.74194760320627</v>
      </c>
      <c r="BL519" s="60">
        <f t="shared" si="472"/>
        <v>-119.11366896811596</v>
      </c>
      <c r="BN519">
        <f t="shared" si="473"/>
        <v>0</v>
      </c>
      <c r="BO519">
        <f t="shared" si="474"/>
        <v>0</v>
      </c>
    </row>
    <row r="520" spans="13:67" x14ac:dyDescent="0.25">
      <c r="M520" s="66">
        <v>2</v>
      </c>
      <c r="N520" s="36">
        <f t="shared" ref="N520:N560" si="476">10^(6+(M520/100))</f>
        <v>1047128.5480509007</v>
      </c>
      <c r="O520" s="91" t="str">
        <f t="shared" si="423"/>
        <v>22,5</v>
      </c>
      <c r="P520" s="67" t="str">
        <f t="shared" si="424"/>
        <v>1+7105,64692446905i</v>
      </c>
      <c r="Q520" s="67">
        <f t="shared" si="435"/>
        <v>7105.6469948356198</v>
      </c>
      <c r="R520" s="67">
        <f t="shared" si="436"/>
        <v>1.5706555936563058</v>
      </c>
      <c r="S520" s="67" t="str">
        <f t="shared" si="425"/>
        <v>1+197,379081235252i</v>
      </c>
      <c r="T520" s="67">
        <f t="shared" si="437"/>
        <v>197.38161441550784</v>
      </c>
      <c r="U520" s="67">
        <f t="shared" si="438"/>
        <v>1.5657299771201449</v>
      </c>
      <c r="V520" t="str">
        <f t="shared" si="426"/>
        <v>1-41,1206419240107i</v>
      </c>
      <c r="W520" s="67">
        <f t="shared" si="439"/>
        <v>41.132799470042229</v>
      </c>
      <c r="X520" s="67">
        <f t="shared" si="440"/>
        <v>-1.5464824325971684</v>
      </c>
      <c r="Y520" t="str">
        <f t="shared" si="427"/>
        <v>-69,1746045531641+114,041246935923i</v>
      </c>
      <c r="Z520" s="67">
        <f t="shared" si="441"/>
        <v>133.38115278324295</v>
      </c>
      <c r="AA520" s="67">
        <f t="shared" si="442"/>
        <v>2.1160365909306167</v>
      </c>
      <c r="AB520" s="92" t="str">
        <f t="shared" si="443"/>
        <v>-0,166703062677796+0,0967475341984192i</v>
      </c>
      <c r="AC520" s="37">
        <f t="shared" si="444"/>
        <v>-14.300412230575565</v>
      </c>
      <c r="AD520" s="60">
        <f t="shared" si="445"/>
        <v>149.87090052646059</v>
      </c>
      <c r="AE520" t="str">
        <f t="shared" si="446"/>
        <v>34,4450883806789</v>
      </c>
      <c r="AF520" t="str">
        <f t="shared" si="428"/>
        <v>1+3552,82346223453i</v>
      </c>
      <c r="AG520">
        <f t="shared" si="447"/>
        <v>3552.8236029676659</v>
      </c>
      <c r="AH520">
        <f t="shared" si="448"/>
        <v>1.5705148605232899</v>
      </c>
      <c r="AI520" t="str">
        <f t="shared" si="429"/>
        <v>1+197,379081235252i</v>
      </c>
      <c r="AJ520">
        <f t="shared" si="449"/>
        <v>197.38161441550784</v>
      </c>
      <c r="AK520">
        <f t="shared" si="450"/>
        <v>1.5657299771201449</v>
      </c>
      <c r="AL520" t="str">
        <f t="shared" si="430"/>
        <v>1-13,4299454146032i</v>
      </c>
      <c r="AM520">
        <f t="shared" si="451"/>
        <v>13.467124185928542</v>
      </c>
      <c r="AN520">
        <f t="shared" si="452"/>
        <v>-1.4964730162693971</v>
      </c>
      <c r="AO520" s="58" t="str">
        <f t="shared" si="453"/>
        <v>1,79064714538985-25,7089498326076i</v>
      </c>
      <c r="AP520">
        <f t="shared" si="454"/>
        <v>28.222704396016738</v>
      </c>
      <c r="AQ520" s="60">
        <f t="shared" si="455"/>
        <v>-86.015741611911054</v>
      </c>
      <c r="AR520" t="str">
        <f t="shared" si="431"/>
        <v>-1,36472945891784</v>
      </c>
      <c r="AS520" t="str">
        <f t="shared" si="432"/>
        <v>1+147,856669753327i</v>
      </c>
      <c r="AT520">
        <f t="shared" si="456"/>
        <v>147.8600513679892</v>
      </c>
      <c r="AU520">
        <f t="shared" si="457"/>
        <v>1.5640331232502223</v>
      </c>
      <c r="AV520" t="str">
        <f t="shared" si="433"/>
        <v>1+147,856669753327i</v>
      </c>
      <c r="AW520">
        <f t="shared" si="458"/>
        <v>147.8600513679892</v>
      </c>
      <c r="AX520">
        <f t="shared" si="459"/>
        <v>1.5640331232502223</v>
      </c>
      <c r="AY520" t="str">
        <f t="shared" si="434"/>
        <v>1-0,000101449599974251i</v>
      </c>
      <c r="AZ520">
        <f t="shared" si="460"/>
        <v>1.0000000051460105</v>
      </c>
      <c r="BA520">
        <f t="shared" si="461"/>
        <v>-1.0144959962621051E-4</v>
      </c>
      <c r="BB520" s="58" t="str">
        <f t="shared" si="462"/>
        <v>-0,000061486686731964+0,00922966799203457i</v>
      </c>
      <c r="BC520">
        <f t="shared" si="463"/>
        <v>-40.696085684305615</v>
      </c>
      <c r="BD520" s="60">
        <f t="shared" si="464"/>
        <v>90.381690385205872</v>
      </c>
      <c r="BE520" s="58" t="str">
        <f t="shared" si="465"/>
        <v>-0,000882697600707291-0,00154456260709873i</v>
      </c>
      <c r="BF520" s="37">
        <f t="shared" si="466"/>
        <v>-54.996497914881203</v>
      </c>
      <c r="BG520" s="60">
        <f t="shared" si="467"/>
        <v>-119.74740908833361</v>
      </c>
      <c r="BH520" s="58" t="str">
        <f t="shared" si="468"/>
        <v>0,237174970418765+0,0181078367873981i</v>
      </c>
      <c r="BI520" s="37">
        <f t="shared" si="469"/>
        <v>-12.473381288288872</v>
      </c>
      <c r="BJ520" s="60">
        <f t="shared" si="470"/>
        <v>4.3659487732948321</v>
      </c>
      <c r="BK520">
        <f t="shared" si="471"/>
        <v>-54.996497914881203</v>
      </c>
      <c r="BL520" s="60">
        <f t="shared" si="472"/>
        <v>-119.74740908833361</v>
      </c>
      <c r="BN520">
        <f t="shared" si="473"/>
        <v>0</v>
      </c>
      <c r="BO520">
        <f t="shared" si="474"/>
        <v>0</v>
      </c>
    </row>
    <row r="521" spans="13:67" x14ac:dyDescent="0.25">
      <c r="M521" s="66">
        <v>3</v>
      </c>
      <c r="N521" s="36">
        <f t="shared" si="476"/>
        <v>1071519.3052376076</v>
      </c>
      <c r="O521" s="91" t="str">
        <f t="shared" si="423"/>
        <v>22,5</v>
      </c>
      <c r="P521" s="67" t="str">
        <f t="shared" si="424"/>
        <v>1+7271,15870343047i</v>
      </c>
      <c r="Q521" s="67">
        <f t="shared" si="435"/>
        <v>7271.158772195301</v>
      </c>
      <c r="R521" s="67">
        <f t="shared" si="436"/>
        <v>1.570658797133603</v>
      </c>
      <c r="S521" s="67" t="str">
        <f t="shared" si="425"/>
        <v>1+201,976630650847i</v>
      </c>
      <c r="T521" s="67">
        <f t="shared" si="437"/>
        <v>201.97910616959535</v>
      </c>
      <c r="U521" s="67">
        <f t="shared" si="438"/>
        <v>1.5658452994118099</v>
      </c>
      <c r="V521" t="str">
        <f t="shared" si="426"/>
        <v>1-42,0784647189263i</v>
      </c>
      <c r="W521" s="67">
        <f t="shared" si="439"/>
        <v>42.090345604448594</v>
      </c>
      <c r="X521" s="67">
        <f t="shared" si="440"/>
        <v>-1.5470356736900428</v>
      </c>
      <c r="Y521" t="str">
        <f t="shared" si="427"/>
        <v>-72,4818317758006+116,697608820489i</v>
      </c>
      <c r="Z521" s="67">
        <f t="shared" si="441"/>
        <v>137.37520825096254</v>
      </c>
      <c r="AA521" s="67">
        <f t="shared" si="442"/>
        <v>2.1265920863285377</v>
      </c>
      <c r="AB521" s="92" t="str">
        <f t="shared" si="443"/>
        <v>-0,164557144211031+0,0979368333144592i</v>
      </c>
      <c r="AC521" s="37">
        <f t="shared" si="444"/>
        <v>-14.356810718250671</v>
      </c>
      <c r="AD521" s="60">
        <f t="shared" si="445"/>
        <v>149.24084074468237</v>
      </c>
      <c r="AE521" t="str">
        <f t="shared" si="446"/>
        <v>34,4450883806789</v>
      </c>
      <c r="AF521" t="str">
        <f t="shared" si="428"/>
        <v>1+3635,57935171524i</v>
      </c>
      <c r="AG521">
        <f t="shared" si="447"/>
        <v>3635.5794892448994</v>
      </c>
      <c r="AH521">
        <f t="shared" si="448"/>
        <v>1.570521267477512</v>
      </c>
      <c r="AI521" t="str">
        <f t="shared" si="429"/>
        <v>1+201,976630650847i</v>
      </c>
      <c r="AJ521">
        <f t="shared" si="449"/>
        <v>201.97910616959535</v>
      </c>
      <c r="AK521">
        <f t="shared" si="450"/>
        <v>1.5658452994118099</v>
      </c>
      <c r="AL521" t="str">
        <f t="shared" si="430"/>
        <v>1-13,7427690294765i</v>
      </c>
      <c r="AM521">
        <f t="shared" si="451"/>
        <v>13.779103766121311</v>
      </c>
      <c r="AN521">
        <f t="shared" si="452"/>
        <v>-1.4981588079269947</v>
      </c>
      <c r="AO521" s="58" t="str">
        <f t="shared" si="453"/>
        <v>1,79064702895607-26,3073648983285i</v>
      </c>
      <c r="AP521">
        <f t="shared" si="454"/>
        <v>28.421621509109478</v>
      </c>
      <c r="AQ521" s="60">
        <f t="shared" si="455"/>
        <v>-86.106089969870013</v>
      </c>
      <c r="AR521" t="str">
        <f t="shared" si="431"/>
        <v>-1,36472945891784</v>
      </c>
      <c r="AS521" t="str">
        <f t="shared" si="432"/>
        <v>1+151,300694020549i</v>
      </c>
      <c r="AT521">
        <f t="shared" si="456"/>
        <v>151.30399866196464</v>
      </c>
      <c r="AU521">
        <f t="shared" si="457"/>
        <v>1.5641870680227286</v>
      </c>
      <c r="AV521" t="str">
        <f t="shared" si="433"/>
        <v>1+151,300694020549i</v>
      </c>
      <c r="AW521">
        <f t="shared" si="458"/>
        <v>151.30399866196464</v>
      </c>
      <c r="AX521">
        <f t="shared" si="459"/>
        <v>1.5641870680227286</v>
      </c>
      <c r="AY521" t="str">
        <f t="shared" si="434"/>
        <v>1-0,0000991403251459162i</v>
      </c>
      <c r="AZ521">
        <f t="shared" si="460"/>
        <v>1.000000004914402</v>
      </c>
      <c r="BA521">
        <f t="shared" si="461"/>
        <v>-9.9140324821105929E-5</v>
      </c>
      <c r="BB521" s="58" t="str">
        <f t="shared" si="462"/>
        <v>-0,0000587194508508009+0,00901959338852501i</v>
      </c>
      <c r="BC521">
        <f t="shared" si="463"/>
        <v>-40.896076745708108</v>
      </c>
      <c r="BD521" s="60">
        <f t="shared" si="464"/>
        <v>90.373002311163233</v>
      </c>
      <c r="BE521" s="58" t="str">
        <f t="shared" si="465"/>
        <v>-0,000873687709114524-0,00148998932703066i</v>
      </c>
      <c r="BF521" s="37">
        <f t="shared" si="466"/>
        <v>-55.252887463958793</v>
      </c>
      <c r="BG521" s="60">
        <f t="shared" si="467"/>
        <v>-120.38615694415444</v>
      </c>
      <c r="BH521" s="58" t="str">
        <f t="shared" si="468"/>
        <v>0,237176588696271+0,0176956621237156i</v>
      </c>
      <c r="BI521" s="37">
        <f t="shared" si="469"/>
        <v>-12.474455236598622</v>
      </c>
      <c r="BJ521" s="60">
        <f t="shared" si="470"/>
        <v>4.2669123412932244</v>
      </c>
      <c r="BK521">
        <f t="shared" si="471"/>
        <v>-55.252887463958793</v>
      </c>
      <c r="BL521" s="60">
        <f t="shared" si="472"/>
        <v>-120.38615694415444</v>
      </c>
      <c r="BN521">
        <f t="shared" si="473"/>
        <v>0</v>
      </c>
      <c r="BO521">
        <f t="shared" si="474"/>
        <v>0</v>
      </c>
    </row>
    <row r="522" spans="13:67" x14ac:dyDescent="0.25">
      <c r="M522" s="66">
        <v>4</v>
      </c>
      <c r="N522" s="36">
        <f t="shared" si="476"/>
        <v>1096478.196143186</v>
      </c>
      <c r="O522" s="91" t="str">
        <f t="shared" si="423"/>
        <v>22,5</v>
      </c>
      <c r="P522" s="67" t="str">
        <f t="shared" si="424"/>
        <v>1+7440,52574698161i</v>
      </c>
      <c r="Q522" s="67">
        <f t="shared" si="435"/>
        <v>7440.5258141811628</v>
      </c>
      <c r="R522" s="67">
        <f t="shared" si="436"/>
        <v>1.5706619276908569</v>
      </c>
      <c r="S522" s="67" t="str">
        <f t="shared" si="425"/>
        <v>1+206,681270749489i</v>
      </c>
      <c r="T522" s="67">
        <f t="shared" si="437"/>
        <v>206.68368991921827</v>
      </c>
      <c r="U522" s="67">
        <f t="shared" si="438"/>
        <v>1.565957996774882</v>
      </c>
      <c r="V522" t="str">
        <f t="shared" si="426"/>
        <v>1-43,0585980728102i</v>
      </c>
      <c r="W522" s="67">
        <f t="shared" si="439"/>
        <v>43.070208590112657</v>
      </c>
      <c r="X522" s="67">
        <f t="shared" si="440"/>
        <v>-1.5475763355359087</v>
      </c>
      <c r="Y522" t="str">
        <f t="shared" si="427"/>
        <v>-75,9449238155147+119,415845321927i</v>
      </c>
      <c r="Z522" s="67">
        <f t="shared" si="441"/>
        <v>141.51952362587548</v>
      </c>
      <c r="AA522" s="67">
        <f t="shared" si="442"/>
        <v>2.1372454888145707</v>
      </c>
      <c r="AB522" s="92" t="str">
        <f t="shared" si="443"/>
        <v>-0,162368458554978+0,0990877820348644i</v>
      </c>
      <c r="AC522" s="37">
        <f t="shared" si="444"/>
        <v>-14.415085724123323</v>
      </c>
      <c r="AD522" s="60">
        <f t="shared" si="445"/>
        <v>148.6057458184147</v>
      </c>
      <c r="AE522" t="str">
        <f t="shared" si="446"/>
        <v>34,4450883806789</v>
      </c>
      <c r="AF522" t="str">
        <f t="shared" si="428"/>
        <v>1+3720,26287349081i</v>
      </c>
      <c r="AG522">
        <f t="shared" si="447"/>
        <v>3720.2630078899128</v>
      </c>
      <c r="AH522">
        <f t="shared" si="448"/>
        <v>1.5705275285916724</v>
      </c>
      <c r="AI522" t="str">
        <f t="shared" si="429"/>
        <v>1+206,681270749489i</v>
      </c>
      <c r="AJ522">
        <f t="shared" si="449"/>
        <v>206.68368991921827</v>
      </c>
      <c r="AK522">
        <f t="shared" si="450"/>
        <v>1.565957996774882</v>
      </c>
      <c r="AL522" t="str">
        <f t="shared" si="430"/>
        <v>1-14,0628792423963i</v>
      </c>
      <c r="AM522">
        <f t="shared" si="451"/>
        <v>14.098389006770267</v>
      </c>
      <c r="AN522">
        <f t="shared" si="452"/>
        <v>-1.4998066260179233</v>
      </c>
      <c r="AO522" s="58" t="str">
        <f t="shared" si="453"/>
        <v>1,79064691776265-26,9197284771346i</v>
      </c>
      <c r="AP522">
        <f t="shared" si="454"/>
        <v>28.620587110342978</v>
      </c>
      <c r="AQ522" s="60">
        <f t="shared" si="455"/>
        <v>-86.194404644035686</v>
      </c>
      <c r="AR522" t="str">
        <f t="shared" si="431"/>
        <v>-1,36472945891784</v>
      </c>
      <c r="AS522" t="str">
        <f t="shared" si="432"/>
        <v>1+154,824939918443i</v>
      </c>
      <c r="AT522">
        <f t="shared" si="456"/>
        <v>154.82816933862352</v>
      </c>
      <c r="AU522">
        <f t="shared" si="457"/>
        <v>1.5643375088871023</v>
      </c>
      <c r="AV522" t="str">
        <f t="shared" si="433"/>
        <v>1+154,824939918443i</v>
      </c>
      <c r="AW522">
        <f t="shared" si="458"/>
        <v>154.82816933862352</v>
      </c>
      <c r="AX522">
        <f t="shared" si="459"/>
        <v>1.5643375088871023</v>
      </c>
      <c r="AY522" t="str">
        <f t="shared" si="434"/>
        <v>1-0,0000968836158302506i</v>
      </c>
      <c r="AZ522">
        <f t="shared" si="460"/>
        <v>1.0000000046932174</v>
      </c>
      <c r="BA522">
        <f t="shared" si="461"/>
        <v>-9.6883615527120024E-5</v>
      </c>
      <c r="BB522" s="58" t="str">
        <f t="shared" si="462"/>
        <v>-0,0000560767504645887+0,00881429944611148i</v>
      </c>
      <c r="BC522">
        <f t="shared" si="463"/>
        <v>-41.09606820939662</v>
      </c>
      <c r="BD522" s="60">
        <f t="shared" si="464"/>
        <v>90.364511984486441</v>
      </c>
      <c r="BE522" s="58" t="str">
        <f t="shared" si="465"/>
        <v>-0,000864284286772613-0,00143672073513438i</v>
      </c>
      <c r="BF522" s="37">
        <f t="shared" si="466"/>
        <v>-55.511153933519928</v>
      </c>
      <c r="BG522" s="60">
        <f t="shared" si="467"/>
        <v>-121.02974219709877</v>
      </c>
      <c r="BH522" s="58" t="str">
        <f t="shared" si="468"/>
        <v>0,237178134145101+0,0172928690318033i</v>
      </c>
      <c r="BI522" s="37">
        <f t="shared" si="469"/>
        <v>-12.475481099053663</v>
      </c>
      <c r="BJ522" s="60">
        <f t="shared" si="470"/>
        <v>4.1701073404507714</v>
      </c>
      <c r="BK522">
        <f t="shared" si="471"/>
        <v>-55.511153933519928</v>
      </c>
      <c r="BL522" s="60">
        <f t="shared" si="472"/>
        <v>-121.02974219709877</v>
      </c>
      <c r="BN522">
        <f t="shared" si="473"/>
        <v>0</v>
      </c>
      <c r="BO522">
        <f t="shared" si="474"/>
        <v>0</v>
      </c>
    </row>
    <row r="523" spans="13:67" x14ac:dyDescent="0.25">
      <c r="M523" s="66">
        <v>5</v>
      </c>
      <c r="N523" s="36">
        <f t="shared" si="476"/>
        <v>1122018.4543019643</v>
      </c>
      <c r="O523" s="91" t="str">
        <f t="shared" si="423"/>
        <v>22,5</v>
      </c>
      <c r="P523" s="67" t="str">
        <f t="shared" si="424"/>
        <v>1+7613,83785577081i</v>
      </c>
      <c r="Q523" s="67">
        <f t="shared" si="435"/>
        <v>7613.8379214407132</v>
      </c>
      <c r="R523" s="67">
        <f t="shared" si="436"/>
        <v>1.5706649869879303</v>
      </c>
      <c r="S523" s="67" t="str">
        <f t="shared" si="425"/>
        <v>1+211,495495993634i</v>
      </c>
      <c r="T523" s="67">
        <f t="shared" si="437"/>
        <v>211.49786009695998</v>
      </c>
      <c r="U523" s="67">
        <f t="shared" si="438"/>
        <v>1.5660681289515375</v>
      </c>
      <c r="V523" t="str">
        <f t="shared" si="426"/>
        <v>1-44,0615616653403i</v>
      </c>
      <c r="W523" s="67">
        <f t="shared" si="439"/>
        <v>44.072907963834041</v>
      </c>
      <c r="X523" s="67">
        <f t="shared" si="440"/>
        <v>-1.5481047035357587</v>
      </c>
      <c r="Y523" t="str">
        <f t="shared" si="427"/>
        <v>-79,5712263548268+122,19739768521i</v>
      </c>
      <c r="Z523" s="67">
        <f t="shared" si="441"/>
        <v>145.82106865829934</v>
      </c>
      <c r="AA523" s="67">
        <f t="shared" si="442"/>
        <v>2.1479932981899372</v>
      </c>
      <c r="AB523" s="92" t="str">
        <f t="shared" si="443"/>
        <v>-0,160138111868386+0,100198344932925i</v>
      </c>
      <c r="AC523" s="37">
        <f t="shared" si="444"/>
        <v>-14.475274040023001</v>
      </c>
      <c r="AD523" s="60">
        <f t="shared" si="445"/>
        <v>147.96580326987421</v>
      </c>
      <c r="AE523" t="str">
        <f t="shared" si="446"/>
        <v>34,4450883806789</v>
      </c>
      <c r="AF523" t="str">
        <f t="shared" si="428"/>
        <v>1+3806,91892788541i</v>
      </c>
      <c r="AG523">
        <f t="shared" si="447"/>
        <v>3806.9190592252153</v>
      </c>
      <c r="AH523">
        <f t="shared" si="448"/>
        <v>1.5705336471854952</v>
      </c>
      <c r="AI523" t="str">
        <f t="shared" si="429"/>
        <v>1+211,495495993634i</v>
      </c>
      <c r="AJ523">
        <f t="shared" si="449"/>
        <v>211.49786009695998</v>
      </c>
      <c r="AK523">
        <f t="shared" si="450"/>
        <v>1.5660681289515375</v>
      </c>
      <c r="AL523" t="str">
        <f t="shared" si="430"/>
        <v>1-14,3904457800346i</v>
      </c>
      <c r="AM523">
        <f t="shared" si="451"/>
        <v>14.42514921060145</v>
      </c>
      <c r="AN523">
        <f t="shared" si="452"/>
        <v>-1.5014173084224456</v>
      </c>
      <c r="AO523" s="58" t="str">
        <f t="shared" si="453"/>
        <v>1,79064681157378-27,5463652523017i</v>
      </c>
      <c r="AP523">
        <f t="shared" si="454"/>
        <v>28.819599039263029</v>
      </c>
      <c r="AQ523" s="60">
        <f t="shared" si="455"/>
        <v>-86.280730408642455</v>
      </c>
      <c r="AR523" t="str">
        <f t="shared" si="431"/>
        <v>-1,36472945891784</v>
      </c>
      <c r="AS523" t="str">
        <f t="shared" si="432"/>
        <v>1+158,431276048831i</v>
      </c>
      <c r="AT523">
        <f t="shared" si="456"/>
        <v>158.43443195991486</v>
      </c>
      <c r="AU523">
        <f t="shared" si="457"/>
        <v>1.5644845255818267</v>
      </c>
      <c r="AV523" t="str">
        <f t="shared" si="433"/>
        <v>1+158,431276048831i</v>
      </c>
      <c r="AW523">
        <f t="shared" si="458"/>
        <v>158.43443195991486</v>
      </c>
      <c r="AX523">
        <f t="shared" si="459"/>
        <v>1.5644845255818267</v>
      </c>
      <c r="AY523" t="str">
        <f t="shared" si="434"/>
        <v>1-0,0000946782754901045i</v>
      </c>
      <c r="AZ523">
        <f t="shared" si="460"/>
        <v>1.0000000044819879</v>
      </c>
      <c r="BA523">
        <f t="shared" si="461"/>
        <v>-9.4678275207206583E-5</v>
      </c>
      <c r="BB523" s="58" t="str">
        <f t="shared" si="462"/>
        <v>-0,0000535529814885417+0,00861367742512998i</v>
      </c>
      <c r="BC523">
        <f t="shared" si="463"/>
        <v>-41.296060057266715</v>
      </c>
      <c r="BD523" s="60">
        <f t="shared" si="464"/>
        <v>90.356214905053491</v>
      </c>
      <c r="BE523" s="58" t="str">
        <f t="shared" si="465"/>
        <v>-0,000854500348443625-0,00138474395921503i</v>
      </c>
      <c r="BF523" s="37">
        <f t="shared" si="466"/>
        <v>-55.771334097289724</v>
      </c>
      <c r="BG523" s="60">
        <f t="shared" si="467"/>
        <v>-121.67798182507232</v>
      </c>
      <c r="BH523" s="58" t="str">
        <f t="shared" si="468"/>
        <v>0,237179610042583+0,0168992440056672i</v>
      </c>
      <c r="BI523" s="37">
        <f t="shared" si="469"/>
        <v>-12.476461018003697</v>
      </c>
      <c r="BJ523" s="60">
        <f t="shared" si="470"/>
        <v>4.0754844964110619</v>
      </c>
      <c r="BK523">
        <f t="shared" si="471"/>
        <v>-55.771334097289724</v>
      </c>
      <c r="BL523" s="60">
        <f t="shared" si="472"/>
        <v>-121.67798182507232</v>
      </c>
      <c r="BN523">
        <f t="shared" si="473"/>
        <v>0</v>
      </c>
      <c r="BO523">
        <f t="shared" si="474"/>
        <v>0</v>
      </c>
    </row>
    <row r="524" spans="13:67" x14ac:dyDescent="0.25">
      <c r="M524" s="66">
        <v>6</v>
      </c>
      <c r="N524" s="36">
        <f t="shared" si="476"/>
        <v>1148153.6214968837</v>
      </c>
      <c r="O524" s="91" t="str">
        <f t="shared" si="423"/>
        <v>22,5</v>
      </c>
      <c r="P524" s="67" t="str">
        <f t="shared" si="424"/>
        <v>1+7791,18692217219i</v>
      </c>
      <c r="Q524" s="67">
        <f t="shared" si="435"/>
        <v>7791.1869863472639</v>
      </c>
      <c r="R524" s="67">
        <f t="shared" si="436"/>
        <v>1.5706679766469027</v>
      </c>
      <c r="S524" s="67" t="str">
        <f t="shared" si="425"/>
        <v>1+216,421858949228i</v>
      </c>
      <c r="T524" s="67">
        <f t="shared" si="437"/>
        <v>216.42416923957347</v>
      </c>
      <c r="U524" s="67">
        <f t="shared" si="438"/>
        <v>1.5661757543246215</v>
      </c>
      <c r="V524" t="str">
        <f t="shared" si="426"/>
        <v>1-45,0878872810891i</v>
      </c>
      <c r="W524" s="67">
        <f t="shared" si="439"/>
        <v>45.098975370535811</v>
      </c>
      <c r="X524" s="67">
        <f t="shared" si="440"/>
        <v>-1.5486210566565766</v>
      </c>
      <c r="Y524" t="str">
        <f t="shared" si="427"/>
        <v>-83,3684312676102+125,04374072622i</v>
      </c>
      <c r="Z524" s="67">
        <f t="shared" si="441"/>
        <v>150.28716654068762</v>
      </c>
      <c r="AA524" s="67">
        <f t="shared" si="442"/>
        <v>2.1588318024581814</v>
      </c>
      <c r="AB524" s="92" t="str">
        <f t="shared" si="443"/>
        <v>-0,157867342343223+0,101266514251219i</v>
      </c>
      <c r="AC524" s="37">
        <f t="shared" si="444"/>
        <v>-14.537411433675814</v>
      </c>
      <c r="AD524" s="60">
        <f t="shared" si="445"/>
        <v>147.32121304931303</v>
      </c>
      <c r="AE524" t="str">
        <f t="shared" si="446"/>
        <v>34,4450883806789</v>
      </c>
      <c r="AF524" t="str">
        <f t="shared" si="428"/>
        <v>1+3895,5934610861i</v>
      </c>
      <c r="AG524">
        <f t="shared" si="447"/>
        <v>3895.5935894362469</v>
      </c>
      <c r="AH524">
        <f t="shared" si="448"/>
        <v>1.5705396265031377</v>
      </c>
      <c r="AI524" t="str">
        <f t="shared" si="429"/>
        <v>1+216,421858949228i</v>
      </c>
      <c r="AJ524">
        <f t="shared" si="449"/>
        <v>216.42416923957347</v>
      </c>
      <c r="AK524">
        <f t="shared" si="450"/>
        <v>1.5661757543246215</v>
      </c>
      <c r="AL524" t="str">
        <f t="shared" si="430"/>
        <v>1-14,7256423225056i</v>
      </c>
      <c r="AM524">
        <f t="shared" si="451"/>
        <v>14.759557642773991</v>
      </c>
      <c r="AN524">
        <f t="shared" si="452"/>
        <v>-1.5029916756982031</v>
      </c>
      <c r="AO524" s="58" t="str">
        <f t="shared" si="453"/>
        <v>1,79064671016419-28,187607474942i</v>
      </c>
      <c r="AP524">
        <f t="shared" si="454"/>
        <v>29.018655230740926</v>
      </c>
      <c r="AQ524" s="60">
        <f t="shared" si="455"/>
        <v>-86.365111118965885</v>
      </c>
      <c r="AR524" t="str">
        <f t="shared" si="431"/>
        <v>-1,36472945891784</v>
      </c>
      <c r="AS524" t="str">
        <f t="shared" si="432"/>
        <v>1+162,121614538867i</v>
      </c>
      <c r="AT524">
        <f t="shared" si="456"/>
        <v>162.12469861402664</v>
      </c>
      <c r="AU524">
        <f t="shared" si="457"/>
        <v>1.5646281960316639</v>
      </c>
      <c r="AV524" t="str">
        <f t="shared" si="433"/>
        <v>1+162,121614538867i</v>
      </c>
      <c r="AW524">
        <f t="shared" si="458"/>
        <v>162.12469861402664</v>
      </c>
      <c r="AX524">
        <f t="shared" si="459"/>
        <v>1.5646281960316639</v>
      </c>
      <c r="AY524" t="str">
        <f t="shared" si="434"/>
        <v>1-0,0000925231348248384i</v>
      </c>
      <c r="AZ524">
        <f t="shared" si="460"/>
        <v>1.0000000042802653</v>
      </c>
      <c r="BA524">
        <f t="shared" si="461"/>
        <v>-9.2523134560822698E-5</v>
      </c>
      <c r="BB524" s="58" t="str">
        <f t="shared" si="462"/>
        <v>-0,0000511427919809035+0,00841762105569638i</v>
      </c>
      <c r="BC524">
        <f t="shared" si="463"/>
        <v>-41.496052272028862</v>
      </c>
      <c r="BD524" s="60">
        <f t="shared" si="464"/>
        <v>90.348106675100368</v>
      </c>
      <c r="BE524" s="58" t="str">
        <f t="shared" si="465"/>
        <v>-0,000844349365948001-0,00133404651718812i</v>
      </c>
      <c r="BF524" s="37">
        <f t="shared" si="466"/>
        <v>-56.03346370570469</v>
      </c>
      <c r="BG524" s="60">
        <f t="shared" si="467"/>
        <v>-122.33068027558663</v>
      </c>
      <c r="BH524" s="58" t="str">
        <f t="shared" si="468"/>
        <v>0,237181019518567+0,0165145783963219i</v>
      </c>
      <c r="BI524" s="37">
        <f t="shared" si="469"/>
        <v>-12.477397041287944</v>
      </c>
      <c r="BJ524" s="60">
        <f t="shared" si="470"/>
        <v>3.9829955561345116</v>
      </c>
      <c r="BK524">
        <f t="shared" si="471"/>
        <v>-56.03346370570469</v>
      </c>
      <c r="BL524" s="60">
        <f t="shared" si="472"/>
        <v>-122.33068027558663</v>
      </c>
      <c r="BN524">
        <f t="shared" si="473"/>
        <v>0</v>
      </c>
      <c r="BO524">
        <f t="shared" si="474"/>
        <v>0</v>
      </c>
    </row>
    <row r="525" spans="13:67" x14ac:dyDescent="0.25">
      <c r="M525" s="66">
        <v>7</v>
      </c>
      <c r="N525" s="36">
        <f t="shared" si="476"/>
        <v>1174897.5549395324</v>
      </c>
      <c r="O525" s="91" t="str">
        <f t="shared" si="423"/>
        <v>22,5</v>
      </c>
      <c r="P525" s="67" t="str">
        <f t="shared" si="424"/>
        <v>1+7972,66697900827i</v>
      </c>
      <c r="Q525" s="67">
        <f t="shared" si="435"/>
        <v>7972.6670417225396</v>
      </c>
      <c r="R525" s="67">
        <f t="shared" si="436"/>
        <v>1.5706708982529307</v>
      </c>
      <c r="S525" s="67" t="str">
        <f t="shared" si="425"/>
        <v>1+221,462971639119i</v>
      </c>
      <c r="T525" s="67">
        <f t="shared" si="437"/>
        <v>221.46522934137815</v>
      </c>
      <c r="U525" s="67">
        <f t="shared" si="438"/>
        <v>1.5662809299485527</v>
      </c>
      <c r="V525" t="str">
        <f t="shared" si="426"/>
        <v>1-46,1381190914831i</v>
      </c>
      <c r="W525" s="67">
        <f t="shared" si="439"/>
        <v>46.148954845151991</v>
      </c>
      <c r="X525" s="67">
        <f t="shared" si="440"/>
        <v>-1.5491256675736278</v>
      </c>
      <c r="Y525" t="str">
        <f t="shared" si="427"/>
        <v>-87,3445929345852+127,956383613713i</v>
      </c>
      <c r="Z525" s="67">
        <f t="shared" si="441"/>
        <v>154.92551120589556</v>
      </c>
      <c r="AA525" s="67">
        <f t="shared" si="442"/>
        <v>2.1697570812932478</v>
      </c>
      <c r="AB525" s="92" t="str">
        <f t="shared" si="443"/>
        <v>-0,15555752024464+0,102290319584555i</v>
      </c>
      <c r="AC525" s="37">
        <f t="shared" si="444"/>
        <v>-14.601532534421738</v>
      </c>
      <c r="AD525" s="60">
        <f t="shared" si="445"/>
        <v>146.6721873298811</v>
      </c>
      <c r="AE525" t="str">
        <f t="shared" si="446"/>
        <v>34,4450883806789</v>
      </c>
      <c r="AF525" t="str">
        <f t="shared" si="428"/>
        <v>1+3986,33348950414i</v>
      </c>
      <c r="AG525">
        <f t="shared" si="447"/>
        <v>3986.3336149326801</v>
      </c>
      <c r="AH525">
        <f t="shared" si="448"/>
        <v>1.5705454697149115</v>
      </c>
      <c r="AI525" t="str">
        <f t="shared" si="429"/>
        <v>1+221,462971639119i</v>
      </c>
      <c r="AJ525">
        <f t="shared" si="449"/>
        <v>221.46522934137815</v>
      </c>
      <c r="AK525">
        <f t="shared" si="450"/>
        <v>1.5662809299485527</v>
      </c>
      <c r="AL525" t="str">
        <f t="shared" si="430"/>
        <v>1-15,0686465954529i</v>
      </c>
      <c r="AM525">
        <f t="shared" si="451"/>
        <v>15.101791622806028</v>
      </c>
      <c r="AN525">
        <f t="shared" si="452"/>
        <v>-1.5045305313597959</v>
      </c>
      <c r="AO525" s="58" t="str">
        <f t="shared" si="453"/>
        <v>1,79064661331878-28,8437951401706i</v>
      </c>
      <c r="AP525">
        <f t="shared" si="454"/>
        <v>29.217753710850232</v>
      </c>
      <c r="AQ525" s="60">
        <f t="shared" si="455"/>
        <v>-86.447589725669516</v>
      </c>
      <c r="AR525" t="str">
        <f t="shared" si="431"/>
        <v>-1,36472945891784</v>
      </c>
      <c r="AS525" t="str">
        <f t="shared" si="432"/>
        <v>1+165,897912054864i</v>
      </c>
      <c r="AT525">
        <f t="shared" si="456"/>
        <v>165.9009259291924</v>
      </c>
      <c r="AU525">
        <f t="shared" si="457"/>
        <v>1.5647685963888502</v>
      </c>
      <c r="AV525" t="str">
        <f t="shared" si="433"/>
        <v>1+165,897912054864i</v>
      </c>
      <c r="AW525">
        <f t="shared" si="458"/>
        <v>165.9009259291924</v>
      </c>
      <c r="AX525">
        <f t="shared" si="459"/>
        <v>1.5647685963888502</v>
      </c>
      <c r="AY525" t="str">
        <f t="shared" si="434"/>
        <v>1-0,0000904170511503447i</v>
      </c>
      <c r="AZ525">
        <f t="shared" si="460"/>
        <v>1.0000000040876216</v>
      </c>
      <c r="BA525">
        <f t="shared" si="461"/>
        <v>-9.0417050903950907E-5</v>
      </c>
      <c r="BB525" s="58" t="str">
        <f t="shared" si="462"/>
        <v>-0,0000488410708018896+0,00822602648185063i</v>
      </c>
      <c r="BC525">
        <f t="shared" si="463"/>
        <v>-41.696044837171357</v>
      </c>
      <c r="BD525" s="60">
        <f t="shared" si="464"/>
        <v>90.340182996896317</v>
      </c>
      <c r="BE525" s="58" t="str">
        <f t="shared" si="465"/>
        <v>-0,000833845281879479-0,0012846162497246i</v>
      </c>
      <c r="BF525" s="37">
        <f t="shared" si="466"/>
        <v>-56.297577371593093</v>
      </c>
      <c r="BG525" s="60">
        <f t="shared" si="467"/>
        <v>-122.98762967322261</v>
      </c>
      <c r="BH525" s="58" t="str">
        <f t="shared" si="468"/>
        <v>0,237182365562096+0,0161386683014327i</v>
      </c>
      <c r="BI525" s="37">
        <f t="shared" si="469"/>
        <v>-12.478291126321103</v>
      </c>
      <c r="BJ525" s="60">
        <f t="shared" si="470"/>
        <v>3.8925932712267977</v>
      </c>
      <c r="BK525">
        <f t="shared" si="471"/>
        <v>-56.297577371593093</v>
      </c>
      <c r="BL525" s="60">
        <f t="shared" si="472"/>
        <v>-122.98762967322261</v>
      </c>
      <c r="BN525">
        <f t="shared" si="473"/>
        <v>0</v>
      </c>
      <c r="BO525">
        <f t="shared" si="474"/>
        <v>0</v>
      </c>
    </row>
    <row r="526" spans="13:67" x14ac:dyDescent="0.25">
      <c r="M526" s="66">
        <v>8</v>
      </c>
      <c r="N526" s="36">
        <f t="shared" si="476"/>
        <v>1202264.4346174158</v>
      </c>
      <c r="O526" s="91" t="str">
        <f t="shared" si="423"/>
        <v>22,5</v>
      </c>
      <c r="P526" s="67" t="str">
        <f t="shared" si="424"/>
        <v>1+8158,37424940734i</v>
      </c>
      <c r="Q526" s="67">
        <f t="shared" si="435"/>
        <v>8158.3743106940592</v>
      </c>
      <c r="R526" s="67">
        <f t="shared" si="436"/>
        <v>1.5706737533550885</v>
      </c>
      <c r="S526" s="67" t="str">
        <f t="shared" si="425"/>
        <v>1+226,621506927982i</v>
      </c>
      <c r="T526" s="67">
        <f t="shared" si="437"/>
        <v>226.62371323916969</v>
      </c>
      <c r="U526" s="67">
        <f t="shared" si="438"/>
        <v>1.5663837115795263</v>
      </c>
      <c r="V526" t="str">
        <f t="shared" si="426"/>
        <v>1-47,2128139433295i</v>
      </c>
      <c r="W526" s="67">
        <f t="shared" si="439"/>
        <v>47.223403101083768</v>
      </c>
      <c r="X526" s="67">
        <f t="shared" si="440"/>
        <v>-1.5496188028097888</v>
      </c>
      <c r="Y526" t="str">
        <f t="shared" si="427"/>
        <v>-91,50814532774+130,9368706695i</v>
      </c>
      <c r="Z526" s="67">
        <f t="shared" si="441"/>
        <v>159.7441853778852</v>
      </c>
      <c r="AA526" s="67">
        <f t="shared" si="442"/>
        <v>2.1807650104791727</v>
      </c>
      <c r="AB526" s="92" t="str">
        <f t="shared" si="443"/>
        <v>-0,153210147140803+0,10326783774299i</v>
      </c>
      <c r="AC526" s="37">
        <f t="shared" si="444"/>
        <v>-14.667670719232033</v>
      </c>
      <c r="AD526" s="60">
        <f t="shared" si="445"/>
        <v>146.01895024694997</v>
      </c>
      <c r="AE526" t="str">
        <f t="shared" si="446"/>
        <v>34,4450883806789</v>
      </c>
      <c r="AF526" t="str">
        <f t="shared" si="428"/>
        <v>1+4079,18712470367i</v>
      </c>
      <c r="AG526">
        <f t="shared" si="447"/>
        <v>4079.1872472771088</v>
      </c>
      <c r="AH526">
        <f t="shared" si="448"/>
        <v>1.5705511799189635</v>
      </c>
      <c r="AI526" t="str">
        <f t="shared" si="429"/>
        <v>1+226,621506927982i</v>
      </c>
      <c r="AJ526">
        <f t="shared" si="449"/>
        <v>226.62371323916969</v>
      </c>
      <c r="AK526">
        <f t="shared" si="450"/>
        <v>1.5663837115795263</v>
      </c>
      <c r="AL526" t="str">
        <f t="shared" si="430"/>
        <v>1-15,4196404642822i</v>
      </c>
      <c r="AM526">
        <f t="shared" si="451"/>
        <v>15.452032618646937</v>
      </c>
      <c r="AN526">
        <f t="shared" si="452"/>
        <v>-1.5060346621594354</v>
      </c>
      <c r="AO526" s="58" t="str">
        <f t="shared" si="453"/>
        <v>1,79064652083213-29,5152761673728i</v>
      </c>
      <c r="AP526">
        <f t="shared" si="454"/>
        <v>29.416892592913158</v>
      </c>
      <c r="AQ526" s="60">
        <f t="shared" si="455"/>
        <v>-86.528208289250571</v>
      </c>
      <c r="AR526" t="str">
        <f t="shared" si="431"/>
        <v>-1,36472945891784</v>
      </c>
      <c r="AS526" t="str">
        <f t="shared" si="432"/>
        <v>1+169,762170839751i</v>
      </c>
      <c r="AT526">
        <f t="shared" si="456"/>
        <v>169.76511611112812</v>
      </c>
      <c r="AU526">
        <f t="shared" si="457"/>
        <v>1.5649058010733599</v>
      </c>
      <c r="AV526" t="str">
        <f t="shared" si="433"/>
        <v>1+169,762170839751i</v>
      </c>
      <c r="AW526">
        <f t="shared" si="458"/>
        <v>169.76511611112812</v>
      </c>
      <c r="AX526">
        <f t="shared" si="459"/>
        <v>1.5649058010733599</v>
      </c>
      <c r="AY526" t="str">
        <f t="shared" si="434"/>
        <v>1-0,0000883589077931822i</v>
      </c>
      <c r="AZ526">
        <f t="shared" si="460"/>
        <v>1.0000000039036483</v>
      </c>
      <c r="BA526">
        <f t="shared" si="461"/>
        <v>-8.8358907563234143E-5</v>
      </c>
      <c r="BB526" s="58" t="str">
        <f t="shared" si="462"/>
        <v>-0,000046642936782416+0,00803879220694736i</v>
      </c>
      <c r="BC526">
        <f t="shared" si="463"/>
        <v>-41.896037736925678</v>
      </c>
      <c r="BD526" s="60">
        <f t="shared" si="464"/>
        <v>90.332439670471558</v>
      </c>
      <c r="BE526" s="58" t="str">
        <f t="shared" si="465"/>
        <v>-0,000823002518069139-0,00123644125208825i</v>
      </c>
      <c r="BF526" s="37">
        <f t="shared" si="466"/>
        <v>-56.563708456157698</v>
      </c>
      <c r="BG526" s="60">
        <f t="shared" si="467"/>
        <v>-123.64861008257841</v>
      </c>
      <c r="BH526" s="58" t="str">
        <f t="shared" si="468"/>
        <v>0,237183651027705+0,015771314457453i</v>
      </c>
      <c r="BI526" s="37">
        <f t="shared" si="469"/>
        <v>-12.479145144012509</v>
      </c>
      <c r="BJ526" s="60">
        <f t="shared" si="470"/>
        <v>3.8042313812209705</v>
      </c>
      <c r="BK526">
        <f t="shared" si="471"/>
        <v>-56.563708456157698</v>
      </c>
      <c r="BL526" s="60">
        <f t="shared" si="472"/>
        <v>-123.64861008257841</v>
      </c>
      <c r="BN526">
        <f t="shared" si="473"/>
        <v>0</v>
      </c>
      <c r="BO526">
        <f t="shared" si="474"/>
        <v>0</v>
      </c>
    </row>
    <row r="527" spans="13:67" x14ac:dyDescent="0.25">
      <c r="M527" s="66">
        <v>9</v>
      </c>
      <c r="N527" s="36">
        <f t="shared" si="476"/>
        <v>1230268.770812382</v>
      </c>
      <c r="O527" s="91" t="str">
        <f t="shared" si="423"/>
        <v>22,5</v>
      </c>
      <c r="P527" s="67" t="str">
        <f t="shared" si="424"/>
        <v>1+8348,40719782227i</v>
      </c>
      <c r="Q527" s="67">
        <f t="shared" si="435"/>
        <v>8348.4072577139323</v>
      </c>
      <c r="R527" s="67">
        <f t="shared" si="436"/>
        <v>1.5706765434671885</v>
      </c>
      <c r="S527" s="67" t="str">
        <f t="shared" si="425"/>
        <v>1+231,900199939508i</v>
      </c>
      <c r="T527" s="67">
        <f t="shared" si="437"/>
        <v>231.90235602939396</v>
      </c>
      <c r="U527" s="67">
        <f t="shared" si="438"/>
        <v>1.5664841537050318</v>
      </c>
      <c r="V527" t="str">
        <f t="shared" si="426"/>
        <v>1-48,3125416540641i</v>
      </c>
      <c r="W527" s="67">
        <f t="shared" si="439"/>
        <v>48.322889825378596</v>
      </c>
      <c r="X527" s="67">
        <f t="shared" si="440"/>
        <v>-1.5501007228719652</v>
      </c>
      <c r="Y527" t="str">
        <f t="shared" si="427"/>
        <v>-95,8679198999176+133,986782187271i</v>
      </c>
      <c r="Z527" s="67">
        <f t="shared" si="441"/>
        <v>164.75167940520731</v>
      </c>
      <c r="AA527" s="67">
        <f t="shared" si="442"/>
        <v>2.191851267335712</v>
      </c>
      <c r="AB527" s="92" t="str">
        <f t="shared" si="443"/>
        <v>-0,150826854288632+0,104197202718782i</v>
      </c>
      <c r="AC527" s="37">
        <f t="shared" si="444"/>
        <v>-14.735857999744983</v>
      </c>
      <c r="AD527" s="60">
        <f t="shared" si="445"/>
        <v>145.36173758107608</v>
      </c>
      <c r="AE527" t="str">
        <f t="shared" si="446"/>
        <v>34,4450883806789</v>
      </c>
      <c r="AF527" t="str">
        <f t="shared" si="428"/>
        <v>1+4174,20359891114i</v>
      </c>
      <c r="AG527">
        <f t="shared" si="447"/>
        <v>4174.2037186944663</v>
      </c>
      <c r="AH527">
        <f t="shared" si="448"/>
        <v>1.5705567601429178</v>
      </c>
      <c r="AI527" t="str">
        <f t="shared" si="429"/>
        <v>1+231,900199939508i</v>
      </c>
      <c r="AJ527">
        <f t="shared" si="449"/>
        <v>231.90235602939396</v>
      </c>
      <c r="AK527">
        <f t="shared" si="450"/>
        <v>1.5664841537050318</v>
      </c>
      <c r="AL527" t="str">
        <f t="shared" si="430"/>
        <v>1-15,7788100305886i</v>
      </c>
      <c r="AM527">
        <f t="shared" si="451"/>
        <v>15.810466342945215</v>
      </c>
      <c r="AN527">
        <f t="shared" si="452"/>
        <v>-1.5075048383681706</v>
      </c>
      <c r="AO527" s="58" t="str">
        <f t="shared" si="453"/>
        <v>1,79064643250807-30,2024065846775i</v>
      </c>
      <c r="AP527">
        <f t="shared" si="454"/>
        <v>29.616070073713022</v>
      </c>
      <c r="AQ527" s="60">
        <f t="shared" si="455"/>
        <v>-86.607007994556156</v>
      </c>
      <c r="AR527" t="str">
        <f t="shared" si="431"/>
        <v>-1,36472945891784</v>
      </c>
      <c r="AS527" t="str">
        <f t="shared" si="432"/>
        <v>1+173,716439774685i</v>
      </c>
      <c r="AT527">
        <f t="shared" si="456"/>
        <v>173.7193180046242</v>
      </c>
      <c r="AU527">
        <f t="shared" si="457"/>
        <v>1.5650398828122574</v>
      </c>
      <c r="AV527" t="str">
        <f t="shared" si="433"/>
        <v>1+173,716439774685i</v>
      </c>
      <c r="AW527">
        <f t="shared" si="458"/>
        <v>173.7193180046242</v>
      </c>
      <c r="AX527">
        <f t="shared" si="459"/>
        <v>1.5650398828122574</v>
      </c>
      <c r="AY527" t="str">
        <f t="shared" si="434"/>
        <v>1-0,0000863476134985003i</v>
      </c>
      <c r="AZ527">
        <f t="shared" si="460"/>
        <v>1.0000000037279551</v>
      </c>
      <c r="BA527">
        <f t="shared" si="461"/>
        <v>-8.6347613283900272E-5</v>
      </c>
      <c r="BB527" s="58" t="str">
        <f t="shared" si="462"/>
        <v>-0,0000445437283797392+0,00785581904026754i</v>
      </c>
      <c r="BC527">
        <f t="shared" si="463"/>
        <v>-42.096030956232831</v>
      </c>
      <c r="BD527" s="60">
        <f t="shared" si="464"/>
        <v>90.324872591396499</v>
      </c>
      <c r="BE527" s="58" t="str">
        <f t="shared" si="465"/>
        <v>-0,000811835978631021-0,00118950980560013i</v>
      </c>
      <c r="BF527" s="37">
        <f t="shared" si="466"/>
        <v>-56.831888955977803</v>
      </c>
      <c r="BG527" s="60">
        <f t="shared" si="467"/>
        <v>-124.31338982752732</v>
      </c>
      <c r="BH527" s="58" t="str">
        <f t="shared" si="468"/>
        <v>0,237184878641497+0,0154123221342064i</v>
      </c>
      <c r="BI527" s="37">
        <f t="shared" si="469"/>
        <v>-12.47996088251983</v>
      </c>
      <c r="BJ527" s="60">
        <f t="shared" si="470"/>
        <v>3.7178645968403701</v>
      </c>
      <c r="BK527">
        <f t="shared" si="471"/>
        <v>-56.831888955977803</v>
      </c>
      <c r="BL527" s="60">
        <f t="shared" si="472"/>
        <v>-124.31338982752732</v>
      </c>
      <c r="BN527">
        <f t="shared" si="473"/>
        <v>0</v>
      </c>
      <c r="BO527">
        <f t="shared" si="474"/>
        <v>0</v>
      </c>
    </row>
    <row r="528" spans="13:67" x14ac:dyDescent="0.25">
      <c r="M528" s="66">
        <v>10</v>
      </c>
      <c r="N528" s="36">
        <f t="shared" si="476"/>
        <v>1258925.4117941677</v>
      </c>
      <c r="O528" s="91" t="str">
        <f t="shared" si="423"/>
        <v>22,5</v>
      </c>
      <c r="P528" s="67" t="str">
        <f t="shared" si="424"/>
        <v>1+8542,86658223773i</v>
      </c>
      <c r="Q528" s="67">
        <f t="shared" si="435"/>
        <v>8542.866640766093</v>
      </c>
      <c r="R528" s="67">
        <f t="shared" si="436"/>
        <v>1.5706792700685852</v>
      </c>
      <c r="S528" s="67" t="str">
        <f t="shared" si="425"/>
        <v>1+237,301849506604i</v>
      </c>
      <c r="T528" s="67">
        <f t="shared" si="437"/>
        <v>237.30395651833311</v>
      </c>
      <c r="U528" s="67">
        <f t="shared" si="438"/>
        <v>1.5665823095727027</v>
      </c>
      <c r="V528" t="str">
        <f t="shared" si="426"/>
        <v>1-49,4378853138758i</v>
      </c>
      <c r="W528" s="67">
        <f t="shared" si="439"/>
        <v>49.447997980787221</v>
      </c>
      <c r="X528" s="67">
        <f t="shared" si="440"/>
        <v>-1.5505716823846438</v>
      </c>
      <c r="Y528" t="str">
        <f t="shared" si="427"/>
        <v>-100,433164317511+137,107735270482i</v>
      </c>
      <c r="Z528" s="67">
        <f t="shared" si="441"/>
        <v>169.95691090929117</v>
      </c>
      <c r="AA528" s="67">
        <f t="shared" si="442"/>
        <v>2.2030113371364064</v>
      </c>
      <c r="AB528" s="92" t="str">
        <f t="shared" si="443"/>
        <v>-0,148409400149381+0,10507661567568i</v>
      </c>
      <c r="AC528" s="37">
        <f t="shared" si="444"/>
        <v>-14.806124911063932</v>
      </c>
      <c r="AD528" s="60">
        <f t="shared" si="445"/>
        <v>144.70079638422624</v>
      </c>
      <c r="AE528" t="str">
        <f t="shared" si="446"/>
        <v>34,4450883806789</v>
      </c>
      <c r="AF528" t="str">
        <f t="shared" si="428"/>
        <v>1+4271,43329111887i</v>
      </c>
      <c r="AG528">
        <f t="shared" si="447"/>
        <v>4271.4334081755951</v>
      </c>
      <c r="AH528">
        <f t="shared" si="448"/>
        <v>1.5705622133454815</v>
      </c>
      <c r="AI528" t="str">
        <f t="shared" si="429"/>
        <v>1+237,301849506604i</v>
      </c>
      <c r="AJ528">
        <f t="shared" si="449"/>
        <v>237.30395651833311</v>
      </c>
      <c r="AK528">
        <f t="shared" si="450"/>
        <v>1.5665823095727027</v>
      </c>
      <c r="AL528" t="str">
        <f t="shared" si="430"/>
        <v>1-16,1463457308306i</v>
      </c>
      <c r="AM528">
        <f t="shared" si="451"/>
        <v>16.177282851564151</v>
      </c>
      <c r="AN528">
        <f t="shared" si="452"/>
        <v>-1.5089418140572357</v>
      </c>
      <c r="AO528" s="58" t="str">
        <f t="shared" si="453"/>
        <v>1,79064634815924-30,9055507177279i</v>
      </c>
      <c r="AP528">
        <f t="shared" si="454"/>
        <v>29.815284429864558</v>
      </c>
      <c r="AQ528" s="60">
        <f t="shared" si="455"/>
        <v>-86.684029165342238</v>
      </c>
      <c r="AR528" t="str">
        <f t="shared" si="431"/>
        <v>-1,36472945891784</v>
      </c>
      <c r="AS528" t="str">
        <f t="shared" si="432"/>
        <v>1+177,762815465397i</v>
      </c>
      <c r="AT528">
        <f t="shared" si="456"/>
        <v>177.76562817987281</v>
      </c>
      <c r="AU528">
        <f t="shared" si="457"/>
        <v>1.5651709126781608</v>
      </c>
      <c r="AV528" t="str">
        <f t="shared" si="433"/>
        <v>1+177,762815465397i</v>
      </c>
      <c r="AW528">
        <f t="shared" si="458"/>
        <v>177.76562817987281</v>
      </c>
      <c r="AX528">
        <f t="shared" si="459"/>
        <v>1.5651709126781608</v>
      </c>
      <c r="AY528" t="str">
        <f t="shared" si="434"/>
        <v>1-0,0000843821018514409i</v>
      </c>
      <c r="AZ528">
        <f t="shared" si="460"/>
        <v>1.0000000035601695</v>
      </c>
      <c r="BA528">
        <f t="shared" si="461"/>
        <v>-8.4382101651164516E-5</v>
      </c>
      <c r="BB528" s="58" t="str">
        <f t="shared" si="462"/>
        <v>-0,000042538993798137+0,00767701004482397i</v>
      </c>
      <c r="BC528">
        <f t="shared" si="463"/>
        <v>-42.29602448071158</v>
      </c>
      <c r="BD528" s="60">
        <f t="shared" si="464"/>
        <v>90.317477748611211</v>
      </c>
      <c r="BE528" s="58" t="str">
        <f t="shared" si="465"/>
        <v>-0,000800361047465763-0,00114381030919566i</v>
      </c>
      <c r="BF528" s="37">
        <f t="shared" si="466"/>
        <v>-57.102149391775484</v>
      </c>
      <c r="BG528" s="60">
        <f t="shared" si="467"/>
        <v>-124.9817258671624</v>
      </c>
      <c r="BH528" s="58" t="str">
        <f t="shared" si="468"/>
        <v>0,237186051006915+0,0150615010318553i</v>
      </c>
      <c r="BI528" s="37">
        <f t="shared" si="469"/>
        <v>-12.480740050847004</v>
      </c>
      <c r="BJ528" s="60">
        <f t="shared" si="470"/>
        <v>3.6334485832689878</v>
      </c>
      <c r="BK528">
        <f t="shared" si="471"/>
        <v>-57.102149391775484</v>
      </c>
      <c r="BL528" s="60">
        <f t="shared" si="472"/>
        <v>-124.9817258671624</v>
      </c>
      <c r="BN528">
        <f t="shared" si="473"/>
        <v>0</v>
      </c>
      <c r="BO528">
        <f t="shared" si="474"/>
        <v>0</v>
      </c>
    </row>
    <row r="529" spans="13:67" x14ac:dyDescent="0.25">
      <c r="M529" s="66">
        <v>11</v>
      </c>
      <c r="N529" s="36">
        <f t="shared" si="476"/>
        <v>1288249.5516931366</v>
      </c>
      <c r="O529" s="91" t="str">
        <f t="shared" si="423"/>
        <v>22,5</v>
      </c>
      <c r="P529" s="67" t="str">
        <f t="shared" si="424"/>
        <v>1+8741,85550759332i</v>
      </c>
      <c r="Q529" s="67">
        <f t="shared" si="435"/>
        <v>8741.8555647894136</v>
      </c>
      <c r="R529" s="67">
        <f t="shared" si="436"/>
        <v>1.5706819346049583</v>
      </c>
      <c r="S529" s="67" t="str">
        <f t="shared" si="425"/>
        <v>1+242,82931965537i</v>
      </c>
      <c r="T529" s="67">
        <f t="shared" si="437"/>
        <v>242.83137870606808</v>
      </c>
      <c r="U529" s="67">
        <f t="shared" si="438"/>
        <v>1.5666782312185095</v>
      </c>
      <c r="V529" t="str">
        <f t="shared" si="426"/>
        <v>1-50,5894415948688i</v>
      </c>
      <c r="W529" s="67">
        <f t="shared" si="439"/>
        <v>50.599324114859897</v>
      </c>
      <c r="X529" s="67">
        <f t="shared" si="440"/>
        <v>-1.5510319302206317</v>
      </c>
      <c r="Y529" t="str">
        <f t="shared" si="427"/>
        <v>-105,213562076004+140,301384689769i</v>
      </c>
      <c r="Z529" s="67">
        <f t="shared" si="441"/>
        <v>175.36924528145661</v>
      </c>
      <c r="AA529" s="67">
        <f t="shared" si="442"/>
        <v>2.214240520517083</v>
      </c>
      <c r="AB529" s="92" t="str">
        <f t="shared" si="443"/>
        <v>-0,145959667016764+0,105904354874314i</v>
      </c>
      <c r="AC529" s="37">
        <f t="shared" si="444"/>
        <v>-14.878500403082134</v>
      </c>
      <c r="AD529" s="60">
        <f t="shared" si="445"/>
        <v>144.036384549383</v>
      </c>
      <c r="AE529" t="str">
        <f t="shared" si="446"/>
        <v>34,4450883806789</v>
      </c>
      <c r="AF529" t="str">
        <f t="shared" si="428"/>
        <v>1+4370,92775379666i</v>
      </c>
      <c r="AG529">
        <f t="shared" si="447"/>
        <v>4370.9278681888491</v>
      </c>
      <c r="AH529">
        <f t="shared" si="448"/>
        <v>1.5705675424180137</v>
      </c>
      <c r="AI529" t="str">
        <f t="shared" si="429"/>
        <v>1+242,82931965537i</v>
      </c>
      <c r="AJ529">
        <f t="shared" si="449"/>
        <v>242.83137870606808</v>
      </c>
      <c r="AK529">
        <f t="shared" si="450"/>
        <v>1.5666782312185095</v>
      </c>
      <c r="AL529" t="str">
        <f t="shared" si="430"/>
        <v>1-16,5224424373013i</v>
      </c>
      <c r="AM529">
        <f t="shared" si="451"/>
        <v>16.552676644396065</v>
      </c>
      <c r="AN529">
        <f t="shared" si="452"/>
        <v>-1.5103463273790902</v>
      </c>
      <c r="AO529" s="58" t="str">
        <f t="shared" si="453"/>
        <v>1,79064626760673-31,6250813828508i</v>
      </c>
      <c r="AP529">
        <f t="shared" si="454"/>
        <v>30.014534014336395</v>
      </c>
      <c r="AQ529" s="60">
        <f t="shared" si="455"/>
        <v>-86.759311278850575</v>
      </c>
      <c r="AR529" t="str">
        <f t="shared" si="431"/>
        <v>-1,36472945891784</v>
      </c>
      <c r="AS529" t="str">
        <f t="shared" si="432"/>
        <v>1+181,903443353838i</v>
      </c>
      <c r="AT529">
        <f t="shared" si="456"/>
        <v>181.90619204409438</v>
      </c>
      <c r="AU529">
        <f t="shared" si="457"/>
        <v>1.5652989601268317</v>
      </c>
      <c r="AV529" t="str">
        <f t="shared" si="433"/>
        <v>1+181,903443353838i</v>
      </c>
      <c r="AW529">
        <f t="shared" si="458"/>
        <v>181.90619204409438</v>
      </c>
      <c r="AX529">
        <f t="shared" si="459"/>
        <v>1.5652989601268317</v>
      </c>
      <c r="AY529" t="str">
        <f t="shared" si="434"/>
        <v>1-0,0000824613307117121i</v>
      </c>
      <c r="AZ529">
        <f t="shared" si="460"/>
        <v>1.0000000033999354</v>
      </c>
      <c r="BA529">
        <f t="shared" si="461"/>
        <v>-8.2461330524803282E-5</v>
      </c>
      <c r="BB529" s="58" t="str">
        <f t="shared" si="462"/>
        <v>-0,0000406244815537499+0,00750227048633542i</v>
      </c>
      <c r="BC529">
        <f t="shared" si="463"/>
        <v>-42.496018296627796</v>
      </c>
      <c r="BD529" s="60">
        <f t="shared" si="464"/>
        <v>90.310251222303904</v>
      </c>
      <c r="BE529" s="58" t="str">
        <f t="shared" si="465"/>
        <v>-0,000788593580147645-0,00109933121156627i</v>
      </c>
      <c r="BF529" s="37">
        <f t="shared" si="466"/>
        <v>-57.37451869970991</v>
      </c>
      <c r="BG529" s="60">
        <f t="shared" si="467"/>
        <v>-125.65336422831302</v>
      </c>
      <c r="BH529" s="58" t="str">
        <f t="shared" si="468"/>
        <v>0,23718717061025+0,0147186651802061i</v>
      </c>
      <c r="BI529" s="37">
        <f t="shared" si="469"/>
        <v>-12.481484282291387</v>
      </c>
      <c r="BJ529" s="60">
        <f t="shared" si="470"/>
        <v>3.5509399434533258</v>
      </c>
      <c r="BK529">
        <f t="shared" si="471"/>
        <v>-57.37451869970991</v>
      </c>
      <c r="BL529" s="60">
        <f t="shared" si="472"/>
        <v>-125.65336422831302</v>
      </c>
      <c r="BN529">
        <f t="shared" si="473"/>
        <v>0</v>
      </c>
      <c r="BO529">
        <f t="shared" si="474"/>
        <v>0</v>
      </c>
    </row>
    <row r="530" spans="13:67" x14ac:dyDescent="0.25">
      <c r="M530" s="66">
        <v>12</v>
      </c>
      <c r="N530" s="36">
        <f t="shared" si="476"/>
        <v>1318256.7385564097</v>
      </c>
      <c r="O530" s="91" t="str">
        <f t="shared" si="423"/>
        <v>22,5</v>
      </c>
      <c r="P530" s="67" t="str">
        <f t="shared" si="424"/>
        <v>1+8945,47948045117i</v>
      </c>
      <c r="Q530" s="67">
        <f t="shared" si="435"/>
        <v>8945.4795363453231</v>
      </c>
      <c r="R530" s="67">
        <f t="shared" si="436"/>
        <v>1.5706845384890802</v>
      </c>
      <c r="S530" s="67" t="str">
        <f t="shared" si="425"/>
        <v>1+248,485541123644i</v>
      </c>
      <c r="T530" s="67">
        <f t="shared" si="437"/>
        <v>248.48755330500995</v>
      </c>
      <c r="U530" s="67">
        <f t="shared" si="438"/>
        <v>1.5667719694943136</v>
      </c>
      <c r="V530" t="str">
        <f t="shared" si="426"/>
        <v>1-51,7678210674257i</v>
      </c>
      <c r="W530" s="67">
        <f t="shared" si="439"/>
        <v>51.777478676244982</v>
      </c>
      <c r="X530" s="67">
        <f t="shared" si="440"/>
        <v>-1.5514817096290288</v>
      </c>
      <c r="Y530" t="str">
        <f t="shared" si="427"/>
        <v>-110,219253039961+143,569423760327i</v>
      </c>
      <c r="Z530" s="67">
        <f t="shared" si="441"/>
        <v>180.99851706453097</v>
      </c>
      <c r="AA530" s="67">
        <f t="shared" si="442"/>
        <v>2.2255339418641111</v>
      </c>
      <c r="AB530" s="92" t="str">
        <f t="shared" si="443"/>
        <v>-0,143479656749875+0,106678785443959i</v>
      </c>
      <c r="AC530" s="37">
        <f t="shared" si="444"/>
        <v>-14.953011735108305</v>
      </c>
      <c r="AD530" s="60">
        <f t="shared" si="445"/>
        <v>143.3687703241342</v>
      </c>
      <c r="AE530" t="str">
        <f t="shared" si="446"/>
        <v>34,4450883806789</v>
      </c>
      <c r="AF530" t="str">
        <f t="shared" si="428"/>
        <v>1+4472,73974022559i</v>
      </c>
      <c r="AG530">
        <f t="shared" si="447"/>
        <v>4472.739852013895</v>
      </c>
      <c r="AH530">
        <f t="shared" si="448"/>
        <v>1.5705727501860578</v>
      </c>
      <c r="AI530" t="str">
        <f t="shared" si="429"/>
        <v>1+248,485541123644i</v>
      </c>
      <c r="AJ530">
        <f t="shared" si="449"/>
        <v>248.48755330500995</v>
      </c>
      <c r="AK530">
        <f t="shared" si="450"/>
        <v>1.5667719694943136</v>
      </c>
      <c r="AL530" t="str">
        <f t="shared" si="430"/>
        <v>1-16,9072995614526i</v>
      </c>
      <c r="AM530">
        <f t="shared" si="451"/>
        <v>16.936846768530891</v>
      </c>
      <c r="AN530">
        <f t="shared" si="452"/>
        <v>-1.511719100847781</v>
      </c>
      <c r="AO530" s="58" t="str">
        <f t="shared" si="453"/>
        <v>1,79064619067969-32,3613800847283i</v>
      </c>
      <c r="AP530">
        <f t="shared" si="454"/>
        <v>30.213817253120041</v>
      </c>
      <c r="AQ530" s="60">
        <f t="shared" si="455"/>
        <v>-86.832892980381288</v>
      </c>
      <c r="AR530" t="str">
        <f t="shared" si="431"/>
        <v>-1,36472945891784</v>
      </c>
      <c r="AS530" t="str">
        <f t="shared" si="432"/>
        <v>1+186,140518855722i</v>
      </c>
      <c r="AT530">
        <f t="shared" si="456"/>
        <v>186.1432049790628</v>
      </c>
      <c r="AU530">
        <f t="shared" si="457"/>
        <v>1.5654240930339172</v>
      </c>
      <c r="AV530" t="str">
        <f t="shared" si="433"/>
        <v>1+186,140518855722i</v>
      </c>
      <c r="AW530">
        <f t="shared" si="458"/>
        <v>186.1432049790628</v>
      </c>
      <c r="AX530">
        <f t="shared" si="459"/>
        <v>1.5654240930339172</v>
      </c>
      <c r="AY530" t="str">
        <f t="shared" si="434"/>
        <v>1-0,0000805842816610315i</v>
      </c>
      <c r="AZ530">
        <f t="shared" si="460"/>
        <v>1.0000000032469132</v>
      </c>
      <c r="BA530">
        <f t="shared" si="461"/>
        <v>-8.0584281486598041E-5</v>
      </c>
      <c r="BB530" s="58" t="str">
        <f t="shared" si="462"/>
        <v>-0,0000387961314636319+0,00733150778334378i</v>
      </c>
      <c r="BC530">
        <f t="shared" si="463"/>
        <v>-42.696012390865405</v>
      </c>
      <c r="BD530" s="60">
        <f t="shared" si="464"/>
        <v>90.303189181837553</v>
      </c>
      <c r="BE530" s="58" t="str">
        <f t="shared" si="465"/>
        <v>-0,000776549890174422-0,00105606094439767i</v>
      </c>
      <c r="BF530" s="37">
        <f t="shared" si="466"/>
        <v>-57.649024125973689</v>
      </c>
      <c r="BG530" s="60">
        <f t="shared" si="467"/>
        <v>-126.32804049402817</v>
      </c>
      <c r="BH530" s="58" t="str">
        <f t="shared" si="468"/>
        <v>0,237188239825913+0,0143836328402947i</v>
      </c>
      <c r="BI530" s="37">
        <f t="shared" si="469"/>
        <v>-12.482195137745382</v>
      </c>
      <c r="BJ530" s="60">
        <f t="shared" si="470"/>
        <v>3.4702962014562582</v>
      </c>
      <c r="BK530">
        <f t="shared" si="471"/>
        <v>-57.649024125973689</v>
      </c>
      <c r="BL530" s="60">
        <f t="shared" si="472"/>
        <v>-126.32804049402817</v>
      </c>
      <c r="BN530">
        <f t="shared" si="473"/>
        <v>0</v>
      </c>
      <c r="BO530">
        <f t="shared" si="474"/>
        <v>0</v>
      </c>
    </row>
    <row r="531" spans="13:67" x14ac:dyDescent="0.25">
      <c r="M531" s="66">
        <v>13</v>
      </c>
      <c r="N531" s="36">
        <f t="shared" si="476"/>
        <v>1348962.8825916562</v>
      </c>
      <c r="O531" s="91" t="str">
        <f t="shared" ref="O531:O560" si="477">COMPLEX(adc,0)</f>
        <v>22,5</v>
      </c>
      <c r="P531" s="67" t="str">
        <f t="shared" ref="P531:P560" si="478">IMSUM(COMPLEX(1,0),IMDIV(COMPLEX(0,2*PI()*N531),COMPLEX(wp_lf,0)))</f>
        <v>1+9153,84646493695i</v>
      </c>
      <c r="Q531" s="67">
        <f t="shared" si="435"/>
        <v>9153.846519558796</v>
      </c>
      <c r="R531" s="67">
        <f t="shared" si="436"/>
        <v>1.5706870831015649</v>
      </c>
      <c r="S531" s="67" t="str">
        <f t="shared" ref="S531:S560" si="479">IMSUM(COMPLEX(1,0),IMDIV(COMPLEX(0,2*PI()*N531),COMPLEX(wz_esr,0)))</f>
        <v>1+254,273512914916i</v>
      </c>
      <c r="T531" s="67">
        <f t="shared" si="437"/>
        <v>254.27547929380046</v>
      </c>
      <c r="U531" s="67">
        <f t="shared" si="438"/>
        <v>1.5668635740947965</v>
      </c>
      <c r="V531" t="str">
        <f t="shared" ref="V531:V560" si="480">IMSUB(COMPLEX(1,0),IMDIV(COMPLEX(0,2*PI()*N531),COMPLEX(wz_rhp,0)))</f>
        <v>1-52,9736485239407i</v>
      </c>
      <c r="W531" s="67">
        <f t="shared" si="439"/>
        <v>52.983086338359008</v>
      </c>
      <c r="X531" s="67">
        <f t="shared" si="440"/>
        <v>-1.5519212583604853</v>
      </c>
      <c r="Y531" t="str">
        <f t="shared" ref="Y531:Y560" si="481">IMSUM(COMPLEX(1,0),IMDIV(COMPLEX(0,2*PI()*N531),COMPLEX(Q*(wsl/2),0)),IMDIV(IMPOWER(COMPLEX(0,2*PI()*N531),2),IMPOWER(COMPLEX(wsl/2,0),2)))</f>
        <v>-115,460854951039+146,913585239729i</v>
      </c>
      <c r="Z531" s="67">
        <f t="shared" si="441"/>
        <v>186.85505225713322</v>
      </c>
      <c r="AA531" s="67">
        <f t="shared" si="442"/>
        <v>2.2368865586625706</v>
      </c>
      <c r="AB531" s="92" t="str">
        <f t="shared" si="443"/>
        <v>-0,140971485613344+0,107398368908514i</v>
      </c>
      <c r="AC531" s="37">
        <f t="shared" si="444"/>
        <v>-15.029684374570177</v>
      </c>
      <c r="AD531" s="60">
        <f t="shared" si="445"/>
        <v>142.69823176938633</v>
      </c>
      <c r="AE531" t="str">
        <f t="shared" si="446"/>
        <v>34,4450883806789</v>
      </c>
      <c r="AF531" t="str">
        <f t="shared" ref="AF531:AF560" si="482">IMSUM(COMPLEX(1,0),IMDIV(COMPLEX(0,2*PI()*N531),COMPLEX(wp_lf_DCM,0)))</f>
        <v>1+4576,92323246848i</v>
      </c>
      <c r="AG531">
        <f t="shared" si="447"/>
        <v>4576.9233417121732</v>
      </c>
      <c r="AH531">
        <f t="shared" si="448"/>
        <v>1.5705778394108405</v>
      </c>
      <c r="AI531" t="str">
        <f t="shared" ref="AI531:AI560" si="483">IMSUM(COMPLEX(1,0),IMDIV(COMPLEX(0,2*PI()*N531),COMPLEX(wz1_dcm,0)))</f>
        <v>1+254,273512914916i</v>
      </c>
      <c r="AJ531">
        <f t="shared" si="449"/>
        <v>254.27547929380046</v>
      </c>
      <c r="AK531">
        <f t="shared" si="450"/>
        <v>1.5668635740947965</v>
      </c>
      <c r="AL531" t="str">
        <f t="shared" ref="AL531:AL560" si="484">IMSUB(COMPLEX(1,0),IMDIV(COMPLEX(0,2*PI()*N531),COMPLEX(wz2_dcm,0)))</f>
        <v>1-17,3011211596259i</v>
      </c>
      <c r="AM531">
        <f t="shared" si="451"/>
        <v>17.32999692383282</v>
      </c>
      <c r="AN531">
        <f t="shared" si="452"/>
        <v>-1.5130608416182678</v>
      </c>
      <c r="AO531" s="58" t="str">
        <f t="shared" si="453"/>
        <v>1,79064611721493-33,1148372186786i</v>
      </c>
      <c r="AP531">
        <f t="shared" si="454"/>
        <v>30.413132642040395</v>
      </c>
      <c r="AQ531" s="60">
        <f t="shared" si="455"/>
        <v>-86.904812097840207</v>
      </c>
      <c r="AR531" t="str">
        <f t="shared" ref="AR531:AR560" si="485">COMPLEX(adc_ea,0)</f>
        <v>-1,36472945891784</v>
      </c>
      <c r="AS531" t="str">
        <f t="shared" ref="AS531:AS560" si="486">IMSUM(COMPLEX(1,0), IMDIV(COMPLEX(0,2*PI()*N531), COMPLEX(wp0_ea,0)))</f>
        <v>1+190,476288524563i</v>
      </c>
      <c r="AT531">
        <f t="shared" si="456"/>
        <v>190.47891350512415</v>
      </c>
      <c r="AU531">
        <f t="shared" si="457"/>
        <v>1.5655463777308563</v>
      </c>
      <c r="AV531" t="str">
        <f t="shared" ref="AV531:AV560" si="487">IMSUM(COMPLEX(1,0),IMDIV(COMPLEX(0,2*PI()*N531),COMPLEX(wp1_ea,0)))</f>
        <v>1+190,476288524563i</v>
      </c>
      <c r="AW531">
        <f t="shared" si="458"/>
        <v>190.47891350512415</v>
      </c>
      <c r="AX531">
        <f t="shared" si="459"/>
        <v>1.5655463777308563</v>
      </c>
      <c r="AY531" t="str">
        <f t="shared" ref="AY531:AY560" si="488">IMSUM(COMPLEX(1,0),IMDIV(COMPLEX(wz_ea,0),COMPLEX(0,2*PI()*N531)))</f>
        <v>1-0,0000787499594631469i</v>
      </c>
      <c r="AZ531">
        <f t="shared" si="460"/>
        <v>1.0000000031007781</v>
      </c>
      <c r="BA531">
        <f t="shared" si="461"/>
        <v>-7.8749959300356139E-5</v>
      </c>
      <c r="BB531" s="58" t="str">
        <f t="shared" si="462"/>
        <v>-0,0000370500660399605+0,00716463145844957i</v>
      </c>
      <c r="BC531">
        <f t="shared" si="463"/>
        <v>-42.896006750898536</v>
      </c>
      <c r="BD531" s="60">
        <f t="shared" si="464"/>
        <v>90.296287883723423</v>
      </c>
      <c r="BE531" s="58" t="str">
        <f t="shared" si="465"/>
        <v>-0,000764246729616386-0,00101398785723038i</v>
      </c>
      <c r="BF531" s="37">
        <f t="shared" si="466"/>
        <v>-57.92569112546871</v>
      </c>
      <c r="BG531" s="60">
        <f t="shared" si="467"/>
        <v>-127.00548034689025</v>
      </c>
      <c r="BH531" s="58" t="str">
        <f t="shared" si="468"/>
        <v>0,237189260921484+0,0140562264082032i</v>
      </c>
      <c r="BI531" s="37">
        <f t="shared" si="469"/>
        <v>-12.482874108858146</v>
      </c>
      <c r="BJ531" s="60">
        <f t="shared" si="470"/>
        <v>3.3914757858832214</v>
      </c>
      <c r="BK531">
        <f t="shared" si="471"/>
        <v>-57.92569112546871</v>
      </c>
      <c r="BL531" s="60">
        <f t="shared" si="472"/>
        <v>-127.00548034689025</v>
      </c>
      <c r="BN531">
        <f t="shared" si="473"/>
        <v>0</v>
      </c>
      <c r="BO531">
        <f t="shared" si="474"/>
        <v>0</v>
      </c>
    </row>
    <row r="532" spans="13:67" x14ac:dyDescent="0.25">
      <c r="M532" s="66">
        <v>14</v>
      </c>
      <c r="N532" s="36">
        <f t="shared" si="476"/>
        <v>1380384.2646028849</v>
      </c>
      <c r="O532" s="91" t="str">
        <f t="shared" si="477"/>
        <v>22,5</v>
      </c>
      <c r="P532" s="67" t="str">
        <f t="shared" si="478"/>
        <v>1+9367,06693998392i</v>
      </c>
      <c r="Q532" s="67">
        <f t="shared" ref="Q532:Q560" si="489">IMABS(P532)</f>
        <v>9367.0669933624213</v>
      </c>
      <c r="R532" s="67">
        <f t="shared" ref="R532:R560" si="490">IMARGUMENT(P532)</f>
        <v>1.570689569791599</v>
      </c>
      <c r="S532" s="67" t="str">
        <f t="shared" si="479"/>
        <v>1+260,196303888442i</v>
      </c>
      <c r="T532" s="67">
        <f t="shared" ref="T532:T560" si="491">IMABS(S532)</f>
        <v>260.19822550741281</v>
      </c>
      <c r="U532" s="67">
        <f t="shared" ref="U532:U560" si="492">IMARGUMENT(S532)</f>
        <v>1.566953093583777</v>
      </c>
      <c r="V532" t="str">
        <f t="shared" si="480"/>
        <v>1-54,2075633100921i</v>
      </c>
      <c r="W532" s="67">
        <f t="shared" ref="W532:W560" si="493">IMABS(V532)</f>
        <v>54.216786330597316</v>
      </c>
      <c r="X532" s="67">
        <f t="shared" ref="X532:X560" si="494">IMARGUMENT(V532)</f>
        <v>-1.5523508087897895</v>
      </c>
      <c r="Y532" t="str">
        <f t="shared" si="481"/>
        <v>-120,949485949648+150,335642246655i</v>
      </c>
      <c r="Z532" s="67">
        <f t="shared" ref="Z532:Z560" si="495">IMABS(Y532)</f>
        <v>192.94969158098786</v>
      </c>
      <c r="AA532" s="67">
        <f t="shared" ref="AA532:AA560" si="496">IMARGUMENT(Y532)</f>
        <v>2.2482931717752734</v>
      </c>
      <c r="AB532" s="92" t="str">
        <f t="shared" ref="AB532:AB560" si="497">(IMDIV(IMPRODUCT(O532,S532,V532),IMPRODUCT(P532,Y532)))</f>
        <v>-0,138437378237832+0,108061672373479i</v>
      </c>
      <c r="AC532" s="37">
        <f t="shared" ref="AC532:AC560" si="498">20*LOG(IMABS(AB532))</f>
        <v>-15.108541900565413</v>
      </c>
      <c r="AD532" s="60">
        <f t="shared" ref="AD532:AD560" si="499">(180/PI())*IMARGUMENT(AB532)</f>
        <v>142.0250561648613</v>
      </c>
      <c r="AE532" t="str">
        <f t="shared" ref="AE532:AE560" si="500">COMPLEX($B$67,0)</f>
        <v>34,4450883806789</v>
      </c>
      <c r="AF532" t="str">
        <f t="shared" si="482"/>
        <v>1+4683,53346999196i</v>
      </c>
      <c r="AG532">
        <f t="shared" ref="AG532:AG560" si="501">IMABS(AF532)</f>
        <v>4683.5335767489632</v>
      </c>
      <c r="AH532">
        <f t="shared" ref="AH532:AH560" si="502">IMARGUMENT(AF532)</f>
        <v>1.5705828127907349</v>
      </c>
      <c r="AI532" t="str">
        <f t="shared" si="483"/>
        <v>1+260,196303888442i</v>
      </c>
      <c r="AJ532">
        <f t="shared" ref="AJ532:AJ560" si="503">IMABS(AI532)</f>
        <v>260.19822550741281</v>
      </c>
      <c r="AK532">
        <f t="shared" ref="AK532:AK560" si="504">IMARGUMENT(AI532)</f>
        <v>1.566953093583777</v>
      </c>
      <c r="AL532" t="str">
        <f t="shared" si="484"/>
        <v>1-17,7041160412454i</v>
      </c>
      <c r="AM532">
        <f t="shared" ref="AM532:AM560" si="505">IMABS(AL532)</f>
        <v>17.732335570981128</v>
      </c>
      <c r="AN532">
        <f t="shared" ref="AN532:AN560" si="506">IMARGUMENT(AL532)</f>
        <v>-1.5143722417643928</v>
      </c>
      <c r="AO532" s="58" t="str">
        <f t="shared" ref="AO532:AO560" si="507">(IMDIV(IMPRODUCT(AE532,AI532,AL532),IMPRODUCT(AF532)))</f>
        <v>1,79064604705663-33,8858522776474i</v>
      </c>
      <c r="AP532">
        <f t="shared" ref="AP532:AP560" si="508">20*LOG(IMABS(AO532))</f>
        <v>30.612478743700446</v>
      </c>
      <c r="AQ532" s="60">
        <f t="shared" ref="AQ532:AQ560" si="509">(180/PI())*IMARGUMENT(AO532)</f>
        <v>-86.975105656241098</v>
      </c>
      <c r="AR532" t="str">
        <f t="shared" si="485"/>
        <v>-1,36472945891784</v>
      </c>
      <c r="AS532" t="str">
        <f t="shared" si="486"/>
        <v>1+194,913051242832i</v>
      </c>
      <c r="AT532">
        <f t="shared" ref="AT532:AT560" si="510">IMABS(AS532)</f>
        <v>194.91561647233618</v>
      </c>
      <c r="AU532">
        <f t="shared" ref="AU532:AU560" si="511">IMARGUMENT(AS532)</f>
        <v>1.5656658790399776</v>
      </c>
      <c r="AV532" t="str">
        <f t="shared" si="487"/>
        <v>1+194,913051242832i</v>
      </c>
      <c r="AW532">
        <f t="shared" ref="AW532:AW560" si="512">IMABS(AV532)</f>
        <v>194.91561647233618</v>
      </c>
      <c r="AX532">
        <f t="shared" ref="AX532:AX560" si="513">IMARGUMENT(AV532)</f>
        <v>1.5656658790399776</v>
      </c>
      <c r="AY532" t="str">
        <f t="shared" si="488"/>
        <v>1-0,0000769573915361485i</v>
      </c>
      <c r="AZ532">
        <f t="shared" ref="AZ532:AZ560" si="514">IMABS(AY532)</f>
        <v>1.0000000029612199</v>
      </c>
      <c r="BA532">
        <f t="shared" ref="BA532:BA560" si="515">IMARGUMENT(AY532)</f>
        <v>-7.6957391384223318E-5</v>
      </c>
      <c r="BB532" s="58" t="str">
        <f t="shared" ref="BB532:BB560" si="516">IMDIV(IMPRODUCT(AR532,AY532), AS532)</f>
        <v>-0,0000353825822712014+0,00700155309064126i</v>
      </c>
      <c r="BC532">
        <f t="shared" ref="BC532:BC560" si="517">20*LOG(IMABS(BB532))</f>
        <v>-43.096001364765186</v>
      </c>
      <c r="BD532" s="60">
        <f t="shared" ref="BD532:BD560" si="518">(180/PI())*IMARGUMENT(BB532)</f>
        <v>90.28954366964058</v>
      </c>
      <c r="BE532" s="58" t="str">
        <f t="shared" ref="BE532:BE560" si="519">IMPRODUCT(AB532,BB532)</f>
        <v>-0,000751701264261486-0,000973100154474484i</v>
      </c>
      <c r="BF532" s="37">
        <f t="shared" ref="BF532:BF560" si="520">20*LOG(IMABS(BE532))</f>
        <v>-58.204543265330599</v>
      </c>
      <c r="BG532" s="60">
        <f t="shared" ref="BG532:BG560" si="521">(180/PI())*IMARGUMENT(BE532)</f>
        <v>-127.68540016549812</v>
      </c>
      <c r="BH532" s="58" t="str">
        <f t="shared" ref="BH532:BH560" si="522">IMPRODUCT(AO532,BB532)</f>
        <v>0,237190236062497+0,0137362723210575i</v>
      </c>
      <c r="BI532" s="37">
        <f t="shared" ref="BI532:BI560" si="523">20*LOG(IMABS(BH532))</f>
        <v>-12.483522621064733</v>
      </c>
      <c r="BJ532" s="60">
        <f t="shared" ref="BJ532:BJ560" si="524">(180/PI())*IMARGUMENT(BH532)</f>
        <v>3.3144380133994695</v>
      </c>
      <c r="BK532">
        <f t="shared" ref="BK532:BK560" si="525">IF($B$19=0,BF532,BI532)</f>
        <v>-58.204543265330599</v>
      </c>
      <c r="BL532" s="60">
        <f t="shared" ref="BL532:BL560" si="526">IF($B$19=0,BG532,BJ532)</f>
        <v>-127.68540016549812</v>
      </c>
      <c r="BN532">
        <f t="shared" si="473"/>
        <v>0</v>
      </c>
      <c r="BO532">
        <f t="shared" si="474"/>
        <v>0</v>
      </c>
    </row>
    <row r="533" spans="13:67" x14ac:dyDescent="0.25">
      <c r="M533" s="66">
        <v>15</v>
      </c>
      <c r="N533" s="36">
        <f t="shared" si="476"/>
        <v>1412537.5446227565</v>
      </c>
      <c r="O533" s="91" t="str">
        <f t="shared" si="477"/>
        <v>22,5</v>
      </c>
      <c r="P533" s="67" t="str">
        <f t="shared" si="478"/>
        <v>1+9585,25395791029i</v>
      </c>
      <c r="Q533" s="67">
        <f t="shared" si="489"/>
        <v>9585.2540100737478</v>
      </c>
      <c r="R533" s="67">
        <f t="shared" si="490"/>
        <v>1.5706919998776587</v>
      </c>
      <c r="S533" s="67" t="str">
        <f t="shared" si="479"/>
        <v>1+266,257054386397i</v>
      </c>
      <c r="T533" s="67">
        <f t="shared" si="491"/>
        <v>266.25893226429184</v>
      </c>
      <c r="U533" s="67">
        <f t="shared" si="492"/>
        <v>1.5670405754199306</v>
      </c>
      <c r="V533" t="str">
        <f t="shared" si="480"/>
        <v>1-55,4702196638327i</v>
      </c>
      <c r="W533" s="67">
        <f t="shared" si="493"/>
        <v>55.479232777264073</v>
      </c>
      <c r="X533" s="67">
        <f t="shared" si="494"/>
        <v>-1.5527705880358385</v>
      </c>
      <c r="Y533" t="str">
        <f t="shared" si="481"/>
        <v>-126,696788158009+153,837409201029i</v>
      </c>
      <c r="Z533" s="67">
        <f t="shared" si="495"/>
        <v>199.29381475409679</v>
      </c>
      <c r="AA533" s="67">
        <f t="shared" si="496"/>
        <v>2.2597484366141027</v>
      </c>
      <c r="AB533" s="92" t="str">
        <f t="shared" si="497"/>
        <v>-0,135879660724943+0,108667377280922i</v>
      </c>
      <c r="AC533" s="37">
        <f t="shared" si="498"/>
        <v>-15.189605913014777</v>
      </c>
      <c r="AD533" s="60">
        <f t="shared" si="499"/>
        <v>141.34953936358662</v>
      </c>
      <c r="AE533" t="str">
        <f t="shared" si="500"/>
        <v>34,4450883806789</v>
      </c>
      <c r="AF533" t="str">
        <f t="shared" si="482"/>
        <v>1+4792,62697895515i</v>
      </c>
      <c r="AG533">
        <f t="shared" si="501"/>
        <v>4792.6270832820665</v>
      </c>
      <c r="AH533">
        <f t="shared" si="502"/>
        <v>1.5705876729626917</v>
      </c>
      <c r="AI533" t="str">
        <f t="shared" si="483"/>
        <v>1+266,257054386397i</v>
      </c>
      <c r="AJ533">
        <f t="shared" si="503"/>
        <v>266.25893226429184</v>
      </c>
      <c r="AK533">
        <f t="shared" si="504"/>
        <v>1.5670405754199306</v>
      </c>
      <c r="AL533" t="str">
        <f t="shared" si="484"/>
        <v>1-18,1164978795317i</v>
      </c>
      <c r="AM533">
        <f t="shared" si="505"/>
        <v>18.144076042033017</v>
      </c>
      <c r="AN533">
        <f t="shared" si="506"/>
        <v>-1.515653978555205</v>
      </c>
      <c r="AO533" s="58" t="str">
        <f t="shared" si="507"/>
        <v>1,79064598005597-34,6748340640249i</v>
      </c>
      <c r="AP533">
        <f t="shared" si="508"/>
        <v>30.811854184556292</v>
      </c>
      <c r="AQ533" s="60">
        <f t="shared" si="509"/>
        <v>-87.04380989214647</v>
      </c>
      <c r="AR533" t="str">
        <f t="shared" si="485"/>
        <v>-1,36472945891784</v>
      </c>
      <c r="AS533" t="str">
        <f t="shared" si="486"/>
        <v>1+199,45315944085i</v>
      </c>
      <c r="AT533">
        <f t="shared" si="510"/>
        <v>199.45566627934423</v>
      </c>
      <c r="AU533">
        <f t="shared" si="511"/>
        <v>1.5657826603087963</v>
      </c>
      <c r="AV533" t="str">
        <f t="shared" si="487"/>
        <v>1+199,45315944085i</v>
      </c>
      <c r="AW533">
        <f t="shared" si="512"/>
        <v>199.45566627934423</v>
      </c>
      <c r="AX533">
        <f t="shared" si="513"/>
        <v>1.5657826603087963</v>
      </c>
      <c r="AY533" t="str">
        <f t="shared" si="488"/>
        <v>1-0,0000752056274367939i</v>
      </c>
      <c r="AZ533">
        <f t="shared" si="514"/>
        <v>1.0000000028279432</v>
      </c>
      <c r="BA533">
        <f t="shared" si="515"/>
        <v>-7.5205627295009064E-5</v>
      </c>
      <c r="BB533" s="58" t="str">
        <f t="shared" si="516"/>
        <v>-0,0000337901437728518+0,00684218626869524i</v>
      </c>
      <c r="BC533">
        <f t="shared" si="517"/>
        <v>-43.295996221041563</v>
      </c>
      <c r="BD533" s="60">
        <f t="shared" si="518"/>
        <v>90.282952964500097</v>
      </c>
      <c r="BE533" s="58" t="str">
        <f t="shared" si="519"/>
        <v>-0,000738931043414947-0,000933385835108914i</v>
      </c>
      <c r="BF533" s="37">
        <f t="shared" si="520"/>
        <v>-58.485602134056343</v>
      </c>
      <c r="BG533" s="60">
        <f t="shared" si="521"/>
        <v>-128.3675076719133</v>
      </c>
      <c r="BH533" s="58" t="str">
        <f t="shared" si="522"/>
        <v>0,237191167317045+0,0134236009651565i</v>
      </c>
      <c r="BI533" s="37">
        <f t="shared" si="523"/>
        <v>-12.484142036485263</v>
      </c>
      <c r="BJ533" s="60">
        <f t="shared" si="524"/>
        <v>3.2391430723536345</v>
      </c>
      <c r="BK533">
        <f t="shared" si="525"/>
        <v>-58.485602134056343</v>
      </c>
      <c r="BL533" s="60">
        <f t="shared" si="526"/>
        <v>-128.3675076719133</v>
      </c>
      <c r="BN533">
        <f t="shared" ref="BN533:BN559" si="527">SUM((BK534&lt;0)*(BK533&gt;0))*N533</f>
        <v>0</v>
      </c>
      <c r="BO533">
        <f t="shared" ref="BO533:BO559" si="528">IF(BN533&gt;0,BL533,0)</f>
        <v>0</v>
      </c>
    </row>
    <row r="534" spans="13:67" x14ac:dyDescent="0.25">
      <c r="M534" s="66">
        <v>16</v>
      </c>
      <c r="N534" s="36">
        <f t="shared" si="476"/>
        <v>1445439.7707459298</v>
      </c>
      <c r="O534" s="91" t="str">
        <f t="shared" si="477"/>
        <v>22,5</v>
      </c>
      <c r="P534" s="67" t="str">
        <f t="shared" si="478"/>
        <v>1+9808,52320436097i</v>
      </c>
      <c r="Q534" s="67">
        <f t="shared" si="489"/>
        <v>9808.5232553370424</v>
      </c>
      <c r="R534" s="67">
        <f t="shared" si="490"/>
        <v>1.5706943746482074</v>
      </c>
      <c r="S534" s="67" t="str">
        <f t="shared" si="479"/>
        <v>1+272,458977898916i</v>
      </c>
      <c r="T534" s="67">
        <f t="shared" si="491"/>
        <v>272.46081303138254</v>
      </c>
      <c r="U534" s="67">
        <f t="shared" si="492"/>
        <v>1.5671260659819257</v>
      </c>
      <c r="V534" t="str">
        <f t="shared" si="480"/>
        <v>1-56,7622870622741i</v>
      </c>
      <c r="W534" s="67">
        <f t="shared" si="493"/>
        <v>56.771095044397462</v>
      </c>
      <c r="X534" s="67">
        <f t="shared" si="494"/>
        <v>-1.5531808180790352</v>
      </c>
      <c r="Y534" t="str">
        <f t="shared" si="481"/>
        <v>-132,714952374659+157,42074278604i</v>
      </c>
      <c r="Z534" s="67">
        <f t="shared" si="495"/>
        <v>205.89936581523645</v>
      </c>
      <c r="AA534" s="67">
        <f t="shared" si="496"/>
        <v>2.271246875156228</v>
      </c>
      <c r="AB534" s="92" t="str">
        <f t="shared" si="497"/>
        <v>-0,133300752931689+0,10921428764123i</v>
      </c>
      <c r="AC534" s="37">
        <f t="shared" si="498"/>
        <v>-15.272895948144589</v>
      </c>
      <c r="AD534" s="60">
        <f t="shared" si="499"/>
        <v>140.67198509808838</v>
      </c>
      <c r="AE534" t="str">
        <f t="shared" si="500"/>
        <v>34,4450883806789</v>
      </c>
      <c r="AF534" t="str">
        <f t="shared" si="482"/>
        <v>1+4904,26160218049i</v>
      </c>
      <c r="AG534">
        <f t="shared" si="501"/>
        <v>4904.2617041326366</v>
      </c>
      <c r="AH534">
        <f t="shared" si="502"/>
        <v>1.5705924225036376</v>
      </c>
      <c r="AI534" t="str">
        <f t="shared" si="483"/>
        <v>1+272,458977898916i</v>
      </c>
      <c r="AJ534">
        <f t="shared" si="503"/>
        <v>272.46081303138254</v>
      </c>
      <c r="AK534">
        <f t="shared" si="504"/>
        <v>1.5671260659819257</v>
      </c>
      <c r="AL534" t="str">
        <f t="shared" si="484"/>
        <v>1-18,538485324794i</v>
      </c>
      <c r="AM534">
        <f t="shared" si="505"/>
        <v>18.565436653566824</v>
      </c>
      <c r="AN534">
        <f t="shared" si="506"/>
        <v>-1.5169067147293755</v>
      </c>
      <c r="AO534" s="58" t="str">
        <f t="shared" si="507"/>
        <v>1,79064591607084-35,4822009063977i</v>
      </c>
      <c r="AP534">
        <f t="shared" si="508"/>
        <v>31.011257652116644</v>
      </c>
      <c r="AQ534" s="60">
        <f t="shared" si="509"/>
        <v>-87.110960268030126</v>
      </c>
      <c r="AR534" t="str">
        <f t="shared" si="485"/>
        <v>-1,36472945891784</v>
      </c>
      <c r="AS534" t="str">
        <f t="shared" si="486"/>
        <v>1+204,099020344078i</v>
      </c>
      <c r="AT534">
        <f t="shared" si="510"/>
        <v>204.10147012065437</v>
      </c>
      <c r="AU534">
        <f t="shared" si="511"/>
        <v>1.5658967834435387</v>
      </c>
      <c r="AV534" t="str">
        <f t="shared" si="487"/>
        <v>1+204,099020344078i</v>
      </c>
      <c r="AW534">
        <f t="shared" si="512"/>
        <v>204.10147012065437</v>
      </c>
      <c r="AX534">
        <f t="shared" si="513"/>
        <v>1.5658967834435387</v>
      </c>
      <c r="AY534" t="str">
        <f t="shared" si="488"/>
        <v>1-0,0000734937383565704i</v>
      </c>
      <c r="AZ534">
        <f t="shared" si="514"/>
        <v>1.0000000027006648</v>
      </c>
      <c r="BA534">
        <f t="shared" si="515"/>
        <v>-7.3493738224249101E-5</v>
      </c>
      <c r="BB534" s="58" t="str">
        <f t="shared" si="516"/>
        <v>-0,0000322693732911499+0,00668644654562226i</v>
      </c>
      <c r="BC534">
        <f t="shared" si="517"/>
        <v>-43.495991308817949</v>
      </c>
      <c r="BD534" s="60">
        <f t="shared" si="518"/>
        <v>90.276512274553298</v>
      </c>
      <c r="BE534" s="58" t="str">
        <f t="shared" si="519"/>
        <v>-0,000725953964574954-0,00089483263558556i</v>
      </c>
      <c r="BF534" s="37">
        <f t="shared" si="520"/>
        <v>-58.768887256962536</v>
      </c>
      <c r="BG534" s="60">
        <f t="shared" si="521"/>
        <v>-129.05150262735827</v>
      </c>
      <c r="BH534" s="58" t="str">
        <f t="shared" si="522"/>
        <v>0,23719205666016+0,0131180465861846i</v>
      </c>
      <c r="BI534" s="37">
        <f t="shared" si="523"/>
        <v>-12.484733656701303</v>
      </c>
      <c r="BJ534" s="60">
        <f t="shared" si="524"/>
        <v>3.165552006523197</v>
      </c>
      <c r="BK534">
        <f t="shared" si="525"/>
        <v>-58.768887256962536</v>
      </c>
      <c r="BL534" s="60">
        <f t="shared" si="526"/>
        <v>-129.05150262735827</v>
      </c>
      <c r="BN534">
        <f t="shared" si="527"/>
        <v>0</v>
      </c>
      <c r="BO534">
        <f t="shared" si="528"/>
        <v>0</v>
      </c>
    </row>
    <row r="535" spans="13:67" x14ac:dyDescent="0.25">
      <c r="M535" s="66">
        <v>17</v>
      </c>
      <c r="N535" s="36">
        <f t="shared" si="476"/>
        <v>1479108.3881682095</v>
      </c>
      <c r="O535" s="91" t="str">
        <f t="shared" si="477"/>
        <v>22,5</v>
      </c>
      <c r="P535" s="67" t="str">
        <f t="shared" si="478"/>
        <v>1+10036,9930596457i</v>
      </c>
      <c r="Q535" s="67">
        <f t="shared" si="489"/>
        <v>10036.993109461417</v>
      </c>
      <c r="R535" s="67">
        <f t="shared" si="490"/>
        <v>1.57069669536238</v>
      </c>
      <c r="S535" s="67" t="str">
        <f t="shared" si="479"/>
        <v>1+278,805362767937i</v>
      </c>
      <c r="T535" s="67">
        <f t="shared" si="491"/>
        <v>278.80715612796058</v>
      </c>
      <c r="U535" s="67">
        <f t="shared" si="492"/>
        <v>1.5672096105929885</v>
      </c>
      <c r="V535" t="str">
        <f t="shared" si="480"/>
        <v>1-58,0844505766536i</v>
      </c>
      <c r="W535" s="67">
        <f t="shared" si="493"/>
        <v>58.093058094678696</v>
      </c>
      <c r="X535" s="67">
        <f t="shared" si="494"/>
        <v>-1.5535817158761651</v>
      </c>
      <c r="Y535" t="str">
        <f t="shared" si="481"/>
        <v>-139,016743932772+161,087542932586i</v>
      </c>
      <c r="Z535" s="67">
        <f t="shared" si="495"/>
        <v>212.77887954805956</v>
      </c>
      <c r="AA535" s="67">
        <f t="shared" si="496"/>
        <v>2.2827828887484625</v>
      </c>
      <c r="AB535" s="92" t="str">
        <f t="shared" si="497"/>
        <v>-0,130703159980643+0,109701337653506i</v>
      </c>
      <c r="AC535" s="37">
        <f t="shared" si="498"/>
        <v>-15.358429400992591</v>
      </c>
      <c r="AD535" s="60">
        <f t="shared" si="499"/>
        <v>139.99270424154361</v>
      </c>
      <c r="AE535" t="str">
        <f t="shared" si="500"/>
        <v>34,4450883806789</v>
      </c>
      <c r="AF535" t="str">
        <f t="shared" si="482"/>
        <v>1+5018,49652982287i</v>
      </c>
      <c r="AG535">
        <f t="shared" si="501"/>
        <v>5018.4966294543019</v>
      </c>
      <c r="AH535">
        <f t="shared" si="502"/>
        <v>1.5705970639318414</v>
      </c>
      <c r="AI535" t="str">
        <f t="shared" si="483"/>
        <v>1+278,805362767937i</v>
      </c>
      <c r="AJ535">
        <f t="shared" si="503"/>
        <v>278.80715612796058</v>
      </c>
      <c r="AK535">
        <f t="shared" si="504"/>
        <v>1.5672096105929885</v>
      </c>
      <c r="AL535" t="str">
        <f t="shared" si="484"/>
        <v>1-18,9703021203612i</v>
      </c>
      <c r="AM535">
        <f t="shared" si="505"/>
        <v>18.99664082246597</v>
      </c>
      <c r="AN535">
        <f t="shared" si="506"/>
        <v>-1.5181310987674617</v>
      </c>
      <c r="AO535" s="58" t="str">
        <f t="shared" si="507"/>
        <v>1,79064585496552-36,308380881352i</v>
      </c>
      <c r="AP535">
        <f t="shared" si="508"/>
        <v>31.210687892261944</v>
      </c>
      <c r="AQ535" s="60">
        <f t="shared" si="509"/>
        <v>-87.176591486547665</v>
      </c>
      <c r="AR535" t="str">
        <f t="shared" si="485"/>
        <v>-1,36472945891784</v>
      </c>
      <c r="AS535" t="str">
        <f t="shared" si="486"/>
        <v>1+208,853097249462i</v>
      </c>
      <c r="AT535">
        <f t="shared" si="510"/>
        <v>208.85549126296209</v>
      </c>
      <c r="AU535">
        <f t="shared" si="511"/>
        <v>1.5660083089419035</v>
      </c>
      <c r="AV535" t="str">
        <f t="shared" si="487"/>
        <v>1+208,853097249462i</v>
      </c>
      <c r="AW535">
        <f t="shared" si="512"/>
        <v>208.85549126296209</v>
      </c>
      <c r="AX535">
        <f t="shared" si="513"/>
        <v>1.5660083089419035</v>
      </c>
      <c r="AY535" t="str">
        <f t="shared" si="488"/>
        <v>1-0,0000718208166292285i</v>
      </c>
      <c r="AZ535">
        <f t="shared" si="514"/>
        <v>1.0000000025791147</v>
      </c>
      <c r="BA535">
        <f t="shared" si="515"/>
        <v>-7.1820816505739079E-5</v>
      </c>
      <c r="BB535" s="58" t="str">
        <f t="shared" si="516"/>
        <v>-0,0000308170455438958+0,00653425139413781i</v>
      </c>
      <c r="BC535">
        <f t="shared" si="517"/>
        <v>-43.695986617675587</v>
      </c>
      <c r="BD535" s="60">
        <f t="shared" si="518"/>
        <v>90.270218185542831</v>
      </c>
      <c r="BE535" s="58" t="str">
        <f t="shared" si="519"/>
        <v>-0,00071278823326735-0,000857427976440428i</v>
      </c>
      <c r="BF535" s="37">
        <f t="shared" si="520"/>
        <v>-59.054416018668185</v>
      </c>
      <c r="BG535" s="60">
        <f t="shared" si="521"/>
        <v>-129.73707757291356</v>
      </c>
      <c r="BH535" s="58" t="str">
        <f t="shared" si="522"/>
        <v>0,237192905977995+0,0128194472014613i</v>
      </c>
      <c r="BI535" s="37">
        <f t="shared" si="523"/>
        <v>-12.485298725413665</v>
      </c>
      <c r="BJ535" s="60">
        <f t="shared" si="524"/>
        <v>3.0936266989951933</v>
      </c>
      <c r="BK535">
        <f t="shared" si="525"/>
        <v>-59.054416018668185</v>
      </c>
      <c r="BL535" s="60">
        <f t="shared" si="526"/>
        <v>-129.73707757291356</v>
      </c>
      <c r="BN535">
        <f t="shared" si="527"/>
        <v>0</v>
      </c>
      <c r="BO535">
        <f t="shared" si="528"/>
        <v>0</v>
      </c>
    </row>
    <row r="536" spans="13:67" x14ac:dyDescent="0.25">
      <c r="M536" s="66">
        <v>18</v>
      </c>
      <c r="N536" s="36">
        <f t="shared" si="476"/>
        <v>1513561.2484362102</v>
      </c>
      <c r="O536" s="91" t="str">
        <f t="shared" si="477"/>
        <v>22,5</v>
      </c>
      <c r="P536" s="67" t="str">
        <f t="shared" si="478"/>
        <v>1+10270,7846615061i</v>
      </c>
      <c r="Q536" s="67">
        <f t="shared" si="489"/>
        <v>10270.784710187872</v>
      </c>
      <c r="R536" s="67">
        <f t="shared" si="490"/>
        <v>1.5706989632506498</v>
      </c>
      <c r="S536" s="67" t="str">
        <f t="shared" si="479"/>
        <v>1+285,299573930724i</v>
      </c>
      <c r="T536" s="67">
        <f t="shared" si="491"/>
        <v>285.30132646914325</v>
      </c>
      <c r="U536" s="67">
        <f t="shared" si="492"/>
        <v>1.5672912535449099</v>
      </c>
      <c r="V536" t="str">
        <f t="shared" si="480"/>
        <v>1-59,4374112355674i</v>
      </c>
      <c r="W536" s="67">
        <f t="shared" si="493"/>
        <v>59.445822850608714</v>
      </c>
      <c r="X536" s="67">
        <f t="shared" si="494"/>
        <v>-1.553973493472796</v>
      </c>
      <c r="Y536" t="str">
        <f t="shared" si="481"/>
        <v>-145,615529777138+164,83975382664i</v>
      </c>
      <c r="Z536" s="67">
        <f t="shared" si="495"/>
        <v>219.94550905600195</v>
      </c>
      <c r="AA536" s="67">
        <f t="shared" si="496"/>
        <v>2.2943507716346341</v>
      </c>
      <c r="AB536" s="92" t="str">
        <f t="shared" si="497"/>
        <v>-0,128089463052564+0,110127598631199i</v>
      </c>
      <c r="AC536" s="37">
        <f t="shared" si="498"/>
        <v>-15.446221455584885</v>
      </c>
      <c r="AD536" s="60">
        <f t="shared" si="499"/>
        <v>139.31201402761542</v>
      </c>
      <c r="AE536" t="str">
        <f t="shared" si="500"/>
        <v>34,4450883806789</v>
      </c>
      <c r="AF536" t="str">
        <f t="shared" si="482"/>
        <v>1+5135,39233075303i</v>
      </c>
      <c r="AG536">
        <f t="shared" si="501"/>
        <v>5135.3924281165737</v>
      </c>
      <c r="AH536">
        <f t="shared" si="502"/>
        <v>1.570601599708249</v>
      </c>
      <c r="AI536" t="str">
        <f t="shared" si="483"/>
        <v>1+285,299573930724i</v>
      </c>
      <c r="AJ536">
        <f t="shared" si="503"/>
        <v>285.30132646914325</v>
      </c>
      <c r="AK536">
        <f t="shared" si="504"/>
        <v>1.5672912535449099</v>
      </c>
      <c r="AL536" t="str">
        <f t="shared" si="484"/>
        <v>1-19,4121772212144i</v>
      </c>
      <c r="AM536">
        <f t="shared" si="505"/>
        <v>19.437917184406235</v>
      </c>
      <c r="AN536">
        <f t="shared" si="506"/>
        <v>-1.5193277651618098</v>
      </c>
      <c r="AO536" s="58" t="str">
        <f t="shared" si="507"/>
        <v>1,79064579661039-37,1538120404471i</v>
      </c>
      <c r="AP536">
        <f t="shared" si="508"/>
        <v>31.410143706678838</v>
      </c>
      <c r="AQ536" s="60">
        <f t="shared" si="509"/>
        <v>-87.240737504701812</v>
      </c>
      <c r="AR536" t="str">
        <f t="shared" si="485"/>
        <v>-1,36472945891784</v>
      </c>
      <c r="AS536" t="str">
        <f t="shared" si="486"/>
        <v>1+213,717910831505i</v>
      </c>
      <c r="AT536">
        <f t="shared" si="510"/>
        <v>213.72025035120822</v>
      </c>
      <c r="AU536">
        <f t="shared" si="511"/>
        <v>1.5661172959250829</v>
      </c>
      <c r="AV536" t="str">
        <f t="shared" si="487"/>
        <v>1+213,717910831505i</v>
      </c>
      <c r="AW536">
        <f t="shared" si="512"/>
        <v>213.72025035120822</v>
      </c>
      <c r="AX536">
        <f t="shared" si="513"/>
        <v>1.5661172959250829</v>
      </c>
      <c r="AY536" t="str">
        <f t="shared" si="488"/>
        <v>1-0,000070185975249524i</v>
      </c>
      <c r="AZ536">
        <f t="shared" si="514"/>
        <v>1.0000000024630356</v>
      </c>
      <c r="BA536">
        <f t="shared" si="515"/>
        <v>-7.0185975134276962E-5</v>
      </c>
      <c r="BB536" s="58" t="str">
        <f t="shared" si="516"/>
        <v>-0,0000294300803832345+0,00638552016313403i</v>
      </c>
      <c r="BC536">
        <f t="shared" si="517"/>
        <v>-43.895982137664696</v>
      </c>
      <c r="BD536" s="60">
        <f t="shared" si="518"/>
        <v>90.264067360895552</v>
      </c>
      <c r="BE536" s="58" t="str">
        <f t="shared" si="519"/>
        <v>-0,000699452318383171-0,000821158913087288i</v>
      </c>
      <c r="BF536" s="37">
        <f t="shared" si="520"/>
        <v>-59.342203593249579</v>
      </c>
      <c r="BG536" s="60">
        <f t="shared" si="521"/>
        <v>-130.42391861148903</v>
      </c>
      <c r="BH536" s="58" t="str">
        <f t="shared" si="522"/>
        <v>0,237193717071835+0,0125276445141808i</v>
      </c>
      <c r="BI536" s="37">
        <f t="shared" si="523"/>
        <v>-12.485838430985856</v>
      </c>
      <c r="BJ536" s="60">
        <f t="shared" si="524"/>
        <v>3.0233298561937416</v>
      </c>
      <c r="BK536">
        <f t="shared" si="525"/>
        <v>-59.342203593249579</v>
      </c>
      <c r="BL536" s="60">
        <f t="shared" si="526"/>
        <v>-130.42391861148903</v>
      </c>
      <c r="BN536">
        <f t="shared" si="527"/>
        <v>0</v>
      </c>
      <c r="BO536">
        <f t="shared" si="528"/>
        <v>0</v>
      </c>
    </row>
    <row r="537" spans="13:67" x14ac:dyDescent="0.25">
      <c r="M537" s="66">
        <v>19</v>
      </c>
      <c r="N537" s="36">
        <f t="shared" si="476"/>
        <v>1548816.6189124861</v>
      </c>
      <c r="O537" s="91" t="str">
        <f t="shared" si="477"/>
        <v>22,5</v>
      </c>
      <c r="P537" s="67" t="str">
        <f t="shared" si="478"/>
        <v>1+10510,0219693438i</v>
      </c>
      <c r="Q537" s="67">
        <f t="shared" si="489"/>
        <v>10510.022016917437</v>
      </c>
      <c r="R537" s="67">
        <f t="shared" si="490"/>
        <v>1.5707011795154808</v>
      </c>
      <c r="S537" s="67" t="str">
        <f t="shared" si="479"/>
        <v>1+291,945054703995i</v>
      </c>
      <c r="T537" s="67">
        <f t="shared" si="491"/>
        <v>291.94676735000621</v>
      </c>
      <c r="U537" s="67">
        <f t="shared" si="492"/>
        <v>1.5673710381215078</v>
      </c>
      <c r="V537" t="str">
        <f t="shared" si="480"/>
        <v>1-60,8218863966656i</v>
      </c>
      <c r="W537" s="67">
        <f t="shared" si="493"/>
        <v>60.830106566147784</v>
      </c>
      <c r="X537" s="67">
        <f t="shared" si="494"/>
        <v>-1.5543563581132487</v>
      </c>
      <c r="Y537" t="str">
        <f t="shared" si="481"/>
        <v>-152,525306817249+168,679364940086i</v>
      </c>
      <c r="Z537" s="67">
        <f t="shared" si="495"/>
        <v>227.41305454236056</v>
      </c>
      <c r="AA537" s="67">
        <f t="shared" si="496"/>
        <v>2.3059447251327696</v>
      </c>
      <c r="AB537" s="92" t="str">
        <f t="shared" si="497"/>
        <v>-0,125462309528427+0,110492285155619i</v>
      </c>
      <c r="AC537" s="37">
        <f t="shared" si="498"/>
        <v>-15.536285023377793</v>
      </c>
      <c r="AD537" s="60">
        <f t="shared" si="499"/>
        <v>138.63023723316675</v>
      </c>
      <c r="AE537" t="str">
        <f t="shared" si="500"/>
        <v>34,4450883806789</v>
      </c>
      <c r="AF537" t="str">
        <f t="shared" si="482"/>
        <v>1+5255,01098467192i</v>
      </c>
      <c r="AG537">
        <f t="shared" si="501"/>
        <v>5255.011079819199</v>
      </c>
      <c r="AH537">
        <f t="shared" si="502"/>
        <v>1.5706060322377879</v>
      </c>
      <c r="AI537" t="str">
        <f t="shared" si="483"/>
        <v>1+291,945054703995i</v>
      </c>
      <c r="AJ537">
        <f t="shared" si="503"/>
        <v>291.94676735000621</v>
      </c>
      <c r="AK537">
        <f t="shared" si="504"/>
        <v>1.5673710381215078</v>
      </c>
      <c r="AL537" t="str">
        <f t="shared" si="484"/>
        <v>1-19,8643449153808i</v>
      </c>
      <c r="AM537">
        <f t="shared" si="505"/>
        <v>19.889499715106336</v>
      </c>
      <c r="AN537">
        <f t="shared" si="506"/>
        <v>-1.5204973346838935</v>
      </c>
      <c r="AO537" s="58" t="str">
        <f t="shared" si="507"/>
        <v>1,79064574088166-38,0189426424737i</v>
      </c>
      <c r="AP537">
        <f t="shared" si="508"/>
        <v>31.60962395040373</v>
      </c>
      <c r="AQ537" s="60">
        <f t="shared" si="509"/>
        <v>-87.303431547890213</v>
      </c>
      <c r="AR537" t="str">
        <f t="shared" si="485"/>
        <v>-1,36472945891784</v>
      </c>
      <c r="AS537" t="str">
        <f t="shared" si="486"/>
        <v>1+218,696040478763i</v>
      </c>
      <c r="AT537">
        <f t="shared" si="510"/>
        <v>218.69832674505935</v>
      </c>
      <c r="AU537">
        <f t="shared" si="511"/>
        <v>1.5662238021690553</v>
      </c>
      <c r="AV537" t="str">
        <f t="shared" si="487"/>
        <v>1+218,696040478763i</v>
      </c>
      <c r="AW537">
        <f t="shared" si="512"/>
        <v>218.69832674505935</v>
      </c>
      <c r="AX537">
        <f t="shared" si="513"/>
        <v>1.5662238021690553</v>
      </c>
      <c r="AY537" t="str">
        <f t="shared" si="488"/>
        <v>1-0,0000685883474029181i</v>
      </c>
      <c r="AZ537">
        <f t="shared" si="514"/>
        <v>1.0000000023521807</v>
      </c>
      <c r="BA537">
        <f t="shared" si="515"/>
        <v>-6.8588347295363313E-5</v>
      </c>
      <c r="BB537" s="58" t="str">
        <f t="shared" si="516"/>
        <v>-0,0000281055362659335+0,00624017403513118i</v>
      </c>
      <c r="BC537">
        <f t="shared" si="517"/>
        <v>-44.095977859283231</v>
      </c>
      <c r="BD537" s="60">
        <f t="shared" si="518"/>
        <v>90.258056539956542</v>
      </c>
      <c r="BE537" s="58" t="str">
        <f t="shared" si="519"/>
        <v>-0,000685964903419945-0,000786012091234429i</v>
      </c>
      <c r="BF537" s="37">
        <f t="shared" si="520"/>
        <v>-59.632262882661024</v>
      </c>
      <c r="BG537" s="60">
        <f t="shared" si="521"/>
        <v>-131.11170622687666</v>
      </c>
      <c r="BH537" s="58" t="str">
        <f t="shared" si="522"/>
        <v>0,237194491661896+0,0122424838295985i</v>
      </c>
      <c r="BI537" s="37">
        <f t="shared" si="523"/>
        <v>-12.486353908879506</v>
      </c>
      <c r="BJ537" s="60">
        <f t="shared" si="524"/>
        <v>2.9546249920663432</v>
      </c>
      <c r="BK537">
        <f t="shared" si="525"/>
        <v>-59.632262882661024</v>
      </c>
      <c r="BL537" s="60">
        <f t="shared" si="526"/>
        <v>-131.11170622687666</v>
      </c>
      <c r="BN537">
        <f t="shared" si="527"/>
        <v>0</v>
      </c>
      <c r="BO537">
        <f t="shared" si="528"/>
        <v>0</v>
      </c>
    </row>
    <row r="538" spans="13:67" x14ac:dyDescent="0.25">
      <c r="M538" s="66">
        <v>20</v>
      </c>
      <c r="N538" s="36">
        <f t="shared" si="476"/>
        <v>1584893.1924611153</v>
      </c>
      <c r="O538" s="91" t="str">
        <f t="shared" si="477"/>
        <v>22,5</v>
      </c>
      <c r="P538" s="67" t="str">
        <f t="shared" si="478"/>
        <v>1+10754,8318299463i</v>
      </c>
      <c r="Q538" s="67">
        <f t="shared" si="489"/>
        <v>10754.831876437031</v>
      </c>
      <c r="R538" s="67">
        <f t="shared" si="490"/>
        <v>1.5707033453319663</v>
      </c>
      <c r="S538" s="67" t="str">
        <f t="shared" si="479"/>
        <v>1+298,745328609619i</v>
      </c>
      <c r="T538" s="67">
        <f t="shared" si="491"/>
        <v>298.74700227126834</v>
      </c>
      <c r="U538" s="67">
        <f t="shared" si="492"/>
        <v>1.5674490066215554</v>
      </c>
      <c r="V538" t="str">
        <f t="shared" si="480"/>
        <v>1-62,2386101270039i</v>
      </c>
      <c r="W538" s="67">
        <f t="shared" si="493"/>
        <v>62.246643207013122</v>
      </c>
      <c r="X538" s="67">
        <f t="shared" si="494"/>
        <v>-1.5547305123481869</v>
      </c>
      <c r="Y538" t="str">
        <f t="shared" si="481"/>
        <v>-159,760731616614+172,608412085558i</v>
      </c>
      <c r="Z538" s="67">
        <f t="shared" si="495"/>
        <v>235.19599335314703</v>
      </c>
      <c r="AA538" s="67">
        <f t="shared" si="496"/>
        <v>2.3175588723814853</v>
      </c>
      <c r="AB538" s="92" t="str">
        <f t="shared" si="497"/>
        <v>-0,122824402557134+0,110794760387409i</v>
      </c>
      <c r="AC538" s="37">
        <f t="shared" si="498"/>
        <v>-15.628630690498778</v>
      </c>
      <c r="AD538" s="60">
        <f t="shared" si="499"/>
        <v>137.94770132846685</v>
      </c>
      <c r="AE538" t="str">
        <f t="shared" si="500"/>
        <v>34,4450883806789</v>
      </c>
      <c r="AF538" t="str">
        <f t="shared" si="482"/>
        <v>1+5377,41591497315i</v>
      </c>
      <c r="AG538">
        <f t="shared" si="501"/>
        <v>5377.4160079546127</v>
      </c>
      <c r="AH538">
        <f t="shared" si="502"/>
        <v>1.5706103638706437</v>
      </c>
      <c r="AI538" t="str">
        <f t="shared" si="483"/>
        <v>1+298,745328609619i</v>
      </c>
      <c r="AJ538">
        <f t="shared" si="503"/>
        <v>298.74700227126834</v>
      </c>
      <c r="AK538">
        <f t="shared" si="504"/>
        <v>1.5674490066215554</v>
      </c>
      <c r="AL538" t="str">
        <f t="shared" si="484"/>
        <v>1-20,327044948157i</v>
      </c>
      <c r="AM538">
        <f t="shared" si="505"/>
        <v>20.351627854409951</v>
      </c>
      <c r="AN538">
        <f t="shared" si="506"/>
        <v>-1.5216404146489229</v>
      </c>
      <c r="AO538" s="58" t="str">
        <f t="shared" si="507"/>
        <v>1,79064568766115-38,9042313911285i</v>
      </c>
      <c r="AP538">
        <f t="shared" si="508"/>
        <v>31.809127529473116</v>
      </c>
      <c r="AQ538" s="60">
        <f t="shared" si="509"/>
        <v>-87.364706123825698</v>
      </c>
      <c r="AR538" t="str">
        <f t="shared" si="485"/>
        <v>-1,36472945891784</v>
      </c>
      <c r="AS538" t="str">
        <f t="shared" si="486"/>
        <v>1+223,790125661466i</v>
      </c>
      <c r="AT538">
        <f t="shared" si="510"/>
        <v>223.79235988651342</v>
      </c>
      <c r="AU538">
        <f t="shared" si="511"/>
        <v>1.5663278841351702</v>
      </c>
      <c r="AV538" t="str">
        <f t="shared" si="487"/>
        <v>1+223,790125661466i</v>
      </c>
      <c r="AW538">
        <f t="shared" si="512"/>
        <v>223.79235988651342</v>
      </c>
      <c r="AX538">
        <f t="shared" si="513"/>
        <v>1.5663278841351702</v>
      </c>
      <c r="AY538" t="str">
        <f t="shared" si="488"/>
        <v>1-0,0000670270860059795i</v>
      </c>
      <c r="AZ538">
        <f t="shared" si="514"/>
        <v>1.0000000022463151</v>
      </c>
      <c r="BA538">
        <f t="shared" si="515"/>
        <v>-6.7027085905603534E-5</v>
      </c>
      <c r="BB538" s="58" t="str">
        <f t="shared" si="516"/>
        <v>-0,000026840604017336+0,00609813598468705i</v>
      </c>
      <c r="BC538">
        <f t="shared" si="517"/>
        <v>-44.295973773456666</v>
      </c>
      <c r="BD538" s="60">
        <f t="shared" si="518"/>
        <v>90.252182536263064</v>
      </c>
      <c r="BE538" s="58" t="str">
        <f t="shared" si="519"/>
        <v>-0,000672344834080536-0,000751973707322101i</v>
      </c>
      <c r="BF538" s="37">
        <f t="shared" si="520"/>
        <v>-59.924604463955447</v>
      </c>
      <c r="BG538" s="60">
        <f t="shared" si="521"/>
        <v>-131.80011613527006</v>
      </c>
      <c r="BH538" s="58" t="str">
        <f t="shared" si="522"/>
        <v>0,237195231390994+0,0119638139731192i</v>
      </c>
      <c r="BI538" s="37">
        <f t="shared" si="523"/>
        <v>-12.486846243983564</v>
      </c>
      <c r="BJ538" s="60">
        <f t="shared" si="524"/>
        <v>2.8874764124373891</v>
      </c>
      <c r="BK538">
        <f t="shared" si="525"/>
        <v>-59.924604463955447</v>
      </c>
      <c r="BL538" s="60">
        <f t="shared" si="526"/>
        <v>-131.80011613527006</v>
      </c>
      <c r="BN538">
        <f t="shared" si="527"/>
        <v>0</v>
      </c>
      <c r="BO538">
        <f t="shared" si="528"/>
        <v>0</v>
      </c>
    </row>
    <row r="539" spans="13:67" x14ac:dyDescent="0.25">
      <c r="M539" s="66">
        <v>21</v>
      </c>
      <c r="N539" s="36">
        <f t="shared" si="476"/>
        <v>1621810.0973589318</v>
      </c>
      <c r="O539" s="91" t="str">
        <f t="shared" si="477"/>
        <v>22,5</v>
      </c>
      <c r="P539" s="67" t="str">
        <f t="shared" si="478"/>
        <v>1+11005,344044742i</v>
      </c>
      <c r="Q539" s="67">
        <f t="shared" si="489"/>
        <v>11005.344090174474</v>
      </c>
      <c r="R539" s="67">
        <f t="shared" si="490"/>
        <v>1.5707054618484504</v>
      </c>
      <c r="S539" s="67" t="str">
        <f t="shared" si="479"/>
        <v>1+305,704001242833i</v>
      </c>
      <c r="T539" s="67">
        <f t="shared" si="491"/>
        <v>305.70563680749831</v>
      </c>
      <c r="U539" s="67">
        <f t="shared" si="492"/>
        <v>1.5675252003811893</v>
      </c>
      <c r="V539" t="str">
        <f t="shared" si="480"/>
        <v>1-63,6883335922569i</v>
      </c>
      <c r="W539" s="67">
        <f t="shared" si="493"/>
        <v>63.69618383983925</v>
      </c>
      <c r="X539" s="67">
        <f t="shared" si="494"/>
        <v>-1.5550961541398713</v>
      </c>
      <c r="Y539" t="str">
        <f t="shared" si="481"/>
        <v>-167,337151481304+176,628978495859i</v>
      </c>
      <c r="Z539" s="67">
        <f t="shared" si="495"/>
        <v>243.309511343818</v>
      </c>
      <c r="AA539" s="67">
        <f t="shared" si="496"/>
        <v>2.329187273568472</v>
      </c>
      <c r="AB539" s="92" t="str">
        <f t="shared" si="497"/>
        <v>-0,120178490133676+0,111034540474815i</v>
      </c>
      <c r="AC539" s="37">
        <f t="shared" si="498"/>
        <v>-15.723266674246814</v>
      </c>
      <c r="AD539" s="60">
        <f t="shared" si="499"/>
        <v>137.26473759988104</v>
      </c>
      <c r="AE539" t="str">
        <f t="shared" si="500"/>
        <v>34,4450883806789</v>
      </c>
      <c r="AF539" t="str">
        <f t="shared" si="482"/>
        <v>1+5502,672022371i</v>
      </c>
      <c r="AG539">
        <f t="shared" si="501"/>
        <v>5502.6721132359453</v>
      </c>
      <c r="AH539">
        <f t="shared" si="502"/>
        <v>1.5706145969035046</v>
      </c>
      <c r="AI539" t="str">
        <f t="shared" si="483"/>
        <v>1+305,704001242833i</v>
      </c>
      <c r="AJ539">
        <f t="shared" si="503"/>
        <v>305.70563680749831</v>
      </c>
      <c r="AK539">
        <f t="shared" si="504"/>
        <v>1.5675252003811893</v>
      </c>
      <c r="AL539" t="str">
        <f t="shared" si="484"/>
        <v>1-20,8005226492249i</v>
      </c>
      <c r="AM539">
        <f t="shared" si="505"/>
        <v>20.824546633262347</v>
      </c>
      <c r="AN539">
        <f t="shared" si="506"/>
        <v>-1.5227575991775619</v>
      </c>
      <c r="AO539" s="58" t="str">
        <f t="shared" si="507"/>
        <v>1,79064563683596-39,8101476782244i</v>
      </c>
      <c r="AP539">
        <f t="shared" si="508"/>
        <v>32.008653398674575</v>
      </c>
      <c r="AQ539" s="60">
        <f t="shared" si="509"/>
        <v>-87.424593036319223</v>
      </c>
      <c r="AR539" t="str">
        <f t="shared" si="485"/>
        <v>-1,36472945891784</v>
      </c>
      <c r="AS539" t="str">
        <f t="shared" si="486"/>
        <v>1+229,002867331006i</v>
      </c>
      <c r="AT539">
        <f t="shared" si="510"/>
        <v>229.00505069937287</v>
      </c>
      <c r="AU539">
        <f t="shared" si="511"/>
        <v>1.5664295970000386</v>
      </c>
      <c r="AV539" t="str">
        <f t="shared" si="487"/>
        <v>1+229,002867331006i</v>
      </c>
      <c r="AW539">
        <f t="shared" si="512"/>
        <v>229.00505069937287</v>
      </c>
      <c r="AX539">
        <f t="shared" si="513"/>
        <v>1.5664295970000386</v>
      </c>
      <c r="AY539" t="str">
        <f t="shared" si="488"/>
        <v>1-0,0000655013632572497i</v>
      </c>
      <c r="AZ539">
        <f t="shared" si="514"/>
        <v>1.0000000021452142</v>
      </c>
      <c r="BA539">
        <f t="shared" si="515"/>
        <v>-6.55013631635734E-5</v>
      </c>
      <c r="BB539" s="58" t="str">
        <f t="shared" si="516"/>
        <v>-0,0000256326008757877+0,00595933073774308i</v>
      </c>
      <c r="BC539">
        <f t="shared" si="517"/>
        <v>-44.495969871518959</v>
      </c>
      <c r="BD539" s="60">
        <f t="shared" si="518"/>
        <v>90.246442235857756</v>
      </c>
      <c r="BE539" s="58" t="str">
        <f t="shared" si="519"/>
        <v>-0,000658611062731292-0,000719029474328586i</v>
      </c>
      <c r="BF539" s="37">
        <f t="shared" si="520"/>
        <v>-60.219236545765767</v>
      </c>
      <c r="BG539" s="60">
        <f t="shared" si="521"/>
        <v>-132.48882016426123</v>
      </c>
      <c r="BH539" s="58" t="str">
        <f t="shared" si="522"/>
        <v>0,237195937828015+0,0116914872102442i</v>
      </c>
      <c r="BI539" s="37">
        <f t="shared" si="523"/>
        <v>-12.48731647284438</v>
      </c>
      <c r="BJ539" s="60">
        <f t="shared" si="524"/>
        <v>2.8218491995385508</v>
      </c>
      <c r="BK539">
        <f t="shared" si="525"/>
        <v>-60.219236545765767</v>
      </c>
      <c r="BL539" s="60">
        <f t="shared" si="526"/>
        <v>-132.48882016426123</v>
      </c>
      <c r="BN539">
        <f t="shared" si="527"/>
        <v>0</v>
      </c>
      <c r="BO539">
        <f t="shared" si="528"/>
        <v>0</v>
      </c>
    </row>
    <row r="540" spans="13:67" x14ac:dyDescent="0.25">
      <c r="M540" s="66">
        <v>22</v>
      </c>
      <c r="N540" s="36">
        <f t="shared" si="476"/>
        <v>1659586.9074375622</v>
      </c>
      <c r="O540" s="91" t="str">
        <f t="shared" si="477"/>
        <v>22,5</v>
      </c>
      <c r="P540" s="67" t="str">
        <f t="shared" si="478"/>
        <v>1+11261,6914386232i</v>
      </c>
      <c r="Q540" s="67">
        <f t="shared" si="489"/>
        <v>11261.691483021505</v>
      </c>
      <c r="R540" s="67">
        <f t="shared" si="490"/>
        <v>1.5707075301871383</v>
      </c>
      <c r="S540" s="67" t="str">
        <f t="shared" si="479"/>
        <v>1+312,824762183979i</v>
      </c>
      <c r="T540" s="67">
        <f t="shared" si="491"/>
        <v>312.82636051883958</v>
      </c>
      <c r="U540" s="67">
        <f t="shared" si="492"/>
        <v>1.5675996597958086</v>
      </c>
      <c r="V540" t="str">
        <f t="shared" si="480"/>
        <v>1-65,1718254549956i</v>
      </c>
      <c r="W540" s="67">
        <f t="shared" si="493"/>
        <v>65.179497030403752</v>
      </c>
      <c r="X540" s="67">
        <f t="shared" si="494"/>
        <v>-1.5554534769651227</v>
      </c>
      <c r="Y540" t="str">
        <f t="shared" si="481"/>
        <v>-175,270637013643+180,743195928521i</v>
      </c>
      <c r="Z540" s="67">
        <f t="shared" si="495"/>
        <v>251.76953563452415</v>
      </c>
      <c r="AA540" s="67">
        <f t="shared" si="496"/>
        <v>2.3408239415482557</v>
      </c>
      <c r="AB540" s="92" t="str">
        <f t="shared" si="497"/>
        <v>-0,117527353779771+0,111211298007389i</v>
      </c>
      <c r="AC540" s="37">
        <f t="shared" si="498"/>
        <v>-15.820198789239136</v>
      </c>
      <c r="AD540" s="60">
        <f t="shared" si="499"/>
        <v>136.5816802503588</v>
      </c>
      <c r="AE540" t="str">
        <f t="shared" si="500"/>
        <v>34,4450883806789</v>
      </c>
      <c r="AF540" t="str">
        <f t="shared" si="482"/>
        <v>1+5630,84571931163i</v>
      </c>
      <c r="AG540">
        <f t="shared" si="501"/>
        <v>5630.8458081082381</v>
      </c>
      <c r="AH540">
        <f t="shared" si="502"/>
        <v>1.5706187335807802</v>
      </c>
      <c r="AI540" t="str">
        <f t="shared" si="483"/>
        <v>1+312,824762183979i</v>
      </c>
      <c r="AJ540">
        <f t="shared" si="503"/>
        <v>312.82636051883958</v>
      </c>
      <c r="AK540">
        <f t="shared" si="504"/>
        <v>1.5675996597958086</v>
      </c>
      <c r="AL540" t="str">
        <f t="shared" si="484"/>
        <v>1-21,285029062729i</v>
      </c>
      <c r="AM540">
        <f t="shared" si="505"/>
        <v>21.308506803650463</v>
      </c>
      <c r="AN540">
        <f t="shared" si="506"/>
        <v>-1.5238494694546216</v>
      </c>
      <c r="AO540" s="58" t="str">
        <f t="shared" si="507"/>
        <v>1,79064558829827-40,7371718325682i</v>
      </c>
      <c r="AP540">
        <f t="shared" si="508"/>
        <v>32.208200559395081</v>
      </c>
      <c r="AQ540" s="60">
        <f t="shared" si="509"/>
        <v>-87.483123398916916</v>
      </c>
      <c r="AR540" t="str">
        <f t="shared" si="485"/>
        <v>-1,36472945891784</v>
      </c>
      <c r="AS540" t="str">
        <f t="shared" si="486"/>
        <v>1+234,337029352019i</v>
      </c>
      <c r="AT540">
        <f t="shared" si="510"/>
        <v>234.33916302131195</v>
      </c>
      <c r="AU540">
        <f t="shared" si="511"/>
        <v>1.5665289946847445</v>
      </c>
      <c r="AV540" t="str">
        <f t="shared" si="487"/>
        <v>1+234,337029352019i</v>
      </c>
      <c r="AW540">
        <f t="shared" si="512"/>
        <v>234.33916302131195</v>
      </c>
      <c r="AX540">
        <f t="shared" si="513"/>
        <v>1.5665289946847445</v>
      </c>
      <c r="AY540" t="str">
        <f t="shared" si="488"/>
        <v>1-0,0000640103701983316i</v>
      </c>
      <c r="AZ540">
        <f t="shared" si="514"/>
        <v>1.0000000020486637</v>
      </c>
      <c r="BA540">
        <f t="shared" si="515"/>
        <v>-6.4010370110907788E-5</v>
      </c>
      <c r="BB540" s="58" t="str">
        <f t="shared" si="516"/>
        <v>-0,0000244789648049337+0,00582368473188669i</v>
      </c>
      <c r="BC540">
        <f t="shared" si="517"/>
        <v>-44.695966145194205</v>
      </c>
      <c r="BD540" s="60">
        <f t="shared" si="518"/>
        <v>90.24083259563993</v>
      </c>
      <c r="BE540" s="58" t="str">
        <f t="shared" si="519"/>
        <v>-0,00064478259026214-0,000687164593236132i</v>
      </c>
      <c r="BF540" s="37">
        <f t="shared" si="520"/>
        <v>-60.516164934433334</v>
      </c>
      <c r="BG540" s="60">
        <f t="shared" si="521"/>
        <v>-133.17748715400126</v>
      </c>
      <c r="BH540" s="58" t="str">
        <f t="shared" si="522"/>
        <v>0,237196612471238+0,0114253591683349i</v>
      </c>
      <c r="BI540" s="37">
        <f t="shared" si="523"/>
        <v>-12.487765585799117</v>
      </c>
      <c r="BJ540" s="60">
        <f t="shared" si="524"/>
        <v>2.7577091967230318</v>
      </c>
      <c r="BK540">
        <f t="shared" si="525"/>
        <v>-60.516164934433334</v>
      </c>
      <c r="BL540" s="60">
        <f t="shared" si="526"/>
        <v>-133.17748715400126</v>
      </c>
      <c r="BN540">
        <f t="shared" si="527"/>
        <v>0</v>
      </c>
      <c r="BO540">
        <f t="shared" si="528"/>
        <v>0</v>
      </c>
    </row>
    <row r="541" spans="13:67" x14ac:dyDescent="0.25">
      <c r="M541" s="66">
        <v>23</v>
      </c>
      <c r="N541" s="36">
        <f t="shared" si="476"/>
        <v>1698243.6524617488</v>
      </c>
      <c r="O541" s="91" t="str">
        <f t="shared" si="477"/>
        <v>22,5</v>
      </c>
      <c r="P541" s="67" t="str">
        <f t="shared" si="478"/>
        <v>1+11524,0099303714i</v>
      </c>
      <c r="Q541" s="67">
        <f t="shared" si="489"/>
        <v>11524.009973759075</v>
      </c>
      <c r="R541" s="67">
        <f t="shared" si="490"/>
        <v>1.5707095514446903</v>
      </c>
      <c r="S541" s="67" t="str">
        <f t="shared" si="479"/>
        <v>1+320,111386954761i</v>
      </c>
      <c r="T541" s="67">
        <f t="shared" si="491"/>
        <v>320.11294890725787</v>
      </c>
      <c r="U541" s="67">
        <f t="shared" si="492"/>
        <v>1.5676724243414766</v>
      </c>
      <c r="V541" t="str">
        <f t="shared" si="480"/>
        <v>1-66,6898722822419i</v>
      </c>
      <c r="W541" s="67">
        <f t="shared" si="493"/>
        <v>66.69736925113115</v>
      </c>
      <c r="X541" s="67">
        <f t="shared" si="494"/>
        <v>-1.5558026699160403</v>
      </c>
      <c r="Y541" t="str">
        <f t="shared" si="481"/>
        <v>-183,578016200105+184,953245796084i</v>
      </c>
      <c r="Z541" s="67">
        <f t="shared" si="495"/>
        <v>260.59276882229994</v>
      </c>
      <c r="AA541" s="67">
        <f t="shared" si="496"/>
        <v>2.3524628577519118</v>
      </c>
      <c r="AB541" s="92" t="str">
        <f t="shared" si="497"/>
        <v>-0,114873796925024+0,111324864474586i</v>
      </c>
      <c r="AC541" s="37">
        <f t="shared" si="498"/>
        <v>-15.919430423507041</v>
      </c>
      <c r="AD541" s="60">
        <f t="shared" si="499"/>
        <v>135.8988654832975</v>
      </c>
      <c r="AE541" t="str">
        <f t="shared" si="500"/>
        <v>34,4450883806789</v>
      </c>
      <c r="AF541" t="str">
        <f t="shared" si="482"/>
        <v>1+5762,0049651857i</v>
      </c>
      <c r="AG541">
        <f t="shared" si="501"/>
        <v>5762.0050519610486</v>
      </c>
      <c r="AH541">
        <f t="shared" si="502"/>
        <v>1.5706227760957907</v>
      </c>
      <c r="AI541" t="str">
        <f t="shared" si="483"/>
        <v>1+320,111386954761i</v>
      </c>
      <c r="AJ541">
        <f t="shared" si="503"/>
        <v>320.11294890725787</v>
      </c>
      <c r="AK541">
        <f t="shared" si="504"/>
        <v>1.5676724243414766</v>
      </c>
      <c r="AL541" t="str">
        <f t="shared" si="484"/>
        <v>1-21,7808210803829i</v>
      </c>
      <c r="AM541">
        <f t="shared" si="505"/>
        <v>21.803764971574338</v>
      </c>
      <c r="AN541">
        <f t="shared" si="506"/>
        <v>-1.5249165939846017</v>
      </c>
      <c r="AO541" s="58" t="str">
        <f t="shared" si="507"/>
        <v>1,79064554194514-41,6857953746373i</v>
      </c>
      <c r="AP541">
        <f t="shared" si="508"/>
        <v>32.407768057562485</v>
      </c>
      <c r="AQ541" s="60">
        <f t="shared" si="509"/>
        <v>-87.540327648383439</v>
      </c>
      <c r="AR541" t="str">
        <f t="shared" si="485"/>
        <v>-1,36472945891784</v>
      </c>
      <c r="AS541" t="str">
        <f t="shared" si="486"/>
        <v>1+239,795439967812i</v>
      </c>
      <c r="AT541">
        <f t="shared" si="510"/>
        <v>239.79752506928955</v>
      </c>
      <c r="AU541">
        <f t="shared" si="511"/>
        <v>1.5666261298833954</v>
      </c>
      <c r="AV541" t="str">
        <f t="shared" si="487"/>
        <v>1+239,795439967812i</v>
      </c>
      <c r="AW541">
        <f t="shared" si="512"/>
        <v>239.79752506928955</v>
      </c>
      <c r="AX541">
        <f t="shared" si="513"/>
        <v>1.5666261298833954</v>
      </c>
      <c r="AY541" t="str">
        <f t="shared" si="488"/>
        <v>1-0,0000625533162849698i</v>
      </c>
      <c r="AZ541">
        <f t="shared" si="514"/>
        <v>1.0000000019564586</v>
      </c>
      <c r="BA541">
        <f t="shared" si="515"/>
        <v>-6.2553316203381142E-5</v>
      </c>
      <c r="BB541" s="58" t="str">
        <f t="shared" si="516"/>
        <v>-0,0000233772490618474+0,00569112607750991i</v>
      </c>
      <c r="BC541">
        <f t="shared" si="517"/>
        <v>-44.895962586578726</v>
      </c>
      <c r="BD541" s="60">
        <f t="shared" si="518"/>
        <v>90.235350641754508</v>
      </c>
      <c r="BE541" s="58" t="str">
        <f t="shared" si="519"/>
        <v>-0,000630878405925177-0,000656363730386181i</v>
      </c>
      <c r="BF541" s="37">
        <f t="shared" si="520"/>
        <v>-60.815393010085764</v>
      </c>
      <c r="BG541" s="60">
        <f t="shared" si="521"/>
        <v>-133.86578387494799</v>
      </c>
      <c r="BH541" s="58" t="str">
        <f t="shared" si="522"/>
        <v>0,237197256751525+0,011165288760155i</v>
      </c>
      <c r="BI541" s="37">
        <f t="shared" si="523"/>
        <v>-12.488194529016241</v>
      </c>
      <c r="BJ541" s="60">
        <f t="shared" si="524"/>
        <v>2.695022993371091</v>
      </c>
      <c r="BK541">
        <f t="shared" si="525"/>
        <v>-60.815393010085764</v>
      </c>
      <c r="BL541" s="60">
        <f t="shared" si="526"/>
        <v>-133.86578387494799</v>
      </c>
      <c r="BN541">
        <f t="shared" si="527"/>
        <v>0</v>
      </c>
      <c r="BO541">
        <f t="shared" si="528"/>
        <v>0</v>
      </c>
    </row>
    <row r="542" spans="13:67" x14ac:dyDescent="0.25">
      <c r="M542" s="66">
        <v>24</v>
      </c>
      <c r="N542" s="36">
        <f t="shared" si="476"/>
        <v>1737800.8287493798</v>
      </c>
      <c r="O542" s="91" t="str">
        <f t="shared" si="477"/>
        <v>22,5</v>
      </c>
      <c r="P542" s="67" t="str">
        <f t="shared" si="478"/>
        <v>1+11792,4386047228i</v>
      </c>
      <c r="Q542" s="67">
        <f t="shared" si="489"/>
        <v>11792.43864712285</v>
      </c>
      <c r="R542" s="67">
        <f t="shared" si="490"/>
        <v>1.5707115266928038</v>
      </c>
      <c r="S542" s="67" t="str">
        <f t="shared" si="479"/>
        <v>1+327,567739020078i</v>
      </c>
      <c r="T542" s="67">
        <f t="shared" si="491"/>
        <v>327.56926541836299</v>
      </c>
      <c r="U542" s="67">
        <f t="shared" si="492"/>
        <v>1.5677435325958338</v>
      </c>
      <c r="V542" t="str">
        <f t="shared" si="480"/>
        <v>1-68,2432789625162i</v>
      </c>
      <c r="W542" s="67">
        <f t="shared" si="493"/>
        <v>68.250605298091003</v>
      </c>
      <c r="X542" s="67">
        <f t="shared" si="494"/>
        <v>-1.5561439177985208</v>
      </c>
      <c r="Y542" t="str">
        <f t="shared" si="481"/>
        <v>-192,27691010573+189,261360322712i</v>
      </c>
      <c r="Z542" s="67">
        <f t="shared" si="495"/>
        <v>269.79672472254072</v>
      </c>
      <c r="AA542" s="67">
        <f t="shared" si="496"/>
        <v>2.3640979882878685</v>
      </c>
      <c r="AB542" s="92" t="str">
        <f t="shared" si="497"/>
        <v>-0,112220633091212+0,111375231700308i</v>
      </c>
      <c r="AC542" s="37">
        <f t="shared" si="498"/>
        <v>-16.020962524755848</v>
      </c>
      <c r="AD542" s="60">
        <f t="shared" si="499"/>
        <v>135.21663057555259</v>
      </c>
      <c r="AE542" t="str">
        <f t="shared" si="500"/>
        <v>34,4450883806789</v>
      </c>
      <c r="AF542" t="str">
        <f t="shared" si="482"/>
        <v>1+5896,21930236141i</v>
      </c>
      <c r="AG542">
        <f t="shared" si="501"/>
        <v>5896.2193871615118</v>
      </c>
      <c r="AH542">
        <f t="shared" si="502"/>
        <v>1.5706267265919307</v>
      </c>
      <c r="AI542" t="str">
        <f t="shared" si="483"/>
        <v>1+327,567739020078i</v>
      </c>
      <c r="AJ542">
        <f t="shared" si="503"/>
        <v>327.56926541836299</v>
      </c>
      <c r="AK542">
        <f t="shared" si="504"/>
        <v>1.5677435325958338</v>
      </c>
      <c r="AL542" t="str">
        <f t="shared" si="484"/>
        <v>1-22,2881615776766i</v>
      </c>
      <c r="AM542">
        <f t="shared" si="505"/>
        <v>22.310583733121359</v>
      </c>
      <c r="AN542">
        <f t="shared" si="506"/>
        <v>-1.5259595288439771</v>
      </c>
      <c r="AO542" s="58" t="str">
        <f t="shared" si="507"/>
        <v>1,79064549767824-42,6565212771894i</v>
      </c>
      <c r="AP542">
        <f t="shared" si="508"/>
        <v>32.607354981675996</v>
      </c>
      <c r="AQ542" s="60">
        <f t="shared" si="509"/>
        <v>-87.596235558025313</v>
      </c>
      <c r="AR542" t="str">
        <f t="shared" si="485"/>
        <v>-1,36472945891784</v>
      </c>
      <c r="AS542" t="str">
        <f t="shared" si="486"/>
        <v>1+245,380993299941i</v>
      </c>
      <c r="AT542">
        <f t="shared" si="510"/>
        <v>245.38303093911304</v>
      </c>
      <c r="AU542">
        <f t="shared" si="511"/>
        <v>1.5667210540910228</v>
      </c>
      <c r="AV542" t="str">
        <f t="shared" si="487"/>
        <v>1+245,380993299941i</v>
      </c>
      <c r="AW542">
        <f t="shared" si="512"/>
        <v>245.38303093911304</v>
      </c>
      <c r="AX542">
        <f t="shared" si="513"/>
        <v>1.5667210540910228</v>
      </c>
      <c r="AY542" t="str">
        <f t="shared" si="488"/>
        <v>1-0,0000611294289678941i</v>
      </c>
      <c r="AZ542">
        <f t="shared" si="514"/>
        <v>1.0000000018684034</v>
      </c>
      <c r="BA542">
        <f t="shared" si="515"/>
        <v>-6.1129428891751138E-5</v>
      </c>
      <c r="BB542" s="58" t="str">
        <f t="shared" si="516"/>
        <v>-0,0000223251170094833+0,00556158451984373i</v>
      </c>
      <c r="BC542">
        <f t="shared" si="517"/>
        <v>-45.095959188124496</v>
      </c>
      <c r="BD542" s="60">
        <f t="shared" si="518"/>
        <v>90.229993468017284</v>
      </c>
      <c r="BE542" s="58" t="str">
        <f t="shared" si="519"/>
        <v>-0,000616917425753802-0,000626611000886815i</v>
      </c>
      <c r="BF542" s="37">
        <f t="shared" si="520"/>
        <v>-61.116921712880341</v>
      </c>
      <c r="BG542" s="60">
        <f t="shared" si="521"/>
        <v>-134.55337595643013</v>
      </c>
      <c r="BH542" s="58" t="str">
        <f t="shared" si="522"/>
        <v>0,237197872035343+0,0109111381091459i</v>
      </c>
      <c r="BI542" s="37">
        <f t="shared" si="523"/>
        <v>-12.488604206448503</v>
      </c>
      <c r="BJ542" s="60">
        <f t="shared" si="524"/>
        <v>2.6337579099919743</v>
      </c>
      <c r="BK542">
        <f t="shared" si="525"/>
        <v>-61.116921712880341</v>
      </c>
      <c r="BL542" s="60">
        <f t="shared" si="526"/>
        <v>-134.55337595643013</v>
      </c>
      <c r="BN542">
        <f t="shared" si="527"/>
        <v>0</v>
      </c>
      <c r="BO542">
        <f t="shared" si="528"/>
        <v>0</v>
      </c>
    </row>
    <row r="543" spans="13:67" x14ac:dyDescent="0.25">
      <c r="M543" s="66">
        <v>25</v>
      </c>
      <c r="N543" s="36">
        <f t="shared" si="476"/>
        <v>1778279.4100389241</v>
      </c>
      <c r="O543" s="91" t="str">
        <f t="shared" si="477"/>
        <v>22,5</v>
      </c>
      <c r="P543" s="67" t="str">
        <f t="shared" si="478"/>
        <v>1+12067,1197861138i</v>
      </c>
      <c r="Q543" s="67">
        <f t="shared" si="489"/>
        <v>12067.119827548708</v>
      </c>
      <c r="R543" s="67">
        <f t="shared" si="490"/>
        <v>1.5707134569787817</v>
      </c>
      <c r="S543" s="67" t="str">
        <f t="shared" si="479"/>
        <v>1+335,197771836495i</v>
      </c>
      <c r="T543" s="67">
        <f t="shared" si="491"/>
        <v>335.19926348986951</v>
      </c>
      <c r="U543" s="67">
        <f t="shared" si="492"/>
        <v>1.5678130222585405</v>
      </c>
      <c r="V543" t="str">
        <f t="shared" si="480"/>
        <v>1-69,8328691326031i</v>
      </c>
      <c r="W543" s="67">
        <f t="shared" si="493"/>
        <v>69.8400287177151</v>
      </c>
      <c r="X543" s="67">
        <f t="shared" si="494"/>
        <v>-1.5564774012286191</v>
      </c>
      <c r="Y543" t="str">
        <f t="shared" si="481"/>
        <v>-201,385770250776+193,669823727753i</v>
      </c>
      <c r="Z543" s="67">
        <f t="shared" si="495"/>
        <v>279.39976571614596</v>
      </c>
      <c r="AA543" s="67">
        <f t="shared" si="496"/>
        <v>2.3757233001306708</v>
      </c>
      <c r="AB543" s="92" t="str">
        <f t="shared" si="497"/>
        <v>-0,109570673985298+0,111362552236508i</v>
      </c>
      <c r="AC543" s="37">
        <f t="shared" si="498"/>
        <v>-16.124793596916358</v>
      </c>
      <c r="AD543" s="60">
        <f t="shared" si="499"/>
        <v>134.53531294550748</v>
      </c>
      <c r="AE543" t="str">
        <f t="shared" si="500"/>
        <v>34,4450883806789</v>
      </c>
      <c r="AF543" t="str">
        <f t="shared" si="482"/>
        <v>1+6033,55989305692i</v>
      </c>
      <c r="AG543">
        <f t="shared" si="501"/>
        <v>6033.5599759267361</v>
      </c>
      <c r="AH543">
        <f t="shared" si="502"/>
        <v>1.5706305871638051</v>
      </c>
      <c r="AI543" t="str">
        <f t="shared" si="483"/>
        <v>1+335,197771836495i</v>
      </c>
      <c r="AJ543">
        <f t="shared" si="503"/>
        <v>335.19926348986951</v>
      </c>
      <c r="AK543">
        <f t="shared" si="504"/>
        <v>1.5678130222585405</v>
      </c>
      <c r="AL543" t="str">
        <f t="shared" si="484"/>
        <v>1-22,8073195532575i</v>
      </c>
      <c r="AM543">
        <f t="shared" si="505"/>
        <v>22.829231813716419</v>
      </c>
      <c r="AN543">
        <f t="shared" si="506"/>
        <v>-1.5269788179301402</v>
      </c>
      <c r="AO543" s="58" t="str">
        <f t="shared" si="507"/>
        <v>1,79064545540369-43,6498642319479i</v>
      </c>
      <c r="AP543">
        <f t="shared" si="508"/>
        <v>32.806960460923023</v>
      </c>
      <c r="AQ543" s="60">
        <f t="shared" si="509"/>
        <v>-87.650876250848214</v>
      </c>
      <c r="AR543" t="str">
        <f t="shared" si="485"/>
        <v>-1,36472945891784</v>
      </c>
      <c r="AS543" t="str">
        <f t="shared" si="486"/>
        <v>1+251,096650882719i</v>
      </c>
      <c r="AT543">
        <f t="shared" si="510"/>
        <v>251.09864213993285</v>
      </c>
      <c r="AU543">
        <f t="shared" si="511"/>
        <v>1.5668138176308521</v>
      </c>
      <c r="AV543" t="str">
        <f t="shared" si="487"/>
        <v>1+251,096650882719i</v>
      </c>
      <c r="AW543">
        <f t="shared" si="512"/>
        <v>251.09864213993285</v>
      </c>
      <c r="AX543">
        <f t="shared" si="513"/>
        <v>1.5668138176308521</v>
      </c>
      <c r="AY543" t="str">
        <f t="shared" si="488"/>
        <v>1-0,0000597379532832008i</v>
      </c>
      <c r="AZ543">
        <f t="shared" si="514"/>
        <v>1.0000000017843114</v>
      </c>
      <c r="BA543">
        <f t="shared" si="515"/>
        <v>-5.9737953212140053E-5</v>
      </c>
      <c r="BB543" s="58" t="str">
        <f t="shared" si="516"/>
        <v>-0,0000213203371624758+0,00543499140184908i</v>
      </c>
      <c r="BC543">
        <f t="shared" si="517"/>
        <v>-45.295955942623408</v>
      </c>
      <c r="BD543" s="60">
        <f t="shared" si="518"/>
        <v>90.224758234376111</v>
      </c>
      <c r="BE543" s="58" t="str">
        <f t="shared" si="519"/>
        <v>-0,000602918430180904-0,000597889958165859i</v>
      </c>
      <c r="BF543" s="37">
        <f t="shared" si="520"/>
        <v>-61.42074953953977</v>
      </c>
      <c r="BG543" s="60">
        <f t="shared" si="521"/>
        <v>-135.23992882011643</v>
      </c>
      <c r="BH543" s="58" t="str">
        <f t="shared" si="522"/>
        <v>0,237198459627669+0,0106627724764006i</v>
      </c>
      <c r="BI543" s="37">
        <f t="shared" si="523"/>
        <v>-12.48899548170038</v>
      </c>
      <c r="BJ543" s="60">
        <f t="shared" si="524"/>
        <v>2.5738819835278983</v>
      </c>
      <c r="BK543">
        <f t="shared" si="525"/>
        <v>-61.42074953953977</v>
      </c>
      <c r="BL543" s="60">
        <f t="shared" si="526"/>
        <v>-135.23992882011643</v>
      </c>
      <c r="BN543">
        <f t="shared" si="527"/>
        <v>0</v>
      </c>
      <c r="BO543">
        <f t="shared" si="528"/>
        <v>0</v>
      </c>
    </row>
    <row r="544" spans="13:67" x14ac:dyDescent="0.25">
      <c r="M544" s="66">
        <v>26</v>
      </c>
      <c r="N544" s="36">
        <f t="shared" si="476"/>
        <v>1819700.8586099846</v>
      </c>
      <c r="O544" s="91" t="str">
        <f t="shared" si="477"/>
        <v>22,5</v>
      </c>
      <c r="P544" s="67" t="str">
        <f t="shared" si="478"/>
        <v>1+12348,1991141427i</v>
      </c>
      <c r="Q544" s="67">
        <f t="shared" si="489"/>
        <v>12348.199154634436</v>
      </c>
      <c r="R544" s="67">
        <f t="shared" si="490"/>
        <v>1.5707153433260872</v>
      </c>
      <c r="S544" s="67" t="str">
        <f t="shared" si="479"/>
        <v>1+343,005530948409i</v>
      </c>
      <c r="T544" s="67">
        <f t="shared" si="491"/>
        <v>343.0069886477533</v>
      </c>
      <c r="U544" s="67">
        <f t="shared" si="492"/>
        <v>1.5678809301712495</v>
      </c>
      <c r="V544" t="str">
        <f t="shared" si="480"/>
        <v>1-71,4594856142519i</v>
      </c>
      <c r="W544" s="67">
        <f t="shared" si="493"/>
        <v>71.466482243450841</v>
      </c>
      <c r="X544" s="67">
        <f t="shared" si="494"/>
        <v>-1.5568032967267968</v>
      </c>
      <c r="Y544" t="str">
        <f t="shared" si="481"/>
        <v>-210,923917748858+198,180973436858i</v>
      </c>
      <c r="Z544" s="67">
        <f t="shared" si="495"/>
        <v>289.42114178288296</v>
      </c>
      <c r="AA544" s="67">
        <f t="shared" si="496"/>
        <v>2.387332777293468</v>
      </c>
      <c r="AB544" s="92" t="str">
        <f t="shared" si="497"/>
        <v>-0,106926717608227+0,111287138711485i</v>
      </c>
      <c r="AC544" s="37">
        <f t="shared" si="498"/>
        <v>-16.230919707018678</v>
      </c>
      <c r="AD544" s="60">
        <f t="shared" si="499"/>
        <v>133.85524922217218</v>
      </c>
      <c r="AE544" t="str">
        <f t="shared" si="500"/>
        <v>34,4450883806789</v>
      </c>
      <c r="AF544" t="str">
        <f t="shared" si="482"/>
        <v>1+6174,09955707137i</v>
      </c>
      <c r="AG544">
        <f t="shared" si="501"/>
        <v>6174.0996380548386</v>
      </c>
      <c r="AH544">
        <f t="shared" si="502"/>
        <v>1.5706343598583399</v>
      </c>
      <c r="AI544" t="str">
        <f t="shared" si="483"/>
        <v>1+343,005530948409i</v>
      </c>
      <c r="AJ544">
        <f t="shared" si="503"/>
        <v>343.0069886477533</v>
      </c>
      <c r="AK544">
        <f t="shared" si="504"/>
        <v>1.5678809301712495</v>
      </c>
      <c r="AL544" t="str">
        <f t="shared" si="484"/>
        <v>1-23,3385702715563i</v>
      </c>
      <c r="AM544">
        <f t="shared" si="505"/>
        <v>23.359984210619054</v>
      </c>
      <c r="AN544">
        <f t="shared" si="506"/>
        <v>-1.5279749932069084</v>
      </c>
      <c r="AO544" s="58" t="str">
        <f t="shared" si="507"/>
        <v>1,7906454150318-44,6663509224962i</v>
      </c>
      <c r="AP544">
        <f t="shared" si="508"/>
        <v>33.006583663376922</v>
      </c>
      <c r="AQ544" s="60">
        <f t="shared" si="509"/>
        <v>-87.704278212542775</v>
      </c>
      <c r="AR544" t="str">
        <f t="shared" si="485"/>
        <v>-1,36472945891784</v>
      </c>
      <c r="AS544" t="str">
        <f t="shared" si="486"/>
        <v>1+256,945443233453i</v>
      </c>
      <c r="AT544">
        <f t="shared" si="510"/>
        <v>256.94738916446613</v>
      </c>
      <c r="AU544">
        <f t="shared" si="511"/>
        <v>1.56690446968095</v>
      </c>
      <c r="AV544" t="str">
        <f t="shared" si="487"/>
        <v>1+256,945443233453i</v>
      </c>
      <c r="AW544">
        <f t="shared" si="512"/>
        <v>256.94738916446613</v>
      </c>
      <c r="AX544">
        <f t="shared" si="513"/>
        <v>1.56690446968095</v>
      </c>
      <c r="AY544" t="str">
        <f t="shared" si="488"/>
        <v>1-0,0000583781514520631i</v>
      </c>
      <c r="AZ544">
        <f t="shared" si="514"/>
        <v>1.0000000017040043</v>
      </c>
      <c r="BA544">
        <f t="shared" si="515"/>
        <v>-5.8378151385745352E-5</v>
      </c>
      <c r="BB544" s="58" t="str">
        <f t="shared" si="516"/>
        <v>-0,0000203607784557941+0,00531127962794596i</v>
      </c>
      <c r="BC544">
        <f t="shared" si="517"/>
        <v>-45.495952843191709</v>
      </c>
      <c r="BD544" s="60">
        <f t="shared" si="518"/>
        <v>90.219642165406924</v>
      </c>
      <c r="BE544" s="58" t="str">
        <f t="shared" si="519"/>
        <v>-0,00058890000148248-0,00057018358969199i</v>
      </c>
      <c r="BF544" s="37">
        <f t="shared" si="520"/>
        <v>-61.726872550210388</v>
      </c>
      <c r="BG544" s="60">
        <f t="shared" si="521"/>
        <v>-135.92510861242093</v>
      </c>
      <c r="BH544" s="58" t="str">
        <f t="shared" si="522"/>
        <v>0,237199020774751+0,0104200601892949i</v>
      </c>
      <c r="BI544" s="37">
        <f t="shared" si="523"/>
        <v>-12.489369179814787</v>
      </c>
      <c r="BJ544" s="60">
        <f t="shared" si="524"/>
        <v>2.5153639528641452</v>
      </c>
      <c r="BK544">
        <f t="shared" si="525"/>
        <v>-61.726872550210388</v>
      </c>
      <c r="BL544" s="60">
        <f t="shared" si="526"/>
        <v>-135.92510861242093</v>
      </c>
      <c r="BN544">
        <f t="shared" si="527"/>
        <v>0</v>
      </c>
      <c r="BO544">
        <f t="shared" si="528"/>
        <v>0</v>
      </c>
    </row>
    <row r="545" spans="13:67" x14ac:dyDescent="0.25">
      <c r="M545" s="66">
        <v>27</v>
      </c>
      <c r="N545" s="36">
        <f t="shared" si="476"/>
        <v>1862087.1366628683</v>
      </c>
      <c r="O545" s="91" t="str">
        <f t="shared" si="477"/>
        <v>22,5</v>
      </c>
      <c r="P545" s="67" t="str">
        <f t="shared" si="478"/>
        <v>1+12635,8256207897i</v>
      </c>
      <c r="Q545" s="67">
        <f t="shared" si="489"/>
        <v>12635.825660359729</v>
      </c>
      <c r="R545" s="67">
        <f t="shared" si="490"/>
        <v>1.5707171867348861</v>
      </c>
      <c r="S545" s="67" t="str">
        <f t="shared" si="479"/>
        <v>1+350,995156133046i</v>
      </c>
      <c r="T545" s="67">
        <f t="shared" si="491"/>
        <v>350.9965806512385</v>
      </c>
      <c r="U545" s="67">
        <f t="shared" si="492"/>
        <v>1.5679472923371285</v>
      </c>
      <c r="V545" t="str">
        <f t="shared" si="480"/>
        <v>1-73,1239908610513i</v>
      </c>
      <c r="W545" s="67">
        <f t="shared" si="493"/>
        <v>73.130828242589416</v>
      </c>
      <c r="X545" s="67">
        <f t="shared" si="494"/>
        <v>-1.5571217768101009</v>
      </c>
      <c r="Y545" t="str">
        <f t="shared" si="481"/>
        <v>-220,911584289619+202,797201321315i</v>
      </c>
      <c r="Z545" s="67">
        <f t="shared" si="495"/>
        <v>299.88103130592873</v>
      </c>
      <c r="AA545" s="67">
        <f t="shared" si="496"/>
        <v>2.3989204368802346</v>
      </c>
      <c r="AB545" s="92" t="str">
        <f t="shared" si="497"/>
        <v>-0,10429153648625+0,111149462140989i</v>
      </c>
      <c r="AC545" s="37">
        <f t="shared" si="498"/>
        <v>-16.339334502330225</v>
      </c>
      <c r="AD545" s="60">
        <f t="shared" si="499"/>
        <v>133.17677432126399</v>
      </c>
      <c r="AE545" t="str">
        <f t="shared" si="500"/>
        <v>34,4450883806789</v>
      </c>
      <c r="AF545" t="str">
        <f t="shared" si="482"/>
        <v>1+6317,91281039483i</v>
      </c>
      <c r="AG545">
        <f t="shared" si="501"/>
        <v>6317.9128895348895</v>
      </c>
      <c r="AH545">
        <f t="shared" si="502"/>
        <v>1.5706380466758669</v>
      </c>
      <c r="AI545" t="str">
        <f t="shared" si="483"/>
        <v>1+350,995156133046i</v>
      </c>
      <c r="AJ545">
        <f t="shared" si="503"/>
        <v>350.9965806512385</v>
      </c>
      <c r="AK545">
        <f t="shared" si="504"/>
        <v>1.5679472923371285</v>
      </c>
      <c r="AL545" t="str">
        <f t="shared" si="484"/>
        <v>1-23,8821954087354i</v>
      </c>
      <c r="AM545">
        <f t="shared" si="505"/>
        <v>23.903122338745252</v>
      </c>
      <c r="AN545">
        <f t="shared" si="506"/>
        <v>-1.5289485749465372</v>
      </c>
      <c r="AO545" s="58" t="str">
        <f t="shared" si="507"/>
        <v>1,79064537647694-45,7065203035317i</v>
      </c>
      <c r="AP545">
        <f t="shared" si="508"/>
        <v>33.206223794273626</v>
      </c>
      <c r="AQ545" s="60">
        <f t="shared" si="509"/>
        <v>-87.756469304294455</v>
      </c>
      <c r="AR545" t="str">
        <f t="shared" si="485"/>
        <v>-1,36472945891784</v>
      </c>
      <c r="AS545" t="str">
        <f t="shared" si="486"/>
        <v>1+262,930471459265i</v>
      </c>
      <c r="AT545">
        <f t="shared" si="510"/>
        <v>262.93237309580451</v>
      </c>
      <c r="AU545">
        <f t="shared" si="511"/>
        <v>1.5669930583002702</v>
      </c>
      <c r="AV545" t="str">
        <f t="shared" si="487"/>
        <v>1+262,930471459265i</v>
      </c>
      <c r="AW545">
        <f t="shared" si="512"/>
        <v>262.93237309580451</v>
      </c>
      <c r="AX545">
        <f t="shared" si="513"/>
        <v>1.5669930583002702</v>
      </c>
      <c r="AY545" t="str">
        <f t="shared" si="488"/>
        <v>1-0,0000570493024895516i</v>
      </c>
      <c r="AZ545">
        <f t="shared" si="514"/>
        <v>1.0000000016273114</v>
      </c>
      <c r="BA545">
        <f t="shared" si="515"/>
        <v>-5.7049302427660276E-5</v>
      </c>
      <c r="BB545" s="58" t="str">
        <f t="shared" si="516"/>
        <v>-0,0000194444057262314+0,00519038362856146i</v>
      </c>
      <c r="BC545">
        <f t="shared" si="517"/>
        <v>-45.695949883255352</v>
      </c>
      <c r="BD545" s="60">
        <f t="shared" si="518"/>
        <v>90.214642548843884</v>
      </c>
      <c r="BE545" s="58" t="str">
        <f t="shared" si="519"/>
        <v>-0,00057488046167075-0,000543474318813874i</v>
      </c>
      <c r="BF545" s="37">
        <f t="shared" si="520"/>
        <v>-62.035284385585577</v>
      </c>
      <c r="BG545" s="60">
        <f t="shared" si="521"/>
        <v>-136.60858312989208</v>
      </c>
      <c r="BH545" s="58" t="str">
        <f t="shared" si="522"/>
        <v>0,237199556666751+0,0101828725717413i</v>
      </c>
      <c r="BI545" s="37">
        <f t="shared" si="523"/>
        <v>-12.489726088981723</v>
      </c>
      <c r="BJ545" s="60">
        <f t="shared" si="524"/>
        <v>2.4581732445494464</v>
      </c>
      <c r="BK545">
        <f t="shared" si="525"/>
        <v>-62.035284385585577</v>
      </c>
      <c r="BL545" s="60">
        <f t="shared" si="526"/>
        <v>-136.60858312989208</v>
      </c>
      <c r="BN545">
        <f t="shared" si="527"/>
        <v>0</v>
      </c>
      <c r="BO545">
        <f t="shared" si="528"/>
        <v>0</v>
      </c>
    </row>
    <row r="546" spans="13:67" x14ac:dyDescent="0.25">
      <c r="M546" s="66">
        <v>28</v>
      </c>
      <c r="N546" s="36">
        <f t="shared" si="476"/>
        <v>1905460.7179632513</v>
      </c>
      <c r="O546" s="91" t="str">
        <f t="shared" si="477"/>
        <v>22,5</v>
      </c>
      <c r="P546" s="67" t="str">
        <f t="shared" si="478"/>
        <v>1+12930,1518094358i</v>
      </c>
      <c r="Q546" s="67">
        <f t="shared" si="489"/>
        <v>12930.151848105104</v>
      </c>
      <c r="R546" s="67">
        <f t="shared" si="490"/>
        <v>1.5707189881825783</v>
      </c>
      <c r="S546" s="67" t="str">
        <f t="shared" si="479"/>
        <v>1+359,170883595438i</v>
      </c>
      <c r="T546" s="67">
        <f t="shared" si="491"/>
        <v>359.17227568776468</v>
      </c>
      <c r="U546" s="67">
        <f t="shared" si="492"/>
        <v>1.5680121439399366</v>
      </c>
      <c r="V546" t="str">
        <f t="shared" si="480"/>
        <v>1-74,8272674157162i</v>
      </c>
      <c r="W546" s="67">
        <f t="shared" si="493"/>
        <v>74.833949173507492</v>
      </c>
      <c r="X546" s="67">
        <f t="shared" si="494"/>
        <v>-1.5574330100823122</v>
      </c>
      <c r="Y546" t="str">
        <f t="shared" si="481"/>
        <v>-231,369955052868+207,520954966253i</v>
      </c>
      <c r="Z546" s="67">
        <f t="shared" si="495"/>
        <v>310.800583737019</v>
      </c>
      <c r="AA546" s="67">
        <f t="shared" si="496"/>
        <v>2.4104803449151571</v>
      </c>
      <c r="AB546" s="92" t="str">
        <f t="shared" si="497"/>
        <v>-0,10166786612968+0,110950149222652i</v>
      </c>
      <c r="AC546" s="37">
        <f t="shared" si="498"/>
        <v>-16.450029237605413</v>
      </c>
      <c r="AD546" s="60">
        <f t="shared" si="499"/>
        <v>132.50022053414756</v>
      </c>
      <c r="AE546" t="str">
        <f t="shared" si="500"/>
        <v>34,4450883806789</v>
      </c>
      <c r="AF546" t="str">
        <f t="shared" si="482"/>
        <v>1+6465,07590471789i</v>
      </c>
      <c r="AG546">
        <f t="shared" si="501"/>
        <v>6465.0759820565017</v>
      </c>
      <c r="AH546">
        <f t="shared" si="502"/>
        <v>1.5706416495711852</v>
      </c>
      <c r="AI546" t="str">
        <f t="shared" si="483"/>
        <v>1+359,170883595438i</v>
      </c>
      <c r="AJ546">
        <f t="shared" si="503"/>
        <v>359.17227568776468</v>
      </c>
      <c r="AK546">
        <f t="shared" si="504"/>
        <v>1.5680121439399366</v>
      </c>
      <c r="AL546" t="str">
        <f t="shared" si="484"/>
        <v>1-24,4384832020388i</v>
      </c>
      <c r="AM546">
        <f t="shared" si="505"/>
        <v>24.458934179892893</v>
      </c>
      <c r="AN546">
        <f t="shared" si="506"/>
        <v>-1.5299000719681823</v>
      </c>
      <c r="AO546" s="58" t="str">
        <f t="shared" si="507"/>
        <v>1,79064533965734-46,7709238866296i</v>
      </c>
      <c r="AP546">
        <f t="shared" si="508"/>
        <v>33.405880094364171</v>
      </c>
      <c r="AQ546" s="60">
        <f t="shared" si="509"/>
        <v>-87.807476775414187</v>
      </c>
      <c r="AR546" t="str">
        <f t="shared" si="485"/>
        <v>-1,36472945891784</v>
      </c>
      <c r="AS546" t="str">
        <f t="shared" si="486"/>
        <v>1+269,054908901343i</v>
      </c>
      <c r="AT546">
        <f t="shared" si="510"/>
        <v>269.05676725165267</v>
      </c>
      <c r="AU546">
        <f t="shared" si="511"/>
        <v>1.5670796304541066</v>
      </c>
      <c r="AV546" t="str">
        <f t="shared" si="487"/>
        <v>1+269,054908901343i</v>
      </c>
      <c r="AW546">
        <f t="shared" si="512"/>
        <v>269.05676725165267</v>
      </c>
      <c r="AX546">
        <f t="shared" si="513"/>
        <v>1.5670796304541066</v>
      </c>
      <c r="AY546" t="str">
        <f t="shared" si="488"/>
        <v>1-0,0000557507018223564i</v>
      </c>
      <c r="AZ546">
        <f t="shared" si="514"/>
        <v>1.0000000015540704</v>
      </c>
      <c r="BA546">
        <f t="shared" si="515"/>
        <v>-5.5750701764596059E-5</v>
      </c>
      <c r="BB546" s="58" t="str">
        <f t="shared" si="516"/>
        <v>-0,0000185692753971578+0,00507223932547856i</v>
      </c>
      <c r="BC546">
        <f t="shared" si="517"/>
        <v>-45.895947056536279</v>
      </c>
      <c r="BD546" s="60">
        <f t="shared" si="518"/>
        <v>90.209756734142971</v>
      </c>
      <c r="BE546" s="58" t="str">
        <f t="shared" si="519"/>
        <v>-0,000560877811449647-0,000517744012596724i</v>
      </c>
      <c r="BF546" s="37">
        <f t="shared" si="520"/>
        <v>-62.345976294141686</v>
      </c>
      <c r="BG546" s="60">
        <f t="shared" si="521"/>
        <v>-137.29002273170948</v>
      </c>
      <c r="BH546" s="58" t="str">
        <f t="shared" si="522"/>
        <v>0,237200068440276+0,0099510838760252i</v>
      </c>
      <c r="BI546" s="37">
        <f t="shared" si="523"/>
        <v>-12.490066962172126</v>
      </c>
      <c r="BJ546" s="60">
        <f t="shared" si="524"/>
        <v>2.4022799587288017</v>
      </c>
      <c r="BK546">
        <f t="shared" si="525"/>
        <v>-62.345976294141686</v>
      </c>
      <c r="BL546" s="60">
        <f t="shared" si="526"/>
        <v>-137.29002273170948</v>
      </c>
      <c r="BN546">
        <f t="shared" si="527"/>
        <v>0</v>
      </c>
      <c r="BO546">
        <f t="shared" si="528"/>
        <v>0</v>
      </c>
    </row>
    <row r="547" spans="13:67" x14ac:dyDescent="0.25">
      <c r="M547" s="66">
        <v>29</v>
      </c>
      <c r="N547" s="36">
        <f t="shared" si="476"/>
        <v>1949844.5997580495</v>
      </c>
      <c r="O547" s="91" t="str">
        <f t="shared" si="477"/>
        <v>22,5</v>
      </c>
      <c r="P547" s="67" t="str">
        <f t="shared" si="478"/>
        <v>1+13231,3337357219i</v>
      </c>
      <c r="Q547" s="67">
        <f t="shared" si="489"/>
        <v>13231.333773510985</v>
      </c>
      <c r="R547" s="67">
        <f t="shared" si="490"/>
        <v>1.5707207486243153</v>
      </c>
      <c r="S547" s="67" t="str">
        <f t="shared" si="479"/>
        <v>1+367,537048214496i</v>
      </c>
      <c r="T547" s="67">
        <f t="shared" si="491"/>
        <v>367.53840861905132</v>
      </c>
      <c r="U547" s="67">
        <f t="shared" si="492"/>
        <v>1.5680755193626688</v>
      </c>
      <c r="V547" t="str">
        <f t="shared" si="480"/>
        <v>1-76,57021837802i</v>
      </c>
      <c r="W547" s="67">
        <f t="shared" si="493"/>
        <v>76.576748053555207</v>
      </c>
      <c r="X547" s="67">
        <f t="shared" si="494"/>
        <v>-1.5577371613221089</v>
      </c>
      <c r="Y547" t="str">
        <f t="shared" si="481"/>
        <v>-242,321213645158+212,354738968375i</v>
      </c>
      <c r="Z547" s="67">
        <f t="shared" si="495"/>
        <v>322.20196421621796</v>
      </c>
      <c r="AA547" s="67">
        <f t="shared" si="496"/>
        <v>2.4220066318491513</v>
      </c>
      <c r="AB547" s="92" t="str">
        <f t="shared" si="497"/>
        <v>-0,0990583938204954+0,110689978646221i</v>
      </c>
      <c r="AC547" s="37">
        <f t="shared" si="498"/>
        <v>-16.562992812205945</v>
      </c>
      <c r="AD547" s="60">
        <f t="shared" si="499"/>
        <v>131.82591663536468</v>
      </c>
      <c r="AE547" t="str">
        <f t="shared" si="500"/>
        <v>34,4450883806789</v>
      </c>
      <c r="AF547" t="str">
        <f t="shared" si="482"/>
        <v>1+6615,66686786093i</v>
      </c>
      <c r="AG547">
        <f t="shared" si="501"/>
        <v>6615.6669434391006</v>
      </c>
      <c r="AH547">
        <f t="shared" si="502"/>
        <v>1.5706451704545976</v>
      </c>
      <c r="AI547" t="str">
        <f t="shared" si="483"/>
        <v>1+367,537048214496i</v>
      </c>
      <c r="AJ547">
        <f t="shared" si="503"/>
        <v>367.53840861905132</v>
      </c>
      <c r="AK547">
        <f t="shared" si="504"/>
        <v>1.5680755193626688</v>
      </c>
      <c r="AL547" t="str">
        <f t="shared" si="484"/>
        <v>1-25,007728602617i</v>
      </c>
      <c r="AM547">
        <f t="shared" si="505"/>
        <v>25.027714435444331</v>
      </c>
      <c r="AN547">
        <f t="shared" si="506"/>
        <v>-1.5308299818727527</v>
      </c>
      <c r="AO547" s="58" t="str">
        <f t="shared" si="507"/>
        <v>1,7906453044949-47,8601260326572i</v>
      </c>
      <c r="AP547">
        <f t="shared" si="508"/>
        <v>33.605551838337796</v>
      </c>
      <c r="AQ547" s="60">
        <f t="shared" si="509"/>
        <v>-87.857327275785735</v>
      </c>
      <c r="AR547" t="str">
        <f t="shared" si="485"/>
        <v>-1,36472945891784</v>
      </c>
      <c r="AS547" t="str">
        <f t="shared" si="486"/>
        <v>1+275,322002817479i</v>
      </c>
      <c r="AT547">
        <f t="shared" si="510"/>
        <v>275.32381886685346</v>
      </c>
      <c r="AU547">
        <f t="shared" si="511"/>
        <v>1.5671642320389672</v>
      </c>
      <c r="AV547" t="str">
        <f t="shared" si="487"/>
        <v>1+275,322002817479i</v>
      </c>
      <c r="AW547">
        <f t="shared" si="512"/>
        <v>275.32381886685346</v>
      </c>
      <c r="AX547">
        <f t="shared" si="513"/>
        <v>1.5671642320389672</v>
      </c>
      <c r="AY547" t="str">
        <f t="shared" si="488"/>
        <v>1-0,0000544816609152159i</v>
      </c>
      <c r="AZ547">
        <f t="shared" si="514"/>
        <v>1.0000000014841257</v>
      </c>
      <c r="BA547">
        <f t="shared" si="515"/>
        <v>-5.4481660861310814E-5</v>
      </c>
      <c r="BB547" s="58" t="str">
        <f t="shared" si="516"/>
        <v>-0,0000177335313574024+0,00495678409796837i</v>
      </c>
      <c r="BC547">
        <f t="shared" si="517"/>
        <v>-46.095944357038661</v>
      </c>
      <c r="BD547" s="60">
        <f t="shared" si="518"/>
        <v>90.204982131078125</v>
      </c>
      <c r="BE547" s="58" t="str">
        <f t="shared" si="519"/>
        <v>-0,000546909670825017-0,000492973995466993i</v>
      </c>
      <c r="BF547" s="37">
        <f t="shared" si="520"/>
        <v>-62.658937169244609</v>
      </c>
      <c r="BG547" s="60">
        <f t="shared" si="521"/>
        <v>-137.96910123355715</v>
      </c>
      <c r="BH547" s="58" t="str">
        <f t="shared" si="522"/>
        <v>0,23720055718078+0,00972457121619141i</v>
      </c>
      <c r="BI547" s="37">
        <f t="shared" si="523"/>
        <v>-12.490392518700871</v>
      </c>
      <c r="BJ547" s="60">
        <f t="shared" si="524"/>
        <v>2.3476548552924021</v>
      </c>
      <c r="BK547">
        <f t="shared" si="525"/>
        <v>-62.658937169244609</v>
      </c>
      <c r="BL547" s="60">
        <f t="shared" si="526"/>
        <v>-137.96910123355715</v>
      </c>
      <c r="BN547">
        <f t="shared" si="527"/>
        <v>0</v>
      </c>
      <c r="BO547">
        <f t="shared" si="528"/>
        <v>0</v>
      </c>
    </row>
    <row r="548" spans="13:67" x14ac:dyDescent="0.25">
      <c r="M548" s="66">
        <v>30</v>
      </c>
      <c r="N548" s="36">
        <f t="shared" si="476"/>
        <v>1995262.31496888</v>
      </c>
      <c r="O548" s="91" t="str">
        <f t="shared" si="477"/>
        <v>22,5</v>
      </c>
      <c r="P548" s="67" t="str">
        <f t="shared" si="478"/>
        <v>1+13539,5310902921i</v>
      </c>
      <c r="Q548" s="67">
        <f t="shared" si="489"/>
        <v>13539.531127220998</v>
      </c>
      <c r="R548" s="67">
        <f t="shared" si="490"/>
        <v>1.5707224689935064</v>
      </c>
      <c r="S548" s="67" t="str">
        <f t="shared" si="479"/>
        <v>1+376,098085841448i</v>
      </c>
      <c r="T548" s="67">
        <f t="shared" si="491"/>
        <v>376.09941527952577</v>
      </c>
      <c r="U548" s="67">
        <f t="shared" si="492"/>
        <v>1.5681374522057756</v>
      </c>
      <c r="V548" t="str">
        <f t="shared" si="480"/>
        <v>1-78,353767883635i</v>
      </c>
      <c r="W548" s="67">
        <f t="shared" si="493"/>
        <v>78.360148937853282</v>
      </c>
      <c r="X548" s="67">
        <f t="shared" si="494"/>
        <v>-1.558034391569284</v>
      </c>
      <c r="Y548" t="str">
        <f t="shared" si="481"/>
        <v>-253,788589154238+217,301116263948i</v>
      </c>
      <c r="Z548" s="67">
        <f t="shared" si="495"/>
        <v>334.10840024527437</v>
      </c>
      <c r="AA548" s="67">
        <f t="shared" si="496"/>
        <v>2.4334935076475599</v>
      </c>
      <c r="AB548" s="92" t="str">
        <f t="shared" si="497"/>
        <v>-0,0964657478251695+0,110369876463466i</v>
      </c>
      <c r="AC548" s="37">
        <f t="shared" si="498"/>
        <v>-16.678211816764897</v>
      </c>
      <c r="AD548" s="60">
        <f t="shared" si="499"/>
        <v>131.15418701424775</v>
      </c>
      <c r="AE548" t="str">
        <f t="shared" si="500"/>
        <v>34,4450883806789</v>
      </c>
      <c r="AF548" t="str">
        <f t="shared" si="482"/>
        <v>1+6769,76554514607i</v>
      </c>
      <c r="AG548">
        <f t="shared" si="501"/>
        <v>6769.7656190038706</v>
      </c>
      <c r="AH548">
        <f t="shared" si="502"/>
        <v>1.5706486111929223</v>
      </c>
      <c r="AI548" t="str">
        <f t="shared" si="483"/>
        <v>1+376,098085841448i</v>
      </c>
      <c r="AJ548">
        <f t="shared" si="503"/>
        <v>376.09941527952577</v>
      </c>
      <c r="AK548">
        <f t="shared" si="504"/>
        <v>1.5681374522057756</v>
      </c>
      <c r="AL548" t="str">
        <f t="shared" si="484"/>
        <v>1-25,590233431917i</v>
      </c>
      <c r="AM548">
        <f t="shared" si="505"/>
        <v>25.609764682636239</v>
      </c>
      <c r="AN548">
        <f t="shared" si="506"/>
        <v>-1.531738791274136</v>
      </c>
      <c r="AO548" s="58" t="str">
        <f t="shared" si="507"/>
        <v>1,79064527091501-48,9747042510109i</v>
      </c>
      <c r="AP548">
        <f t="shared" si="508"/>
        <v>33.805238333315913</v>
      </c>
      <c r="AQ548" s="60">
        <f t="shared" si="509"/>
        <v>-87.906046868127973</v>
      </c>
      <c r="AR548" t="str">
        <f t="shared" si="485"/>
        <v>-1,36472945891784</v>
      </c>
      <c r="AS548" t="str">
        <f t="shared" si="486"/>
        <v>1+281,735076103829i</v>
      </c>
      <c r="AT548">
        <f t="shared" si="510"/>
        <v>281.73685081513617</v>
      </c>
      <c r="AU548">
        <f t="shared" si="511"/>
        <v>1.5672469079068849</v>
      </c>
      <c r="AV548" t="str">
        <f t="shared" si="487"/>
        <v>1+281,735076103829i</v>
      </c>
      <c r="AW548">
        <f t="shared" si="512"/>
        <v>281.73685081513617</v>
      </c>
      <c r="AX548">
        <f t="shared" si="513"/>
        <v>1.5672469079068849</v>
      </c>
      <c r="AY548" t="str">
        <f t="shared" si="488"/>
        <v>1-0,0000532415069058423i</v>
      </c>
      <c r="AZ548">
        <f t="shared" si="514"/>
        <v>1.0000000014173289</v>
      </c>
      <c r="BA548">
        <f t="shared" si="515"/>
        <v>-5.3241506855535144E-5</v>
      </c>
      <c r="BB548" s="58" t="str">
        <f t="shared" si="516"/>
        <v>-0,0000169354010255271+0,00484395674968732i</v>
      </c>
      <c r="BC548">
        <f t="shared" si="517"/>
        <v>-46.29594177903698</v>
      </c>
      <c r="BD548" s="60">
        <f t="shared" si="518"/>
        <v>90.20031620836933</v>
      </c>
      <c r="BE548" s="58" t="str">
        <f t="shared" si="519"/>
        <v>-0,000532993221932715-0,000469145068410411i</v>
      </c>
      <c r="BF548" s="37">
        <f t="shared" si="520"/>
        <v>-62.97415359580188</v>
      </c>
      <c r="BG548" s="60">
        <f t="shared" si="521"/>
        <v>-138.6454967773829</v>
      </c>
      <c r="BH548" s="58" t="str">
        <f t="shared" si="522"/>
        <v>0,237201023924867+0,0095032145029419i</v>
      </c>
      <c r="BI548" s="37">
        <f t="shared" si="523"/>
        <v>-12.490703445721071</v>
      </c>
      <c r="BJ548" s="60">
        <f t="shared" si="524"/>
        <v>2.2942693402413696</v>
      </c>
      <c r="BK548">
        <f t="shared" si="525"/>
        <v>-62.97415359580188</v>
      </c>
      <c r="BL548" s="60">
        <f t="shared" si="526"/>
        <v>-138.6454967773829</v>
      </c>
      <c r="BN548">
        <f t="shared" si="527"/>
        <v>0</v>
      </c>
      <c r="BO548">
        <f t="shared" si="528"/>
        <v>0</v>
      </c>
    </row>
    <row r="549" spans="13:67" x14ac:dyDescent="0.25">
      <c r="M549" s="66">
        <v>31</v>
      </c>
      <c r="N549" s="36">
        <f t="shared" si="476"/>
        <v>2041737.9446695296</v>
      </c>
      <c r="O549" s="91" t="str">
        <f t="shared" si="477"/>
        <v>22,5</v>
      </c>
      <c r="P549" s="67" t="str">
        <f t="shared" si="478"/>
        <v>1+13854,9072834633i</v>
      </c>
      <c r="Q549" s="67">
        <f t="shared" si="489"/>
        <v>13854.907319551596</v>
      </c>
      <c r="R549" s="67">
        <f t="shared" si="490"/>
        <v>1.5707241502023144</v>
      </c>
      <c r="S549" s="67" t="str">
        <f t="shared" si="479"/>
        <v>1+384,858535651758i</v>
      </c>
      <c r="T549" s="67">
        <f t="shared" si="491"/>
        <v>384.85983482823394</v>
      </c>
      <c r="U549" s="67">
        <f t="shared" si="492"/>
        <v>1.5681979753049688</v>
      </c>
      <c r="V549" t="str">
        <f t="shared" si="480"/>
        <v>1-80,1788615941162i</v>
      </c>
      <c r="W549" s="67">
        <f t="shared" si="493"/>
        <v>80.185097409234601</v>
      </c>
      <c r="X549" s="67">
        <f t="shared" si="494"/>
        <v>-1.5583248582090559</v>
      </c>
      <c r="Y549" t="str">
        <f t="shared" si="481"/>
        <v>-265,796405421013+222,362709487682i</v>
      </c>
      <c r="Z549" s="67">
        <f t="shared" si="495"/>
        <v>346.54423051817611</v>
      </c>
      <c r="AA549" s="67">
        <f t="shared" si="496"/>
        <v>2.4449352763676004</v>
      </c>
      <c r="AB549" s="92" t="str">
        <f t="shared" si="497"/>
        <v>-0,0938924871227723+0,109990910572149i</v>
      </c>
      <c r="AC549" s="37">
        <f t="shared" si="498"/>
        <v>-16.795670588985093</v>
      </c>
      <c r="AD549" s="60">
        <f t="shared" si="499"/>
        <v>130.48535083585386</v>
      </c>
      <c r="AE549" t="str">
        <f t="shared" si="500"/>
        <v>34,4450883806789</v>
      </c>
      <c r="AF549" t="str">
        <f t="shared" si="482"/>
        <v>1+6927,45364173165i</v>
      </c>
      <c r="AG549">
        <f t="shared" si="501"/>
        <v>6927.4537139082431</v>
      </c>
      <c r="AH549">
        <f t="shared" si="502"/>
        <v>1.570651973610484</v>
      </c>
      <c r="AI549" t="str">
        <f t="shared" si="483"/>
        <v>1+384,858535651758i</v>
      </c>
      <c r="AJ549">
        <f t="shared" si="503"/>
        <v>384.85983482823394</v>
      </c>
      <c r="AK549">
        <f t="shared" si="504"/>
        <v>1.5681979753049688</v>
      </c>
      <c r="AL549" t="str">
        <f t="shared" si="484"/>
        <v>1-26,1863065417093i</v>
      </c>
      <c r="AM549">
        <f t="shared" si="505"/>
        <v>26.205393534468573</v>
      </c>
      <c r="AN549">
        <f t="shared" si="506"/>
        <v>-1.5326269760267444</v>
      </c>
      <c r="AO549" s="58" t="str">
        <f t="shared" si="507"/>
        <v>1,79064523884648-50,1152495058147i</v>
      </c>
      <c r="AP549">
        <f t="shared" si="508"/>
        <v>34.004938917410236</v>
      </c>
      <c r="AQ549" s="60">
        <f t="shared" si="509"/>
        <v>-87.953661040068738</v>
      </c>
      <c r="AR549" t="str">
        <f t="shared" si="485"/>
        <v>-1,36472945891784</v>
      </c>
      <c r="AS549" t="str">
        <f t="shared" si="486"/>
        <v>1+288,297529056732i</v>
      </c>
      <c r="AT549">
        <f t="shared" si="510"/>
        <v>288.29926337092371</v>
      </c>
      <c r="AU549">
        <f t="shared" si="511"/>
        <v>1.567327701889176</v>
      </c>
      <c r="AV549" t="str">
        <f t="shared" si="487"/>
        <v>1+288,297529056732i</v>
      </c>
      <c r="AW549">
        <f t="shared" si="512"/>
        <v>288.29926337092371</v>
      </c>
      <c r="AX549">
        <f t="shared" si="513"/>
        <v>1.567327701889176</v>
      </c>
      <c r="AY549" t="str">
        <f t="shared" si="488"/>
        <v>1-0,0000520295822481651i</v>
      </c>
      <c r="AZ549">
        <f t="shared" si="514"/>
        <v>1.0000000013535386</v>
      </c>
      <c r="BA549">
        <f t="shared" si="515"/>
        <v>-5.2029582201215731E-5</v>
      </c>
      <c r="BB549" s="58" t="str">
        <f t="shared" si="516"/>
        <v>-0,000016173191591167+0,00473369747632383i</v>
      </c>
      <c r="BC549">
        <f t="shared" si="517"/>
        <v>-46.495939317062984</v>
      </c>
      <c r="BD549" s="60">
        <f t="shared" si="518"/>
        <v>90.195756492341786</v>
      </c>
      <c r="BE549" s="58" t="str">
        <f t="shared" si="519"/>
        <v>-0,000519145154610734-0,000446237533408805i</v>
      </c>
      <c r="BF549" s="37">
        <f t="shared" si="520"/>
        <v>-63.29160990604808</v>
      </c>
      <c r="BG549" s="60">
        <f t="shared" si="521"/>
        <v>-139.31889267180438</v>
      </c>
      <c r="BH549" s="58" t="str">
        <f t="shared" si="522"/>
        <v>0,237201469662494+0,00928689638001554i</v>
      </c>
      <c r="BI549" s="37">
        <f t="shared" si="523"/>
        <v>-12.491000399652762</v>
      </c>
      <c r="BJ549" s="60">
        <f t="shared" si="524"/>
        <v>2.2420954522730567</v>
      </c>
      <c r="BK549">
        <f t="shared" si="525"/>
        <v>-63.29160990604808</v>
      </c>
      <c r="BL549" s="60">
        <f t="shared" si="526"/>
        <v>-139.31889267180438</v>
      </c>
      <c r="BN549">
        <f t="shared" si="527"/>
        <v>0</v>
      </c>
      <c r="BO549">
        <f t="shared" si="528"/>
        <v>0</v>
      </c>
    </row>
    <row r="550" spans="13:67" x14ac:dyDescent="0.25">
      <c r="M550" s="66">
        <v>32</v>
      </c>
      <c r="N550" s="36">
        <f t="shared" si="476"/>
        <v>2089296.1308540432</v>
      </c>
      <c r="O550" s="91" t="str">
        <f t="shared" si="477"/>
        <v>22,5</v>
      </c>
      <c r="P550" s="67" t="str">
        <f t="shared" si="478"/>
        <v>1+14177,6295318676i</v>
      </c>
      <c r="Q550" s="67">
        <f t="shared" si="489"/>
        <v>14177.629567134425</v>
      </c>
      <c r="R550" s="67">
        <f t="shared" si="490"/>
        <v>1.5707257931421379</v>
      </c>
      <c r="S550" s="67" t="str">
        <f t="shared" si="479"/>
        <v>1+393,823042551879i</v>
      </c>
      <c r="T550" s="67">
        <f t="shared" si="491"/>
        <v>393.82431215558427</v>
      </c>
      <c r="U550" s="67">
        <f t="shared" si="492"/>
        <v>1.568257120748622</v>
      </c>
      <c r="V550" t="str">
        <f t="shared" si="480"/>
        <v>1-82,0464671983081i</v>
      </c>
      <c r="W550" s="67">
        <f t="shared" si="493"/>
        <v>82.05256107960949</v>
      </c>
      <c r="X550" s="67">
        <f t="shared" si="494"/>
        <v>-1.5586087150545136</v>
      </c>
      <c r="Y550" t="str">
        <f t="shared" si="481"/>
        <v>-278,370132633708+227,542202363308i</v>
      </c>
      <c r="Z550" s="67">
        <f t="shared" si="495"/>
        <v>359.53495601798278</v>
      </c>
      <c r="AA550" s="67">
        <f t="shared" si="496"/>
        <v>2.4563263501404644</v>
      </c>
      <c r="AB550" s="92" t="str">
        <f t="shared" si="497"/>
        <v>-0,0913410917306579+0,109554284377965i</v>
      </c>
      <c r="AC550" s="37">
        <f t="shared" si="498"/>
        <v>-16.91535127809054</v>
      </c>
      <c r="AD550" s="60">
        <f t="shared" si="499"/>
        <v>129.8197212360968</v>
      </c>
      <c r="AE550" t="str">
        <f t="shared" si="500"/>
        <v>34,4450883806789</v>
      </c>
      <c r="AF550" t="str">
        <f t="shared" si="482"/>
        <v>1+7088,81476593383i</v>
      </c>
      <c r="AG550">
        <f t="shared" si="501"/>
        <v>7088.8148364674835</v>
      </c>
      <c r="AH550">
        <f t="shared" si="502"/>
        <v>1.5706552594900811</v>
      </c>
      <c r="AI550" t="str">
        <f t="shared" si="483"/>
        <v>1+393,823042551879i</v>
      </c>
      <c r="AJ550">
        <f t="shared" si="503"/>
        <v>393.82431215558427</v>
      </c>
      <c r="AK550">
        <f t="shared" si="504"/>
        <v>1.568257120748622</v>
      </c>
      <c r="AL550" t="str">
        <f t="shared" si="484"/>
        <v>1-26,7962639778469i</v>
      </c>
      <c r="AM550">
        <f t="shared" si="505"/>
        <v>26.814916803347632</v>
      </c>
      <c r="AN550">
        <f t="shared" si="506"/>
        <v>-1.5334950014493784</v>
      </c>
      <c r="AO550" s="58" t="str">
        <f t="shared" si="507"/>
        <v>1,79064520822128-51,2823665292601i</v>
      </c>
      <c r="AP550">
        <f t="shared" si="508"/>
        <v>34.204652958345513</v>
      </c>
      <c r="AQ550" s="60">
        <f t="shared" si="509"/>
        <v>-88.000194716029867</v>
      </c>
      <c r="AR550" t="str">
        <f t="shared" si="485"/>
        <v>-1,36472945891784</v>
      </c>
      <c r="AS550" t="str">
        <f t="shared" si="486"/>
        <v>1+295,012841175613i</v>
      </c>
      <c r="AT550">
        <f t="shared" si="510"/>
        <v>295.01453601222346</v>
      </c>
      <c r="AU550">
        <f t="shared" si="511"/>
        <v>1.5674066568196579</v>
      </c>
      <c r="AV550" t="str">
        <f t="shared" si="487"/>
        <v>1+295,012841175613i</v>
      </c>
      <c r="AW550">
        <f t="shared" si="512"/>
        <v>295.01453601222346</v>
      </c>
      <c r="AX550">
        <f t="shared" si="513"/>
        <v>1.5674066568196579</v>
      </c>
      <c r="AY550" t="str">
        <f t="shared" si="488"/>
        <v>1-0,0000508452443636884i</v>
      </c>
      <c r="AZ550">
        <f t="shared" si="514"/>
        <v>1.0000000012926193</v>
      </c>
      <c r="BA550">
        <f t="shared" si="515"/>
        <v>-5.0845244319872702E-5</v>
      </c>
      <c r="BB550" s="58" t="str">
        <f t="shared" si="516"/>
        <v>-0,0000154452864254629+0,00462594783397594i</v>
      </c>
      <c r="BC550">
        <f t="shared" si="517"/>
        <v>-46.695936965894866</v>
      </c>
      <c r="BD550" s="60">
        <f t="shared" si="518"/>
        <v>90.191300565615563</v>
      </c>
      <c r="BE550" s="58" t="str">
        <f t="shared" si="519"/>
        <v>-0,000505381615196837-0,000424231222745789i</v>
      </c>
      <c r="BF550" s="37">
        <f t="shared" si="520"/>
        <v>-63.611288243985399</v>
      </c>
      <c r="BG550" s="60">
        <f t="shared" si="521"/>
        <v>-139.98897819828767</v>
      </c>
      <c r="BH550" s="58" t="str">
        <f t="shared" si="522"/>
        <v>0,237201895339064+0,00907550216201062i</v>
      </c>
      <c r="BI550" s="37">
        <f t="shared" si="523"/>
        <v>-12.491284007549337</v>
      </c>
      <c r="BJ550" s="60">
        <f t="shared" si="524"/>
        <v>2.1911058495856977</v>
      </c>
      <c r="BK550">
        <f t="shared" si="525"/>
        <v>-63.611288243985399</v>
      </c>
      <c r="BL550" s="60">
        <f t="shared" si="526"/>
        <v>-139.98897819828767</v>
      </c>
      <c r="BN550">
        <f t="shared" si="527"/>
        <v>0</v>
      </c>
      <c r="BO550">
        <f t="shared" si="528"/>
        <v>0</v>
      </c>
    </row>
    <row r="551" spans="13:67" x14ac:dyDescent="0.25">
      <c r="M551" s="66">
        <v>33</v>
      </c>
      <c r="N551" s="36">
        <f t="shared" si="476"/>
        <v>2137962.0895022359</v>
      </c>
      <c r="O551" s="91" t="str">
        <f t="shared" si="477"/>
        <v>22,5</v>
      </c>
      <c r="P551" s="67" t="str">
        <f t="shared" si="478"/>
        <v>1+14507,8689471128i</v>
      </c>
      <c r="Q551" s="67">
        <f t="shared" si="489"/>
        <v>14507.868981576856</v>
      </c>
      <c r="R551" s="67">
        <f t="shared" si="490"/>
        <v>1.5707273986840857</v>
      </c>
      <c r="S551" s="67" t="str">
        <f t="shared" si="479"/>
        <v>1+402,996359642022i</v>
      </c>
      <c r="T551" s="67">
        <f t="shared" si="491"/>
        <v>402.99760034610875</v>
      </c>
      <c r="U551" s="67">
        <f t="shared" si="492"/>
        <v>1.5683149198947763</v>
      </c>
      <c r="V551" t="str">
        <f t="shared" si="480"/>
        <v>1-83,9575749254212i</v>
      </c>
      <c r="W551" s="67">
        <f t="shared" si="493"/>
        <v>83.963530103001943</v>
      </c>
      <c r="X551" s="67">
        <f t="shared" si="494"/>
        <v>-1.5588861124272355</v>
      </c>
      <c r="Y551" t="str">
        <f t="shared" si="481"/>
        <v>-291,536441353521+232,842341126502i</v>
      </c>
      <c r="Z551" s="67">
        <f t="shared" si="495"/>
        <v>373.10729349390277</v>
      </c>
      <c r="AA551" s="67">
        <f t="shared" si="496"/>
        <v>2.46766126247946</v>
      </c>
      <c r="AB551" s="92" t="str">
        <f t="shared" si="497"/>
        <v>-0,0888139537013718+0,109061329706746i</v>
      </c>
      <c r="AC551" s="37">
        <f t="shared" si="498"/>
        <v>-17.03723391737849</v>
      </c>
      <c r="AD551" s="60">
        <f t="shared" si="499"/>
        <v>129.15760455557327</v>
      </c>
      <c r="AE551" t="str">
        <f t="shared" si="500"/>
        <v>34,4450883806789</v>
      </c>
      <c r="AF551" t="str">
        <f t="shared" si="482"/>
        <v>1+7253,9344735564i</v>
      </c>
      <c r="AG551">
        <f t="shared" si="501"/>
        <v>7253.9345424845096</v>
      </c>
      <c r="AH551">
        <f t="shared" si="502"/>
        <v>1.5706584705739299</v>
      </c>
      <c r="AI551" t="str">
        <f t="shared" si="483"/>
        <v>1+402,996359642022i</v>
      </c>
      <c r="AJ551">
        <f t="shared" si="503"/>
        <v>402.99760034610875</v>
      </c>
      <c r="AK551">
        <f t="shared" si="504"/>
        <v>1.5683149198947763</v>
      </c>
      <c r="AL551" t="str">
        <f t="shared" si="484"/>
        <v>1-27,4204291478359i</v>
      </c>
      <c r="AM551">
        <f t="shared" si="505"/>
        <v>27.438657668542913</v>
      </c>
      <c r="AN551">
        <f t="shared" si="506"/>
        <v>-1.5343433225453846</v>
      </c>
      <c r="AO551" s="58" t="str">
        <f t="shared" si="507"/>
        <v>1,79064517897444-52,4766741422412i</v>
      </c>
      <c r="AP551">
        <f t="shared" si="508"/>
        <v>34.404379852141901</v>
      </c>
      <c r="AQ551" s="60">
        <f t="shared" si="509"/>
        <v>-88.045672268921024</v>
      </c>
      <c r="AR551" t="str">
        <f t="shared" si="485"/>
        <v>-1,36472945891784</v>
      </c>
      <c r="AS551" t="str">
        <f t="shared" si="486"/>
        <v>1+301,884573007839i</v>
      </c>
      <c r="AT551">
        <f t="shared" si="510"/>
        <v>301.88622926547225</v>
      </c>
      <c r="AU551">
        <f t="shared" si="511"/>
        <v>1.5674838145573393</v>
      </c>
      <c r="AV551" t="str">
        <f t="shared" si="487"/>
        <v>1+301,884573007839i</v>
      </c>
      <c r="AW551">
        <f t="shared" si="512"/>
        <v>301.88622926547225</v>
      </c>
      <c r="AX551">
        <f t="shared" si="513"/>
        <v>1.5674838145573393</v>
      </c>
      <c r="AY551" t="str">
        <f t="shared" si="488"/>
        <v>1-0,00004968786530079i</v>
      </c>
      <c r="AZ551">
        <f t="shared" si="514"/>
        <v>1.0000000012344419</v>
      </c>
      <c r="BA551">
        <f t="shared" si="515"/>
        <v>-4.9687865259898805E-5</v>
      </c>
      <c r="BB551" s="58" t="str">
        <f t="shared" si="516"/>
        <v>-0,0000147501416529915+0,0045206507082452i</v>
      </c>
      <c r="BC551">
        <f t="shared" si="517"/>
        <v>-46.895934720545469</v>
      </c>
      <c r="BD551" s="60">
        <f t="shared" si="518"/>
        <v>90.186946065825069</v>
      </c>
      <c r="BE551" s="58" t="str">
        <f t="shared" si="519"/>
        <v>-0,000491718158983107-0,000403105532764201i</v>
      </c>
      <c r="BF551" s="37">
        <f t="shared" si="520"/>
        <v>-63.933168637923963</v>
      </c>
      <c r="BG551" s="60">
        <f t="shared" si="521"/>
        <v>-140.65544937860162</v>
      </c>
      <c r="BH551" s="58" t="str">
        <f t="shared" si="522"/>
        <v>0,237202301857435+0,00886891977362259i</v>
      </c>
      <c r="BI551" s="37">
        <f t="shared" si="523"/>
        <v>-12.491554868403574</v>
      </c>
      <c r="BJ551" s="60">
        <f t="shared" si="524"/>
        <v>2.1412737969040441</v>
      </c>
      <c r="BK551">
        <f t="shared" si="525"/>
        <v>-63.933168637923963</v>
      </c>
      <c r="BL551" s="60">
        <f t="shared" si="526"/>
        <v>-140.65544937860162</v>
      </c>
      <c r="BN551">
        <f t="shared" si="527"/>
        <v>0</v>
      </c>
      <c r="BO551">
        <f t="shared" si="528"/>
        <v>0</v>
      </c>
    </row>
    <row r="552" spans="13:67" x14ac:dyDescent="0.25">
      <c r="M552" s="66">
        <v>34</v>
      </c>
      <c r="N552" s="36">
        <f t="shared" si="476"/>
        <v>2187761.6239495561</v>
      </c>
      <c r="O552" s="91" t="str">
        <f t="shared" si="477"/>
        <v>22,5</v>
      </c>
      <c r="P552" s="67" t="str">
        <f t="shared" si="478"/>
        <v>1+14845,8006265081i</v>
      </c>
      <c r="Q552" s="67">
        <f t="shared" si="489"/>
        <v>14845.800660187655</v>
      </c>
      <c r="R552" s="67">
        <f t="shared" si="490"/>
        <v>1.5707289676794374</v>
      </c>
      <c r="S552" s="67" t="str">
        <f t="shared" si="479"/>
        <v>1+412,383350736336i</v>
      </c>
      <c r="T552" s="67">
        <f t="shared" si="491"/>
        <v>412.38456319863377</v>
      </c>
      <c r="U552" s="67">
        <f t="shared" si="492"/>
        <v>1.5683714033877583</v>
      </c>
      <c r="V552" t="str">
        <f t="shared" si="480"/>
        <v>1-85,91319807007i</v>
      </c>
      <c r="W552" s="67">
        <f t="shared" si="493"/>
        <v>85.919017700547982</v>
      </c>
      <c r="X552" s="67">
        <f t="shared" si="494"/>
        <v>-1.559157197236118</v>
      </c>
      <c r="Y552" t="str">
        <f t="shared" si="481"/>
        <v>-305,323259086489+238,265935980994i</v>
      </c>
      <c r="Z552" s="67">
        <f t="shared" si="495"/>
        <v>387.28923143833265</v>
      </c>
      <c r="AA552" s="67">
        <f t="shared" si="496"/>
        <v>2.4789346808433641</v>
      </c>
      <c r="AB552" s="92" t="str">
        <f t="shared" si="497"/>
        <v>-0,0863133688547513+0,108513499046241i</v>
      </c>
      <c r="AC552" s="37">
        <f t="shared" si="498"/>
        <v>-17.161296504262729</v>
      </c>
      <c r="AD552" s="60">
        <f t="shared" si="499"/>
        <v>128.49929961614561</v>
      </c>
      <c r="AE552" t="str">
        <f t="shared" si="500"/>
        <v>34,4450883806789</v>
      </c>
      <c r="AF552" t="str">
        <f t="shared" si="482"/>
        <v>1+7422,90031325406i</v>
      </c>
      <c r="AG552">
        <f t="shared" si="501"/>
        <v>7422.9003806131759</v>
      </c>
      <c r="AH552">
        <f t="shared" si="502"/>
        <v>1.5706616085645893</v>
      </c>
      <c r="AI552" t="str">
        <f t="shared" si="483"/>
        <v>1+412,383350736336i</v>
      </c>
      <c r="AJ552">
        <f t="shared" si="503"/>
        <v>412.38456319863377</v>
      </c>
      <c r="AK552">
        <f t="shared" si="504"/>
        <v>1.5683714033877583</v>
      </c>
      <c r="AL552" t="str">
        <f t="shared" si="484"/>
        <v>1-28,0591329923114i</v>
      </c>
      <c r="AM552">
        <f t="shared" si="505"/>
        <v>28.076946847551248</v>
      </c>
      <c r="AN552">
        <f t="shared" si="506"/>
        <v>-1.5351723842191034</v>
      </c>
      <c r="AO552" s="58" t="str">
        <f t="shared" si="507"/>
        <v>1,7906451510439-53,6988055824628i</v>
      </c>
      <c r="AP552">
        <f t="shared" si="508"/>
        <v>34.604119021855851</v>
      </c>
      <c r="AQ552" s="60">
        <f t="shared" si="509"/>
        <v>-88.090117531642093</v>
      </c>
      <c r="AR552" t="str">
        <f t="shared" si="485"/>
        <v>-1,36472945891784</v>
      </c>
      <c r="AS552" t="str">
        <f t="shared" si="486"/>
        <v>1+308,91636803659i</v>
      </c>
      <c r="AT552">
        <f t="shared" si="510"/>
        <v>308.91798659339651</v>
      </c>
      <c r="AU552">
        <f t="shared" si="511"/>
        <v>1.5675592160085978</v>
      </c>
      <c r="AV552" t="str">
        <f t="shared" si="487"/>
        <v>1+308,91636803659i</v>
      </c>
      <c r="AW552">
        <f t="shared" si="512"/>
        <v>308.91798659339651</v>
      </c>
      <c r="AX552">
        <f t="shared" si="513"/>
        <v>1.5675592160085978</v>
      </c>
      <c r="AY552" t="str">
        <f t="shared" si="488"/>
        <v>1-0,0000485568314017707i</v>
      </c>
      <c r="AZ552">
        <f t="shared" si="514"/>
        <v>1.000000001178883</v>
      </c>
      <c r="BA552">
        <f t="shared" si="515"/>
        <v>-4.8556831363608822E-5</v>
      </c>
      <c r="BB552" s="58" t="str">
        <f t="shared" si="516"/>
        <v>-0,0000140862828779219+0,00441775028402936i</v>
      </c>
      <c r="BC552">
        <f t="shared" si="517"/>
        <v>-47.095932576252395</v>
      </c>
      <c r="BD552" s="60">
        <f t="shared" si="518"/>
        <v>90.182690684367529</v>
      </c>
      <c r="BE552" s="58" t="str">
        <f t="shared" si="519"/>
        <v>-0,000478169706702716-0,000382839461617247i</v>
      </c>
      <c r="BF552" s="37">
        <f t="shared" si="520"/>
        <v>-64.257229080515131</v>
      </c>
      <c r="BG552" s="60">
        <f t="shared" si="521"/>
        <v>-141.31800969948685</v>
      </c>
      <c r="BH552" s="58" t="str">
        <f t="shared" si="522"/>
        <v>0,237202690079831+0,00866703969026109i</v>
      </c>
      <c r="BI552" s="37">
        <f t="shared" si="523"/>
        <v>-12.49181355439654</v>
      </c>
      <c r="BJ552" s="60">
        <f t="shared" si="524"/>
        <v>2.0925731527254459</v>
      </c>
      <c r="BK552">
        <f t="shared" si="525"/>
        <v>-64.257229080515131</v>
      </c>
      <c r="BL552" s="60">
        <f t="shared" si="526"/>
        <v>-141.31800969948685</v>
      </c>
      <c r="BN552">
        <f t="shared" si="527"/>
        <v>0</v>
      </c>
      <c r="BO552">
        <f t="shared" si="528"/>
        <v>0</v>
      </c>
    </row>
    <row r="553" spans="13:67" x14ac:dyDescent="0.25">
      <c r="M553" s="66">
        <v>35</v>
      </c>
      <c r="N553" s="36">
        <f t="shared" si="476"/>
        <v>2238721.1385683389</v>
      </c>
      <c r="O553" s="91" t="str">
        <f t="shared" si="477"/>
        <v>22,5</v>
      </c>
      <c r="P553" s="67" t="str">
        <f t="shared" si="478"/>
        <v>1+15191,6037459029i</v>
      </c>
      <c r="Q553" s="67">
        <f t="shared" si="489"/>
        <v>15191.603778815817</v>
      </c>
      <c r="R553" s="67">
        <f t="shared" si="490"/>
        <v>1.5707305009600947</v>
      </c>
      <c r="S553" s="67" t="str">
        <f t="shared" si="479"/>
        <v>1+421,988992941747i</v>
      </c>
      <c r="T553" s="67">
        <f t="shared" si="491"/>
        <v>421.99017780511167</v>
      </c>
      <c r="U553" s="67">
        <f t="shared" si="492"/>
        <v>1.568426601174421</v>
      </c>
      <c r="V553" t="str">
        <f t="shared" si="480"/>
        <v>1-87,9143735295306i</v>
      </c>
      <c r="W553" s="67">
        <f t="shared" si="493"/>
        <v>87.920060697714646</v>
      </c>
      <c r="X553" s="67">
        <f t="shared" si="494"/>
        <v>-1.5594221130544541</v>
      </c>
      <c r="Y553" t="str">
        <f t="shared" si="481"/>
        <v>-319,759829521453+243,815862588565i</v>
      </c>
      <c r="Z553" s="67">
        <f t="shared" si="495"/>
        <v>402.11008868889962</v>
      </c>
      <c r="AA553" s="67">
        <f t="shared" si="496"/>
        <v>2.4901414183922341</v>
      </c>
      <c r="AB553" s="92" t="str">
        <f t="shared" si="497"/>
        <v>-0,0838415292988998+0,10791235720247i</v>
      </c>
      <c r="AC553" s="37">
        <f t="shared" si="498"/>
        <v>-17.287515087145991</v>
      </c>
      <c r="AD553" s="60">
        <f t="shared" si="499"/>
        <v>127.84509704387129</v>
      </c>
      <c r="AE553" t="str">
        <f t="shared" si="500"/>
        <v>34,4450883806789</v>
      </c>
      <c r="AF553" t="str">
        <f t="shared" si="482"/>
        <v>1+7595,80187295145i</v>
      </c>
      <c r="AG553">
        <f t="shared" si="501"/>
        <v>7595.8019387772838</v>
      </c>
      <c r="AH553">
        <f t="shared" si="502"/>
        <v>1.5706646751258631</v>
      </c>
      <c r="AI553" t="str">
        <f t="shared" si="483"/>
        <v>1+421,988992941747i</v>
      </c>
      <c r="AJ553">
        <f t="shared" si="503"/>
        <v>421.99017780511167</v>
      </c>
      <c r="AK553">
        <f t="shared" si="504"/>
        <v>1.568426601174421</v>
      </c>
      <c r="AL553" t="str">
        <f t="shared" si="484"/>
        <v>1-28,7127141605059i</v>
      </c>
      <c r="AM553">
        <f t="shared" si="505"/>
        <v>28.730122771455676</v>
      </c>
      <c r="AN553">
        <f t="shared" si="506"/>
        <v>-1.5359826214886052</v>
      </c>
      <c r="AO553" s="58" t="str">
        <f t="shared" si="507"/>
        <v>1,79064512437047-54,9494088401918i</v>
      </c>
      <c r="AP553">
        <f>20*LOG(IMABS(AO553))</f>
        <v>34.803869916376215</v>
      </c>
      <c r="AQ553" s="60">
        <f t="shared" si="509"/>
        <v>-88.133553808393103</v>
      </c>
      <c r="AR553" t="str">
        <f t="shared" si="485"/>
        <v>-1,36472945891784</v>
      </c>
      <c r="AS553" t="str">
        <f t="shared" si="486"/>
        <v>1+316,111954612663i</v>
      </c>
      <c r="AT553">
        <f t="shared" si="510"/>
        <v>316.11353632680505</v>
      </c>
      <c r="AU553">
        <f t="shared" si="511"/>
        <v>1.5676329011488492</v>
      </c>
      <c r="AV553" t="str">
        <f t="shared" si="487"/>
        <v>1+316,111954612663i</v>
      </c>
      <c r="AW553">
        <f t="shared" si="512"/>
        <v>316.11353632680505</v>
      </c>
      <c r="AX553">
        <f t="shared" si="513"/>
        <v>1.5676329011488492</v>
      </c>
      <c r="AY553" t="str">
        <f t="shared" si="488"/>
        <v>1-0,0000474515429774864i</v>
      </c>
      <c r="AZ553">
        <f t="shared" si="514"/>
        <v>1.0000000011258243</v>
      </c>
      <c r="BA553">
        <f t="shared" si="515"/>
        <v>-4.7451542941871662E-5</v>
      </c>
      <c r="BB553" s="58" t="str">
        <f t="shared" si="516"/>
        <v>-0,0000134523020574707+0,00431719201599949i</v>
      </c>
      <c r="BC553">
        <f t="shared" si="517"/>
        <v>-47.295930528467373</v>
      </c>
      <c r="BD553" s="60">
        <f t="shared" si="518"/>
        <v>90.178532165179988</v>
      </c>
      <c r="BE553" s="58" t="str">
        <f t="shared" si="519"/>
        <v>-0,000464750505365099-0,000363411650523219i</v>
      </c>
      <c r="BF553" s="37">
        <f t="shared" si="520"/>
        <v>-64.583445615613357</v>
      </c>
      <c r="BG553" s="60">
        <f t="shared" si="521"/>
        <v>-141.97637079094869</v>
      </c>
      <c r="BH553" s="58" t="str">
        <f t="shared" si="522"/>
        <v>0,237203060829677+0,00846975488001832i</v>
      </c>
      <c r="BI553" s="37">
        <f t="shared" si="523"/>
        <v>-12.492060612091159</v>
      </c>
      <c r="BJ553" s="60">
        <f t="shared" si="524"/>
        <v>2.0449783567869066</v>
      </c>
      <c r="BK553">
        <f t="shared" si="525"/>
        <v>-64.583445615613357</v>
      </c>
      <c r="BL553" s="60">
        <f t="shared" si="526"/>
        <v>-141.97637079094869</v>
      </c>
      <c r="BN553">
        <f t="shared" si="527"/>
        <v>0</v>
      </c>
      <c r="BO553">
        <f t="shared" si="528"/>
        <v>0</v>
      </c>
    </row>
    <row r="554" spans="13:67" x14ac:dyDescent="0.25">
      <c r="M554" s="66">
        <v>36</v>
      </c>
      <c r="N554" s="36">
        <f t="shared" si="476"/>
        <v>2290867.6527677765</v>
      </c>
      <c r="O554" s="91" t="str">
        <f t="shared" si="477"/>
        <v>22,5</v>
      </c>
      <c r="P554" s="67" t="str">
        <f t="shared" si="478"/>
        <v>1+15545,4616546886i</v>
      </c>
      <c r="Q554" s="67">
        <f t="shared" si="489"/>
        <v>15545.461686852328</v>
      </c>
      <c r="R554" s="67">
        <f t="shared" si="490"/>
        <v>1.5707319993390234</v>
      </c>
      <c r="S554" s="67" t="str">
        <f t="shared" si="479"/>
        <v>1+431,818379296905i</v>
      </c>
      <c r="T554" s="67">
        <f t="shared" si="491"/>
        <v>431.81953718955992</v>
      </c>
      <c r="U554" s="67">
        <f t="shared" si="492"/>
        <v>1.5684805425200155</v>
      </c>
      <c r="V554" t="str">
        <f t="shared" si="480"/>
        <v>1-89,9621623535219i</v>
      </c>
      <c r="W554" s="67">
        <f t="shared" si="493"/>
        <v>89.967720074043413</v>
      </c>
      <c r="X554" s="67">
        <f t="shared" si="494"/>
        <v>-1.5596810001952965</v>
      </c>
      <c r="Y554" t="str">
        <f t="shared" si="481"/>
        <v>-334,876774559858+249,495063593767i</v>
      </c>
      <c r="Z554" s="67">
        <f t="shared" si="495"/>
        <v>417.60057578656642</v>
      </c>
      <c r="AA554" s="67">
        <f t="shared" si="496"/>
        <v>2.5012764448817579</v>
      </c>
      <c r="AB554" s="92" t="str">
        <f t="shared" si="497"/>
        <v>-0,0814005167829249+0,107259572459862i</v>
      </c>
      <c r="AC554" s="37">
        <f t="shared" si="498"/>
        <v>-17.415863858417985</v>
      </c>
      <c r="AD554" s="60">
        <f t="shared" si="499"/>
        <v>127.19527864136995</v>
      </c>
      <c r="AE554" t="str">
        <f t="shared" si="500"/>
        <v>34,4450883806789</v>
      </c>
      <c r="AF554" t="str">
        <f t="shared" si="482"/>
        <v>1+7772,7308273443i</v>
      </c>
      <c r="AG554">
        <f t="shared" si="501"/>
        <v>7772.7308916717566</v>
      </c>
      <c r="AH554">
        <f t="shared" si="502"/>
        <v>1.5706676718836825</v>
      </c>
      <c r="AI554" t="str">
        <f t="shared" si="483"/>
        <v>1+431,818379296905i</v>
      </c>
      <c r="AJ554">
        <f t="shared" si="503"/>
        <v>431.81953718955992</v>
      </c>
      <c r="AK554">
        <f t="shared" si="504"/>
        <v>1.5684805425200155</v>
      </c>
      <c r="AL554" t="str">
        <f t="shared" si="484"/>
        <v>1-29,3815191898062i</v>
      </c>
      <c r="AM554">
        <f t="shared" si="505"/>
        <v>29.398531764374731</v>
      </c>
      <c r="AN554">
        <f t="shared" si="506"/>
        <v>-1.5367744596947193</v>
      </c>
      <c r="AO554" s="58" t="str">
        <f t="shared" si="507"/>
        <v>1,79064509889752-56,2291470018291i</v>
      </c>
      <c r="AP554">
        <f t="shared" si="508"/>
        <v>35.003632009273254</v>
      </c>
      <c r="AQ554" s="60">
        <f t="shared" si="509"/>
        <v>-88.176003885792113</v>
      </c>
      <c r="AR554" t="str">
        <f t="shared" si="485"/>
        <v>-1,36472945891784</v>
      </c>
      <c r="AS554" t="str">
        <f t="shared" si="486"/>
        <v>1+323,475147931312i</v>
      </c>
      <c r="AT554">
        <f t="shared" si="510"/>
        <v>323.47669364141859</v>
      </c>
      <c r="AU554">
        <f t="shared" si="511"/>
        <v>1.5677049090437281</v>
      </c>
      <c r="AV554" t="str">
        <f t="shared" si="487"/>
        <v>1+323,475147931312i</v>
      </c>
      <c r="AW554">
        <f t="shared" si="512"/>
        <v>323.47669364141859</v>
      </c>
      <c r="AX554">
        <f t="shared" si="513"/>
        <v>1.5677049090437281</v>
      </c>
      <c r="AY554" t="str">
        <f t="shared" si="488"/>
        <v>1-0,0000463714139893838i</v>
      </c>
      <c r="AZ554">
        <f t="shared" si="514"/>
        <v>1.000000001075154</v>
      </c>
      <c r="BA554">
        <f t="shared" si="515"/>
        <v>-4.637141395614619E-5</v>
      </c>
      <c r="BB554" s="58" t="str">
        <f t="shared" si="516"/>
        <v>-0,0000128468545160218+0,00421892259974517i</v>
      </c>
      <c r="BC554">
        <f t="shared" si="517"/>
        <v>-47.495928572847042</v>
      </c>
      <c r="BD554" s="60">
        <f t="shared" si="518"/>
        <v>90.174468303544032</v>
      </c>
      <c r="BE554" s="58" t="str">
        <f t="shared" si="519"/>
        <v>-0,000451474093693277-0,00034480042800926i</v>
      </c>
      <c r="BF554" s="37">
        <f t="shared" si="520"/>
        <v>-64.911792431265042</v>
      </c>
      <c r="BG554" s="60">
        <f t="shared" si="521"/>
        <v>-142.63025305508603</v>
      </c>
      <c r="BH554" s="58" t="str">
        <f t="shared" si="522"/>
        <v>0,237203414893335+0,00827696074695417i</v>
      </c>
      <c r="BI554" s="37">
        <f t="shared" si="523"/>
        <v>-12.492296563573781</v>
      </c>
      <c r="BJ554" s="60">
        <f t="shared" si="524"/>
        <v>1.9984644177519322</v>
      </c>
      <c r="BK554">
        <f t="shared" si="525"/>
        <v>-64.911792431265042</v>
      </c>
      <c r="BL554" s="60">
        <f t="shared" si="526"/>
        <v>-142.63025305508603</v>
      </c>
      <c r="BN554">
        <f t="shared" si="527"/>
        <v>0</v>
      </c>
      <c r="BO554">
        <f t="shared" si="528"/>
        <v>0</v>
      </c>
    </row>
    <row r="555" spans="13:67" x14ac:dyDescent="0.25">
      <c r="M555" s="66">
        <v>37</v>
      </c>
      <c r="N555" s="36">
        <f t="shared" si="476"/>
        <v>2344228.8153199251</v>
      </c>
      <c r="O555" s="91" t="str">
        <f t="shared" si="477"/>
        <v>22,5</v>
      </c>
      <c r="P555" s="67" t="str">
        <f t="shared" si="478"/>
        <v>1+15907,561973012i</v>
      </c>
      <c r="Q555" s="67">
        <f t="shared" si="489"/>
        <v>15907.562004443591</v>
      </c>
      <c r="R555" s="67">
        <f t="shared" si="490"/>
        <v>1.570733463610684</v>
      </c>
      <c r="S555" s="67" t="str">
        <f t="shared" si="479"/>
        <v>1+441,876721472556i</v>
      </c>
      <c r="T555" s="67">
        <f t="shared" si="491"/>
        <v>441.87785300842455</v>
      </c>
      <c r="U555" s="67">
        <f t="shared" si="492"/>
        <v>1.5685332560237009</v>
      </c>
      <c r="V555" t="str">
        <f t="shared" si="480"/>
        <v>1-92,0576503067825i</v>
      </c>
      <c r="W555" s="67">
        <f t="shared" si="493"/>
        <v>92.063081525690052</v>
      </c>
      <c r="X555" s="67">
        <f t="shared" si="494"/>
        <v>-1.5599339957851444</v>
      </c>
      <c r="Y555" t="str">
        <f t="shared" si="481"/>
        <v>-350,706159268883+255,306550184143i</v>
      </c>
      <c r="Z555" s="67">
        <f t="shared" si="495"/>
        <v>433.79285922668146</v>
      </c>
      <c r="AA555" s="67">
        <f t="shared" si="496"/>
        <v>2.5123348966511543</v>
      </c>
      <c r="AB555" s="92" t="str">
        <f t="shared" si="497"/>
        <v>-0,0789922969133062+0,106556907337124i</v>
      </c>
      <c r="AC555" s="37">
        <f t="shared" si="498"/>
        <v>-17.54631525284292</v>
      </c>
      <c r="AD555" s="60">
        <f t="shared" si="499"/>
        <v>126.55011681219916</v>
      </c>
      <c r="AE555" t="str">
        <f t="shared" si="500"/>
        <v>34,4450883806789</v>
      </c>
      <c r="AF555" t="str">
        <f t="shared" si="482"/>
        <v>1+7953,78098650602i</v>
      </c>
      <c r="AG555">
        <f t="shared" si="501"/>
        <v>7953.7810493692032</v>
      </c>
      <c r="AH555">
        <f t="shared" si="502"/>
        <v>1.5706706004269684</v>
      </c>
      <c r="AI555" t="str">
        <f t="shared" si="483"/>
        <v>1+441,876721472556i</v>
      </c>
      <c r="AJ555">
        <f t="shared" si="503"/>
        <v>441.87785300842455</v>
      </c>
      <c r="AK555">
        <f t="shared" si="504"/>
        <v>1.5685332560237009</v>
      </c>
      <c r="AL555" t="str">
        <f t="shared" si="484"/>
        <v>1-30,0659026894912i</v>
      </c>
      <c r="AM555">
        <f t="shared" si="505"/>
        <v>30.08252822709478</v>
      </c>
      <c r="AN555">
        <f t="shared" si="506"/>
        <v>-1.5375483147063644</v>
      </c>
      <c r="AO555" s="58" t="str">
        <f t="shared" si="507"/>
        <v>1,79064507457105-57,5386986014871i</v>
      </c>
      <c r="AP555">
        <f t="shared" si="508"/>
        <v>35.203404797698568</v>
      </c>
      <c r="AQ555" s="60">
        <f t="shared" si="509"/>
        <v>-88.217490043800296</v>
      </c>
      <c r="AR555" t="str">
        <f t="shared" si="485"/>
        <v>-1,36472945891784</v>
      </c>
      <c r="AS555" t="str">
        <f t="shared" si="486"/>
        <v>1+331,009852055092i</v>
      </c>
      <c r="AT555">
        <f t="shared" si="510"/>
        <v>331.01136258070335</v>
      </c>
      <c r="AU555">
        <f t="shared" si="511"/>
        <v>1.5677752778697844</v>
      </c>
      <c r="AV555" t="str">
        <f t="shared" si="487"/>
        <v>1+331,009852055092i</v>
      </c>
      <c r="AW555">
        <f t="shared" si="512"/>
        <v>331.01136258070335</v>
      </c>
      <c r="AX555">
        <f t="shared" si="513"/>
        <v>1.5677752778697844</v>
      </c>
      <c r="AY555" t="str">
        <f t="shared" si="488"/>
        <v>1-0,0000453158717387768i</v>
      </c>
      <c r="AZ555">
        <f t="shared" si="514"/>
        <v>1.000000001026764</v>
      </c>
      <c r="BA555">
        <f t="shared" si="515"/>
        <v>-4.5315871707757663E-5</v>
      </c>
      <c r="BB555" s="58" t="str">
        <f t="shared" si="516"/>
        <v>-0,0000122686560935936+0,00412288994357367i</v>
      </c>
      <c r="BC555">
        <f t="shared" si="517"/>
        <v>-47.695926705243259</v>
      </c>
      <c r="BD555" s="60">
        <f t="shared" si="518"/>
        <v>90.170496944917645</v>
      </c>
      <c r="BE555" s="58" t="str">
        <f t="shared" si="519"/>
        <v>-0,000438353272353668-0,000326983856614172i</v>
      </c>
      <c r="BF555" s="37">
        <f t="shared" si="520"/>
        <v>-65.242241958086169</v>
      </c>
      <c r="BG555" s="60">
        <f t="shared" si="521"/>
        <v>-143.27938624288319</v>
      </c>
      <c r="BH555" s="58" t="str">
        <f t="shared" si="522"/>
        <v>0,237203753021782+0,00808855507567329i</v>
      </c>
      <c r="BI555" s="37">
        <f t="shared" si="523"/>
        <v>-12.492521907544688</v>
      </c>
      <c r="BJ555" s="60">
        <f t="shared" si="524"/>
        <v>1.9530069011173652</v>
      </c>
      <c r="BK555">
        <f t="shared" si="525"/>
        <v>-65.242241958086169</v>
      </c>
      <c r="BL555" s="60">
        <f t="shared" si="526"/>
        <v>-143.27938624288319</v>
      </c>
      <c r="BN555">
        <f t="shared" si="527"/>
        <v>0</v>
      </c>
      <c r="BO555">
        <f t="shared" si="528"/>
        <v>0</v>
      </c>
    </row>
    <row r="556" spans="13:67" x14ac:dyDescent="0.25">
      <c r="M556" s="66">
        <v>38</v>
      </c>
      <c r="N556" s="36">
        <f t="shared" si="476"/>
        <v>2398832.9190194933</v>
      </c>
      <c r="O556" s="91" t="str">
        <f t="shared" si="477"/>
        <v>22,5</v>
      </c>
      <c r="P556" s="67" t="str">
        <f t="shared" si="478"/>
        <v>1+16278,096691255i</v>
      </c>
      <c r="Q556" s="67">
        <f t="shared" si="489"/>
        <v>16278.096721971118</v>
      </c>
      <c r="R556" s="67">
        <f t="shared" si="490"/>
        <v>1.5707348945514525</v>
      </c>
      <c r="S556" s="67" t="str">
        <f t="shared" si="479"/>
        <v>1+452,16935253486i</v>
      </c>
      <c r="T556" s="67">
        <f t="shared" si="491"/>
        <v>452.17045831389129</v>
      </c>
      <c r="U556" s="67">
        <f t="shared" si="492"/>
        <v>1.5685847696337023</v>
      </c>
      <c r="V556" t="str">
        <f t="shared" si="480"/>
        <v>1-94,2019484447625i</v>
      </c>
      <c r="W556" s="67">
        <f t="shared" si="493"/>
        <v>94.20725604108047</v>
      </c>
      <c r="X556" s="67">
        <f t="shared" si="494"/>
        <v>-1.5601812338359859</v>
      </c>
      <c r="Y556" t="str">
        <f t="shared" si="481"/>
        <v>-367,281559895782+261,253403686808i</v>
      </c>
      <c r="Z556" s="67">
        <f t="shared" si="495"/>
        <v>450.72062874625686</v>
      </c>
      <c r="AA556" s="67">
        <f t="shared" si="496"/>
        <v>2.523312085669053</v>
      </c>
      <c r="AB556" s="92" t="str">
        <f t="shared" si="497"/>
        <v>-0,076618714254682+0,105806209032053i</v>
      </c>
      <c r="AC556" s="37">
        <f t="shared" si="498"/>
        <v>-17.6788400505787</v>
      </c>
      <c r="AD556" s="60">
        <f t="shared" si="499"/>
        <v>125.90987403928165</v>
      </c>
      <c r="AE556" t="str">
        <f t="shared" si="500"/>
        <v>34,4450883806789</v>
      </c>
      <c r="AF556" t="str">
        <f t="shared" si="482"/>
        <v>1+8139,04834562749i</v>
      </c>
      <c r="AG556">
        <f t="shared" si="501"/>
        <v>8139.0484070597322</v>
      </c>
      <c r="AH556">
        <f t="shared" si="502"/>
        <v>1.5706734623084724</v>
      </c>
      <c r="AI556" t="str">
        <f t="shared" si="483"/>
        <v>1+452,16935253486i</v>
      </c>
      <c r="AJ556">
        <f t="shared" si="503"/>
        <v>452.17045831389129</v>
      </c>
      <c r="AK556">
        <f t="shared" si="504"/>
        <v>1.5685847696337023</v>
      </c>
      <c r="AL556" t="str">
        <f t="shared" si="484"/>
        <v>1-30,7662275287514i</v>
      </c>
      <c r="AM556">
        <f t="shared" si="505"/>
        <v>30.78247482498606</v>
      </c>
      <c r="AN556">
        <f t="shared" si="506"/>
        <v>-1.5383045931221981</v>
      </c>
      <c r="AO556" s="58" t="str">
        <f t="shared" si="507"/>
        <v>1,79064505133946-58,878757980758i</v>
      </c>
      <c r="AP556">
        <f t="shared" si="508"/>
        <v>35.403187801333679</v>
      </c>
      <c r="AQ556" s="60">
        <f t="shared" si="509"/>
        <v>-88.25803406645548</v>
      </c>
      <c r="AR556" t="str">
        <f t="shared" si="485"/>
        <v>-1,36472945891784</v>
      </c>
      <c r="AS556" t="str">
        <f t="shared" si="486"/>
        <v>1+338,720061983864i</v>
      </c>
      <c r="AT556">
        <f t="shared" si="510"/>
        <v>338.72153812586623</v>
      </c>
      <c r="AU556">
        <f t="shared" si="511"/>
        <v>1.567844044934712</v>
      </c>
      <c r="AV556" t="str">
        <f t="shared" si="487"/>
        <v>1+338,720061983864i</v>
      </c>
      <c r="AW556">
        <f t="shared" si="512"/>
        <v>338.72153812586623</v>
      </c>
      <c r="AX556">
        <f t="shared" si="513"/>
        <v>1.567844044934712</v>
      </c>
      <c r="AY556" t="str">
        <f t="shared" si="488"/>
        <v>1-0,0000442843565631923i</v>
      </c>
      <c r="AZ556">
        <f t="shared" si="514"/>
        <v>1.0000000009805521</v>
      </c>
      <c r="BA556">
        <f t="shared" si="515"/>
        <v>-4.4284356534243553E-5</v>
      </c>
      <c r="BB556" s="58" t="str">
        <f t="shared" si="516"/>
        <v>-0,0000117164804226022+0,00402904314094755i</v>
      </c>
      <c r="BC556">
        <f t="shared" si="517"/>
        <v>-47.895924921694728</v>
      </c>
      <c r="BD556" s="60">
        <f t="shared" si="518"/>
        <v>90.166615983793747</v>
      </c>
      <c r="BE556" s="58" t="str">
        <f t="shared" si="519"/>
        <v>-0,000425400079104686-0,000309939781512761i</v>
      </c>
      <c r="BF556" s="37">
        <f t="shared" si="520"/>
        <v>-65.574764972273428</v>
      </c>
      <c r="BG556" s="60">
        <f t="shared" si="521"/>
        <v>-143.92350997692458</v>
      </c>
      <c r="BH556" s="58" t="str">
        <f t="shared" si="522"/>
        <v>0,237204075932196+0,00790443797715961i</v>
      </c>
      <c r="BI556" s="37">
        <f t="shared" si="523"/>
        <v>-12.492737120361051</v>
      </c>
      <c r="BJ556" s="60">
        <f t="shared" si="524"/>
        <v>1.9085819173382634</v>
      </c>
      <c r="BK556">
        <f t="shared" si="525"/>
        <v>-65.574764972273428</v>
      </c>
      <c r="BL556" s="60">
        <f t="shared" si="526"/>
        <v>-143.92350997692458</v>
      </c>
      <c r="BN556">
        <f t="shared" si="527"/>
        <v>0</v>
      </c>
      <c r="BO556">
        <f t="shared" si="528"/>
        <v>0</v>
      </c>
    </row>
    <row r="557" spans="13:67" x14ac:dyDescent="0.25">
      <c r="M557" s="66">
        <v>39</v>
      </c>
      <c r="N557" s="36">
        <f t="shared" si="476"/>
        <v>2454708.915685033</v>
      </c>
      <c r="O557" s="91" t="str">
        <f t="shared" si="477"/>
        <v>22,5</v>
      </c>
      <c r="P557" s="67" t="str">
        <f t="shared" si="478"/>
        <v>1+16657,2622718297i</v>
      </c>
      <c r="Q557" s="67">
        <f t="shared" si="489"/>
        <v>16657.262301846633</v>
      </c>
      <c r="R557" s="67">
        <f t="shared" si="490"/>
        <v>1.570736292920033</v>
      </c>
      <c r="S557" s="67" t="str">
        <f t="shared" si="479"/>
        <v>1+462,701729773047i</v>
      </c>
      <c r="T557" s="67">
        <f t="shared" si="491"/>
        <v>462.70281038153399</v>
      </c>
      <c r="U557" s="67">
        <f t="shared" si="492"/>
        <v>1.568635110662123</v>
      </c>
      <c r="V557" t="str">
        <f t="shared" si="480"/>
        <v>1-96,3961937027181i</v>
      </c>
      <c r="W557" s="67">
        <f t="shared" si="493"/>
        <v>96.401380489969895</v>
      </c>
      <c r="X557" s="67">
        <f t="shared" si="494"/>
        <v>-1.5604228453157365</v>
      </c>
      <c r="Y557" t="str">
        <f t="shared" si="481"/>
        <v>-384,638135087589+267,338777202205i</v>
      </c>
      <c r="Z557" s="67">
        <f t="shared" si="495"/>
        <v>468.41916779699415</v>
      </c>
      <c r="AA557" s="67">
        <f t="shared" si="496"/>
        <v>2.5342035076108935</v>
      </c>
      <c r="AB557" s="92" t="str">
        <f t="shared" si="497"/>
        <v>-0,0742814883249737+0,105009399648391i</v>
      </c>
      <c r="AC557" s="37">
        <f t="shared" si="498"/>
        <v>-17.813407484053883</v>
      </c>
      <c r="AD557" s="60">
        <f t="shared" si="499"/>
        <v>125.27480241889327</v>
      </c>
      <c r="AE557" t="str">
        <f t="shared" si="500"/>
        <v>34,4450883806789</v>
      </c>
      <c r="AF557" t="str">
        <f t="shared" si="482"/>
        <v>1+8328,63113591485i</v>
      </c>
      <c r="AG557">
        <f t="shared" si="501"/>
        <v>8328.6311959487248</v>
      </c>
      <c r="AH557">
        <f t="shared" si="502"/>
        <v>1.570676259045602</v>
      </c>
      <c r="AI557" t="str">
        <f t="shared" si="483"/>
        <v>1+462,701729773047i</v>
      </c>
      <c r="AJ557">
        <f t="shared" si="503"/>
        <v>462.70281038153399</v>
      </c>
      <c r="AK557">
        <f t="shared" si="504"/>
        <v>1.568635110662123</v>
      </c>
      <c r="AL557" t="str">
        <f t="shared" si="484"/>
        <v>1-31,4828650290864i</v>
      </c>
      <c r="AM557">
        <f t="shared" si="505"/>
        <v>31.498742680298708</v>
      </c>
      <c r="AN557">
        <f t="shared" si="506"/>
        <v>-1.5390436924685984</v>
      </c>
      <c r="AO557" s="58" t="str">
        <f t="shared" si="507"/>
        <v>1,79064502915345-60,2500356568624i</v>
      </c>
      <c r="AP557">
        <f t="shared" si="508"/>
        <v>35.602980561384889</v>
      </c>
      <c r="AQ557" s="60">
        <f t="shared" si="509"/>
        <v>-88.297657252414183</v>
      </c>
      <c r="AR557" t="str">
        <f t="shared" si="485"/>
        <v>-1,36472945891784</v>
      </c>
      <c r="AS557" t="str">
        <f t="shared" si="486"/>
        <v>1+346,60986577299i</v>
      </c>
      <c r="AT557">
        <f t="shared" si="510"/>
        <v>346.61130831403949</v>
      </c>
      <c r="AU557">
        <f t="shared" si="511"/>
        <v>1.5679112466971159</v>
      </c>
      <c r="AV557" t="str">
        <f t="shared" si="487"/>
        <v>1+346,60986577299i</v>
      </c>
      <c r="AW557">
        <f t="shared" si="512"/>
        <v>346.61130831403949</v>
      </c>
      <c r="AX557">
        <f t="shared" si="513"/>
        <v>1.5679112466971159</v>
      </c>
      <c r="AY557" t="str">
        <f t="shared" si="488"/>
        <v>1-0,0000432763215396303i</v>
      </c>
      <c r="AZ557">
        <f t="shared" si="514"/>
        <v>1.0000000009364201</v>
      </c>
      <c r="BA557">
        <f t="shared" si="515"/>
        <v>-4.3276321512613757E-5</v>
      </c>
      <c r="BB557" s="58" t="str">
        <f t="shared" si="516"/>
        <v>-0,0000111891563271556+0,00393733244354714i</v>
      </c>
      <c r="BC557">
        <f t="shared" si="517"/>
        <v>-48.095923218418406</v>
      </c>
      <c r="BD557" s="60">
        <f t="shared" si="518"/>
        <v>90.16282336258449</v>
      </c>
      <c r="BE557" s="58" t="str">
        <f t="shared" si="519"/>
        <v>-0,000412625768927936-0,000293645880525374i</v>
      </c>
      <c r="BF557" s="37">
        <f t="shared" si="520"/>
        <v>-65.909330702472289</v>
      </c>
      <c r="BG557" s="60">
        <f t="shared" si="521"/>
        <v>-144.56237421852222</v>
      </c>
      <c r="BH557" s="58" t="str">
        <f t="shared" si="522"/>
        <v>0,237204384309479+0,00772451183584363i</v>
      </c>
      <c r="BI557" s="37">
        <f t="shared" si="523"/>
        <v>-12.492942657033501</v>
      </c>
      <c r="BJ557" s="60">
        <f t="shared" si="524"/>
        <v>1.8651661101703045</v>
      </c>
      <c r="BK557">
        <f t="shared" si="525"/>
        <v>-65.909330702472289</v>
      </c>
      <c r="BL557" s="60">
        <f t="shared" si="526"/>
        <v>-144.56237421852222</v>
      </c>
      <c r="BN557">
        <f t="shared" si="527"/>
        <v>0</v>
      </c>
      <c r="BO557">
        <f t="shared" si="528"/>
        <v>0</v>
      </c>
    </row>
    <row r="558" spans="13:67" x14ac:dyDescent="0.25">
      <c r="M558" s="66">
        <v>40</v>
      </c>
      <c r="N558" s="36">
        <f t="shared" si="476"/>
        <v>2511886.431509587</v>
      </c>
      <c r="O558" s="91" t="str">
        <f t="shared" si="477"/>
        <v>22,5</v>
      </c>
      <c r="P558" s="67" t="str">
        <f t="shared" si="478"/>
        <v>1+17045,259753346i</v>
      </c>
      <c r="Q558" s="67">
        <f t="shared" si="489"/>
        <v>17045.259782679666</v>
      </c>
      <c r="R558" s="67">
        <f t="shared" si="490"/>
        <v>1.5707376594578584</v>
      </c>
      <c r="S558" s="67" t="str">
        <f t="shared" si="479"/>
        <v>1+473,479437592944i</v>
      </c>
      <c r="T558" s="67">
        <f t="shared" si="491"/>
        <v>473.48049360383425</v>
      </c>
      <c r="U558" s="67">
        <f t="shared" si="492"/>
        <v>1.5686843057994215</v>
      </c>
      <c r="V558" t="str">
        <f t="shared" si="480"/>
        <v>1-98,64154949853i</v>
      </c>
      <c r="W558" s="67">
        <f t="shared" si="493"/>
        <v>98.646618226226806</v>
      </c>
      <c r="X558" s="67">
        <f t="shared" si="494"/>
        <v>-1.5606589582171015</v>
      </c>
      <c r="Y558" t="str">
        <f t="shared" si="481"/>
        <v>-402,812700467326+273,565897275923i</v>
      </c>
      <c r="Z558" s="67">
        <f t="shared" si="495"/>
        <v>486.9254273604538</v>
      </c>
      <c r="AA558" s="67">
        <f t="shared" si="496"/>
        <v>2.545004848950795</v>
      </c>
      <c r="AB558" s="92" t="str">
        <f t="shared" si="497"/>
        <v>-0,0719822104841853+0,104168466296289i</v>
      </c>
      <c r="AC558" s="37">
        <f t="shared" si="498"/>
        <v>-17.949985347928255</v>
      </c>
      <c r="AD558" s="60">
        <f t="shared" si="499"/>
        <v>124.64514325118986</v>
      </c>
      <c r="AE558" t="str">
        <f t="shared" si="500"/>
        <v>34,4450883806789</v>
      </c>
      <c r="AF558" t="str">
        <f t="shared" si="482"/>
        <v>1+8522,629876673i</v>
      </c>
      <c r="AG558">
        <f t="shared" si="501"/>
        <v>8522.6299353403374</v>
      </c>
      <c r="AH558">
        <f t="shared" si="502"/>
        <v>1.5706789921212241</v>
      </c>
      <c r="AI558" t="str">
        <f t="shared" si="483"/>
        <v>1+473,479437592944i</v>
      </c>
      <c r="AJ558">
        <f t="shared" si="503"/>
        <v>473.48049360383425</v>
      </c>
      <c r="AK558">
        <f t="shared" si="504"/>
        <v>1.5686843057994215</v>
      </c>
      <c r="AL558" t="str">
        <f t="shared" si="484"/>
        <v>1-32,2161951611851i</v>
      </c>
      <c r="AM558">
        <f t="shared" si="505"/>
        <v>32.231711568943503</v>
      </c>
      <c r="AN558">
        <f t="shared" si="506"/>
        <v>-1.539766001394006</v>
      </c>
      <c r="AO558" s="58" t="str">
        <f t="shared" si="507"/>
        <v>1,79064500796599-61,6532586993757i</v>
      </c>
      <c r="AP558">
        <f t="shared" si="508"/>
        <v>35.802782639622805</v>
      </c>
      <c r="AQ558" s="60">
        <f t="shared" si="509"/>
        <v>-88.336380425303119</v>
      </c>
      <c r="AR558" t="str">
        <f t="shared" si="485"/>
        <v>-1,36472945891784</v>
      </c>
      <c r="AS558" t="str">
        <f t="shared" si="486"/>
        <v>1+354,683446700875i</v>
      </c>
      <c r="AT558">
        <f t="shared" si="510"/>
        <v>354.68485640581332</v>
      </c>
      <c r="AU558">
        <f t="shared" si="511"/>
        <v>1.567976918785831</v>
      </c>
      <c r="AV558" t="str">
        <f t="shared" si="487"/>
        <v>1+354,683446700875i</v>
      </c>
      <c r="AW558">
        <f t="shared" si="512"/>
        <v>354.68485640581332</v>
      </c>
      <c r="AX558">
        <f t="shared" si="513"/>
        <v>1.567976918785831</v>
      </c>
      <c r="AY558" t="str">
        <f t="shared" si="488"/>
        <v>1-0,0000422912321945783i</v>
      </c>
      <c r="AZ558">
        <f t="shared" si="514"/>
        <v>1.0000000008942742</v>
      </c>
      <c r="BA558">
        <f t="shared" si="515"/>
        <v>-4.2291232169364997E-5</v>
      </c>
      <c r="BB558" s="58" t="str">
        <f t="shared" si="516"/>
        <v>-0,0000106855653393653+0,00384770923494337i</v>
      </c>
      <c r="BC558">
        <f t="shared" si="517"/>
        <v>-48.29592159180158</v>
      </c>
      <c r="BD558" s="60">
        <f t="shared" si="518"/>
        <v>90.159117070531124</v>
      </c>
      <c r="BE558" s="58" t="str">
        <f t="shared" si="519"/>
        <v>-0,000400040799144718-0,000278079714984548i</v>
      </c>
      <c r="BF558" s="37">
        <f t="shared" si="520"/>
        <v>-66.245906939729821</v>
      </c>
      <c r="BG558" s="60">
        <f t="shared" si="521"/>
        <v>-145.19573967827901</v>
      </c>
      <c r="BH558" s="58" t="str">
        <f t="shared" si="522"/>
        <v>0,237204678807708+0,00754868125787295i</v>
      </c>
      <c r="BI558" s="37">
        <f t="shared" si="523"/>
        <v>-12.493138952178784</v>
      </c>
      <c r="BJ558" s="60">
        <f t="shared" si="524"/>
        <v>1.8227366452280023</v>
      </c>
      <c r="BK558">
        <f t="shared" si="525"/>
        <v>-66.245906939729821</v>
      </c>
      <c r="BL558" s="60">
        <f t="shared" si="526"/>
        <v>-145.19573967827901</v>
      </c>
      <c r="BN558">
        <f t="shared" si="527"/>
        <v>0</v>
      </c>
      <c r="BO558">
        <f t="shared" si="528"/>
        <v>0</v>
      </c>
    </row>
    <row r="559" spans="13:67" x14ac:dyDescent="0.25">
      <c r="M559" s="66">
        <v>41</v>
      </c>
      <c r="N559" s="36">
        <f t="shared" si="476"/>
        <v>2570395.782768866</v>
      </c>
      <c r="O559" s="91" t="str">
        <f t="shared" si="477"/>
        <v>22,5</v>
      </c>
      <c r="P559" s="67" t="str">
        <f t="shared" si="478"/>
        <v>1+17442,2948572041i</v>
      </c>
      <c r="Q559" s="67">
        <f t="shared" si="489"/>
        <v>17442.294885870051</v>
      </c>
      <c r="R559" s="67">
        <f t="shared" si="490"/>
        <v>1.5707389948894857</v>
      </c>
      <c r="S559" s="67" t="str">
        <f t="shared" si="479"/>
        <v>1+484,508190477892i</v>
      </c>
      <c r="T559" s="67">
        <f t="shared" si="491"/>
        <v>484.50922245109155</v>
      </c>
      <c r="U559" s="67">
        <f t="shared" si="492"/>
        <v>1.5687323811285581</v>
      </c>
      <c r="V559" t="str">
        <f t="shared" si="480"/>
        <v>1-100,939206349561i</v>
      </c>
      <c r="W559" s="67">
        <f t="shared" si="493"/>
        <v>100.94415970465678</v>
      </c>
      <c r="X559" s="67">
        <f t="shared" si="494"/>
        <v>-1.5608896976249007</v>
      </c>
      <c r="Y559" t="str">
        <f t="shared" si="481"/>
        <v>-421,843806724862+279,938065609448i</v>
      </c>
      <c r="Z559" s="67">
        <f t="shared" si="495"/>
        <v>506.27810326863073</v>
      </c>
      <c r="AA559" s="67">
        <f t="shared" si="496"/>
        <v>2.5557119930597643</v>
      </c>
      <c r="AB559" s="92" t="str">
        <f t="shared" si="497"/>
        <v>-0,0697223417062423+0,103285451155251i</v>
      </c>
      <c r="AC559" s="37">
        <f t="shared" si="498"/>
        <v>-18.088540111363915</v>
      </c>
      <c r="AD559" s="60">
        <f t="shared" si="499"/>
        <v>124.02112668773538</v>
      </c>
      <c r="AE559" t="str">
        <f t="shared" si="500"/>
        <v>34,4450883806789</v>
      </c>
      <c r="AF559" t="str">
        <f t="shared" si="482"/>
        <v>1+8721,14742860205i</v>
      </c>
      <c r="AG559">
        <f t="shared" si="501"/>
        <v>8721.1474859339542</v>
      </c>
      <c r="AH559">
        <f t="shared" si="502"/>
        <v>1.5706816629844516</v>
      </c>
      <c r="AI559" t="str">
        <f t="shared" si="483"/>
        <v>1+484,508190477892i</v>
      </c>
      <c r="AJ559">
        <f t="shared" si="503"/>
        <v>484.50922245109155</v>
      </c>
      <c r="AK559">
        <f t="shared" si="504"/>
        <v>1.5687323811285581</v>
      </c>
      <c r="AL559" t="str">
        <f t="shared" si="484"/>
        <v>1-32,9666067463898i</v>
      </c>
      <c r="AM559">
        <f t="shared" si="505"/>
        <v>32.981770121858432</v>
      </c>
      <c r="AN559">
        <f t="shared" si="506"/>
        <v>-1.5404718998596465</v>
      </c>
      <c r="AO559" s="58" t="str">
        <f t="shared" si="507"/>
        <v>1,79064498773211-63,0891711157284i</v>
      </c>
      <c r="AP559">
        <f t="shared" si="508"/>
        <v>36.002593617463987</v>
      </c>
      <c r="AQ559" s="60">
        <f t="shared" si="509"/>
        <v>-88.374223943881447</v>
      </c>
      <c r="AR559" t="str">
        <f t="shared" si="485"/>
        <v>-1,36472945891784</v>
      </c>
      <c r="AS559" t="str">
        <f t="shared" si="486"/>
        <v>1+362,945085486989i</v>
      </c>
      <c r="AT559">
        <f t="shared" si="510"/>
        <v>362.9464631032485</v>
      </c>
      <c r="AU559">
        <f t="shared" si="511"/>
        <v>1.5680410960188007</v>
      </c>
      <c r="AV559" t="str">
        <f t="shared" si="487"/>
        <v>1+362,945085486989i</v>
      </c>
      <c r="AW559">
        <f t="shared" si="512"/>
        <v>362.9464631032485</v>
      </c>
      <c r="AX559">
        <f t="shared" si="513"/>
        <v>1.5680410960188007</v>
      </c>
      <c r="AY559" t="str">
        <f t="shared" si="488"/>
        <v>1-0,0000413285662206267i</v>
      </c>
      <c r="AZ559">
        <f t="shared" si="514"/>
        <v>1.0000000008540251</v>
      </c>
      <c r="BA559">
        <f t="shared" si="515"/>
        <v>-4.1328566197096276E-5</v>
      </c>
      <c r="BB559" s="58" t="str">
        <f t="shared" si="516"/>
        <v>-0,000010204639327412+0,00376012600486758i</v>
      </c>
      <c r="BC559">
        <f t="shared" si="517"/>
        <v>-48.495920038393947</v>
      </c>
      <c r="BD559" s="60">
        <f t="shared" si="518"/>
        <v>90.155495142638429</v>
      </c>
      <c r="BE559" s="58" t="str">
        <f t="shared" si="519"/>
        <v>-0,000387654819463165-0,000263218780946713i</v>
      </c>
      <c r="BF559" s="37">
        <f t="shared" si="520"/>
        <v>-66.584460149757859</v>
      </c>
      <c r="BG559" s="60">
        <f t="shared" si="521"/>
        <v>-145.82337816962624</v>
      </c>
      <c r="BH559" s="58" t="str">
        <f t="shared" si="522"/>
        <v>0,237204960051528+0,00737685302055868i</v>
      </c>
      <c r="BI559" s="37">
        <f t="shared" si="523"/>
        <v>-12.493326420929948</v>
      </c>
      <c r="BJ559" s="60">
        <f t="shared" si="524"/>
        <v>1.7812711987569776</v>
      </c>
      <c r="BK559">
        <f t="shared" si="525"/>
        <v>-66.584460149757859</v>
      </c>
      <c r="BL559" s="60">
        <f t="shared" si="526"/>
        <v>-145.82337816962624</v>
      </c>
      <c r="BN559">
        <f t="shared" si="527"/>
        <v>0</v>
      </c>
      <c r="BO559">
        <f t="shared" si="528"/>
        <v>0</v>
      </c>
    </row>
    <row r="560" spans="13:67" ht="15.75" thickBot="1" x14ac:dyDescent="0.3">
      <c r="M560" s="66">
        <v>42</v>
      </c>
      <c r="N560" s="36">
        <f t="shared" si="476"/>
        <v>2630267.9918953842</v>
      </c>
      <c r="O560" s="91" t="str">
        <f t="shared" si="477"/>
        <v>22,5</v>
      </c>
      <c r="P560" s="67" t="str">
        <f t="shared" si="478"/>
        <v>1+17848,5780966715i</v>
      </c>
      <c r="Q560" s="67">
        <f t="shared" si="489"/>
        <v>17848.578124684936</v>
      </c>
      <c r="R560" s="67">
        <f t="shared" si="490"/>
        <v>1.5707402999229778</v>
      </c>
      <c r="S560" s="67" t="str">
        <f t="shared" si="479"/>
        <v>1+495,793836018655i</v>
      </c>
      <c r="T560" s="67">
        <f t="shared" si="491"/>
        <v>495.79484450132492</v>
      </c>
      <c r="U560" s="67">
        <f t="shared" si="492"/>
        <v>1.5687793621388189</v>
      </c>
      <c r="V560" t="str">
        <f t="shared" si="480"/>
        <v>1-103,290382503886i</v>
      </c>
      <c r="W560" s="67">
        <f t="shared" si="493"/>
        <v>103.29522311219954</v>
      </c>
      <c r="X560" s="67">
        <f t="shared" si="494"/>
        <v>-1.5611151857818883</v>
      </c>
      <c r="Y560" t="str">
        <f t="shared" si="481"/>
        <v>-441,771821388119+286,458660810778i</v>
      </c>
      <c r="Z560" s="67">
        <f t="shared" si="495"/>
        <v>526.51771720055206</v>
      </c>
      <c r="AA560" s="67">
        <f t="shared" si="496"/>
        <v>2.5663210253108555</v>
      </c>
      <c r="AB560" s="97" t="str">
        <f t="shared" si="497"/>
        <v>-0,0675032112138658+0,102362441584503i</v>
      </c>
      <c r="AC560" s="64">
        <f t="shared" si="498"/>
        <v>-18.229037031851441</v>
      </c>
      <c r="AD560" s="63">
        <f t="shared" si="499"/>
        <v>123.40297143599832</v>
      </c>
      <c r="AE560" t="str">
        <f t="shared" si="500"/>
        <v>34,4450883806789</v>
      </c>
      <c r="AF560" t="str">
        <f t="shared" si="482"/>
        <v>1+8924,28904833578i</v>
      </c>
      <c r="AG560">
        <f t="shared" si="501"/>
        <v>8924.2891043626532</v>
      </c>
      <c r="AH560">
        <f t="shared" si="502"/>
        <v>1.570684273051411</v>
      </c>
      <c r="AI560" t="str">
        <f t="shared" si="483"/>
        <v>1+495,793836018655i</v>
      </c>
      <c r="AJ560">
        <f t="shared" si="503"/>
        <v>495.79484450132492</v>
      </c>
      <c r="AK560">
        <f t="shared" si="504"/>
        <v>1.5687793621388189</v>
      </c>
      <c r="AL560" t="str">
        <f t="shared" si="484"/>
        <v>1-33,734497662856i</v>
      </c>
      <c r="AM560">
        <f t="shared" si="505"/>
        <v>33.749316031072937</v>
      </c>
      <c r="AN560">
        <f t="shared" si="506"/>
        <v>-1.5411617593266682</v>
      </c>
      <c r="AO560" s="61" t="str">
        <f t="shared" si="507"/>
        <v>1,79064496840891-64,5585342456901i</v>
      </c>
      <c r="AP560" s="62">
        <f t="shared" si="508"/>
        <v>36.20241309509376</v>
      </c>
      <c r="AQ560" s="63">
        <f t="shared" si="509"/>
        <v>-88.411207712014757</v>
      </c>
      <c r="AR560" t="str">
        <f t="shared" si="485"/>
        <v>-1,36472945891784</v>
      </c>
      <c r="AS560" t="str">
        <f t="shared" si="486"/>
        <v>1+371,399162561574i</v>
      </c>
      <c r="AT560">
        <f t="shared" si="510"/>
        <v>371.40050881957399</v>
      </c>
      <c r="AU560">
        <f t="shared" si="511"/>
        <v>1.5681038124215276</v>
      </c>
      <c r="AV560" t="str">
        <f t="shared" si="487"/>
        <v>1+371,399162561574i</v>
      </c>
      <c r="AW560">
        <f t="shared" si="512"/>
        <v>371.40050881957399</v>
      </c>
      <c r="AX560">
        <f t="shared" si="513"/>
        <v>1.5681038124215276</v>
      </c>
      <c r="AY560" t="str">
        <f t="shared" si="488"/>
        <v>1-0,0000403878131995335i</v>
      </c>
      <c r="AZ560">
        <f t="shared" si="514"/>
        <v>1.0000000008155876</v>
      </c>
      <c r="BA560">
        <f t="shared" si="515"/>
        <v>-4.0387813177573629E-5</v>
      </c>
      <c r="BB560" s="58" t="str">
        <f t="shared" si="516"/>
        <v>-9,74535823033711E-06+0,00367453632406442i</v>
      </c>
      <c r="BC560" s="62">
        <f t="shared" si="517"/>
        <v>-48.695918554900651</v>
      </c>
      <c r="BD560" s="63">
        <f t="shared" si="518"/>
        <v>90.151955658633526</v>
      </c>
      <c r="BE560" s="61" t="str">
        <f t="shared" si="519"/>
        <v>-0,000375476666847201-0,000249040560258916i</v>
      </c>
      <c r="BF560" s="64">
        <f t="shared" si="520"/>
        <v>-66.924955586752091</v>
      </c>
      <c r="BG560" s="63">
        <f t="shared" si="521"/>
        <v>-146.44507290536808</v>
      </c>
      <c r="BH560" s="61" t="str">
        <f t="shared" si="522"/>
        <v>0,237205228637465+0,00720893602297146i</v>
      </c>
      <c r="BI560" s="64">
        <f t="shared" si="523"/>
        <v>-12.493505459806881</v>
      </c>
      <c r="BJ560" s="63">
        <f t="shared" si="524"/>
        <v>1.7407479466187603</v>
      </c>
      <c r="BK560">
        <f t="shared" si="525"/>
        <v>-66.924955586752091</v>
      </c>
      <c r="BL560" s="60">
        <f t="shared" si="526"/>
        <v>-146.44507290536808</v>
      </c>
    </row>
  </sheetData>
  <mergeCells count="44">
    <mergeCell ref="BK16:BL16"/>
    <mergeCell ref="P17:R17"/>
    <mergeCell ref="S17:U17"/>
    <mergeCell ref="V17:X17"/>
    <mergeCell ref="Y17:AA17"/>
    <mergeCell ref="AB17:AD17"/>
    <mergeCell ref="AF17:AH17"/>
    <mergeCell ref="AI17:AK17"/>
    <mergeCell ref="AL17:AN17"/>
    <mergeCell ref="AO17:AQ17"/>
    <mergeCell ref="AS17:AU17"/>
    <mergeCell ref="AV17:AX17"/>
    <mergeCell ref="AY17:BA17"/>
    <mergeCell ref="BB17:BD17"/>
    <mergeCell ref="BE17:BG17"/>
    <mergeCell ref="BH17:BJ17"/>
    <mergeCell ref="O16:AD16"/>
    <mergeCell ref="AE16:AQ16"/>
    <mergeCell ref="AR16:BD16"/>
    <mergeCell ref="BE16:BG16"/>
    <mergeCell ref="BH16:BJ16"/>
    <mergeCell ref="AE4:AQ4"/>
    <mergeCell ref="AF5:AH5"/>
    <mergeCell ref="AI5:AK5"/>
    <mergeCell ref="AL5:AN5"/>
    <mergeCell ref="AO5:AQ5"/>
    <mergeCell ref="AR4:BD4"/>
    <mergeCell ref="BE4:BG4"/>
    <mergeCell ref="BK4:BL4"/>
    <mergeCell ref="AS5:AU5"/>
    <mergeCell ref="AV5:AX5"/>
    <mergeCell ref="AY5:BA5"/>
    <mergeCell ref="BB5:BD5"/>
    <mergeCell ref="BE5:BG5"/>
    <mergeCell ref="BK5:BL5"/>
    <mergeCell ref="BH4:BJ4"/>
    <mergeCell ref="BH5:BJ5"/>
    <mergeCell ref="E5:K5"/>
    <mergeCell ref="O4:AD4"/>
    <mergeCell ref="P5:R5"/>
    <mergeCell ref="S5:U5"/>
    <mergeCell ref="V5:X5"/>
    <mergeCell ref="Y5:AA5"/>
    <mergeCell ref="AB5:AD5"/>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104"/>
  <sheetViews>
    <sheetView zoomScaleNormal="100" workbookViewId="0">
      <selection activeCell="H1" sqref="H1"/>
    </sheetView>
  </sheetViews>
  <sheetFormatPr baseColWidth="10" defaultColWidth="9.140625" defaultRowHeight="15" x14ac:dyDescent="0.25"/>
  <cols>
    <col min="11" max="11" width="8.85546875" customWidth="1"/>
  </cols>
  <sheetData>
    <row r="1" spans="1:14" x14ac:dyDescent="0.25">
      <c r="F1" s="34" t="s">
        <v>265</v>
      </c>
    </row>
    <row r="3" spans="1:14" s="35" customFormat="1" ht="45" x14ac:dyDescent="0.25">
      <c r="F3" s="35" t="s">
        <v>260</v>
      </c>
      <c r="G3" s="35" t="s">
        <v>268</v>
      </c>
      <c r="H3" s="35" t="s">
        <v>267</v>
      </c>
      <c r="I3" s="35" t="s">
        <v>264</v>
      </c>
      <c r="J3" s="35" t="s">
        <v>263</v>
      </c>
      <c r="K3" s="35" t="s">
        <v>266</v>
      </c>
      <c r="L3" s="35" t="s">
        <v>262</v>
      </c>
      <c r="M3" s="35" t="s">
        <v>269</v>
      </c>
      <c r="N3" s="35" t="s">
        <v>270</v>
      </c>
    </row>
    <row r="4" spans="1:14" x14ac:dyDescent="0.25">
      <c r="A4" t="s">
        <v>229</v>
      </c>
      <c r="B4" s="29">
        <f>VIN_MIN</f>
        <v>11</v>
      </c>
      <c r="F4">
        <v>0</v>
      </c>
      <c r="G4">
        <f t="shared" ref="G4:G35" si="0">$B$4+(F4*$B$8)</f>
        <v>11</v>
      </c>
      <c r="H4">
        <f t="shared" ref="H4:H35" si="1">(I4*J4)/(G4*eta)</f>
        <v>8.7040618955512574</v>
      </c>
      <c r="I4">
        <f t="shared" ref="I4:I35" si="2">VOUT</f>
        <v>18</v>
      </c>
      <c r="J4">
        <f t="shared" ref="J4:J35" si="3">IOUT_np</f>
        <v>5</v>
      </c>
      <c r="K4">
        <f t="shared" ref="K4:K35" si="4">IF((G4*(1-(G4/I4)))/(2*Lm*fsw)&gt;H4,1,2)</f>
        <v>2</v>
      </c>
      <c r="L4">
        <f t="shared" ref="L4:L35" si="5">CHOOSE(K4,SQRT((2*Lm*fsw(I4-G4)*((I4*J4)/G4))/(I4*G4)),(1-(G4/I4)))</f>
        <v>0.38888888888888884</v>
      </c>
      <c r="M4">
        <f t="shared" ref="M4:M35" si="6">G4*L4/(Lm*fsw)</f>
        <v>1.7111111111111108</v>
      </c>
      <c r="N4">
        <f>H4+(M4/2)</f>
        <v>9.5596174511068135</v>
      </c>
    </row>
    <row r="5" spans="1:14" x14ac:dyDescent="0.25">
      <c r="A5" t="s">
        <v>243</v>
      </c>
      <c r="B5" s="29">
        <f>VIN_TYP</f>
        <v>12</v>
      </c>
      <c r="F5">
        <v>1</v>
      </c>
      <c r="G5">
        <f t="shared" si="0"/>
        <v>11.015000000000001</v>
      </c>
      <c r="H5">
        <f t="shared" si="1"/>
        <v>8.6922088834374787</v>
      </c>
      <c r="I5">
        <f t="shared" si="2"/>
        <v>18</v>
      </c>
      <c r="J5">
        <f t="shared" si="3"/>
        <v>5</v>
      </c>
      <c r="K5">
        <f t="shared" si="4"/>
        <v>2</v>
      </c>
      <c r="L5">
        <f t="shared" si="5"/>
        <v>0.38805555555555549</v>
      </c>
      <c r="M5">
        <f t="shared" si="6"/>
        <v>1.7097727777777778</v>
      </c>
      <c r="N5">
        <f t="shared" ref="N5:N68" si="7">H5+(M5/2)</f>
        <v>9.5470952723263682</v>
      </c>
    </row>
    <row r="6" spans="1:14" x14ac:dyDescent="0.25">
      <c r="A6" t="s">
        <v>230</v>
      </c>
      <c r="B6" s="29">
        <f>VIN_MAX</f>
        <v>12.5</v>
      </c>
      <c r="F6">
        <v>2</v>
      </c>
      <c r="G6">
        <f t="shared" si="0"/>
        <v>11.03</v>
      </c>
      <c r="H6">
        <f t="shared" si="1"/>
        <v>8.680388109797267</v>
      </c>
      <c r="I6">
        <f t="shared" si="2"/>
        <v>18</v>
      </c>
      <c r="J6">
        <f t="shared" si="3"/>
        <v>5</v>
      </c>
      <c r="K6">
        <f t="shared" si="4"/>
        <v>2</v>
      </c>
      <c r="L6">
        <f t="shared" si="5"/>
        <v>0.38722222222222225</v>
      </c>
      <c r="M6">
        <f t="shared" si="6"/>
        <v>1.7084244444444443</v>
      </c>
      <c r="N6">
        <f t="shared" si="7"/>
        <v>9.5346003320194885</v>
      </c>
    </row>
    <row r="7" spans="1:14" x14ac:dyDescent="0.25">
      <c r="A7" t="s">
        <v>258</v>
      </c>
      <c r="B7" s="21">
        <v>100</v>
      </c>
      <c r="F7">
        <v>3</v>
      </c>
      <c r="G7">
        <f t="shared" si="0"/>
        <v>11.045</v>
      </c>
      <c r="H7">
        <f t="shared" si="1"/>
        <v>8.6685994432832807</v>
      </c>
      <c r="I7">
        <f t="shared" si="2"/>
        <v>18</v>
      </c>
      <c r="J7">
        <f t="shared" si="3"/>
        <v>5</v>
      </c>
      <c r="K7">
        <f t="shared" si="4"/>
        <v>2</v>
      </c>
      <c r="L7">
        <f t="shared" si="5"/>
        <v>0.38638888888888889</v>
      </c>
      <c r="M7">
        <f t="shared" si="6"/>
        <v>1.7070661111111112</v>
      </c>
      <c r="N7">
        <f t="shared" si="7"/>
        <v>9.5221324988388361</v>
      </c>
    </row>
    <row r="8" spans="1:14" x14ac:dyDescent="0.25">
      <c r="A8" t="s">
        <v>259</v>
      </c>
      <c r="B8">
        <f>(VIN_MAX-VIN_MIN)/B7</f>
        <v>1.4999999999999999E-2</v>
      </c>
      <c r="F8">
        <v>4</v>
      </c>
      <c r="G8">
        <f t="shared" si="0"/>
        <v>11.06</v>
      </c>
      <c r="H8">
        <f t="shared" si="1"/>
        <v>8.6568427532607437</v>
      </c>
      <c r="I8">
        <f t="shared" si="2"/>
        <v>18</v>
      </c>
      <c r="J8">
        <f t="shared" si="3"/>
        <v>5</v>
      </c>
      <c r="K8">
        <f t="shared" si="4"/>
        <v>2</v>
      </c>
      <c r="L8">
        <f t="shared" si="5"/>
        <v>0.38555555555555554</v>
      </c>
      <c r="M8">
        <f t="shared" si="6"/>
        <v>1.7056977777777778</v>
      </c>
      <c r="N8">
        <f t="shared" si="7"/>
        <v>9.5096916421496331</v>
      </c>
    </row>
    <row r="9" spans="1:14" x14ac:dyDescent="0.25">
      <c r="F9">
        <v>5</v>
      </c>
      <c r="G9">
        <f t="shared" si="0"/>
        <v>11.074999999999999</v>
      </c>
      <c r="H9">
        <f t="shared" si="1"/>
        <v>8.6451179098026039</v>
      </c>
      <c r="I9">
        <f t="shared" si="2"/>
        <v>18</v>
      </c>
      <c r="J9">
        <f t="shared" si="3"/>
        <v>5</v>
      </c>
      <c r="K9">
        <f t="shared" si="4"/>
        <v>2</v>
      </c>
      <c r="L9">
        <f t="shared" si="5"/>
        <v>0.3847222222222223</v>
      </c>
      <c r="M9">
        <f t="shared" si="6"/>
        <v>1.7043194444444445</v>
      </c>
      <c r="N9">
        <f t="shared" si="7"/>
        <v>9.4972776320248258</v>
      </c>
    </row>
    <row r="10" spans="1:14" x14ac:dyDescent="0.25">
      <c r="F10">
        <v>6</v>
      </c>
      <c r="G10">
        <f t="shared" si="0"/>
        <v>11.09</v>
      </c>
      <c r="H10">
        <f t="shared" si="1"/>
        <v>8.6334247836847453</v>
      </c>
      <c r="I10">
        <f t="shared" si="2"/>
        <v>18</v>
      </c>
      <c r="J10">
        <f t="shared" si="3"/>
        <v>5</v>
      </c>
      <c r="K10">
        <f t="shared" si="4"/>
        <v>2</v>
      </c>
      <c r="L10">
        <f t="shared" si="5"/>
        <v>0.38388888888888895</v>
      </c>
      <c r="M10">
        <f t="shared" si="6"/>
        <v>1.7029311111111114</v>
      </c>
      <c r="N10">
        <f t="shared" si="7"/>
        <v>9.4848903392403017</v>
      </c>
    </row>
    <row r="11" spans="1:14" x14ac:dyDescent="0.25">
      <c r="F11">
        <v>7</v>
      </c>
      <c r="G11">
        <f t="shared" si="0"/>
        <v>11.105</v>
      </c>
      <c r="H11">
        <f t="shared" si="1"/>
        <v>8.6217632463812546</v>
      </c>
      <c r="I11">
        <f t="shared" si="2"/>
        <v>18</v>
      </c>
      <c r="J11">
        <f t="shared" si="3"/>
        <v>5</v>
      </c>
      <c r="K11">
        <f t="shared" si="4"/>
        <v>2</v>
      </c>
      <c r="L11">
        <f t="shared" si="5"/>
        <v>0.38305555555555548</v>
      </c>
      <c r="M11">
        <f t="shared" si="6"/>
        <v>1.7015327777777773</v>
      </c>
      <c r="N11">
        <f t="shared" si="7"/>
        <v>9.4725296352701438</v>
      </c>
    </row>
    <row r="12" spans="1:14" x14ac:dyDescent="0.25">
      <c r="F12">
        <v>8</v>
      </c>
      <c r="G12">
        <f t="shared" si="0"/>
        <v>11.12</v>
      </c>
      <c r="H12">
        <f t="shared" si="1"/>
        <v>8.610133170059699</v>
      </c>
      <c r="I12">
        <f t="shared" si="2"/>
        <v>18</v>
      </c>
      <c r="J12">
        <f t="shared" si="3"/>
        <v>5</v>
      </c>
      <c r="K12">
        <f t="shared" si="4"/>
        <v>2</v>
      </c>
      <c r="L12">
        <f t="shared" si="5"/>
        <v>0.38222222222222224</v>
      </c>
      <c r="M12">
        <f t="shared" si="6"/>
        <v>1.7001244444444445</v>
      </c>
      <c r="N12">
        <f t="shared" si="7"/>
        <v>9.4601953922819213</v>
      </c>
    </row>
    <row r="13" spans="1:14" x14ac:dyDescent="0.25">
      <c r="F13">
        <v>9</v>
      </c>
      <c r="G13">
        <f t="shared" si="0"/>
        <v>11.135</v>
      </c>
      <c r="H13">
        <f t="shared" si="1"/>
        <v>8.5985344275764568</v>
      </c>
      <c r="I13">
        <f t="shared" si="2"/>
        <v>18</v>
      </c>
      <c r="J13">
        <f t="shared" si="3"/>
        <v>5</v>
      </c>
      <c r="K13">
        <f t="shared" si="4"/>
        <v>2</v>
      </c>
      <c r="L13">
        <f t="shared" si="5"/>
        <v>0.38138888888888889</v>
      </c>
      <c r="M13">
        <f t="shared" si="6"/>
        <v>1.698706111111111</v>
      </c>
      <c r="N13">
        <f t="shared" si="7"/>
        <v>9.4478874831320123</v>
      </c>
    </row>
    <row r="14" spans="1:14" x14ac:dyDescent="0.25">
      <c r="F14">
        <v>10</v>
      </c>
      <c r="G14">
        <f t="shared" si="0"/>
        <v>11.15</v>
      </c>
      <c r="H14">
        <f t="shared" si="1"/>
        <v>8.586966892472093</v>
      </c>
      <c r="I14">
        <f t="shared" si="2"/>
        <v>18</v>
      </c>
      <c r="J14">
        <f t="shared" si="3"/>
        <v>5</v>
      </c>
      <c r="K14">
        <f t="shared" si="4"/>
        <v>2</v>
      </c>
      <c r="L14">
        <f t="shared" si="5"/>
        <v>0.38055555555555554</v>
      </c>
      <c r="M14">
        <f t="shared" si="6"/>
        <v>1.6972777777777779</v>
      </c>
      <c r="N14">
        <f t="shared" si="7"/>
        <v>9.4356057813609819</v>
      </c>
    </row>
    <row r="15" spans="1:14" x14ac:dyDescent="0.25">
      <c r="F15">
        <v>11</v>
      </c>
      <c r="G15">
        <f t="shared" si="0"/>
        <v>11.164999999999999</v>
      </c>
      <c r="H15">
        <f t="shared" si="1"/>
        <v>8.5754304389667571</v>
      </c>
      <c r="I15">
        <f t="shared" si="2"/>
        <v>18</v>
      </c>
      <c r="J15">
        <f t="shared" si="3"/>
        <v>5</v>
      </c>
      <c r="K15">
        <f t="shared" si="4"/>
        <v>2</v>
      </c>
      <c r="L15">
        <f t="shared" si="5"/>
        <v>0.37972222222222229</v>
      </c>
      <c r="M15">
        <f t="shared" si="6"/>
        <v>1.6958394444444447</v>
      </c>
      <c r="N15">
        <f t="shared" si="7"/>
        <v>9.4233501611889796</v>
      </c>
    </row>
    <row r="16" spans="1:14" x14ac:dyDescent="0.25">
      <c r="F16">
        <v>12</v>
      </c>
      <c r="G16">
        <f t="shared" si="0"/>
        <v>11.18</v>
      </c>
      <c r="H16">
        <f t="shared" si="1"/>
        <v>8.5639249419556194</v>
      </c>
      <c r="I16">
        <f t="shared" si="2"/>
        <v>18</v>
      </c>
      <c r="J16">
        <f t="shared" si="3"/>
        <v>5</v>
      </c>
      <c r="K16">
        <f t="shared" si="4"/>
        <v>2</v>
      </c>
      <c r="L16">
        <f t="shared" si="5"/>
        <v>0.37888888888888894</v>
      </c>
      <c r="M16">
        <f t="shared" si="6"/>
        <v>1.6943911111111114</v>
      </c>
      <c r="N16">
        <f t="shared" si="7"/>
        <v>9.4111204975111757</v>
      </c>
    </row>
    <row r="17" spans="6:14" x14ac:dyDescent="0.25">
      <c r="F17">
        <v>13</v>
      </c>
      <c r="G17">
        <f t="shared" si="0"/>
        <v>11.195</v>
      </c>
      <c r="H17">
        <f t="shared" si="1"/>
        <v>8.5524502770043629</v>
      </c>
      <c r="I17">
        <f t="shared" si="2"/>
        <v>18</v>
      </c>
      <c r="J17">
        <f t="shared" si="3"/>
        <v>5</v>
      </c>
      <c r="K17">
        <f t="shared" si="4"/>
        <v>2</v>
      </c>
      <c r="L17">
        <f t="shared" si="5"/>
        <v>0.37805555555555559</v>
      </c>
      <c r="M17">
        <f t="shared" si="6"/>
        <v>1.6929327777777778</v>
      </c>
      <c r="N17">
        <f t="shared" si="7"/>
        <v>9.3989166658932515</v>
      </c>
    </row>
    <row r="18" spans="6:14" x14ac:dyDescent="0.25">
      <c r="F18">
        <v>14</v>
      </c>
      <c r="G18">
        <f t="shared" si="0"/>
        <v>11.21</v>
      </c>
      <c r="H18">
        <f t="shared" si="1"/>
        <v>8.5410063203446764</v>
      </c>
      <c r="I18">
        <f t="shared" si="2"/>
        <v>18</v>
      </c>
      <c r="J18">
        <f t="shared" si="3"/>
        <v>5</v>
      </c>
      <c r="K18">
        <f t="shared" si="4"/>
        <v>2</v>
      </c>
      <c r="L18">
        <f t="shared" si="5"/>
        <v>0.37722222222222213</v>
      </c>
      <c r="M18">
        <f t="shared" si="6"/>
        <v>1.6914644444444442</v>
      </c>
      <c r="N18">
        <f t="shared" si="7"/>
        <v>9.3867385425668992</v>
      </c>
    </row>
    <row r="19" spans="6:14" x14ac:dyDescent="0.25">
      <c r="F19">
        <v>15</v>
      </c>
      <c r="G19">
        <f t="shared" si="0"/>
        <v>11.225</v>
      </c>
      <c r="H19">
        <f t="shared" si="1"/>
        <v>8.5295929488698299</v>
      </c>
      <c r="I19">
        <f t="shared" si="2"/>
        <v>18</v>
      </c>
      <c r="J19">
        <f t="shared" si="3"/>
        <v>5</v>
      </c>
      <c r="K19">
        <f t="shared" si="4"/>
        <v>2</v>
      </c>
      <c r="L19">
        <f t="shared" si="5"/>
        <v>0.37638888888888888</v>
      </c>
      <c r="M19">
        <f t="shared" si="6"/>
        <v>1.6899861111111112</v>
      </c>
      <c r="N19">
        <f t="shared" si="7"/>
        <v>9.3745860044253853</v>
      </c>
    </row>
    <row r="20" spans="6:14" x14ac:dyDescent="0.25">
      <c r="F20">
        <v>16</v>
      </c>
      <c r="G20">
        <f t="shared" si="0"/>
        <v>11.24</v>
      </c>
      <c r="H20">
        <f t="shared" si="1"/>
        <v>8.5182100401302332</v>
      </c>
      <c r="I20">
        <f t="shared" si="2"/>
        <v>18</v>
      </c>
      <c r="J20">
        <f t="shared" si="3"/>
        <v>5</v>
      </c>
      <c r="K20">
        <f t="shared" si="4"/>
        <v>2</v>
      </c>
      <c r="L20">
        <f t="shared" si="5"/>
        <v>0.37555555555555553</v>
      </c>
      <c r="M20">
        <f t="shared" si="6"/>
        <v>1.6884977777777777</v>
      </c>
      <c r="N20">
        <f t="shared" si="7"/>
        <v>9.3624589290191214</v>
      </c>
    </row>
    <row r="21" spans="6:14" x14ac:dyDescent="0.25">
      <c r="F21">
        <v>17</v>
      </c>
      <c r="G21">
        <f t="shared" si="0"/>
        <v>11.255000000000001</v>
      </c>
      <c r="H21">
        <f t="shared" si="1"/>
        <v>8.5068574723290826</v>
      </c>
      <c r="I21">
        <f t="shared" si="2"/>
        <v>18</v>
      </c>
      <c r="J21">
        <f t="shared" si="3"/>
        <v>5</v>
      </c>
      <c r="K21">
        <f t="shared" si="4"/>
        <v>2</v>
      </c>
      <c r="L21">
        <f t="shared" si="5"/>
        <v>0.37472222222222218</v>
      </c>
      <c r="M21">
        <f t="shared" si="6"/>
        <v>1.6869994444444445</v>
      </c>
      <c r="N21">
        <f t="shared" si="7"/>
        <v>9.3503571945513055</v>
      </c>
    </row>
    <row r="22" spans="6:14" x14ac:dyDescent="0.25">
      <c r="F22">
        <v>18</v>
      </c>
      <c r="G22">
        <f t="shared" si="0"/>
        <v>11.27</v>
      </c>
      <c r="H22">
        <f t="shared" si="1"/>
        <v>8.495535124317998</v>
      </c>
      <c r="I22">
        <f t="shared" si="2"/>
        <v>18</v>
      </c>
      <c r="J22">
        <f t="shared" si="3"/>
        <v>5</v>
      </c>
      <c r="K22">
        <f t="shared" si="4"/>
        <v>2</v>
      </c>
      <c r="L22">
        <f t="shared" si="5"/>
        <v>0.37388888888888894</v>
      </c>
      <c r="M22">
        <f t="shared" si="6"/>
        <v>1.6854911111111111</v>
      </c>
      <c r="N22">
        <f t="shared" si="7"/>
        <v>9.338280679873554</v>
      </c>
    </row>
    <row r="23" spans="6:14" x14ac:dyDescent="0.25">
      <c r="F23">
        <v>19</v>
      </c>
      <c r="G23">
        <f t="shared" si="0"/>
        <v>11.285</v>
      </c>
      <c r="H23">
        <f t="shared" si="1"/>
        <v>8.4842428755927202</v>
      </c>
      <c r="I23">
        <f t="shared" si="2"/>
        <v>18</v>
      </c>
      <c r="J23">
        <f t="shared" si="3"/>
        <v>5</v>
      </c>
      <c r="K23">
        <f t="shared" si="4"/>
        <v>2</v>
      </c>
      <c r="L23">
        <f t="shared" si="5"/>
        <v>0.37305555555555558</v>
      </c>
      <c r="M23">
        <f t="shared" si="6"/>
        <v>1.6839727777777778</v>
      </c>
      <c r="N23">
        <f t="shared" si="7"/>
        <v>9.3262292644816096</v>
      </c>
    </row>
    <row r="24" spans="6:14" x14ac:dyDescent="0.25">
      <c r="F24">
        <v>20</v>
      </c>
      <c r="G24">
        <f t="shared" si="0"/>
        <v>11.3</v>
      </c>
      <c r="H24">
        <f t="shared" si="1"/>
        <v>8.472980606288834</v>
      </c>
      <c r="I24">
        <f t="shared" si="2"/>
        <v>18</v>
      </c>
      <c r="J24">
        <f t="shared" si="3"/>
        <v>5</v>
      </c>
      <c r="K24">
        <f t="shared" si="4"/>
        <v>2</v>
      </c>
      <c r="L24">
        <f t="shared" si="5"/>
        <v>0.37222222222222223</v>
      </c>
      <c r="M24">
        <f t="shared" si="6"/>
        <v>1.6824444444444446</v>
      </c>
      <c r="N24">
        <f t="shared" si="7"/>
        <v>9.314202828511057</v>
      </c>
    </row>
    <row r="25" spans="6:14" x14ac:dyDescent="0.25">
      <c r="F25">
        <v>21</v>
      </c>
      <c r="G25">
        <f t="shared" si="0"/>
        <v>11.315</v>
      </c>
      <c r="H25">
        <f t="shared" si="1"/>
        <v>8.4617481971775383</v>
      </c>
      <c r="I25">
        <f t="shared" si="2"/>
        <v>18</v>
      </c>
      <c r="J25">
        <f t="shared" si="3"/>
        <v>5</v>
      </c>
      <c r="K25">
        <f t="shared" si="4"/>
        <v>2</v>
      </c>
      <c r="L25">
        <f t="shared" si="5"/>
        <v>0.37138888888888888</v>
      </c>
      <c r="M25">
        <f t="shared" si="6"/>
        <v>1.680906111111111</v>
      </c>
      <c r="N25">
        <f t="shared" si="7"/>
        <v>9.3022012527330933</v>
      </c>
    </row>
    <row r="26" spans="6:14" x14ac:dyDescent="0.25">
      <c r="F26">
        <v>22</v>
      </c>
      <c r="G26">
        <f t="shared" si="0"/>
        <v>11.33</v>
      </c>
      <c r="H26">
        <f t="shared" si="1"/>
        <v>8.4505455296614151</v>
      </c>
      <c r="I26">
        <f t="shared" si="2"/>
        <v>18</v>
      </c>
      <c r="J26">
        <f t="shared" si="3"/>
        <v>5</v>
      </c>
      <c r="K26">
        <f t="shared" si="4"/>
        <v>2</v>
      </c>
      <c r="L26">
        <f t="shared" si="5"/>
        <v>0.37055555555555553</v>
      </c>
      <c r="M26">
        <f t="shared" si="6"/>
        <v>1.6793577777777777</v>
      </c>
      <c r="N26">
        <f t="shared" si="7"/>
        <v>9.290224418550304</v>
      </c>
    </row>
    <row r="27" spans="6:14" x14ac:dyDescent="0.25">
      <c r="F27">
        <v>23</v>
      </c>
      <c r="G27">
        <f t="shared" si="0"/>
        <v>11.345000000000001</v>
      </c>
      <c r="H27">
        <f t="shared" si="1"/>
        <v>8.4393724857702797</v>
      </c>
      <c r="I27">
        <f t="shared" si="2"/>
        <v>18</v>
      </c>
      <c r="J27">
        <f t="shared" si="3"/>
        <v>5</v>
      </c>
      <c r="K27">
        <f t="shared" si="4"/>
        <v>2</v>
      </c>
      <c r="L27">
        <f t="shared" si="5"/>
        <v>0.36972222222222217</v>
      </c>
      <c r="M27">
        <f t="shared" si="6"/>
        <v>1.6777994444444442</v>
      </c>
      <c r="N27">
        <f t="shared" si="7"/>
        <v>9.2782722079925009</v>
      </c>
    </row>
    <row r="28" spans="6:14" x14ac:dyDescent="0.25">
      <c r="F28">
        <v>24</v>
      </c>
      <c r="G28">
        <f t="shared" si="0"/>
        <v>11.36</v>
      </c>
      <c r="H28">
        <f t="shared" si="1"/>
        <v>8.4282289481570292</v>
      </c>
      <c r="I28">
        <f t="shared" si="2"/>
        <v>18</v>
      </c>
      <c r="J28">
        <f t="shared" si="3"/>
        <v>5</v>
      </c>
      <c r="K28">
        <f t="shared" si="4"/>
        <v>2</v>
      </c>
      <c r="L28">
        <f t="shared" si="5"/>
        <v>0.36888888888888893</v>
      </c>
      <c r="M28">
        <f t="shared" si="6"/>
        <v>1.6762311111111114</v>
      </c>
      <c r="N28">
        <f t="shared" si="7"/>
        <v>9.2663445037125847</v>
      </c>
    </row>
    <row r="29" spans="6:14" x14ac:dyDescent="0.25">
      <c r="F29">
        <v>25</v>
      </c>
      <c r="G29">
        <f t="shared" si="0"/>
        <v>11.375</v>
      </c>
      <c r="H29">
        <f t="shared" si="1"/>
        <v>8.4171148000935236</v>
      </c>
      <c r="I29">
        <f t="shared" si="2"/>
        <v>18</v>
      </c>
      <c r="J29">
        <f t="shared" si="3"/>
        <v>5</v>
      </c>
      <c r="K29">
        <f t="shared" si="4"/>
        <v>2</v>
      </c>
      <c r="L29">
        <f t="shared" si="5"/>
        <v>0.36805555555555558</v>
      </c>
      <c r="M29">
        <f t="shared" si="6"/>
        <v>1.6746527777777778</v>
      </c>
      <c r="N29">
        <f t="shared" si="7"/>
        <v>9.2544411889824119</v>
      </c>
    </row>
    <row r="30" spans="6:14" x14ac:dyDescent="0.25">
      <c r="F30">
        <v>26</v>
      </c>
      <c r="G30">
        <f t="shared" si="0"/>
        <v>11.39</v>
      </c>
      <c r="H30">
        <f t="shared" si="1"/>
        <v>8.4060299254665356</v>
      </c>
      <c r="I30">
        <f t="shared" si="2"/>
        <v>18</v>
      </c>
      <c r="J30">
        <f t="shared" si="3"/>
        <v>5</v>
      </c>
      <c r="K30">
        <f t="shared" si="4"/>
        <v>2</v>
      </c>
      <c r="L30">
        <f t="shared" si="5"/>
        <v>0.36722222222222223</v>
      </c>
      <c r="M30">
        <f t="shared" si="6"/>
        <v>1.6730644444444445</v>
      </c>
      <c r="N30">
        <f t="shared" si="7"/>
        <v>9.2425621476887585</v>
      </c>
    </row>
    <row r="31" spans="6:14" x14ac:dyDescent="0.25">
      <c r="F31">
        <v>27</v>
      </c>
      <c r="G31">
        <f t="shared" si="0"/>
        <v>11.404999999999999</v>
      </c>
      <c r="H31">
        <f t="shared" si="1"/>
        <v>8.3949742087736823</v>
      </c>
      <c r="I31">
        <f t="shared" si="2"/>
        <v>18</v>
      </c>
      <c r="J31">
        <f t="shared" si="3"/>
        <v>5</v>
      </c>
      <c r="K31">
        <f t="shared" si="4"/>
        <v>2</v>
      </c>
      <c r="L31">
        <f t="shared" si="5"/>
        <v>0.36638888888888888</v>
      </c>
      <c r="M31">
        <f t="shared" si="6"/>
        <v>1.6714661111111109</v>
      </c>
      <c r="N31">
        <f t="shared" si="7"/>
        <v>9.2307072643292383</v>
      </c>
    </row>
    <row r="32" spans="6:14" x14ac:dyDescent="0.25">
      <c r="F32">
        <v>28</v>
      </c>
      <c r="G32">
        <f t="shared" si="0"/>
        <v>11.42</v>
      </c>
      <c r="H32">
        <f t="shared" si="1"/>
        <v>8.3839475351194253</v>
      </c>
      <c r="I32">
        <f t="shared" si="2"/>
        <v>18</v>
      </c>
      <c r="J32">
        <f t="shared" si="3"/>
        <v>5</v>
      </c>
      <c r="K32">
        <f t="shared" si="4"/>
        <v>2</v>
      </c>
      <c r="L32">
        <f t="shared" si="5"/>
        <v>0.36555555555555552</v>
      </c>
      <c r="M32">
        <f t="shared" si="6"/>
        <v>1.6698577777777774</v>
      </c>
      <c r="N32">
        <f t="shared" si="7"/>
        <v>9.2188764240083145</v>
      </c>
    </row>
    <row r="33" spans="6:14" x14ac:dyDescent="0.25">
      <c r="F33">
        <v>29</v>
      </c>
      <c r="G33">
        <f t="shared" si="0"/>
        <v>11.435</v>
      </c>
      <c r="H33">
        <f t="shared" si="1"/>
        <v>8.3729497902110914</v>
      </c>
      <c r="I33">
        <f t="shared" si="2"/>
        <v>18</v>
      </c>
      <c r="J33">
        <f t="shared" si="3"/>
        <v>5</v>
      </c>
      <c r="K33">
        <f t="shared" si="4"/>
        <v>2</v>
      </c>
      <c r="L33">
        <f t="shared" si="5"/>
        <v>0.36472222222222217</v>
      </c>
      <c r="M33">
        <f t="shared" si="6"/>
        <v>1.6682394444444444</v>
      </c>
      <c r="N33">
        <f t="shared" si="7"/>
        <v>9.2070695124333142</v>
      </c>
    </row>
    <row r="34" spans="6:14" x14ac:dyDescent="0.25">
      <c r="F34">
        <v>30</v>
      </c>
      <c r="G34">
        <f t="shared" si="0"/>
        <v>11.45</v>
      </c>
      <c r="H34">
        <f t="shared" si="1"/>
        <v>8.3619808603549206</v>
      </c>
      <c r="I34">
        <f t="shared" si="2"/>
        <v>18</v>
      </c>
      <c r="J34">
        <f t="shared" si="3"/>
        <v>5</v>
      </c>
      <c r="K34">
        <f t="shared" si="4"/>
        <v>2</v>
      </c>
      <c r="L34">
        <f t="shared" si="5"/>
        <v>0.36388888888888893</v>
      </c>
      <c r="M34">
        <f t="shared" si="6"/>
        <v>1.666611111111111</v>
      </c>
      <c r="N34">
        <f t="shared" si="7"/>
        <v>9.195286415910477</v>
      </c>
    </row>
    <row r="35" spans="6:14" x14ac:dyDescent="0.25">
      <c r="F35">
        <v>31</v>
      </c>
      <c r="G35">
        <f t="shared" si="0"/>
        <v>11.465</v>
      </c>
      <c r="H35">
        <f t="shared" si="1"/>
        <v>8.3510406324521451</v>
      </c>
      <c r="I35">
        <f t="shared" si="2"/>
        <v>18</v>
      </c>
      <c r="J35">
        <f t="shared" si="3"/>
        <v>5</v>
      </c>
      <c r="K35">
        <f t="shared" si="4"/>
        <v>2</v>
      </c>
      <c r="L35">
        <f t="shared" si="5"/>
        <v>0.36305555555555558</v>
      </c>
      <c r="M35">
        <f t="shared" si="6"/>
        <v>1.6649727777777776</v>
      </c>
      <c r="N35">
        <f t="shared" si="7"/>
        <v>9.1835270213410336</v>
      </c>
    </row>
    <row r="36" spans="6:14" x14ac:dyDescent="0.25">
      <c r="F36">
        <v>32</v>
      </c>
      <c r="G36">
        <f t="shared" ref="G36:G67" si="8">$B$4+(F36*$B$8)</f>
        <v>11.48</v>
      </c>
      <c r="H36">
        <f t="shared" ref="H36:H67" si="9">(I36*J36)/(G36*eta)</f>
        <v>8.3401289939951067</v>
      </c>
      <c r="I36">
        <f t="shared" ref="I36:I67" si="10">VOUT</f>
        <v>18</v>
      </c>
      <c r="J36">
        <f t="shared" ref="J36:J67" si="11">IOUT_np</f>
        <v>5</v>
      </c>
      <c r="K36">
        <f t="shared" ref="K36:K67" si="12">IF((G36*(1-(G36/I36)))/(2*Lm*fsw)&gt;H36,1,2)</f>
        <v>2</v>
      </c>
      <c r="L36">
        <f t="shared" ref="L36:L67" si="13">CHOOSE(K36,SQRT((2*Lm*fsw(I36-G36)*((I36*J36)/G36))/(I36*G36)),(1-(G36/I36)))</f>
        <v>0.36222222222222222</v>
      </c>
      <c r="M36">
        <f t="shared" ref="M36:M67" si="14">G36*L36/(Lm*fsw)</f>
        <v>1.6633244444444444</v>
      </c>
      <c r="N36">
        <f t="shared" si="7"/>
        <v>9.1717912162173292</v>
      </c>
    </row>
    <row r="37" spans="6:14" x14ac:dyDescent="0.25">
      <c r="F37">
        <v>33</v>
      </c>
      <c r="G37">
        <f t="shared" si="8"/>
        <v>11.494999999999999</v>
      </c>
      <c r="H37">
        <f t="shared" si="9"/>
        <v>8.3292458330634052</v>
      </c>
      <c r="I37">
        <f t="shared" si="10"/>
        <v>18</v>
      </c>
      <c r="J37">
        <f t="shared" si="11"/>
        <v>5</v>
      </c>
      <c r="K37">
        <f t="shared" si="12"/>
        <v>2</v>
      </c>
      <c r="L37">
        <f t="shared" si="13"/>
        <v>0.36138888888888898</v>
      </c>
      <c r="M37">
        <f t="shared" si="14"/>
        <v>1.6616661111111113</v>
      </c>
      <c r="N37">
        <f t="shared" si="7"/>
        <v>9.1600788886189601</v>
      </c>
    </row>
    <row r="38" spans="6:14" x14ac:dyDescent="0.25">
      <c r="F38">
        <v>34</v>
      </c>
      <c r="G38">
        <f t="shared" si="8"/>
        <v>11.51</v>
      </c>
      <c r="H38">
        <f t="shared" si="9"/>
        <v>8.3183910383200548</v>
      </c>
      <c r="I38">
        <f t="shared" si="10"/>
        <v>18</v>
      </c>
      <c r="J38">
        <f t="shared" si="11"/>
        <v>5</v>
      </c>
      <c r="K38">
        <f t="shared" si="12"/>
        <v>2</v>
      </c>
      <c r="L38">
        <f t="shared" si="13"/>
        <v>0.36055555555555552</v>
      </c>
      <c r="M38">
        <f t="shared" si="14"/>
        <v>1.6599977777777777</v>
      </c>
      <c r="N38">
        <f t="shared" si="7"/>
        <v>9.1483899272089442</v>
      </c>
    </row>
    <row r="39" spans="6:14" x14ac:dyDescent="0.25">
      <c r="F39">
        <v>35</v>
      </c>
      <c r="G39">
        <f t="shared" si="8"/>
        <v>11.525</v>
      </c>
      <c r="H39">
        <f t="shared" si="9"/>
        <v>8.3075644990077091</v>
      </c>
      <c r="I39">
        <f t="shared" si="10"/>
        <v>18</v>
      </c>
      <c r="J39">
        <f t="shared" si="11"/>
        <v>5</v>
      </c>
      <c r="K39">
        <f t="shared" si="12"/>
        <v>2</v>
      </c>
      <c r="L39">
        <f t="shared" si="13"/>
        <v>0.35972222222222217</v>
      </c>
      <c r="M39">
        <f t="shared" si="14"/>
        <v>1.658319444444444</v>
      </c>
      <c r="N39">
        <f t="shared" si="7"/>
        <v>9.1367242212299313</v>
      </c>
    </row>
    <row r="40" spans="6:14" x14ac:dyDescent="0.25">
      <c r="F40">
        <v>36</v>
      </c>
      <c r="G40">
        <f t="shared" si="8"/>
        <v>11.54</v>
      </c>
      <c r="H40">
        <f t="shared" si="9"/>
        <v>8.296766104944874</v>
      </c>
      <c r="I40">
        <f t="shared" si="10"/>
        <v>18</v>
      </c>
      <c r="J40">
        <f t="shared" si="11"/>
        <v>5</v>
      </c>
      <c r="K40">
        <f t="shared" si="12"/>
        <v>2</v>
      </c>
      <c r="L40">
        <f t="shared" si="13"/>
        <v>0.35888888888888892</v>
      </c>
      <c r="M40">
        <f t="shared" si="14"/>
        <v>1.6566311111111112</v>
      </c>
      <c r="N40">
        <f t="shared" si="7"/>
        <v>9.1250816605004292</v>
      </c>
    </row>
    <row r="41" spans="6:14" x14ac:dyDescent="0.25">
      <c r="F41">
        <v>37</v>
      </c>
      <c r="G41">
        <f t="shared" si="8"/>
        <v>11.555</v>
      </c>
      <c r="H41">
        <f t="shared" si="9"/>
        <v>8.2859957465221843</v>
      </c>
      <c r="I41">
        <f t="shared" si="10"/>
        <v>18</v>
      </c>
      <c r="J41">
        <f t="shared" si="11"/>
        <v>5</v>
      </c>
      <c r="K41">
        <f t="shared" si="12"/>
        <v>2</v>
      </c>
      <c r="L41">
        <f t="shared" si="13"/>
        <v>0.35805555555555557</v>
      </c>
      <c r="M41">
        <f t="shared" si="14"/>
        <v>1.654932777777778</v>
      </c>
      <c r="N41">
        <f t="shared" si="7"/>
        <v>9.1134621354110728</v>
      </c>
    </row>
    <row r="42" spans="6:14" x14ac:dyDescent="0.25">
      <c r="F42">
        <v>38</v>
      </c>
      <c r="G42">
        <f t="shared" si="8"/>
        <v>11.57</v>
      </c>
      <c r="H42">
        <f t="shared" si="9"/>
        <v>8.2752533146986895</v>
      </c>
      <c r="I42">
        <f t="shared" si="10"/>
        <v>18</v>
      </c>
      <c r="J42">
        <f t="shared" si="11"/>
        <v>5</v>
      </c>
      <c r="K42">
        <f t="shared" si="12"/>
        <v>2</v>
      </c>
      <c r="L42">
        <f t="shared" si="13"/>
        <v>0.35722222222222222</v>
      </c>
      <c r="M42">
        <f t="shared" si="14"/>
        <v>1.6532244444444444</v>
      </c>
      <c r="N42">
        <f t="shared" si="7"/>
        <v>9.1018655369209114</v>
      </c>
    </row>
    <row r="43" spans="6:14" x14ac:dyDescent="0.25">
      <c r="F43">
        <v>39</v>
      </c>
      <c r="G43">
        <f t="shared" si="8"/>
        <v>11.585000000000001</v>
      </c>
      <c r="H43">
        <f t="shared" si="9"/>
        <v>8.2645387009981714</v>
      </c>
      <c r="I43">
        <f t="shared" si="10"/>
        <v>18</v>
      </c>
      <c r="J43">
        <f t="shared" si="11"/>
        <v>5</v>
      </c>
      <c r="K43">
        <f t="shared" si="12"/>
        <v>2</v>
      </c>
      <c r="L43">
        <f t="shared" si="13"/>
        <v>0.35638888888888887</v>
      </c>
      <c r="M43">
        <f t="shared" si="14"/>
        <v>1.6515061111111113</v>
      </c>
      <c r="N43">
        <f t="shared" si="7"/>
        <v>9.0902917565537269</v>
      </c>
    </row>
    <row r="44" spans="6:14" x14ac:dyDescent="0.25">
      <c r="F44">
        <v>40</v>
      </c>
      <c r="G44">
        <f t="shared" si="8"/>
        <v>11.6</v>
      </c>
      <c r="H44">
        <f t="shared" si="9"/>
        <v>8.2538517975055026</v>
      </c>
      <c r="I44">
        <f t="shared" si="10"/>
        <v>18</v>
      </c>
      <c r="J44">
        <f t="shared" si="11"/>
        <v>5</v>
      </c>
      <c r="K44">
        <f t="shared" si="12"/>
        <v>2</v>
      </c>
      <c r="L44">
        <f t="shared" si="13"/>
        <v>0.35555555555555562</v>
      </c>
      <c r="M44">
        <f t="shared" si="14"/>
        <v>1.649777777777778</v>
      </c>
      <c r="N44">
        <f t="shared" si="7"/>
        <v>9.0787406863943918</v>
      </c>
    </row>
    <row r="45" spans="6:14" x14ac:dyDescent="0.25">
      <c r="F45">
        <v>41</v>
      </c>
      <c r="G45">
        <f t="shared" si="8"/>
        <v>11.615</v>
      </c>
      <c r="H45">
        <f t="shared" si="9"/>
        <v>8.2431924968630081</v>
      </c>
      <c r="I45">
        <f t="shared" si="10"/>
        <v>18</v>
      </c>
      <c r="J45">
        <f t="shared" si="11"/>
        <v>5</v>
      </c>
      <c r="K45">
        <f t="shared" si="12"/>
        <v>2</v>
      </c>
      <c r="L45">
        <f t="shared" si="13"/>
        <v>0.35472222222222216</v>
      </c>
      <c r="M45">
        <f t="shared" si="14"/>
        <v>1.6480394444444442</v>
      </c>
      <c r="N45">
        <f t="shared" si="7"/>
        <v>9.0672122190852296</v>
      </c>
    </row>
    <row r="46" spans="6:14" x14ac:dyDescent="0.25">
      <c r="F46">
        <v>42</v>
      </c>
      <c r="G46">
        <f t="shared" si="8"/>
        <v>11.63</v>
      </c>
      <c r="H46">
        <f t="shared" si="9"/>
        <v>8.2325606922668815</v>
      </c>
      <c r="I46">
        <f t="shared" si="10"/>
        <v>18</v>
      </c>
      <c r="J46">
        <f t="shared" si="11"/>
        <v>5</v>
      </c>
      <c r="K46">
        <f t="shared" si="12"/>
        <v>2</v>
      </c>
      <c r="L46">
        <f t="shared" si="13"/>
        <v>0.35388888888888881</v>
      </c>
      <c r="M46">
        <f t="shared" si="14"/>
        <v>1.6462911111111107</v>
      </c>
      <c r="N46">
        <f t="shared" si="7"/>
        <v>9.055706247822437</v>
      </c>
    </row>
    <row r="47" spans="6:14" x14ac:dyDescent="0.25">
      <c r="F47">
        <v>43</v>
      </c>
      <c r="G47">
        <f t="shared" si="8"/>
        <v>11.645</v>
      </c>
      <c r="H47">
        <f t="shared" si="9"/>
        <v>8.2219562774636188</v>
      </c>
      <c r="I47">
        <f t="shared" si="10"/>
        <v>18</v>
      </c>
      <c r="J47">
        <f t="shared" si="11"/>
        <v>5</v>
      </c>
      <c r="K47">
        <f t="shared" si="12"/>
        <v>2</v>
      </c>
      <c r="L47">
        <f t="shared" si="13"/>
        <v>0.35305555555555557</v>
      </c>
      <c r="M47">
        <f t="shared" si="14"/>
        <v>1.6445327777777776</v>
      </c>
      <c r="N47">
        <f t="shared" si="7"/>
        <v>9.0442226663525069</v>
      </c>
    </row>
    <row r="48" spans="6:14" x14ac:dyDescent="0.25">
      <c r="F48">
        <v>44</v>
      </c>
      <c r="G48">
        <f t="shared" si="8"/>
        <v>11.66</v>
      </c>
      <c r="H48">
        <f t="shared" si="9"/>
        <v>8.2113791467464683</v>
      </c>
      <c r="I48">
        <f t="shared" si="10"/>
        <v>18</v>
      </c>
      <c r="J48">
        <f t="shared" si="11"/>
        <v>5</v>
      </c>
      <c r="K48">
        <f t="shared" si="12"/>
        <v>2</v>
      </c>
      <c r="L48">
        <f t="shared" si="13"/>
        <v>0.35222222222222221</v>
      </c>
      <c r="M48">
        <f t="shared" si="14"/>
        <v>1.6427644444444442</v>
      </c>
      <c r="N48">
        <f t="shared" si="7"/>
        <v>9.032761368968691</v>
      </c>
    </row>
    <row r="49" spans="6:14" x14ac:dyDescent="0.25">
      <c r="F49">
        <v>45</v>
      </c>
      <c r="G49">
        <f t="shared" si="8"/>
        <v>11.675000000000001</v>
      </c>
      <c r="H49">
        <f t="shared" si="9"/>
        <v>8.2008291949519343</v>
      </c>
      <c r="I49">
        <f t="shared" si="10"/>
        <v>18</v>
      </c>
      <c r="J49">
        <f t="shared" si="11"/>
        <v>5</v>
      </c>
      <c r="K49">
        <f t="shared" si="12"/>
        <v>2</v>
      </c>
      <c r="L49">
        <f t="shared" si="13"/>
        <v>0.35138888888888886</v>
      </c>
      <c r="M49">
        <f t="shared" si="14"/>
        <v>1.6409861111111113</v>
      </c>
      <c r="N49">
        <f t="shared" si="7"/>
        <v>9.0213222505074899</v>
      </c>
    </row>
    <row r="50" spans="6:14" x14ac:dyDescent="0.25">
      <c r="F50">
        <v>46</v>
      </c>
      <c r="G50">
        <f t="shared" si="8"/>
        <v>11.69</v>
      </c>
      <c r="H50">
        <f t="shared" si="9"/>
        <v>8.1903063174562742</v>
      </c>
      <c r="I50">
        <f t="shared" si="10"/>
        <v>18</v>
      </c>
      <c r="J50">
        <f t="shared" si="11"/>
        <v>5</v>
      </c>
      <c r="K50">
        <f t="shared" si="12"/>
        <v>2</v>
      </c>
      <c r="L50">
        <f t="shared" si="13"/>
        <v>0.35055555555555562</v>
      </c>
      <c r="M50">
        <f t="shared" si="14"/>
        <v>1.639197777777778</v>
      </c>
      <c r="N50">
        <f t="shared" si="7"/>
        <v>9.009905206345163</v>
      </c>
    </row>
    <row r="51" spans="6:14" x14ac:dyDescent="0.25">
      <c r="F51">
        <v>47</v>
      </c>
      <c r="G51">
        <f t="shared" si="8"/>
        <v>11.705</v>
      </c>
      <c r="H51">
        <f t="shared" si="9"/>
        <v>8.179810410172049</v>
      </c>
      <c r="I51">
        <f t="shared" si="10"/>
        <v>18</v>
      </c>
      <c r="J51">
        <f t="shared" si="11"/>
        <v>5</v>
      </c>
      <c r="K51">
        <f t="shared" si="12"/>
        <v>2</v>
      </c>
      <c r="L51">
        <f t="shared" si="13"/>
        <v>0.34972222222222227</v>
      </c>
      <c r="M51">
        <f t="shared" si="14"/>
        <v>1.6373994444444446</v>
      </c>
      <c r="N51">
        <f t="shared" si="7"/>
        <v>8.9985101323942711</v>
      </c>
    </row>
    <row r="52" spans="6:14" x14ac:dyDescent="0.25">
      <c r="F52">
        <v>48</v>
      </c>
      <c r="G52">
        <f t="shared" si="8"/>
        <v>11.72</v>
      </c>
      <c r="H52">
        <f t="shared" si="9"/>
        <v>8.1693413695446946</v>
      </c>
      <c r="I52">
        <f t="shared" si="10"/>
        <v>18</v>
      </c>
      <c r="J52">
        <f t="shared" si="11"/>
        <v>5</v>
      </c>
      <c r="K52">
        <f t="shared" si="12"/>
        <v>2</v>
      </c>
      <c r="L52">
        <f t="shared" si="13"/>
        <v>0.3488888888888888</v>
      </c>
      <c r="M52">
        <f t="shared" si="14"/>
        <v>1.6355911111111108</v>
      </c>
      <c r="N52">
        <f t="shared" si="7"/>
        <v>8.9871369251002502</v>
      </c>
    </row>
    <row r="53" spans="6:14" x14ac:dyDescent="0.25">
      <c r="F53">
        <v>49</v>
      </c>
      <c r="G53">
        <f t="shared" si="8"/>
        <v>11.734999999999999</v>
      </c>
      <c r="H53">
        <f t="shared" si="9"/>
        <v>8.1588990925491132</v>
      </c>
      <c r="I53">
        <f t="shared" si="10"/>
        <v>18</v>
      </c>
      <c r="J53">
        <f t="shared" si="11"/>
        <v>5</v>
      </c>
      <c r="K53">
        <f t="shared" si="12"/>
        <v>2</v>
      </c>
      <c r="L53">
        <f t="shared" si="13"/>
        <v>0.34805555555555556</v>
      </c>
      <c r="M53">
        <f t="shared" si="14"/>
        <v>1.6337727777777775</v>
      </c>
      <c r="N53">
        <f t="shared" si="7"/>
        <v>8.9757854814380025</v>
      </c>
    </row>
    <row r="54" spans="6:14" x14ac:dyDescent="0.25">
      <c r="F54">
        <v>50</v>
      </c>
      <c r="G54">
        <f t="shared" si="8"/>
        <v>11.75</v>
      </c>
      <c r="H54">
        <f t="shared" si="9"/>
        <v>8.1484834766862839</v>
      </c>
      <c r="I54">
        <f t="shared" si="10"/>
        <v>18</v>
      </c>
      <c r="J54">
        <f t="shared" si="11"/>
        <v>5</v>
      </c>
      <c r="K54">
        <f t="shared" si="12"/>
        <v>2</v>
      </c>
      <c r="L54">
        <f t="shared" si="13"/>
        <v>0.34722222222222221</v>
      </c>
      <c r="M54">
        <f t="shared" si="14"/>
        <v>1.6319444444444442</v>
      </c>
      <c r="N54">
        <f t="shared" si="7"/>
        <v>8.9644556989085054</v>
      </c>
    </row>
    <row r="55" spans="6:14" x14ac:dyDescent="0.25">
      <c r="F55">
        <v>51</v>
      </c>
      <c r="G55">
        <f t="shared" si="8"/>
        <v>11.765000000000001</v>
      </c>
      <c r="H55">
        <f t="shared" si="9"/>
        <v>8.138094419979927</v>
      </c>
      <c r="I55">
        <f t="shared" si="10"/>
        <v>18</v>
      </c>
      <c r="J55">
        <f t="shared" si="11"/>
        <v>5</v>
      </c>
      <c r="K55">
        <f t="shared" si="12"/>
        <v>2</v>
      </c>
      <c r="L55">
        <f t="shared" si="13"/>
        <v>0.34638888888888886</v>
      </c>
      <c r="M55">
        <f t="shared" si="14"/>
        <v>1.630106111111111</v>
      </c>
      <c r="N55">
        <f t="shared" si="7"/>
        <v>8.9531474755354825</v>
      </c>
    </row>
    <row r="56" spans="6:14" x14ac:dyDescent="0.25">
      <c r="F56">
        <v>52</v>
      </c>
      <c r="G56">
        <f t="shared" si="8"/>
        <v>11.78</v>
      </c>
      <c r="H56">
        <f t="shared" si="9"/>
        <v>8.1277318209731622</v>
      </c>
      <c r="I56">
        <f t="shared" si="10"/>
        <v>18</v>
      </c>
      <c r="J56">
        <f t="shared" si="11"/>
        <v>5</v>
      </c>
      <c r="K56">
        <f t="shared" si="12"/>
        <v>2</v>
      </c>
      <c r="L56">
        <f t="shared" si="13"/>
        <v>0.34555555555555562</v>
      </c>
      <c r="M56">
        <f t="shared" si="14"/>
        <v>1.6282577777777778</v>
      </c>
      <c r="N56">
        <f t="shared" si="7"/>
        <v>8.9418607098620519</v>
      </c>
    </row>
    <row r="57" spans="6:14" x14ac:dyDescent="0.25">
      <c r="F57">
        <v>53</v>
      </c>
      <c r="G57">
        <f t="shared" si="8"/>
        <v>11.795</v>
      </c>
      <c r="H57">
        <f t="shared" si="9"/>
        <v>8.1173955787252083</v>
      </c>
      <c r="I57">
        <f t="shared" si="10"/>
        <v>18</v>
      </c>
      <c r="J57">
        <f t="shared" si="11"/>
        <v>5</v>
      </c>
      <c r="K57">
        <f t="shared" si="12"/>
        <v>2</v>
      </c>
      <c r="L57">
        <f t="shared" si="13"/>
        <v>0.34472222222222226</v>
      </c>
      <c r="M57">
        <f t="shared" si="14"/>
        <v>1.6263994444444445</v>
      </c>
      <c r="N57">
        <f t="shared" si="7"/>
        <v>8.9305953009474308</v>
      </c>
    </row>
    <row r="58" spans="6:14" x14ac:dyDescent="0.25">
      <c r="F58">
        <v>54</v>
      </c>
      <c r="G58">
        <f t="shared" si="8"/>
        <v>11.81</v>
      </c>
      <c r="H58">
        <f t="shared" si="9"/>
        <v>8.1070855928081151</v>
      </c>
      <c r="I58">
        <f t="shared" si="10"/>
        <v>18</v>
      </c>
      <c r="J58">
        <f t="shared" si="11"/>
        <v>5</v>
      </c>
      <c r="K58">
        <f t="shared" si="12"/>
        <v>2</v>
      </c>
      <c r="L58">
        <f t="shared" si="13"/>
        <v>0.34388888888888891</v>
      </c>
      <c r="M58">
        <f t="shared" si="14"/>
        <v>1.6245311111111114</v>
      </c>
      <c r="N58">
        <f t="shared" si="7"/>
        <v>8.9193511483636705</v>
      </c>
    </row>
    <row r="59" spans="6:14" x14ac:dyDescent="0.25">
      <c r="F59">
        <v>55</v>
      </c>
      <c r="G59">
        <f t="shared" si="8"/>
        <v>11.824999999999999</v>
      </c>
      <c r="H59">
        <f t="shared" si="9"/>
        <v>8.0968017633034961</v>
      </c>
      <c r="I59">
        <f t="shared" si="10"/>
        <v>18</v>
      </c>
      <c r="J59">
        <f t="shared" si="11"/>
        <v>5</v>
      </c>
      <c r="K59">
        <f t="shared" si="12"/>
        <v>2</v>
      </c>
      <c r="L59">
        <f t="shared" si="13"/>
        <v>0.34305555555555556</v>
      </c>
      <c r="M59">
        <f t="shared" si="14"/>
        <v>1.6226527777777775</v>
      </c>
      <c r="N59">
        <f t="shared" si="7"/>
        <v>8.9081281521923845</v>
      </c>
    </row>
    <row r="60" spans="6:14" x14ac:dyDescent="0.25">
      <c r="F60">
        <v>56</v>
      </c>
      <c r="G60">
        <f t="shared" si="8"/>
        <v>11.84</v>
      </c>
      <c r="H60">
        <f t="shared" si="9"/>
        <v>8.08654399079931</v>
      </c>
      <c r="I60">
        <f t="shared" si="10"/>
        <v>18</v>
      </c>
      <c r="J60">
        <f t="shared" si="11"/>
        <v>5</v>
      </c>
      <c r="K60">
        <f t="shared" si="12"/>
        <v>2</v>
      </c>
      <c r="L60">
        <f t="shared" si="13"/>
        <v>0.34222222222222221</v>
      </c>
      <c r="M60">
        <f t="shared" si="14"/>
        <v>1.6207644444444445</v>
      </c>
      <c r="N60">
        <f t="shared" si="7"/>
        <v>8.8969262130215316</v>
      </c>
    </row>
    <row r="61" spans="6:14" x14ac:dyDescent="0.25">
      <c r="F61">
        <v>57</v>
      </c>
      <c r="G61">
        <f t="shared" si="8"/>
        <v>11.855</v>
      </c>
      <c r="H61">
        <f t="shared" si="9"/>
        <v>8.0763121763866579</v>
      </c>
      <c r="I61">
        <f t="shared" si="10"/>
        <v>18</v>
      </c>
      <c r="J61">
        <f t="shared" si="11"/>
        <v>5</v>
      </c>
      <c r="K61">
        <f t="shared" si="12"/>
        <v>2</v>
      </c>
      <c r="L61">
        <f t="shared" si="13"/>
        <v>0.34138888888888885</v>
      </c>
      <c r="M61">
        <f t="shared" si="14"/>
        <v>1.6188661111111109</v>
      </c>
      <c r="N61">
        <f t="shared" si="7"/>
        <v>8.885745231942213</v>
      </c>
    </row>
    <row r="62" spans="6:14" x14ac:dyDescent="0.25">
      <c r="F62">
        <v>58</v>
      </c>
      <c r="G62">
        <f t="shared" si="8"/>
        <v>11.87</v>
      </c>
      <c r="H62">
        <f t="shared" si="9"/>
        <v>8.0661062216566002</v>
      </c>
      <c r="I62">
        <f t="shared" si="10"/>
        <v>18</v>
      </c>
      <c r="J62">
        <f t="shared" si="11"/>
        <v>5</v>
      </c>
      <c r="K62">
        <f t="shared" si="12"/>
        <v>2</v>
      </c>
      <c r="L62">
        <f t="shared" si="13"/>
        <v>0.34055555555555561</v>
      </c>
      <c r="M62">
        <f t="shared" si="14"/>
        <v>1.6169577777777779</v>
      </c>
      <c r="N62">
        <f t="shared" si="7"/>
        <v>8.8745851105454889</v>
      </c>
    </row>
    <row r="63" spans="6:14" x14ac:dyDescent="0.25">
      <c r="F63">
        <v>59</v>
      </c>
      <c r="G63">
        <f t="shared" si="8"/>
        <v>11.885</v>
      </c>
      <c r="H63">
        <f t="shared" si="9"/>
        <v>8.0559260286969998</v>
      </c>
      <c r="I63">
        <f t="shared" si="10"/>
        <v>18</v>
      </c>
      <c r="J63">
        <f t="shared" si="11"/>
        <v>5</v>
      </c>
      <c r="K63">
        <f t="shared" si="12"/>
        <v>2</v>
      </c>
      <c r="L63">
        <f t="shared" si="13"/>
        <v>0.33972222222222226</v>
      </c>
      <c r="M63">
        <f t="shared" si="14"/>
        <v>1.6150394444444445</v>
      </c>
      <c r="N63">
        <f t="shared" si="7"/>
        <v>8.8634457509192224</v>
      </c>
    </row>
    <row r="64" spans="6:14" x14ac:dyDescent="0.25">
      <c r="F64">
        <v>60</v>
      </c>
      <c r="G64">
        <f t="shared" si="8"/>
        <v>11.9</v>
      </c>
      <c r="H64">
        <f t="shared" si="9"/>
        <v>8.0457715000893977</v>
      </c>
      <c r="I64">
        <f t="shared" si="10"/>
        <v>18</v>
      </c>
      <c r="J64">
        <f t="shared" si="11"/>
        <v>5</v>
      </c>
      <c r="K64">
        <f t="shared" si="12"/>
        <v>2</v>
      </c>
      <c r="L64">
        <f t="shared" si="13"/>
        <v>0.33888888888888891</v>
      </c>
      <c r="M64">
        <f t="shared" si="14"/>
        <v>1.6131111111111114</v>
      </c>
      <c r="N64">
        <f t="shared" si="7"/>
        <v>8.8523270556449525</v>
      </c>
    </row>
    <row r="65" spans="6:14" x14ac:dyDescent="0.25">
      <c r="F65">
        <v>61</v>
      </c>
      <c r="G65">
        <f t="shared" si="8"/>
        <v>11.914999999999999</v>
      </c>
      <c r="H65">
        <f t="shared" si="9"/>
        <v>8.0356425389059041</v>
      </c>
      <c r="I65">
        <f t="shared" si="10"/>
        <v>18</v>
      </c>
      <c r="J65">
        <f t="shared" si="11"/>
        <v>5</v>
      </c>
      <c r="K65">
        <f t="shared" si="12"/>
        <v>2</v>
      </c>
      <c r="L65">
        <f t="shared" si="13"/>
        <v>0.33805555555555555</v>
      </c>
      <c r="M65">
        <f t="shared" si="14"/>
        <v>1.6111727777777776</v>
      </c>
      <c r="N65">
        <f t="shared" si="7"/>
        <v>8.8412289277947931</v>
      </c>
    </row>
    <row r="66" spans="6:14" x14ac:dyDescent="0.25">
      <c r="F66">
        <v>62</v>
      </c>
      <c r="G66">
        <f t="shared" si="8"/>
        <v>11.93</v>
      </c>
      <c r="H66">
        <f t="shared" si="9"/>
        <v>8.0255390487061042</v>
      </c>
      <c r="I66">
        <f t="shared" si="10"/>
        <v>18</v>
      </c>
      <c r="J66">
        <f t="shared" si="11"/>
        <v>5</v>
      </c>
      <c r="K66">
        <f t="shared" si="12"/>
        <v>2</v>
      </c>
      <c r="L66">
        <f t="shared" si="13"/>
        <v>0.3372222222222222</v>
      </c>
      <c r="M66">
        <f t="shared" si="14"/>
        <v>1.6092244444444443</v>
      </c>
      <c r="N66">
        <f t="shared" si="7"/>
        <v>8.8301512709283259</v>
      </c>
    </row>
    <row r="67" spans="6:14" x14ac:dyDescent="0.25">
      <c r="F67">
        <v>63</v>
      </c>
      <c r="G67">
        <f t="shared" si="8"/>
        <v>11.945</v>
      </c>
      <c r="H67">
        <f t="shared" si="9"/>
        <v>8.0154609335340172</v>
      </c>
      <c r="I67">
        <f t="shared" si="10"/>
        <v>18</v>
      </c>
      <c r="J67">
        <f t="shared" si="11"/>
        <v>5</v>
      </c>
      <c r="K67">
        <f t="shared" si="12"/>
        <v>2</v>
      </c>
      <c r="L67">
        <f t="shared" si="13"/>
        <v>0.33638888888888885</v>
      </c>
      <c r="M67">
        <f t="shared" si="14"/>
        <v>1.6072661111111111</v>
      </c>
      <c r="N67">
        <f t="shared" si="7"/>
        <v>8.8190939890895734</v>
      </c>
    </row>
    <row r="68" spans="6:14" x14ac:dyDescent="0.25">
      <c r="F68">
        <v>64</v>
      </c>
      <c r="G68">
        <f t="shared" ref="G68:G99" si="15">$B$4+(F68*$B$8)</f>
        <v>11.96</v>
      </c>
      <c r="H68">
        <f t="shared" ref="H68:H99" si="16">(I68*J68)/(G68*eta)</f>
        <v>8.0054080979150353</v>
      </c>
      <c r="I68">
        <f t="shared" ref="I68:I104" si="17">VOUT</f>
        <v>18</v>
      </c>
      <c r="J68">
        <f t="shared" ref="J68:J104" si="18">IOUT_np</f>
        <v>5</v>
      </c>
      <c r="K68">
        <f t="shared" ref="K68:K104" si="19">IF((G68*(1-(G68/I68)))/(2*Lm*fsw)&gt;H68,1,2)</f>
        <v>2</v>
      </c>
      <c r="L68">
        <f t="shared" ref="L68:L99" si="20">CHOOSE(K68,SQRT((2*Lm*fsw(I68-G68)*((I68*J68)/G68))/(I68*G68)),(1-(G68/I68)))</f>
        <v>0.3355555555555555</v>
      </c>
      <c r="M68">
        <f t="shared" ref="M68:M99" si="21">G68*L68/(Lm*fsw)</f>
        <v>1.6052977777777777</v>
      </c>
      <c r="N68">
        <f t="shared" si="7"/>
        <v>8.8080569868039245</v>
      </c>
    </row>
    <row r="69" spans="6:14" x14ac:dyDescent="0.25">
      <c r="F69">
        <v>65</v>
      </c>
      <c r="G69">
        <f t="shared" si="15"/>
        <v>11.975</v>
      </c>
      <c r="H69">
        <f t="shared" si="16"/>
        <v>7.9953804468529297</v>
      </c>
      <c r="I69">
        <f t="shared" si="17"/>
        <v>18</v>
      </c>
      <c r="J69">
        <f t="shared" si="18"/>
        <v>5</v>
      </c>
      <c r="K69">
        <f t="shared" si="19"/>
        <v>2</v>
      </c>
      <c r="L69">
        <f t="shared" si="20"/>
        <v>0.33472222222222225</v>
      </c>
      <c r="M69">
        <f t="shared" si="21"/>
        <v>1.6033194444444443</v>
      </c>
      <c r="N69">
        <f t="shared" ref="N69:N104" si="22">H69+(M69/2)</f>
        <v>8.7970401690751512</v>
      </c>
    </row>
    <row r="70" spans="6:14" x14ac:dyDescent="0.25">
      <c r="F70">
        <v>66</v>
      </c>
      <c r="G70">
        <f t="shared" si="15"/>
        <v>11.99</v>
      </c>
      <c r="H70">
        <f t="shared" si="16"/>
        <v>7.9853778858268418</v>
      </c>
      <c r="I70">
        <f t="shared" si="17"/>
        <v>18</v>
      </c>
      <c r="J70">
        <f t="shared" si="18"/>
        <v>5</v>
      </c>
      <c r="K70">
        <f t="shared" si="19"/>
        <v>2</v>
      </c>
      <c r="L70">
        <f t="shared" si="20"/>
        <v>0.3338888888888889</v>
      </c>
      <c r="M70">
        <f t="shared" si="21"/>
        <v>1.601331111111111</v>
      </c>
      <c r="N70">
        <f t="shared" si="22"/>
        <v>8.7860434413823967</v>
      </c>
    </row>
    <row r="71" spans="6:14" x14ac:dyDescent="0.25">
      <c r="F71">
        <v>67</v>
      </c>
      <c r="G71">
        <f t="shared" si="15"/>
        <v>12.004999999999999</v>
      </c>
      <c r="H71">
        <f t="shared" si="16"/>
        <v>7.9754003207883244</v>
      </c>
      <c r="I71">
        <f t="shared" si="17"/>
        <v>18</v>
      </c>
      <c r="J71">
        <f t="shared" si="18"/>
        <v>5</v>
      </c>
      <c r="K71">
        <f t="shared" si="19"/>
        <v>2</v>
      </c>
      <c r="L71">
        <f t="shared" si="20"/>
        <v>0.33305555555555566</v>
      </c>
      <c r="M71">
        <f t="shared" si="21"/>
        <v>1.5993327777777782</v>
      </c>
      <c r="N71">
        <f t="shared" si="22"/>
        <v>8.7750667096772137</v>
      </c>
    </row>
    <row r="72" spans="6:14" x14ac:dyDescent="0.25">
      <c r="F72">
        <v>68</v>
      </c>
      <c r="G72">
        <f t="shared" si="15"/>
        <v>12.02</v>
      </c>
      <c r="H72">
        <f t="shared" si="16"/>
        <v>7.9654476581583902</v>
      </c>
      <c r="I72">
        <f t="shared" si="17"/>
        <v>18</v>
      </c>
      <c r="J72">
        <f t="shared" si="18"/>
        <v>5</v>
      </c>
      <c r="K72">
        <f t="shared" si="19"/>
        <v>2</v>
      </c>
      <c r="L72">
        <f t="shared" si="20"/>
        <v>0.3322222222222222</v>
      </c>
      <c r="M72">
        <f t="shared" si="21"/>
        <v>1.5973244444444443</v>
      </c>
      <c r="N72">
        <f t="shared" si="22"/>
        <v>8.7641098803806123</v>
      </c>
    </row>
    <row r="73" spans="6:14" x14ac:dyDescent="0.25">
      <c r="F73">
        <v>69</v>
      </c>
      <c r="G73">
        <f t="shared" si="15"/>
        <v>12.035</v>
      </c>
      <c r="H73">
        <f t="shared" si="16"/>
        <v>7.9555198048245819</v>
      </c>
      <c r="I73">
        <f t="shared" si="17"/>
        <v>18</v>
      </c>
      <c r="J73">
        <f t="shared" si="18"/>
        <v>5</v>
      </c>
      <c r="K73">
        <f t="shared" si="19"/>
        <v>2</v>
      </c>
      <c r="L73">
        <f t="shared" si="20"/>
        <v>0.33138888888888884</v>
      </c>
      <c r="M73">
        <f t="shared" si="21"/>
        <v>1.5953061111111109</v>
      </c>
      <c r="N73">
        <f t="shared" si="22"/>
        <v>8.753172860380138</v>
      </c>
    </row>
    <row r="74" spans="6:14" x14ac:dyDescent="0.25">
      <c r="F74">
        <v>70</v>
      </c>
      <c r="G74">
        <f t="shared" si="15"/>
        <v>12.05</v>
      </c>
      <c r="H74">
        <f t="shared" si="16"/>
        <v>7.9456166681380775</v>
      </c>
      <c r="I74">
        <f t="shared" si="17"/>
        <v>18</v>
      </c>
      <c r="J74">
        <f t="shared" si="18"/>
        <v>5</v>
      </c>
      <c r="K74">
        <f t="shared" si="19"/>
        <v>2</v>
      </c>
      <c r="L74">
        <f t="shared" si="20"/>
        <v>0.33055555555555549</v>
      </c>
      <c r="M74">
        <f t="shared" si="21"/>
        <v>1.5932777777777776</v>
      </c>
      <c r="N74">
        <f t="shared" si="22"/>
        <v>8.7422555570269669</v>
      </c>
    </row>
    <row r="75" spans="6:14" x14ac:dyDescent="0.25">
      <c r="F75">
        <v>71</v>
      </c>
      <c r="G75">
        <f t="shared" si="15"/>
        <v>12.065</v>
      </c>
      <c r="H75">
        <f t="shared" si="16"/>
        <v>7.9357381559108031</v>
      </c>
      <c r="I75">
        <f t="shared" si="17"/>
        <v>18</v>
      </c>
      <c r="J75">
        <f t="shared" si="18"/>
        <v>5</v>
      </c>
      <c r="K75">
        <f t="shared" si="19"/>
        <v>2</v>
      </c>
      <c r="L75">
        <f t="shared" si="20"/>
        <v>0.32972222222222225</v>
      </c>
      <c r="M75">
        <f t="shared" si="21"/>
        <v>1.5912394444444444</v>
      </c>
      <c r="N75">
        <f t="shared" si="22"/>
        <v>8.731357878133025</v>
      </c>
    </row>
    <row r="76" spans="6:14" x14ac:dyDescent="0.25">
      <c r="F76">
        <v>72</v>
      </c>
      <c r="G76">
        <f t="shared" si="15"/>
        <v>12.08</v>
      </c>
      <c r="H76">
        <f t="shared" si="16"/>
        <v>7.9258841764125689</v>
      </c>
      <c r="I76">
        <f t="shared" si="17"/>
        <v>18</v>
      </c>
      <c r="J76">
        <f t="shared" si="18"/>
        <v>5</v>
      </c>
      <c r="K76">
        <f t="shared" si="19"/>
        <v>2</v>
      </c>
      <c r="L76">
        <f t="shared" si="20"/>
        <v>0.3288888888888889</v>
      </c>
      <c r="M76">
        <f t="shared" si="21"/>
        <v>1.5891911111111112</v>
      </c>
      <c r="N76">
        <f t="shared" si="22"/>
        <v>8.7204797319681244</v>
      </c>
    </row>
    <row r="77" spans="6:14" x14ac:dyDescent="0.25">
      <c r="F77">
        <v>73</v>
      </c>
      <c r="G77">
        <f t="shared" si="15"/>
        <v>12.095000000000001</v>
      </c>
      <c r="H77">
        <f t="shared" si="16"/>
        <v>7.9160546383682382</v>
      </c>
      <c r="I77">
        <f t="shared" si="17"/>
        <v>18</v>
      </c>
      <c r="J77">
        <f t="shared" si="18"/>
        <v>5</v>
      </c>
      <c r="K77">
        <f t="shared" si="19"/>
        <v>2</v>
      </c>
      <c r="L77">
        <f t="shared" si="20"/>
        <v>0.32805555555555554</v>
      </c>
      <c r="M77">
        <f t="shared" si="21"/>
        <v>1.5871327777777777</v>
      </c>
      <c r="N77">
        <f t="shared" si="22"/>
        <v>8.7096210272571266</v>
      </c>
    </row>
    <row r="78" spans="6:14" x14ac:dyDescent="0.25">
      <c r="F78">
        <v>74</v>
      </c>
      <c r="G78">
        <f t="shared" si="15"/>
        <v>12.11</v>
      </c>
      <c r="H78">
        <f t="shared" si="16"/>
        <v>7.9062494509549008</v>
      </c>
      <c r="I78">
        <f t="shared" si="17"/>
        <v>18</v>
      </c>
      <c r="J78">
        <f t="shared" si="18"/>
        <v>5</v>
      </c>
      <c r="K78">
        <f t="shared" si="19"/>
        <v>2</v>
      </c>
      <c r="L78">
        <f t="shared" si="20"/>
        <v>0.3272222222222223</v>
      </c>
      <c r="M78">
        <f t="shared" si="21"/>
        <v>1.5850644444444448</v>
      </c>
      <c r="N78">
        <f t="shared" si="22"/>
        <v>8.6987816731771233</v>
      </c>
    </row>
    <row r="79" spans="6:14" x14ac:dyDescent="0.25">
      <c r="F79">
        <v>75</v>
      </c>
      <c r="G79">
        <f t="shared" si="15"/>
        <v>12.125</v>
      </c>
      <c r="H79">
        <f t="shared" si="16"/>
        <v>7.8964685237990793</v>
      </c>
      <c r="I79">
        <f t="shared" si="17"/>
        <v>18</v>
      </c>
      <c r="J79">
        <f t="shared" si="18"/>
        <v>5</v>
      </c>
      <c r="K79">
        <f t="shared" si="19"/>
        <v>2</v>
      </c>
      <c r="L79">
        <f t="shared" si="20"/>
        <v>0.32638888888888884</v>
      </c>
      <c r="M79">
        <f t="shared" si="21"/>
        <v>1.582986111111111</v>
      </c>
      <c r="N79">
        <f t="shared" si="22"/>
        <v>8.687961579354635</v>
      </c>
    </row>
    <row r="80" spans="6:14" x14ac:dyDescent="0.25">
      <c r="F80">
        <v>76</v>
      </c>
      <c r="G80">
        <f t="shared" si="15"/>
        <v>12.14</v>
      </c>
      <c r="H80">
        <f t="shared" si="16"/>
        <v>7.8867117669739564</v>
      </c>
      <c r="I80">
        <f t="shared" si="17"/>
        <v>18</v>
      </c>
      <c r="J80">
        <f t="shared" si="18"/>
        <v>5</v>
      </c>
      <c r="K80">
        <f t="shared" si="19"/>
        <v>2</v>
      </c>
      <c r="L80">
        <f t="shared" si="20"/>
        <v>0.32555555555555549</v>
      </c>
      <c r="M80">
        <f t="shared" si="21"/>
        <v>1.5808977777777775</v>
      </c>
      <c r="N80">
        <f t="shared" si="22"/>
        <v>8.6771606558628456</v>
      </c>
    </row>
    <row r="81" spans="6:14" x14ac:dyDescent="0.25">
      <c r="F81">
        <v>77</v>
      </c>
      <c r="G81">
        <f t="shared" si="15"/>
        <v>12.154999999999999</v>
      </c>
      <c r="H81">
        <f t="shared" si="16"/>
        <v>7.8769790909966133</v>
      </c>
      <c r="I81">
        <f t="shared" si="17"/>
        <v>18</v>
      </c>
      <c r="J81">
        <f t="shared" si="18"/>
        <v>5</v>
      </c>
      <c r="K81">
        <f t="shared" si="19"/>
        <v>2</v>
      </c>
      <c r="L81">
        <f t="shared" si="20"/>
        <v>0.32472222222222225</v>
      </c>
      <c r="M81">
        <f t="shared" si="21"/>
        <v>1.5787994444444444</v>
      </c>
      <c r="N81">
        <f t="shared" si="22"/>
        <v>8.6663788132188362</v>
      </c>
    </row>
    <row r="82" spans="6:14" x14ac:dyDescent="0.25">
      <c r="F82">
        <v>78</v>
      </c>
      <c r="G82">
        <f t="shared" si="15"/>
        <v>12.17</v>
      </c>
      <c r="H82">
        <f t="shared" si="16"/>
        <v>7.8672704068252939</v>
      </c>
      <c r="I82">
        <f t="shared" si="17"/>
        <v>18</v>
      </c>
      <c r="J82">
        <f t="shared" si="18"/>
        <v>5</v>
      </c>
      <c r="K82">
        <f t="shared" si="19"/>
        <v>2</v>
      </c>
      <c r="L82">
        <f t="shared" si="20"/>
        <v>0.32388888888888889</v>
      </c>
      <c r="M82">
        <f t="shared" si="21"/>
        <v>1.5766911111111113</v>
      </c>
      <c r="N82">
        <f t="shared" si="22"/>
        <v>8.6556159623808497</v>
      </c>
    </row>
    <row r="83" spans="6:14" x14ac:dyDescent="0.25">
      <c r="F83">
        <v>79</v>
      </c>
      <c r="G83">
        <f t="shared" si="15"/>
        <v>12.185</v>
      </c>
      <c r="H83">
        <f t="shared" si="16"/>
        <v>7.8575856258566956</v>
      </c>
      <c r="I83">
        <f t="shared" si="17"/>
        <v>18</v>
      </c>
      <c r="J83">
        <f t="shared" si="18"/>
        <v>5</v>
      </c>
      <c r="K83">
        <f t="shared" si="19"/>
        <v>2</v>
      </c>
      <c r="L83">
        <f t="shared" si="20"/>
        <v>0.32305555555555554</v>
      </c>
      <c r="M83">
        <f t="shared" si="21"/>
        <v>1.5745727777777776</v>
      </c>
      <c r="N83">
        <f t="shared" si="22"/>
        <v>8.6448720147455838</v>
      </c>
    </row>
    <row r="84" spans="6:14" x14ac:dyDescent="0.25">
      <c r="F84">
        <v>80</v>
      </c>
      <c r="G84">
        <f t="shared" si="15"/>
        <v>12.2</v>
      </c>
      <c r="H84">
        <f t="shared" si="16"/>
        <v>7.8479246599232662</v>
      </c>
      <c r="I84">
        <f t="shared" si="17"/>
        <v>18</v>
      </c>
      <c r="J84">
        <f t="shared" si="18"/>
        <v>5</v>
      </c>
      <c r="K84">
        <f t="shared" si="19"/>
        <v>2</v>
      </c>
      <c r="L84">
        <f t="shared" si="20"/>
        <v>0.3222222222222223</v>
      </c>
      <c r="M84">
        <f t="shared" si="21"/>
        <v>1.5724444444444448</v>
      </c>
      <c r="N84">
        <f t="shared" si="22"/>
        <v>8.6341468821454885</v>
      </c>
    </row>
    <row r="85" spans="6:14" x14ac:dyDescent="0.25">
      <c r="F85">
        <v>81</v>
      </c>
      <c r="G85">
        <f t="shared" si="15"/>
        <v>12.215</v>
      </c>
      <c r="H85">
        <f t="shared" si="16"/>
        <v>7.8382874212905307</v>
      </c>
      <c r="I85">
        <f t="shared" si="17"/>
        <v>18</v>
      </c>
      <c r="J85">
        <f t="shared" si="18"/>
        <v>5</v>
      </c>
      <c r="K85">
        <f t="shared" si="19"/>
        <v>2</v>
      </c>
      <c r="L85">
        <f t="shared" si="20"/>
        <v>0.32138888888888895</v>
      </c>
      <c r="M85">
        <f t="shared" si="21"/>
        <v>1.5703061111111114</v>
      </c>
      <c r="N85">
        <f t="shared" si="22"/>
        <v>8.6234404768460866</v>
      </c>
    </row>
    <row r="86" spans="6:14" x14ac:dyDescent="0.25">
      <c r="F86">
        <v>82</v>
      </c>
      <c r="G86">
        <f t="shared" si="15"/>
        <v>12.23</v>
      </c>
      <c r="H86">
        <f t="shared" si="16"/>
        <v>7.8286738226544426</v>
      </c>
      <c r="I86">
        <f t="shared" si="17"/>
        <v>18</v>
      </c>
      <c r="J86">
        <f t="shared" si="18"/>
        <v>5</v>
      </c>
      <c r="K86">
        <f t="shared" si="19"/>
        <v>2</v>
      </c>
      <c r="L86">
        <f t="shared" si="20"/>
        <v>0.32055555555555548</v>
      </c>
      <c r="M86">
        <f t="shared" si="21"/>
        <v>1.5681577777777775</v>
      </c>
      <c r="N86">
        <f t="shared" si="22"/>
        <v>8.6127527115433313</v>
      </c>
    </row>
    <row r="87" spans="6:14" x14ac:dyDescent="0.25">
      <c r="F87">
        <v>83</v>
      </c>
      <c r="G87">
        <f t="shared" si="15"/>
        <v>12.244999999999999</v>
      </c>
      <c r="H87">
        <f t="shared" si="16"/>
        <v>7.8190837771387374</v>
      </c>
      <c r="I87">
        <f t="shared" si="17"/>
        <v>18</v>
      </c>
      <c r="J87">
        <f t="shared" si="18"/>
        <v>5</v>
      </c>
      <c r="K87">
        <f t="shared" si="19"/>
        <v>2</v>
      </c>
      <c r="L87">
        <f t="shared" si="20"/>
        <v>0.31972222222222224</v>
      </c>
      <c r="M87">
        <f t="shared" si="21"/>
        <v>1.5659994444444445</v>
      </c>
      <c r="N87">
        <f t="shared" si="22"/>
        <v>8.6020834993609601</v>
      </c>
    </row>
    <row r="88" spans="6:14" x14ac:dyDescent="0.25">
      <c r="F88">
        <v>84</v>
      </c>
      <c r="G88">
        <f t="shared" si="15"/>
        <v>12.26</v>
      </c>
      <c r="H88">
        <f t="shared" si="16"/>
        <v>7.8095171982923191</v>
      </c>
      <c r="I88">
        <f t="shared" si="17"/>
        <v>18</v>
      </c>
      <c r="J88">
        <f t="shared" si="18"/>
        <v>5</v>
      </c>
      <c r="K88">
        <f t="shared" si="19"/>
        <v>2</v>
      </c>
      <c r="L88">
        <f t="shared" si="20"/>
        <v>0.31888888888888889</v>
      </c>
      <c r="M88">
        <f t="shared" si="21"/>
        <v>1.5638311111111112</v>
      </c>
      <c r="N88">
        <f t="shared" si="22"/>
        <v>8.5914327538478741</v>
      </c>
    </row>
    <row r="89" spans="6:14" x14ac:dyDescent="0.25">
      <c r="F89">
        <v>85</v>
      </c>
      <c r="G89">
        <f t="shared" si="15"/>
        <v>12.275</v>
      </c>
      <c r="H89">
        <f t="shared" si="16"/>
        <v>7.7999740000866673</v>
      </c>
      <c r="I89">
        <f t="shared" si="17"/>
        <v>18</v>
      </c>
      <c r="J89">
        <f t="shared" si="18"/>
        <v>5</v>
      </c>
      <c r="K89">
        <f t="shared" si="19"/>
        <v>2</v>
      </c>
      <c r="L89">
        <f t="shared" si="20"/>
        <v>0.31805555555555554</v>
      </c>
      <c r="M89">
        <f t="shared" si="21"/>
        <v>1.5616527777777778</v>
      </c>
      <c r="N89">
        <f t="shared" si="22"/>
        <v>8.5808003889755557</v>
      </c>
    </row>
    <row r="90" spans="6:14" x14ac:dyDescent="0.25">
      <c r="F90">
        <v>86</v>
      </c>
      <c r="G90">
        <f t="shared" si="15"/>
        <v>12.29</v>
      </c>
      <c r="H90">
        <f t="shared" si="16"/>
        <v>7.7904540969132503</v>
      </c>
      <c r="I90">
        <f t="shared" si="17"/>
        <v>18</v>
      </c>
      <c r="J90">
        <f t="shared" si="18"/>
        <v>5</v>
      </c>
      <c r="K90">
        <f t="shared" si="19"/>
        <v>2</v>
      </c>
      <c r="L90">
        <f t="shared" si="20"/>
        <v>0.31722222222222229</v>
      </c>
      <c r="M90">
        <f t="shared" si="21"/>
        <v>1.5594644444444445</v>
      </c>
      <c r="N90">
        <f t="shared" si="22"/>
        <v>8.5701863191354732</v>
      </c>
    </row>
    <row r="91" spans="6:14" x14ac:dyDescent="0.25">
      <c r="F91">
        <v>87</v>
      </c>
      <c r="G91">
        <f t="shared" si="15"/>
        <v>12.305</v>
      </c>
      <c r="H91">
        <f t="shared" si="16"/>
        <v>7.7809574035809703</v>
      </c>
      <c r="I91">
        <f t="shared" si="17"/>
        <v>18</v>
      </c>
      <c r="J91">
        <f t="shared" si="18"/>
        <v>5</v>
      </c>
      <c r="K91">
        <f t="shared" si="19"/>
        <v>2</v>
      </c>
      <c r="L91">
        <f t="shared" si="20"/>
        <v>0.31638888888888894</v>
      </c>
      <c r="M91">
        <f t="shared" si="21"/>
        <v>1.5572661111111112</v>
      </c>
      <c r="N91">
        <f t="shared" si="22"/>
        <v>8.5595904591365262</v>
      </c>
    </row>
    <row r="92" spans="6:14" x14ac:dyDescent="0.25">
      <c r="F92">
        <v>88</v>
      </c>
      <c r="G92">
        <f t="shared" si="15"/>
        <v>12.32</v>
      </c>
      <c r="H92">
        <f t="shared" si="16"/>
        <v>7.7714838353136226</v>
      </c>
      <c r="I92">
        <f t="shared" si="17"/>
        <v>18</v>
      </c>
      <c r="J92">
        <f t="shared" si="18"/>
        <v>5</v>
      </c>
      <c r="K92">
        <f t="shared" si="19"/>
        <v>2</v>
      </c>
      <c r="L92">
        <f t="shared" si="20"/>
        <v>0.31555555555555559</v>
      </c>
      <c r="M92">
        <f t="shared" si="21"/>
        <v>1.5550577777777781</v>
      </c>
      <c r="N92">
        <f t="shared" si="22"/>
        <v>8.5490127242025125</v>
      </c>
    </row>
    <row r="93" spans="6:14" x14ac:dyDescent="0.25">
      <c r="F93">
        <v>89</v>
      </c>
      <c r="G93">
        <f t="shared" si="15"/>
        <v>12.335000000000001</v>
      </c>
      <c r="H93">
        <f t="shared" si="16"/>
        <v>7.7620333077473713</v>
      </c>
      <c r="I93">
        <f t="shared" si="17"/>
        <v>18</v>
      </c>
      <c r="J93">
        <f t="shared" si="18"/>
        <v>5</v>
      </c>
      <c r="K93">
        <f t="shared" si="19"/>
        <v>2</v>
      </c>
      <c r="L93">
        <f t="shared" si="20"/>
        <v>0.31472222222222213</v>
      </c>
      <c r="M93">
        <f t="shared" si="21"/>
        <v>1.552839444444444</v>
      </c>
      <c r="N93">
        <f t="shared" si="22"/>
        <v>8.5384530299695935</v>
      </c>
    </row>
    <row r="94" spans="6:14" x14ac:dyDescent="0.25">
      <c r="F94">
        <v>90</v>
      </c>
      <c r="G94">
        <f t="shared" si="15"/>
        <v>12.35</v>
      </c>
      <c r="H94">
        <f t="shared" si="16"/>
        <v>7.7526057369282464</v>
      </c>
      <c r="I94">
        <f t="shared" si="17"/>
        <v>18</v>
      </c>
      <c r="J94">
        <f t="shared" si="18"/>
        <v>5</v>
      </c>
      <c r="K94">
        <f t="shared" si="19"/>
        <v>2</v>
      </c>
      <c r="L94">
        <f t="shared" si="20"/>
        <v>0.31388888888888888</v>
      </c>
      <c r="M94">
        <f t="shared" si="21"/>
        <v>1.5506111111111109</v>
      </c>
      <c r="N94">
        <f t="shared" si="22"/>
        <v>8.5279112924838021</v>
      </c>
    </row>
    <row r="95" spans="6:14" x14ac:dyDescent="0.25">
      <c r="F95">
        <v>91</v>
      </c>
      <c r="G95">
        <f t="shared" si="15"/>
        <v>12.365</v>
      </c>
      <c r="H95">
        <f t="shared" si="16"/>
        <v>7.7432010393096515</v>
      </c>
      <c r="I95">
        <f t="shared" si="17"/>
        <v>18</v>
      </c>
      <c r="J95">
        <f t="shared" si="18"/>
        <v>5</v>
      </c>
      <c r="K95">
        <f t="shared" si="19"/>
        <v>2</v>
      </c>
      <c r="L95">
        <f t="shared" si="20"/>
        <v>0.31305555555555553</v>
      </c>
      <c r="M95">
        <f t="shared" si="21"/>
        <v>1.5483727777777776</v>
      </c>
      <c r="N95">
        <f t="shared" si="22"/>
        <v>8.5173874281985409</v>
      </c>
    </row>
    <row r="96" spans="6:14" x14ac:dyDescent="0.25">
      <c r="F96">
        <v>92</v>
      </c>
      <c r="G96">
        <f t="shared" si="15"/>
        <v>12.379999999999999</v>
      </c>
      <c r="H96">
        <f t="shared" si="16"/>
        <v>7.7338191317499065</v>
      </c>
      <c r="I96">
        <f t="shared" si="17"/>
        <v>18</v>
      </c>
      <c r="J96">
        <f t="shared" si="18"/>
        <v>5</v>
      </c>
      <c r="K96">
        <f t="shared" si="19"/>
        <v>2</v>
      </c>
      <c r="L96">
        <f t="shared" si="20"/>
        <v>0.31222222222222229</v>
      </c>
      <c r="M96">
        <f t="shared" si="21"/>
        <v>1.5461244444444446</v>
      </c>
      <c r="N96">
        <f t="shared" si="22"/>
        <v>8.5068813539721297</v>
      </c>
    </row>
    <row r="97" spans="6:14" x14ac:dyDescent="0.25">
      <c r="F97">
        <v>93</v>
      </c>
      <c r="G97">
        <f t="shared" si="15"/>
        <v>12.395</v>
      </c>
      <c r="H97">
        <f t="shared" si="16"/>
        <v>7.7244599315097888</v>
      </c>
      <c r="I97">
        <f t="shared" si="17"/>
        <v>18</v>
      </c>
      <c r="J97">
        <f t="shared" si="18"/>
        <v>5</v>
      </c>
      <c r="K97">
        <f t="shared" si="19"/>
        <v>2</v>
      </c>
      <c r="L97">
        <f t="shared" si="20"/>
        <v>0.31138888888888894</v>
      </c>
      <c r="M97">
        <f t="shared" si="21"/>
        <v>1.5438661111111114</v>
      </c>
      <c r="N97">
        <f t="shared" si="22"/>
        <v>8.4963929870653452</v>
      </c>
    </row>
    <row r="98" spans="6:14" x14ac:dyDescent="0.25">
      <c r="F98">
        <v>94</v>
      </c>
      <c r="G98">
        <f t="shared" si="15"/>
        <v>12.41</v>
      </c>
      <c r="H98">
        <f t="shared" si="16"/>
        <v>7.7151233562501069</v>
      </c>
      <c r="I98">
        <f t="shared" si="17"/>
        <v>18</v>
      </c>
      <c r="J98">
        <f t="shared" si="18"/>
        <v>5</v>
      </c>
      <c r="K98">
        <f t="shared" si="19"/>
        <v>2</v>
      </c>
      <c r="L98">
        <f t="shared" si="20"/>
        <v>0.31055555555555558</v>
      </c>
      <c r="M98">
        <f t="shared" si="21"/>
        <v>1.5415977777777781</v>
      </c>
      <c r="N98">
        <f t="shared" si="22"/>
        <v>8.4859222451389957</v>
      </c>
    </row>
    <row r="99" spans="6:14" x14ac:dyDescent="0.25">
      <c r="F99">
        <v>95</v>
      </c>
      <c r="G99">
        <f t="shared" si="15"/>
        <v>12.425000000000001</v>
      </c>
      <c r="H99">
        <f t="shared" si="16"/>
        <v>7.7058093240292811</v>
      </c>
      <c r="I99">
        <f t="shared" si="17"/>
        <v>18</v>
      </c>
      <c r="J99">
        <f t="shared" si="18"/>
        <v>5</v>
      </c>
      <c r="K99">
        <f t="shared" si="19"/>
        <v>2</v>
      </c>
      <c r="L99">
        <f t="shared" si="20"/>
        <v>0.30972222222222223</v>
      </c>
      <c r="M99">
        <f t="shared" si="21"/>
        <v>1.5393194444444445</v>
      </c>
      <c r="N99">
        <f t="shared" si="22"/>
        <v>8.4754690462515025</v>
      </c>
    </row>
    <row r="100" spans="6:14" x14ac:dyDescent="0.25">
      <c r="F100">
        <v>96</v>
      </c>
      <c r="G100">
        <f t="shared" ref="G100:G104" si="23">$B$4+(F100*$B$8)</f>
        <v>12.44</v>
      </c>
      <c r="H100">
        <f t="shared" ref="H100:H104" si="24">(I100*J100)/(G100*eta)</f>
        <v>7.6965177533009523</v>
      </c>
      <c r="I100">
        <f t="shared" si="17"/>
        <v>18</v>
      </c>
      <c r="J100">
        <f t="shared" si="18"/>
        <v>5</v>
      </c>
      <c r="K100">
        <f t="shared" si="19"/>
        <v>2</v>
      </c>
      <c r="L100">
        <f t="shared" ref="L100:L104" si="25">CHOOSE(K100,SQRT((2*Lm*fsw(I100-G100)*((I100*J100)/G100))/(I100*G100)),(1-(G100/I100)))</f>
        <v>0.30888888888888888</v>
      </c>
      <c r="M100">
        <f t="shared" ref="M100:M104" si="26">G100*L100/(Lm*fsw)</f>
        <v>1.537031111111111</v>
      </c>
      <c r="N100">
        <f t="shared" si="22"/>
        <v>8.4650333088565084</v>
      </c>
    </row>
    <row r="101" spans="6:14" x14ac:dyDescent="0.25">
      <c r="F101">
        <v>97</v>
      </c>
      <c r="G101">
        <f t="shared" si="23"/>
        <v>12.455</v>
      </c>
      <c r="H101">
        <f t="shared" si="24"/>
        <v>7.6872485629115888</v>
      </c>
      <c r="I101">
        <f t="shared" si="17"/>
        <v>18</v>
      </c>
      <c r="J101">
        <f t="shared" si="18"/>
        <v>5</v>
      </c>
      <c r="K101">
        <f t="shared" si="19"/>
        <v>2</v>
      </c>
      <c r="L101">
        <f t="shared" si="25"/>
        <v>0.30805555555555553</v>
      </c>
      <c r="M101">
        <f t="shared" si="26"/>
        <v>1.5347327777777777</v>
      </c>
      <c r="N101">
        <f t="shared" si="22"/>
        <v>8.4546149518004778</v>
      </c>
    </row>
    <row r="102" spans="6:14" x14ac:dyDescent="0.25">
      <c r="F102">
        <v>98</v>
      </c>
      <c r="G102">
        <f t="shared" si="23"/>
        <v>12.47</v>
      </c>
      <c r="H102">
        <f t="shared" si="24"/>
        <v>7.6780016720981417</v>
      </c>
      <c r="I102">
        <f t="shared" si="17"/>
        <v>18</v>
      </c>
      <c r="J102">
        <f t="shared" si="18"/>
        <v>5</v>
      </c>
      <c r="K102">
        <f t="shared" si="19"/>
        <v>2</v>
      </c>
      <c r="L102">
        <f t="shared" si="25"/>
        <v>0.30722222222222217</v>
      </c>
      <c r="M102">
        <f t="shared" si="26"/>
        <v>1.5324244444444441</v>
      </c>
      <c r="N102">
        <f t="shared" si="22"/>
        <v>8.4442138943203631</v>
      </c>
    </row>
    <row r="103" spans="6:14" x14ac:dyDescent="0.25">
      <c r="F103">
        <v>99</v>
      </c>
      <c r="G103">
        <f t="shared" si="23"/>
        <v>12.484999999999999</v>
      </c>
      <c r="H103">
        <f t="shared" si="24"/>
        <v>7.6687770004856901</v>
      </c>
      <c r="I103">
        <f t="shared" si="17"/>
        <v>18</v>
      </c>
      <c r="J103">
        <f t="shared" si="18"/>
        <v>5</v>
      </c>
      <c r="K103">
        <f t="shared" si="19"/>
        <v>2</v>
      </c>
      <c r="L103">
        <f t="shared" si="25"/>
        <v>0.30638888888888893</v>
      </c>
      <c r="M103">
        <f t="shared" si="26"/>
        <v>1.5301061111111112</v>
      </c>
      <c r="N103">
        <f t="shared" si="22"/>
        <v>8.4338300560412449</v>
      </c>
    </row>
    <row r="104" spans="6:14" x14ac:dyDescent="0.25">
      <c r="F104">
        <v>100</v>
      </c>
      <c r="G104">
        <f t="shared" si="23"/>
        <v>12.5</v>
      </c>
      <c r="H104">
        <f t="shared" si="24"/>
        <v>7.6595744680851068</v>
      </c>
      <c r="I104">
        <f t="shared" si="17"/>
        <v>18</v>
      </c>
      <c r="J104">
        <f t="shared" si="18"/>
        <v>5</v>
      </c>
      <c r="K104">
        <f t="shared" si="19"/>
        <v>2</v>
      </c>
      <c r="L104">
        <f t="shared" si="25"/>
        <v>0.30555555555555558</v>
      </c>
      <c r="M104">
        <f t="shared" si="26"/>
        <v>1.5277777777777779</v>
      </c>
      <c r="N104">
        <f t="shared" si="22"/>
        <v>8.4234633569739952</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9</vt:i4>
      </vt:variant>
      <vt:variant>
        <vt:lpstr>Plages nommées</vt:lpstr>
      </vt:variant>
      <vt:variant>
        <vt:i4>124</vt:i4>
      </vt:variant>
    </vt:vector>
  </HeadingPairs>
  <TitlesOfParts>
    <vt:vector size="133" baseType="lpstr">
      <vt:lpstr>LM5122_Quickstart</vt:lpstr>
      <vt:lpstr>Licenses</vt:lpstr>
      <vt:lpstr>Eff_vs_IOUT</vt:lpstr>
      <vt:lpstr>Eff_vs_VIN</vt:lpstr>
      <vt:lpstr>Plot Management</vt:lpstr>
      <vt:lpstr>Calculations</vt:lpstr>
      <vt:lpstr>EC_Table</vt:lpstr>
      <vt:lpstr>Control_Loop_Tables</vt:lpstr>
      <vt:lpstr>Tables_VS_VIN</vt:lpstr>
      <vt:lpstr>ACS</vt:lpstr>
      <vt:lpstr>adc</vt:lpstr>
      <vt:lpstr>adc_ea</vt:lpstr>
      <vt:lpstr>ADC_VINmin</vt:lpstr>
      <vt:lpstr>arCss</vt:lpstr>
      <vt:lpstr>aRUV_lower</vt:lpstr>
      <vt:lpstr>aRUV_upper</vt:lpstr>
      <vt:lpstr>aRUV_upper_SEL</vt:lpstr>
      <vt:lpstr>aTSSmax</vt:lpstr>
      <vt:lpstr>Ccomp</vt:lpstr>
      <vt:lpstr>Ccomp_S</vt:lpstr>
      <vt:lpstr>CHF</vt:lpstr>
      <vt:lpstr>CHF_S</vt:lpstr>
      <vt:lpstr>COUT</vt:lpstr>
      <vt:lpstr>DC_VIN_var_DCM</vt:lpstr>
      <vt:lpstr>EFF_est</vt:lpstr>
      <vt:lpstr>EFF_IOUT</vt:lpstr>
      <vt:lpstr>EFF_VIN</vt:lpstr>
      <vt:lpstr>eta</vt:lpstr>
      <vt:lpstr>Fco_calc</vt:lpstr>
      <vt:lpstr>Fcross</vt:lpstr>
      <vt:lpstr>fp_lf_VINmin</vt:lpstr>
      <vt:lpstr>fsw</vt:lpstr>
      <vt:lpstr>fz_esr_VINmin</vt:lpstr>
      <vt:lpstr>fz_rhp_VINmin</vt:lpstr>
      <vt:lpstr>Gcomp</vt:lpstr>
      <vt:lpstr>gfs</vt:lpstr>
      <vt:lpstr>Graph_Text</vt:lpstr>
      <vt:lpstr>IHYS</vt:lpstr>
      <vt:lpstr>IHYSmin</vt:lpstr>
      <vt:lpstr>IOUT</vt:lpstr>
      <vt:lpstr>IOUT_np</vt:lpstr>
      <vt:lpstr>IOUT_vari</vt:lpstr>
      <vt:lpstr>IQ</vt:lpstr>
      <vt:lpstr>Isl</vt:lpstr>
      <vt:lpstr>ISS</vt:lpstr>
      <vt:lpstr>k_slope_selected</vt:lpstr>
      <vt:lpstr>Kd</vt:lpstr>
      <vt:lpstr>Kd_VINmin</vt:lpstr>
      <vt:lpstr>kex</vt:lpstr>
      <vt:lpstr>Kex_VINmin</vt:lpstr>
      <vt:lpstr>km</vt:lpstr>
      <vt:lpstr>Km_VINmin</vt:lpstr>
      <vt:lpstr>Lm</vt:lpstr>
      <vt:lpstr>LO</vt:lpstr>
      <vt:lpstr>M_LIMIT</vt:lpstr>
      <vt:lpstr>np</vt:lpstr>
      <vt:lpstr>pTSSmin</vt:lpstr>
      <vt:lpstr>Q</vt:lpstr>
      <vt:lpstr>Q_VINmin</vt:lpstr>
      <vt:lpstr>Qg_tot</vt:lpstr>
      <vt:lpstr>Qg_tot_HS</vt:lpstr>
      <vt:lpstr>Qgd</vt:lpstr>
      <vt:lpstr>Qgs</vt:lpstr>
      <vt:lpstr>Qrr</vt:lpstr>
      <vt:lpstr>R_RT</vt:lpstr>
      <vt:lpstr>R_sl</vt:lpstr>
      <vt:lpstr>Rcomp</vt:lpstr>
      <vt:lpstr>Rcomp_S</vt:lpstr>
      <vt:lpstr>Rcs</vt:lpstr>
      <vt:lpstr>rCss</vt:lpstr>
      <vt:lpstr>Rdcr</vt:lpstr>
      <vt:lpstr>RDS_on</vt:lpstr>
      <vt:lpstr>RDS_on_HS</vt:lpstr>
      <vt:lpstr>RESR</vt:lpstr>
      <vt:lpstr>RFB_BOT</vt:lpstr>
      <vt:lpstr>RFB_BOT_S</vt:lpstr>
      <vt:lpstr>RFB_TOP</vt:lpstr>
      <vt:lpstr>RFBB</vt:lpstr>
      <vt:lpstr>RFBT</vt:lpstr>
      <vt:lpstr>Rgate</vt:lpstr>
      <vt:lpstr>RHP_freq</vt:lpstr>
      <vt:lpstr>RR</vt:lpstr>
      <vt:lpstr>Rsl_int</vt:lpstr>
      <vt:lpstr>Rslope</vt:lpstr>
      <vt:lpstr>RUV_lower</vt:lpstr>
      <vt:lpstr>RUV_upper</vt:lpstr>
      <vt:lpstr>RUV_upper_SEL</vt:lpstr>
      <vt:lpstr>Se</vt:lpstr>
      <vt:lpstr>Se_VINmin</vt:lpstr>
      <vt:lpstr>Sn</vt:lpstr>
      <vt:lpstr>Sn_VINmin</vt:lpstr>
      <vt:lpstr>t_dead</vt:lpstr>
      <vt:lpstr>tf_sw</vt:lpstr>
      <vt:lpstr>tr_sw</vt:lpstr>
      <vt:lpstr>TSSmax</vt:lpstr>
      <vt:lpstr>TSSmin</vt:lpstr>
      <vt:lpstr>UVLO_OFF</vt:lpstr>
      <vt:lpstr>UVLO_ON</vt:lpstr>
      <vt:lpstr>UVth</vt:lpstr>
      <vt:lpstr>Uvthmin</vt:lpstr>
      <vt:lpstr>VCC</vt:lpstr>
      <vt:lpstr>VCL</vt:lpstr>
      <vt:lpstr>Vd_rect</vt:lpstr>
      <vt:lpstr>VHYS</vt:lpstr>
      <vt:lpstr>VIN_MAX</vt:lpstr>
      <vt:lpstr>VIN_MIN</vt:lpstr>
      <vt:lpstr>VIN_TYP</vt:lpstr>
      <vt:lpstr>Vin_vari</vt:lpstr>
      <vt:lpstr>VINSHUTDOWN</vt:lpstr>
      <vt:lpstr>VINSTARTUP</vt:lpstr>
      <vt:lpstr>VOUT</vt:lpstr>
      <vt:lpstr>VOUT_VAR</vt:lpstr>
      <vt:lpstr>VREF</vt:lpstr>
      <vt:lpstr>Vsl</vt:lpstr>
      <vt:lpstr>Vslo</vt:lpstr>
      <vt:lpstr>vth</vt:lpstr>
      <vt:lpstr>w_p_low</vt:lpstr>
      <vt:lpstr>w_RHP</vt:lpstr>
      <vt:lpstr>w_Z_ESR</vt:lpstr>
      <vt:lpstr>wp_lf</vt:lpstr>
      <vt:lpstr>wp_lf_DCM</vt:lpstr>
      <vt:lpstr>wp_lf_VINmin</vt:lpstr>
      <vt:lpstr>wp0_ea</vt:lpstr>
      <vt:lpstr>wp1_ea</vt:lpstr>
      <vt:lpstr>wsl</vt:lpstr>
      <vt:lpstr>wsl_VINmin</vt:lpstr>
      <vt:lpstr>wz_ea</vt:lpstr>
      <vt:lpstr>wz_esr</vt:lpstr>
      <vt:lpstr>wz_esr_VINmin</vt:lpstr>
      <vt:lpstr>wz_rhp</vt:lpstr>
      <vt:lpstr>wz_RHP_VINmin</vt:lpstr>
      <vt:lpstr>wz1_dcm</vt:lpstr>
      <vt:lpstr>wz2_dcm</vt:lpstr>
    </vt:vector>
  </TitlesOfParts>
  <Company>Texas Instruments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PPD-NPS</dc:creator>
  <cp:lastModifiedBy>Apolline Parrot</cp:lastModifiedBy>
  <dcterms:created xsi:type="dcterms:W3CDTF">2017-07-24T22:43:07Z</dcterms:created>
  <dcterms:modified xsi:type="dcterms:W3CDTF">2025-05-09T09:47:35Z</dcterms:modified>
</cp:coreProperties>
</file>