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hesis &amp; project\"/>
    </mc:Choice>
  </mc:AlternateContent>
  <bookViews>
    <workbookView xWindow="480" yWindow="105" windowWidth="14295" windowHeight="4635" activeTab="2"/>
  </bookViews>
  <sheets>
    <sheet name="DATA" sheetId="1" r:id="rId1"/>
    <sheet name="jessore MLR" sheetId="26" r:id="rId2"/>
    <sheet name="Jessore KNN" sheetId="27" r:id="rId3"/>
    <sheet name="data final" sheetId="10" r:id="rId4"/>
    <sheet name="Dhaka MLR" sheetId="18" r:id="rId5"/>
    <sheet name="Dhaka KNN" sheetId="19" r:id="rId6"/>
    <sheet name="Dinajpur MLR" sheetId="24" r:id="rId7"/>
    <sheet name="Sylhet MLR" sheetId="16" r:id="rId8"/>
    <sheet name="sylhet KNN" sheetId="17" r:id="rId9"/>
    <sheet name="COMILLA MLR" sheetId="13" r:id="rId10"/>
    <sheet name="Faridpur KNN" sheetId="21" r:id="rId11"/>
    <sheet name="Dinajpur KNNR" sheetId="25" r:id="rId12"/>
    <sheet name="Faridpur MLR" sheetId="20" r:id="rId13"/>
    <sheet name="comilla KNN" sheetId="15" r:id="rId14"/>
    <sheet name=" Mymensingh MLR" sheetId="22" r:id="rId15"/>
    <sheet name="DATA2" sheetId="9" r:id="rId16"/>
    <sheet name="COMILLA" sheetId="2" r:id="rId17"/>
    <sheet name="Mymensingh KNN" sheetId="23" r:id="rId18"/>
    <sheet name="SYLHET" sheetId="3" r:id="rId19"/>
    <sheet name="DHAKA" sheetId="4" r:id="rId20"/>
    <sheet name="FARIDPUR" sheetId="5" r:id="rId21"/>
    <sheet name="Mymensingh" sheetId="6" r:id="rId22"/>
    <sheet name="dinajpur" sheetId="8" r:id="rId23"/>
  </sheets>
  <calcPr calcId="152511"/>
</workbook>
</file>

<file path=xl/calcChain.xml><?xml version="1.0" encoding="utf-8"?>
<calcChain xmlns="http://schemas.openxmlformats.org/spreadsheetml/2006/main">
  <c r="P74" i="27" l="1"/>
  <c r="P75" i="27"/>
  <c r="P76" i="27"/>
  <c r="P77" i="27"/>
  <c r="P78" i="27"/>
  <c r="P79" i="27"/>
  <c r="P80" i="27"/>
  <c r="P81" i="27"/>
  <c r="P82" i="27"/>
  <c r="P73" i="27"/>
  <c r="N74" i="27"/>
  <c r="N75" i="27"/>
  <c r="N76" i="27"/>
  <c r="N77" i="27"/>
  <c r="N78" i="27"/>
  <c r="N79" i="27"/>
  <c r="N80" i="27"/>
  <c r="N81" i="27"/>
  <c r="N82" i="27"/>
  <c r="N73" i="27"/>
  <c r="O74" i="27"/>
  <c r="O75" i="27"/>
  <c r="O76" i="27"/>
  <c r="O77" i="27"/>
  <c r="O78" i="27"/>
  <c r="O79" i="27"/>
  <c r="O80" i="27"/>
  <c r="O81" i="27"/>
  <c r="O82" i="27"/>
  <c r="O73" i="27"/>
  <c r="P60" i="27"/>
  <c r="P61" i="27"/>
  <c r="P62" i="27"/>
  <c r="P63" i="27"/>
  <c r="P64" i="27"/>
  <c r="P65" i="27"/>
  <c r="P66" i="27"/>
  <c r="P67" i="27"/>
  <c r="P68" i="27"/>
  <c r="P59" i="27"/>
  <c r="N60" i="27"/>
  <c r="N61" i="27"/>
  <c r="N62" i="27"/>
  <c r="N63" i="27"/>
  <c r="N64" i="27"/>
  <c r="N65" i="27"/>
  <c r="N66" i="27"/>
  <c r="N67" i="27"/>
  <c r="N68" i="27"/>
  <c r="N59" i="27"/>
  <c r="O60" i="27"/>
  <c r="O61" i="27"/>
  <c r="O62" i="27"/>
  <c r="O63" i="27"/>
  <c r="O64" i="27"/>
  <c r="O65" i="27"/>
  <c r="O66" i="27"/>
  <c r="O67" i="27"/>
  <c r="O68" i="27"/>
  <c r="O59" i="27"/>
  <c r="P46" i="27"/>
  <c r="P47" i="27"/>
  <c r="P48" i="27"/>
  <c r="P49" i="27"/>
  <c r="P50" i="27"/>
  <c r="P51" i="27"/>
  <c r="P52" i="27"/>
  <c r="P53" i="27"/>
  <c r="P54" i="27"/>
  <c r="P45" i="27"/>
  <c r="N46" i="27"/>
  <c r="N47" i="27"/>
  <c r="N48" i="27"/>
  <c r="N49" i="27"/>
  <c r="N50" i="27"/>
  <c r="N51" i="27"/>
  <c r="N52" i="27"/>
  <c r="N53" i="27"/>
  <c r="N54" i="27"/>
  <c r="N45" i="27"/>
  <c r="O46" i="27"/>
  <c r="O47" i="27"/>
  <c r="O48" i="27"/>
  <c r="O49" i="27"/>
  <c r="O50" i="27"/>
  <c r="O51" i="27"/>
  <c r="O52" i="27"/>
  <c r="O53" i="27"/>
  <c r="O54" i="27"/>
  <c r="O45" i="27"/>
  <c r="P32" i="27"/>
  <c r="P33" i="27"/>
  <c r="P34" i="27"/>
  <c r="P35" i="27"/>
  <c r="P36" i="27"/>
  <c r="P37" i="27"/>
  <c r="P38" i="27"/>
  <c r="P39" i="27"/>
  <c r="P40" i="27"/>
  <c r="P31" i="27"/>
  <c r="N32" i="27"/>
  <c r="N33" i="27"/>
  <c r="N34" i="27"/>
  <c r="N35" i="27"/>
  <c r="N36" i="27"/>
  <c r="N37" i="27"/>
  <c r="N38" i="27"/>
  <c r="N39" i="27"/>
  <c r="N40" i="27"/>
  <c r="N31" i="27"/>
  <c r="O32" i="27"/>
  <c r="O33" i="27"/>
  <c r="O34" i="27"/>
  <c r="O35" i="27"/>
  <c r="O36" i="27"/>
  <c r="O37" i="27"/>
  <c r="O38" i="27"/>
  <c r="O39" i="27"/>
  <c r="O40" i="27"/>
  <c r="O31" i="27"/>
  <c r="O18" i="27"/>
  <c r="O19" i="27"/>
  <c r="N18" i="27" s="1"/>
  <c r="O20" i="27"/>
  <c r="N19" i="27" s="1"/>
  <c r="O21" i="27"/>
  <c r="N20" i="27" s="1"/>
  <c r="O22" i="27"/>
  <c r="O23" i="27"/>
  <c r="O24" i="27"/>
  <c r="O25" i="27"/>
  <c r="O26" i="27"/>
  <c r="O17" i="27"/>
  <c r="P18" i="27"/>
  <c r="P19" i="27"/>
  <c r="P20" i="27"/>
  <c r="P21" i="27"/>
  <c r="P22" i="27"/>
  <c r="P23" i="27"/>
  <c r="P24" i="27"/>
  <c r="P25" i="27"/>
  <c r="P26" i="27"/>
  <c r="P17" i="27"/>
  <c r="N21" i="27"/>
  <c r="N25" i="27"/>
  <c r="N4" i="27"/>
  <c r="N5" i="27"/>
  <c r="N6" i="27"/>
  <c r="N7" i="27"/>
  <c r="N8" i="27"/>
  <c r="N9" i="27"/>
  <c r="N10" i="27"/>
  <c r="N11" i="27"/>
  <c r="N12" i="27"/>
  <c r="O4" i="27"/>
  <c r="O5" i="27"/>
  <c r="O6" i="27"/>
  <c r="O7" i="27"/>
  <c r="O8" i="27"/>
  <c r="O9" i="27"/>
  <c r="O10" i="27"/>
  <c r="O11" i="27"/>
  <c r="O12" i="27"/>
  <c r="P4" i="27"/>
  <c r="P5" i="27"/>
  <c r="P6" i="27"/>
  <c r="P7" i="27"/>
  <c r="P8" i="27"/>
  <c r="P9" i="27"/>
  <c r="P10" i="27"/>
  <c r="P11" i="27"/>
  <c r="P12" i="27"/>
  <c r="P3" i="27"/>
  <c r="N3" i="27"/>
  <c r="O3" i="27"/>
  <c r="S116" i="26"/>
  <c r="S93" i="26"/>
  <c r="S72" i="26"/>
  <c r="S49" i="26"/>
  <c r="S26" i="26"/>
  <c r="S5" i="26"/>
  <c r="N24" i="27" l="1"/>
  <c r="N17" i="27"/>
  <c r="N23" i="27"/>
  <c r="N26" i="27"/>
  <c r="N22" i="27"/>
  <c r="O74" i="25" l="1"/>
  <c r="O75" i="25"/>
  <c r="O76" i="25"/>
  <c r="O77" i="25"/>
  <c r="O78" i="25"/>
  <c r="O79" i="25"/>
  <c r="O80" i="25"/>
  <c r="O81" i="25"/>
  <c r="O82" i="25"/>
  <c r="O73" i="25"/>
  <c r="M74" i="25"/>
  <c r="M75" i="25"/>
  <c r="M76" i="25"/>
  <c r="M77" i="25"/>
  <c r="M78" i="25"/>
  <c r="M79" i="25"/>
  <c r="M80" i="25"/>
  <c r="M81" i="25"/>
  <c r="M82" i="25"/>
  <c r="M73" i="25"/>
  <c r="N74" i="25"/>
  <c r="N75" i="25"/>
  <c r="N76" i="25"/>
  <c r="N77" i="25"/>
  <c r="N78" i="25"/>
  <c r="N79" i="25"/>
  <c r="N80" i="25"/>
  <c r="N81" i="25"/>
  <c r="N82" i="25"/>
  <c r="N73" i="25"/>
  <c r="O60" i="25"/>
  <c r="O61" i="25"/>
  <c r="O62" i="25"/>
  <c r="O63" i="25"/>
  <c r="O64" i="25"/>
  <c r="O65" i="25"/>
  <c r="O66" i="25"/>
  <c r="O67" i="25"/>
  <c r="O68" i="25"/>
  <c r="O59" i="25"/>
  <c r="M60" i="25"/>
  <c r="M61" i="25"/>
  <c r="M62" i="25"/>
  <c r="M63" i="25"/>
  <c r="M64" i="25"/>
  <c r="M65" i="25"/>
  <c r="M66" i="25"/>
  <c r="M67" i="25"/>
  <c r="M68" i="25"/>
  <c r="M59" i="25"/>
  <c r="N60" i="25"/>
  <c r="N61" i="25"/>
  <c r="N62" i="25"/>
  <c r="N63" i="25"/>
  <c r="N64" i="25"/>
  <c r="N65" i="25"/>
  <c r="N66" i="25"/>
  <c r="N67" i="25"/>
  <c r="N68" i="25"/>
  <c r="N59" i="25"/>
  <c r="O46" i="25"/>
  <c r="O47" i="25"/>
  <c r="O48" i="25"/>
  <c r="O49" i="25"/>
  <c r="O50" i="25"/>
  <c r="O51" i="25"/>
  <c r="O52" i="25"/>
  <c r="O53" i="25"/>
  <c r="O54" i="25"/>
  <c r="O45" i="25"/>
  <c r="M46" i="25"/>
  <c r="M47" i="25"/>
  <c r="M48" i="25"/>
  <c r="M49" i="25"/>
  <c r="M50" i="25"/>
  <c r="M51" i="25"/>
  <c r="M52" i="25"/>
  <c r="M53" i="25"/>
  <c r="M54" i="25"/>
  <c r="M45" i="25"/>
  <c r="N46" i="25"/>
  <c r="N47" i="25"/>
  <c r="N48" i="25"/>
  <c r="N49" i="25"/>
  <c r="N50" i="25"/>
  <c r="N51" i="25"/>
  <c r="N52" i="25"/>
  <c r="N53" i="25"/>
  <c r="N54" i="25"/>
  <c r="N45" i="25"/>
  <c r="O32" i="25"/>
  <c r="O33" i="25"/>
  <c r="O34" i="25"/>
  <c r="O35" i="25"/>
  <c r="O36" i="25"/>
  <c r="O37" i="25"/>
  <c r="O38" i="25"/>
  <c r="O39" i="25"/>
  <c r="O40" i="25"/>
  <c r="O31" i="25"/>
  <c r="M32" i="25"/>
  <c r="M33" i="25"/>
  <c r="M34" i="25"/>
  <c r="M35" i="25"/>
  <c r="M36" i="25"/>
  <c r="M37" i="25"/>
  <c r="M38" i="25"/>
  <c r="M39" i="25"/>
  <c r="M40" i="25"/>
  <c r="M31" i="25"/>
  <c r="N32" i="25"/>
  <c r="N33" i="25"/>
  <c r="N34" i="25"/>
  <c r="N35" i="25"/>
  <c r="N36" i="25"/>
  <c r="N37" i="25"/>
  <c r="N38" i="25"/>
  <c r="N39" i="25"/>
  <c r="N40" i="25"/>
  <c r="N31" i="25"/>
  <c r="O17" i="25"/>
  <c r="O18" i="25"/>
  <c r="O19" i="25"/>
  <c r="O20" i="25"/>
  <c r="O21" i="25"/>
  <c r="O22" i="25"/>
  <c r="O23" i="25"/>
  <c r="O24" i="25"/>
  <c r="O25" i="25"/>
  <c r="O16" i="25"/>
  <c r="M17" i="25"/>
  <c r="M18" i="25"/>
  <c r="M19" i="25"/>
  <c r="M20" i="25"/>
  <c r="M21" i="25"/>
  <c r="M22" i="25"/>
  <c r="M23" i="25"/>
  <c r="M24" i="25"/>
  <c r="M25" i="25"/>
  <c r="M16" i="25"/>
  <c r="N17" i="25"/>
  <c r="N18" i="25"/>
  <c r="N19" i="25"/>
  <c r="N20" i="25"/>
  <c r="N21" i="25"/>
  <c r="N22" i="25"/>
  <c r="N23" i="25"/>
  <c r="N24" i="25"/>
  <c r="N25" i="25"/>
  <c r="N16" i="25"/>
  <c r="O4" i="25"/>
  <c r="O5" i="25"/>
  <c r="O6" i="25"/>
  <c r="O7" i="25"/>
  <c r="O8" i="25"/>
  <c r="O9" i="25"/>
  <c r="O10" i="25"/>
  <c r="O11" i="25"/>
  <c r="O12" i="25"/>
  <c r="O3" i="25"/>
  <c r="M4" i="25"/>
  <c r="M5" i="25"/>
  <c r="M6" i="25"/>
  <c r="M7" i="25"/>
  <c r="M8" i="25"/>
  <c r="M9" i="25"/>
  <c r="M10" i="25"/>
  <c r="M11" i="25"/>
  <c r="M12" i="25"/>
  <c r="M3" i="25"/>
  <c r="N4" i="25"/>
  <c r="N5" i="25"/>
  <c r="N6" i="25"/>
  <c r="N7" i="25"/>
  <c r="N8" i="25"/>
  <c r="N9" i="25"/>
  <c r="N10" i="25"/>
  <c r="N11" i="25"/>
  <c r="N12" i="25"/>
  <c r="N3" i="25"/>
  <c r="S114" i="24"/>
  <c r="S92" i="24"/>
  <c r="S70" i="24"/>
  <c r="S49" i="24"/>
  <c r="S26" i="24"/>
  <c r="R3" i="24"/>
  <c r="P75" i="23"/>
  <c r="P76" i="23"/>
  <c r="P77" i="23"/>
  <c r="P78" i="23"/>
  <c r="P79" i="23"/>
  <c r="P80" i="23"/>
  <c r="P81" i="23"/>
  <c r="P82" i="23"/>
  <c r="P83" i="23"/>
  <c r="P74" i="23"/>
  <c r="N75" i="23"/>
  <c r="N76" i="23"/>
  <c r="N77" i="23"/>
  <c r="N78" i="23"/>
  <c r="N79" i="23"/>
  <c r="N80" i="23"/>
  <c r="N81" i="23"/>
  <c r="N82" i="23"/>
  <c r="N83" i="23"/>
  <c r="N74" i="23"/>
  <c r="O75" i="23"/>
  <c r="O76" i="23"/>
  <c r="O77" i="23"/>
  <c r="O78" i="23"/>
  <c r="O79" i="23"/>
  <c r="O80" i="23"/>
  <c r="O81" i="23"/>
  <c r="O82" i="23"/>
  <c r="O83" i="23"/>
  <c r="O74" i="23"/>
  <c r="P61" i="23"/>
  <c r="P62" i="23"/>
  <c r="P63" i="23"/>
  <c r="P64" i="23"/>
  <c r="P65" i="23"/>
  <c r="P66" i="23"/>
  <c r="P67" i="23"/>
  <c r="P68" i="23"/>
  <c r="P69" i="23"/>
  <c r="P60" i="23"/>
  <c r="N61" i="23"/>
  <c r="N62" i="23"/>
  <c r="N63" i="23"/>
  <c r="N64" i="23"/>
  <c r="N65" i="23"/>
  <c r="N66" i="23"/>
  <c r="N67" i="23"/>
  <c r="N68" i="23"/>
  <c r="N69" i="23"/>
  <c r="N60" i="23"/>
  <c r="O61" i="23"/>
  <c r="O62" i="23"/>
  <c r="O63" i="23"/>
  <c r="O64" i="23"/>
  <c r="O65" i="23"/>
  <c r="O66" i="23"/>
  <c r="O67" i="23"/>
  <c r="O68" i="23"/>
  <c r="O69" i="23"/>
  <c r="O60" i="23"/>
  <c r="P47" i="23"/>
  <c r="P48" i="23"/>
  <c r="P49" i="23"/>
  <c r="P50" i="23"/>
  <c r="P51" i="23"/>
  <c r="P52" i="23"/>
  <c r="P53" i="23"/>
  <c r="P54" i="23"/>
  <c r="P55" i="23"/>
  <c r="P46" i="23"/>
  <c r="N47" i="23"/>
  <c r="N48" i="23"/>
  <c r="N49" i="23"/>
  <c r="N50" i="23"/>
  <c r="N51" i="23"/>
  <c r="N52" i="23"/>
  <c r="N53" i="23"/>
  <c r="N54" i="23"/>
  <c r="N55" i="23"/>
  <c r="N46" i="23"/>
  <c r="O47" i="23"/>
  <c r="O48" i="23"/>
  <c r="O49" i="23"/>
  <c r="O50" i="23"/>
  <c r="O51" i="23"/>
  <c r="O52" i="23"/>
  <c r="O53" i="23"/>
  <c r="O54" i="23"/>
  <c r="O55" i="23"/>
  <c r="O46" i="23"/>
  <c r="P32" i="23"/>
  <c r="P33" i="23"/>
  <c r="P34" i="23"/>
  <c r="P35" i="23"/>
  <c r="P36" i="23"/>
  <c r="P37" i="23"/>
  <c r="P38" i="23"/>
  <c r="P39" i="23"/>
  <c r="P40" i="23"/>
  <c r="P31" i="23"/>
  <c r="N32" i="23"/>
  <c r="N33" i="23"/>
  <c r="N34" i="23"/>
  <c r="N35" i="23"/>
  <c r="N36" i="23"/>
  <c r="N37" i="23"/>
  <c r="N38" i="23"/>
  <c r="N39" i="23"/>
  <c r="N40" i="23"/>
  <c r="N31" i="23"/>
  <c r="O32" i="23"/>
  <c r="O33" i="23"/>
  <c r="O34" i="23"/>
  <c r="O35" i="23"/>
  <c r="O36" i="23"/>
  <c r="O37" i="23"/>
  <c r="O38" i="23"/>
  <c r="O39" i="23"/>
  <c r="O40" i="23"/>
  <c r="O31" i="23"/>
  <c r="P19" i="23"/>
  <c r="P20" i="23"/>
  <c r="P21" i="23"/>
  <c r="P22" i="23"/>
  <c r="P23" i="23"/>
  <c r="P24" i="23"/>
  <c r="P25" i="23"/>
  <c r="P26" i="23"/>
  <c r="P27" i="23"/>
  <c r="P18" i="23"/>
  <c r="N19" i="23"/>
  <c r="N20" i="23"/>
  <c r="N21" i="23"/>
  <c r="N22" i="23"/>
  <c r="N23" i="23"/>
  <c r="N24" i="23"/>
  <c r="N25" i="23"/>
  <c r="N26" i="23"/>
  <c r="N27" i="23"/>
  <c r="N18" i="23"/>
  <c r="O19" i="23"/>
  <c r="O20" i="23"/>
  <c r="O21" i="23"/>
  <c r="O22" i="23"/>
  <c r="O23" i="23"/>
  <c r="O24" i="23"/>
  <c r="O25" i="23"/>
  <c r="O26" i="23"/>
  <c r="O27" i="23"/>
  <c r="O18" i="23"/>
  <c r="P5" i="23"/>
  <c r="P6" i="23"/>
  <c r="P7" i="23"/>
  <c r="P8" i="23"/>
  <c r="P9" i="23"/>
  <c r="P10" i="23"/>
  <c r="P11" i="23"/>
  <c r="P12" i="23"/>
  <c r="P13" i="23"/>
  <c r="P4" i="23"/>
  <c r="N5" i="23"/>
  <c r="N6" i="23"/>
  <c r="N7" i="23"/>
  <c r="N8" i="23"/>
  <c r="N9" i="23"/>
  <c r="N10" i="23"/>
  <c r="N11" i="23"/>
  <c r="N12" i="23"/>
  <c r="N13" i="23"/>
  <c r="N4" i="23"/>
  <c r="O5" i="23"/>
  <c r="O6" i="23"/>
  <c r="O7" i="23"/>
  <c r="O8" i="23"/>
  <c r="O9" i="23"/>
  <c r="O10" i="23"/>
  <c r="O11" i="23"/>
  <c r="O12" i="23"/>
  <c r="O13" i="23"/>
  <c r="O4" i="23"/>
  <c r="S115" i="22"/>
  <c r="S94" i="22"/>
  <c r="S71" i="22"/>
  <c r="S48" i="22"/>
  <c r="S25" i="22"/>
  <c r="R4" i="22"/>
  <c r="N74" i="21" l="1"/>
  <c r="N75" i="21"/>
  <c r="N76" i="21"/>
  <c r="N77" i="21"/>
  <c r="N78" i="21"/>
  <c r="N79" i="21"/>
  <c r="N80" i="21"/>
  <c r="N81" i="21"/>
  <c r="N82" i="21"/>
  <c r="N73" i="21"/>
  <c r="L74" i="21"/>
  <c r="L75" i="21"/>
  <c r="L76" i="21"/>
  <c r="L77" i="21"/>
  <c r="L78" i="21"/>
  <c r="L79" i="21"/>
  <c r="L80" i="21"/>
  <c r="L81" i="21"/>
  <c r="L82" i="21"/>
  <c r="L73" i="21"/>
  <c r="M74" i="21"/>
  <c r="M75" i="21"/>
  <c r="M76" i="21"/>
  <c r="M77" i="21"/>
  <c r="M78" i="21"/>
  <c r="M79" i="21"/>
  <c r="M80" i="21"/>
  <c r="M81" i="21"/>
  <c r="M82" i="21"/>
  <c r="M73" i="21"/>
  <c r="M60" i="21"/>
  <c r="L61" i="21" s="1"/>
  <c r="M61" i="21"/>
  <c r="M62" i="21"/>
  <c r="M63" i="21"/>
  <c r="M64" i="21"/>
  <c r="M65" i="21"/>
  <c r="M66" i="21"/>
  <c r="M67" i="21"/>
  <c r="M68" i="21"/>
  <c r="M59" i="21"/>
  <c r="N60" i="21"/>
  <c r="N61" i="21"/>
  <c r="N62" i="21"/>
  <c r="N63" i="21"/>
  <c r="N64" i="21"/>
  <c r="N65" i="21"/>
  <c r="N66" i="21"/>
  <c r="N67" i="21"/>
  <c r="N68" i="21"/>
  <c r="N59" i="21"/>
  <c r="L60" i="21"/>
  <c r="L64" i="21"/>
  <c r="L68" i="21"/>
  <c r="N46" i="21"/>
  <c r="N47" i="21"/>
  <c r="N48" i="21"/>
  <c r="N49" i="21"/>
  <c r="N50" i="21"/>
  <c r="N51" i="21"/>
  <c r="N52" i="21"/>
  <c r="N53" i="21"/>
  <c r="N54" i="21"/>
  <c r="N45" i="21"/>
  <c r="L46" i="21"/>
  <c r="L47" i="21"/>
  <c r="L48" i="21"/>
  <c r="L49" i="21"/>
  <c r="L50" i="21"/>
  <c r="L51" i="21"/>
  <c r="L52" i="21"/>
  <c r="L53" i="21"/>
  <c r="L54" i="21"/>
  <c r="L45" i="21"/>
  <c r="M46" i="21"/>
  <c r="M47" i="21"/>
  <c r="M48" i="21"/>
  <c r="M49" i="21"/>
  <c r="M50" i="21"/>
  <c r="M51" i="21"/>
  <c r="M52" i="21"/>
  <c r="M53" i="21"/>
  <c r="M54" i="21"/>
  <c r="M45" i="21"/>
  <c r="N32" i="21"/>
  <c r="N33" i="21"/>
  <c r="N34" i="21"/>
  <c r="N35" i="21"/>
  <c r="N36" i="21"/>
  <c r="N37" i="21"/>
  <c r="N38" i="21"/>
  <c r="N39" i="21"/>
  <c r="N40" i="21"/>
  <c r="N31" i="21"/>
  <c r="L32" i="21"/>
  <c r="L33" i="21"/>
  <c r="L34" i="21"/>
  <c r="L35" i="21"/>
  <c r="L36" i="21"/>
  <c r="L37" i="21"/>
  <c r="L38" i="21"/>
  <c r="L39" i="21"/>
  <c r="L40" i="21"/>
  <c r="L31" i="21"/>
  <c r="M4" i="21"/>
  <c r="L5" i="21" s="1"/>
  <c r="M5" i="21"/>
  <c r="M6" i="21"/>
  <c r="M7" i="21"/>
  <c r="M8" i="21"/>
  <c r="L8" i="21" s="1"/>
  <c r="M9" i="21"/>
  <c r="M10" i="21"/>
  <c r="M11" i="21"/>
  <c r="L11" i="21" s="1"/>
  <c r="M12" i="21"/>
  <c r="L12" i="21" s="1"/>
  <c r="M3" i="21"/>
  <c r="M32" i="21"/>
  <c r="M33" i="21"/>
  <c r="M34" i="21"/>
  <c r="M35" i="21"/>
  <c r="M36" i="21"/>
  <c r="M37" i="21"/>
  <c r="M38" i="21"/>
  <c r="M39" i="21"/>
  <c r="M40" i="21"/>
  <c r="M31" i="21"/>
  <c r="N18" i="21"/>
  <c r="N19" i="21"/>
  <c r="N20" i="21"/>
  <c r="N21" i="21"/>
  <c r="N22" i="21"/>
  <c r="N23" i="21"/>
  <c r="N24" i="21"/>
  <c r="N25" i="21"/>
  <c r="N26" i="21"/>
  <c r="N17" i="21"/>
  <c r="L18" i="21"/>
  <c r="L19" i="21"/>
  <c r="L20" i="21"/>
  <c r="L21" i="21"/>
  <c r="L22" i="21"/>
  <c r="L23" i="21"/>
  <c r="L24" i="21"/>
  <c r="L25" i="21"/>
  <c r="L26" i="21"/>
  <c r="L17" i="21"/>
  <c r="M18" i="21"/>
  <c r="M19" i="21"/>
  <c r="M20" i="21"/>
  <c r="M21" i="21"/>
  <c r="M22" i="21"/>
  <c r="M23" i="21"/>
  <c r="M24" i="21"/>
  <c r="M25" i="21"/>
  <c r="M26" i="21"/>
  <c r="M17" i="21"/>
  <c r="N4" i="21"/>
  <c r="N5" i="21"/>
  <c r="N6" i="21"/>
  <c r="N7" i="21"/>
  <c r="N8" i="21"/>
  <c r="N9" i="21"/>
  <c r="N10" i="21"/>
  <c r="N11" i="21"/>
  <c r="N12" i="21"/>
  <c r="N3" i="21"/>
  <c r="L4" i="21"/>
  <c r="L10" i="21"/>
  <c r="L67" i="21" l="1"/>
  <c r="L63" i="21"/>
  <c r="L66" i="21"/>
  <c r="L62" i="21"/>
  <c r="L59" i="21"/>
  <c r="L65" i="21"/>
  <c r="L3" i="21"/>
  <c r="L9" i="21"/>
  <c r="L6" i="21"/>
  <c r="L7" i="21"/>
  <c r="D128" i="20"/>
  <c r="D106" i="20"/>
  <c r="D83" i="20"/>
  <c r="D61" i="20"/>
  <c r="D38" i="20"/>
  <c r="D16" i="20"/>
  <c r="K75" i="19"/>
  <c r="K76" i="19"/>
  <c r="K77" i="19"/>
  <c r="K78" i="19"/>
  <c r="K79" i="19"/>
  <c r="K80" i="19"/>
  <c r="K81" i="19"/>
  <c r="K82" i="19"/>
  <c r="K83" i="19"/>
  <c r="K74" i="19"/>
  <c r="M75" i="19"/>
  <c r="M76" i="19"/>
  <c r="M77" i="19"/>
  <c r="M78" i="19"/>
  <c r="M79" i="19"/>
  <c r="M80" i="19"/>
  <c r="M81" i="19"/>
  <c r="M82" i="19"/>
  <c r="M83" i="19"/>
  <c r="M74" i="19"/>
  <c r="L75" i="19"/>
  <c r="L76" i="19"/>
  <c r="L77" i="19"/>
  <c r="L78" i="19"/>
  <c r="L79" i="19"/>
  <c r="L80" i="19"/>
  <c r="L81" i="19"/>
  <c r="L82" i="19"/>
  <c r="L83" i="19"/>
  <c r="L74" i="19"/>
  <c r="M61" i="19"/>
  <c r="M62" i="19"/>
  <c r="M63" i="19"/>
  <c r="M64" i="19"/>
  <c r="M65" i="19"/>
  <c r="M66" i="19"/>
  <c r="M67" i="19"/>
  <c r="M68" i="19"/>
  <c r="M69" i="19"/>
  <c r="M60" i="19"/>
  <c r="K61" i="19"/>
  <c r="K62" i="19"/>
  <c r="K63" i="19"/>
  <c r="K64" i="19"/>
  <c r="K65" i="19"/>
  <c r="K66" i="19"/>
  <c r="K67" i="19"/>
  <c r="K68" i="19"/>
  <c r="K69" i="19"/>
  <c r="K60" i="19"/>
  <c r="L61" i="19"/>
  <c r="L62" i="19"/>
  <c r="L63" i="19"/>
  <c r="L64" i="19"/>
  <c r="L65" i="19"/>
  <c r="L66" i="19"/>
  <c r="L67" i="19"/>
  <c r="L68" i="19"/>
  <c r="L69" i="19"/>
  <c r="L60" i="19"/>
  <c r="M47" i="19"/>
  <c r="M48" i="19"/>
  <c r="M49" i="19"/>
  <c r="M50" i="19"/>
  <c r="M51" i="19"/>
  <c r="M52" i="19"/>
  <c r="M53" i="19"/>
  <c r="M54" i="19"/>
  <c r="M55" i="19"/>
  <c r="M46" i="19"/>
  <c r="K47" i="19"/>
  <c r="K48" i="19"/>
  <c r="K49" i="19"/>
  <c r="K50" i="19"/>
  <c r="K51" i="19"/>
  <c r="K52" i="19"/>
  <c r="K53" i="19"/>
  <c r="K54" i="19"/>
  <c r="K55" i="19"/>
  <c r="K46" i="19"/>
  <c r="L47" i="19"/>
  <c r="L48" i="19"/>
  <c r="L49" i="19"/>
  <c r="L50" i="19"/>
  <c r="L51" i="19"/>
  <c r="L52" i="19"/>
  <c r="L53" i="19"/>
  <c r="L54" i="19"/>
  <c r="L55" i="19"/>
  <c r="L46" i="19"/>
  <c r="M32" i="19"/>
  <c r="M33" i="19"/>
  <c r="M34" i="19"/>
  <c r="M35" i="19"/>
  <c r="M36" i="19"/>
  <c r="M37" i="19"/>
  <c r="M38" i="19"/>
  <c r="M39" i="19"/>
  <c r="M40" i="19"/>
  <c r="M31" i="19"/>
  <c r="K32" i="19"/>
  <c r="K33" i="19"/>
  <c r="K34" i="19"/>
  <c r="K35" i="19"/>
  <c r="K36" i="19"/>
  <c r="K37" i="19"/>
  <c r="K38" i="19"/>
  <c r="K39" i="19"/>
  <c r="K40" i="19"/>
  <c r="K31" i="19"/>
  <c r="L32" i="19"/>
  <c r="L33" i="19"/>
  <c r="L34" i="19"/>
  <c r="L35" i="19"/>
  <c r="L36" i="19"/>
  <c r="L37" i="19"/>
  <c r="L38" i="19"/>
  <c r="L39" i="19"/>
  <c r="L40" i="19"/>
  <c r="L31" i="19"/>
  <c r="M18" i="19"/>
  <c r="M19" i="19"/>
  <c r="M20" i="19"/>
  <c r="M21" i="19"/>
  <c r="M22" i="19"/>
  <c r="M23" i="19"/>
  <c r="M24" i="19"/>
  <c r="M25" i="19"/>
  <c r="M26" i="19"/>
  <c r="M17" i="19"/>
  <c r="K18" i="19"/>
  <c r="K19" i="19"/>
  <c r="K20" i="19"/>
  <c r="K21" i="19"/>
  <c r="K22" i="19"/>
  <c r="K23" i="19"/>
  <c r="K24" i="19"/>
  <c r="K25" i="19"/>
  <c r="K26" i="19"/>
  <c r="K17" i="19"/>
  <c r="L18" i="19"/>
  <c r="L19" i="19"/>
  <c r="L20" i="19"/>
  <c r="L21" i="19"/>
  <c r="L22" i="19"/>
  <c r="L23" i="19"/>
  <c r="L24" i="19"/>
  <c r="L25" i="19"/>
  <c r="L26" i="19"/>
  <c r="L17" i="19"/>
  <c r="M4" i="19"/>
  <c r="M5" i="19"/>
  <c r="M6" i="19"/>
  <c r="M7" i="19"/>
  <c r="M8" i="19"/>
  <c r="M9" i="19"/>
  <c r="M10" i="19"/>
  <c r="M11" i="19"/>
  <c r="M12" i="19"/>
  <c r="M3" i="19"/>
  <c r="K4" i="19"/>
  <c r="K5" i="19"/>
  <c r="K6" i="19"/>
  <c r="K7" i="19"/>
  <c r="K8" i="19"/>
  <c r="K9" i="19"/>
  <c r="K10" i="19"/>
  <c r="K11" i="19"/>
  <c r="K12" i="19"/>
  <c r="K3" i="19"/>
  <c r="L4" i="19"/>
  <c r="L5" i="19"/>
  <c r="L6" i="19"/>
  <c r="L7" i="19"/>
  <c r="L8" i="19"/>
  <c r="L9" i="19"/>
  <c r="L10" i="19"/>
  <c r="L11" i="19"/>
  <c r="L12" i="19"/>
  <c r="L3" i="19"/>
  <c r="D130" i="18"/>
  <c r="D107" i="18"/>
  <c r="D86" i="18"/>
  <c r="D62" i="18"/>
  <c r="D39" i="18"/>
  <c r="D17" i="18"/>
  <c r="M74" i="17" l="1"/>
  <c r="M75" i="17"/>
  <c r="M76" i="17"/>
  <c r="M77" i="17"/>
  <c r="M78" i="17"/>
  <c r="M79" i="17"/>
  <c r="M80" i="17"/>
  <c r="M81" i="17"/>
  <c r="M82" i="17"/>
  <c r="M73" i="17"/>
  <c r="K74" i="17"/>
  <c r="K75" i="17"/>
  <c r="K76" i="17"/>
  <c r="K77" i="17"/>
  <c r="K78" i="17"/>
  <c r="K79" i="17"/>
  <c r="K80" i="17"/>
  <c r="K81" i="17"/>
  <c r="K82" i="17"/>
  <c r="K73" i="17"/>
  <c r="L74" i="17"/>
  <c r="L75" i="17"/>
  <c r="L76" i="17"/>
  <c r="L77" i="17"/>
  <c r="L78" i="17"/>
  <c r="L79" i="17"/>
  <c r="L80" i="17"/>
  <c r="L81" i="17"/>
  <c r="L82" i="17"/>
  <c r="L73" i="17"/>
  <c r="M60" i="17"/>
  <c r="M61" i="17"/>
  <c r="M62" i="17"/>
  <c r="M63" i="17"/>
  <c r="M64" i="17"/>
  <c r="M65" i="17"/>
  <c r="M66" i="17"/>
  <c r="M67" i="17"/>
  <c r="M68" i="17"/>
  <c r="M59" i="17"/>
  <c r="K60" i="17"/>
  <c r="K61" i="17"/>
  <c r="K62" i="17"/>
  <c r="K63" i="17"/>
  <c r="K64" i="17"/>
  <c r="K65" i="17"/>
  <c r="K66" i="17"/>
  <c r="K67" i="17"/>
  <c r="K68" i="17"/>
  <c r="K59" i="17"/>
  <c r="L60" i="17"/>
  <c r="L61" i="17"/>
  <c r="L62" i="17"/>
  <c r="L63" i="17"/>
  <c r="L64" i="17"/>
  <c r="L65" i="17"/>
  <c r="L66" i="17"/>
  <c r="L67" i="17"/>
  <c r="L68" i="17"/>
  <c r="L59" i="17"/>
  <c r="M46" i="17"/>
  <c r="M47" i="17"/>
  <c r="M48" i="17"/>
  <c r="M49" i="17"/>
  <c r="M50" i="17"/>
  <c r="M51" i="17"/>
  <c r="M52" i="17"/>
  <c r="M53" i="17"/>
  <c r="M54" i="17"/>
  <c r="M45" i="17"/>
  <c r="K46" i="17"/>
  <c r="K47" i="17"/>
  <c r="K48" i="17"/>
  <c r="K49" i="17"/>
  <c r="K50" i="17"/>
  <c r="K51" i="17"/>
  <c r="K52" i="17"/>
  <c r="K53" i="17"/>
  <c r="K54" i="17"/>
  <c r="K45" i="17"/>
  <c r="L46" i="17"/>
  <c r="L47" i="17"/>
  <c r="L48" i="17"/>
  <c r="L49" i="17"/>
  <c r="L50" i="17"/>
  <c r="L51" i="17"/>
  <c r="L52" i="17"/>
  <c r="L53" i="17"/>
  <c r="L54" i="17"/>
  <c r="L45" i="17"/>
  <c r="L32" i="17"/>
  <c r="K32" i="17" s="1"/>
  <c r="L33" i="17"/>
  <c r="K33" i="17" s="1"/>
  <c r="L34" i="17"/>
  <c r="L35" i="17"/>
  <c r="L36" i="17"/>
  <c r="K36" i="17" s="1"/>
  <c r="L37" i="17"/>
  <c r="K37" i="17" s="1"/>
  <c r="L38" i="17"/>
  <c r="L39" i="17"/>
  <c r="L40" i="17"/>
  <c r="K40" i="17" s="1"/>
  <c r="L31" i="17"/>
  <c r="K31" i="17" s="1"/>
  <c r="M32" i="17"/>
  <c r="M33" i="17"/>
  <c r="M34" i="17"/>
  <c r="M35" i="17"/>
  <c r="M36" i="17"/>
  <c r="M37" i="17"/>
  <c r="M38" i="17"/>
  <c r="M39" i="17"/>
  <c r="M40" i="17"/>
  <c r="M31" i="17"/>
  <c r="M18" i="17"/>
  <c r="M19" i="17"/>
  <c r="M20" i="17"/>
  <c r="M21" i="17"/>
  <c r="M22" i="17"/>
  <c r="M23" i="17"/>
  <c r="M24" i="17"/>
  <c r="M25" i="17"/>
  <c r="M26" i="17"/>
  <c r="M17" i="17"/>
  <c r="L18" i="17"/>
  <c r="K18" i="17" s="1"/>
  <c r="L19" i="17"/>
  <c r="K19" i="17" s="1"/>
  <c r="L20" i="17"/>
  <c r="L21" i="17"/>
  <c r="L22" i="17"/>
  <c r="K22" i="17" s="1"/>
  <c r="L23" i="17"/>
  <c r="K23" i="17" s="1"/>
  <c r="L24" i="17"/>
  <c r="L25" i="17"/>
  <c r="L26" i="17"/>
  <c r="K26" i="17" s="1"/>
  <c r="L17" i="17"/>
  <c r="K17" i="17" s="1"/>
  <c r="K25" i="17" l="1"/>
  <c r="K21" i="17"/>
  <c r="K39" i="17"/>
  <c r="K35" i="17"/>
  <c r="K24" i="17"/>
  <c r="K20" i="17"/>
  <c r="K38" i="17"/>
  <c r="K34" i="17"/>
  <c r="L4" i="17"/>
  <c r="K4" i="17" s="1"/>
  <c r="L5" i="17"/>
  <c r="K5" i="17" s="1"/>
  <c r="L6" i="17"/>
  <c r="L7" i="17"/>
  <c r="L8" i="17"/>
  <c r="K8" i="17" s="1"/>
  <c r="L9" i="17"/>
  <c r="K9" i="17" s="1"/>
  <c r="L10" i="17"/>
  <c r="L11" i="17"/>
  <c r="L12" i="17"/>
  <c r="K12" i="17" s="1"/>
  <c r="L3" i="17"/>
  <c r="K3" i="17" s="1"/>
  <c r="M4" i="17"/>
  <c r="M5" i="17"/>
  <c r="M6" i="17"/>
  <c r="M7" i="17"/>
  <c r="M8" i="17"/>
  <c r="M9" i="17"/>
  <c r="M10" i="17"/>
  <c r="M11" i="17"/>
  <c r="M12" i="17"/>
  <c r="M3" i="17"/>
  <c r="K11" i="17" l="1"/>
  <c r="K7" i="17"/>
  <c r="K10" i="17"/>
  <c r="K6" i="17"/>
  <c r="D132" i="16"/>
  <c r="D108" i="16"/>
  <c r="D86" i="16"/>
  <c r="D63" i="16"/>
  <c r="D39" i="16"/>
  <c r="D15" i="16"/>
  <c r="M72" i="15" l="1"/>
  <c r="M73" i="15"/>
  <c r="M74" i="15"/>
  <c r="M75" i="15"/>
  <c r="M76" i="15"/>
  <c r="M77" i="15"/>
  <c r="M78" i="15"/>
  <c r="M79" i="15"/>
  <c r="M80" i="15"/>
  <c r="M71" i="15"/>
  <c r="K72" i="15"/>
  <c r="K73" i="15"/>
  <c r="K74" i="15"/>
  <c r="K75" i="15"/>
  <c r="K76" i="15"/>
  <c r="K77" i="15"/>
  <c r="K78" i="15"/>
  <c r="K79" i="15"/>
  <c r="K80" i="15"/>
  <c r="K71" i="15"/>
  <c r="L72" i="15"/>
  <c r="L73" i="15"/>
  <c r="L74" i="15"/>
  <c r="L75" i="15"/>
  <c r="L76" i="15"/>
  <c r="L77" i="15"/>
  <c r="L78" i="15"/>
  <c r="L79" i="15"/>
  <c r="L80" i="15"/>
  <c r="L71" i="15"/>
  <c r="M58" i="15"/>
  <c r="M59" i="15"/>
  <c r="M60" i="15"/>
  <c r="M61" i="15"/>
  <c r="M62" i="15"/>
  <c r="M63" i="15"/>
  <c r="M64" i="15"/>
  <c r="M65" i="15"/>
  <c r="M66" i="15"/>
  <c r="M57" i="15"/>
  <c r="K58" i="15"/>
  <c r="K59" i="15"/>
  <c r="K60" i="15"/>
  <c r="K61" i="15"/>
  <c r="K62" i="15"/>
  <c r="K63" i="15"/>
  <c r="K64" i="15"/>
  <c r="K65" i="15"/>
  <c r="K66" i="15"/>
  <c r="K57" i="15"/>
  <c r="L58" i="15"/>
  <c r="L59" i="15"/>
  <c r="L60" i="15"/>
  <c r="L61" i="15"/>
  <c r="L62" i="15"/>
  <c r="L63" i="15"/>
  <c r="L64" i="15"/>
  <c r="L65" i="15"/>
  <c r="L66" i="15"/>
  <c r="L57" i="15"/>
  <c r="I43" i="15"/>
  <c r="M44" i="15"/>
  <c r="M45" i="15"/>
  <c r="M46" i="15"/>
  <c r="M47" i="15"/>
  <c r="M48" i="15"/>
  <c r="M49" i="15"/>
  <c r="M50" i="15"/>
  <c r="M51" i="15"/>
  <c r="M52" i="15"/>
  <c r="M43" i="15"/>
  <c r="K44" i="15"/>
  <c r="K45" i="15"/>
  <c r="K46" i="15"/>
  <c r="K47" i="15"/>
  <c r="K48" i="15"/>
  <c r="K49" i="15"/>
  <c r="K50" i="15"/>
  <c r="K51" i="15"/>
  <c r="K52" i="15"/>
  <c r="K43" i="15"/>
  <c r="L44" i="15"/>
  <c r="L45" i="15"/>
  <c r="L46" i="15"/>
  <c r="L47" i="15"/>
  <c r="L48" i="15"/>
  <c r="L49" i="15"/>
  <c r="L50" i="15"/>
  <c r="L51" i="15"/>
  <c r="L52" i="15"/>
  <c r="L43" i="15"/>
  <c r="M30" i="15"/>
  <c r="M31" i="15"/>
  <c r="M32" i="15"/>
  <c r="M33" i="15"/>
  <c r="M34" i="15"/>
  <c r="M35" i="15"/>
  <c r="M36" i="15"/>
  <c r="M37" i="15"/>
  <c r="M38" i="15"/>
  <c r="M29" i="15"/>
  <c r="K30" i="15"/>
  <c r="K31" i="15"/>
  <c r="K32" i="15"/>
  <c r="K33" i="15"/>
  <c r="K34" i="15"/>
  <c r="K35" i="15"/>
  <c r="K36" i="15"/>
  <c r="K37" i="15"/>
  <c r="K38" i="15"/>
  <c r="K29" i="15"/>
  <c r="L30" i="15"/>
  <c r="L31" i="15"/>
  <c r="L32" i="15"/>
  <c r="L33" i="15"/>
  <c r="L34" i="15"/>
  <c r="L35" i="15"/>
  <c r="L36" i="15"/>
  <c r="L37" i="15"/>
  <c r="L38" i="15"/>
  <c r="L29" i="15"/>
  <c r="M17" i="15"/>
  <c r="M18" i="15"/>
  <c r="M19" i="15"/>
  <c r="M20" i="15"/>
  <c r="M21" i="15"/>
  <c r="M22" i="15"/>
  <c r="M23" i="15"/>
  <c r="M24" i="15"/>
  <c r="M25" i="15"/>
  <c r="M16" i="15"/>
  <c r="K17" i="15"/>
  <c r="K18" i="15"/>
  <c r="K19" i="15"/>
  <c r="K20" i="15"/>
  <c r="K21" i="15"/>
  <c r="K22" i="15"/>
  <c r="K23" i="15"/>
  <c r="K24" i="15"/>
  <c r="K25" i="15"/>
  <c r="K16" i="15"/>
  <c r="L17" i="15"/>
  <c r="L18" i="15"/>
  <c r="L19" i="15"/>
  <c r="L20" i="15"/>
  <c r="L21" i="15"/>
  <c r="L22" i="15"/>
  <c r="L23" i="15"/>
  <c r="L24" i="15"/>
  <c r="L25" i="15"/>
  <c r="L16" i="15"/>
  <c r="P4" i="15"/>
  <c r="P5" i="15"/>
  <c r="P3" i="15"/>
  <c r="M4" i="15"/>
  <c r="M5" i="15"/>
  <c r="M6" i="15"/>
  <c r="M7" i="15"/>
  <c r="M8" i="15"/>
  <c r="M9" i="15"/>
  <c r="M10" i="15"/>
  <c r="M11" i="15"/>
  <c r="M12" i="15"/>
  <c r="M3" i="15"/>
  <c r="K4" i="15"/>
  <c r="K5" i="15"/>
  <c r="K6" i="15"/>
  <c r="K7" i="15"/>
  <c r="K8" i="15"/>
  <c r="K9" i="15"/>
  <c r="K10" i="15"/>
  <c r="K11" i="15"/>
  <c r="K12" i="15"/>
  <c r="K3" i="15"/>
  <c r="L4" i="15"/>
  <c r="L5" i="15"/>
  <c r="L6" i="15"/>
  <c r="L7" i="15"/>
  <c r="L8" i="15"/>
  <c r="L9" i="15"/>
  <c r="L10" i="15"/>
  <c r="L11" i="15"/>
  <c r="L12" i="15"/>
  <c r="L3" i="15"/>
  <c r="D129" i="13" l="1"/>
  <c r="D107" i="13"/>
  <c r="D84" i="13"/>
  <c r="S51" i="13" l="1"/>
  <c r="R26" i="13"/>
  <c r="Q5" i="13" l="1"/>
  <c r="D125" i="8" l="1"/>
  <c r="R85" i="8"/>
  <c r="F100" i="8" s="1"/>
  <c r="D124" i="8"/>
  <c r="R84" i="8"/>
  <c r="R65" i="8"/>
  <c r="S45" i="8"/>
  <c r="R24" i="8"/>
  <c r="R4" i="8"/>
  <c r="R64" i="8"/>
  <c r="S44" i="8"/>
  <c r="R23" i="8"/>
  <c r="R3" i="8"/>
  <c r="R111" i="3"/>
  <c r="R90" i="3"/>
  <c r="R69" i="3"/>
  <c r="R68" i="3"/>
  <c r="R48" i="3"/>
  <c r="R47" i="3"/>
  <c r="R27" i="3"/>
  <c r="R26" i="3"/>
  <c r="R4" i="3"/>
  <c r="R3" i="3"/>
  <c r="Q108" i="2"/>
  <c r="Q87" i="2"/>
  <c r="Q66" i="2"/>
  <c r="Q45" i="2"/>
  <c r="Q3" i="2"/>
  <c r="Q4" i="2"/>
  <c r="P111" i="5"/>
  <c r="Q111" i="5" s="1"/>
  <c r="R111" i="5" s="1"/>
  <c r="R108" i="5"/>
  <c r="P90" i="5"/>
  <c r="Q90" i="5" s="1"/>
  <c r="R90" i="5" s="1"/>
  <c r="R87" i="5"/>
  <c r="P69" i="5"/>
  <c r="Q69" i="5" s="1"/>
  <c r="R69" i="5" s="1"/>
  <c r="R66" i="5"/>
  <c r="P49" i="5"/>
  <c r="Q49" i="5" s="1"/>
  <c r="R49" i="5" s="1"/>
  <c r="R46" i="5"/>
  <c r="P27" i="5"/>
  <c r="Q27" i="5" s="1"/>
  <c r="R27" i="5" s="1"/>
  <c r="R24" i="5"/>
  <c r="P8" i="5"/>
  <c r="Q8" i="5" s="1"/>
  <c r="R8" i="5" s="1"/>
  <c r="R5" i="5"/>
  <c r="R112" i="4"/>
  <c r="P112" i="4"/>
  <c r="Q112" i="4" s="1"/>
  <c r="R109" i="4"/>
  <c r="R89" i="4"/>
  <c r="R67" i="4"/>
  <c r="R46" i="4"/>
  <c r="R25" i="4"/>
  <c r="R3" i="4"/>
  <c r="R110" i="3"/>
  <c r="R89" i="3"/>
  <c r="Q107" i="2"/>
  <c r="Q86" i="2"/>
  <c r="Q65" i="2"/>
  <c r="Q44" i="2"/>
</calcChain>
</file>

<file path=xl/sharedStrings.xml><?xml version="1.0" encoding="utf-8"?>
<sst xmlns="http://schemas.openxmlformats.org/spreadsheetml/2006/main" count="3591" uniqueCount="100">
  <si>
    <t>Year</t>
  </si>
  <si>
    <t>Aus</t>
  </si>
  <si>
    <t>Aman</t>
  </si>
  <si>
    <t>Boro</t>
  </si>
  <si>
    <t>Jut</t>
  </si>
  <si>
    <t>Potato</t>
  </si>
  <si>
    <t>Wheat</t>
  </si>
  <si>
    <t>Rangpur</t>
  </si>
  <si>
    <t>Dinajpur</t>
  </si>
  <si>
    <t>District</t>
  </si>
  <si>
    <t>Dhaka</t>
  </si>
  <si>
    <t>Rajshahi</t>
  </si>
  <si>
    <t>Bagura</t>
  </si>
  <si>
    <t>Comilla</t>
  </si>
  <si>
    <t>Khulna</t>
  </si>
  <si>
    <t>Faridpur</t>
  </si>
  <si>
    <t>Patuakhali</t>
  </si>
  <si>
    <t>Mymensingh</t>
  </si>
  <si>
    <t>Jessore</t>
  </si>
  <si>
    <t>Barisal</t>
  </si>
  <si>
    <t>Sylhet</t>
  </si>
  <si>
    <t>Temperature</t>
  </si>
  <si>
    <t>Rainfall</t>
  </si>
  <si>
    <t>production</t>
  </si>
  <si>
    <t>SUMMARY OUTPUT</t>
  </si>
  <si>
    <t>Prediction</t>
  </si>
  <si>
    <t>Y=B0+B1*X1+B2*X2+…………….+BnXn</t>
  </si>
  <si>
    <t>Regression Statistics</t>
  </si>
  <si>
    <t>Multiple R</t>
  </si>
  <si>
    <t>ERROR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</si>
  <si>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</si>
  <si>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</si>
  <si>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</si>
  <si>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</si>
  <si>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</si>
  <si>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</si>
  <si>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</si>
  <si>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</si>
  <si>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</si>
  <si>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</si>
  <si>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</si>
  <si>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</si>
  <si>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</si>
  <si>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</si>
  <si>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</si>
  <si>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</si>
  <si>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</si>
  <si>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</si>
  <si>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</si>
  <si>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</si>
  <si>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</si>
  <si>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Amon</t>
  </si>
  <si>
    <t>Production</t>
  </si>
  <si>
    <t>Jute</t>
  </si>
  <si>
    <t>Error</t>
  </si>
  <si>
    <t>Real value</t>
  </si>
  <si>
    <t>Sub</t>
  </si>
  <si>
    <t>Divide</t>
  </si>
  <si>
    <t>Predicted value</t>
  </si>
  <si>
    <t>aus</t>
  </si>
  <si>
    <t>temp</t>
  </si>
  <si>
    <t>rain</t>
  </si>
  <si>
    <t>produc</t>
  </si>
  <si>
    <t>aman</t>
  </si>
  <si>
    <t>humidity</t>
  </si>
  <si>
    <t xml:space="preserve">sylhet </t>
  </si>
  <si>
    <t>comilla</t>
  </si>
  <si>
    <t>dhaka</t>
  </si>
  <si>
    <t>dinajpur</t>
  </si>
  <si>
    <t>sylhet</t>
  </si>
  <si>
    <t>mymensingh</t>
  </si>
  <si>
    <t>rajshahi</t>
  </si>
  <si>
    <t>rangpur</t>
  </si>
  <si>
    <t>jessore</t>
  </si>
  <si>
    <t>khulna</t>
  </si>
  <si>
    <t>kharif-1</t>
  </si>
  <si>
    <t>kharif-2</t>
  </si>
  <si>
    <t>rabi</t>
  </si>
  <si>
    <t>temperature</t>
  </si>
  <si>
    <t>rainfall</t>
  </si>
  <si>
    <t>humid</t>
  </si>
  <si>
    <t>faridpur</t>
  </si>
  <si>
    <t>prediction</t>
  </si>
  <si>
    <t>error</t>
  </si>
  <si>
    <t>jute</t>
  </si>
  <si>
    <t>temperaure</t>
  </si>
  <si>
    <t>potato</t>
  </si>
  <si>
    <t>wheat</t>
  </si>
  <si>
    <t>new temp</t>
  </si>
  <si>
    <t>new rain</t>
  </si>
  <si>
    <t>new humid</t>
  </si>
  <si>
    <t>rank</t>
  </si>
  <si>
    <t>euclidean distance</t>
  </si>
  <si>
    <t>label</t>
  </si>
  <si>
    <t>k</t>
  </si>
  <si>
    <t>Humidity</t>
  </si>
  <si>
    <t>Column1</t>
  </si>
  <si>
    <t>Column2</t>
  </si>
  <si>
    <t>Column3</t>
  </si>
  <si>
    <t xml:space="preserve">new rain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</si>
</sst>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3" xfId="0" applyFont="1" applyFill="1" applyBorder="1"/>
    <xf numFmtId="0" fontId="0" fillId="0" borderId="3" xfId="0" applyFont="1" applyBorder="1"/>
    <xf numFmtId="0" fontId="0" fillId="0" borderId="4" xfId="0" applyFont="1" applyBorder="1"/>
    <xf numFmtId="10" fontId="0" fillId="0" borderId="0" xfId="0" applyNumberFormat="1"/>
    <xf numFmtId="0" fontId="3" fillId="2" borderId="0" xfId="0" applyFont="1" applyFill="1" applyBorder="1"/>
    <xf numFmtId="9" fontId="0" fillId="0" borderId="0" xfId="0" applyNumberFormat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</cellXfs>
  <cellStyles count="1">
    <cellStyle name="Normal" xfId="0" builtinId="0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9" name="Table19" displayName="Table19" ref="A2:D12" totalsRowShown="0">
  <autoFilter ref="A2:D12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31" name="Table2232" displayName="Table2232" ref="A45:D55" totalsRowShown="0" headerRowDxfId="41" dataDxfId="40" tableBorderDxfId="39">
  <autoFilter ref="A45:D55"/>
  <tableColumns count="4">
    <tableColumn id="1" name="Temperature" dataDxfId="38"/>
    <tableColumn id="2" name="Rainfall" dataDxfId="37"/>
    <tableColumn id="3" name="humidity" dataDxfId="36"/>
    <tableColumn id="4" name="production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32" name="Table2333" displayName="Table2333" ref="A59:D69" totalsRowShown="0" headerRowDxfId="35" dataDxfId="34" tableBorderDxfId="33">
  <autoFilter ref="A59:D69"/>
  <tableColumns count="4">
    <tableColumn id="1" name="Temperature" dataDxfId="32"/>
    <tableColumn id="2" name="Rainfall" dataDxfId="31"/>
    <tableColumn id="3" name="Humidity" dataDxfId="30"/>
    <tableColumn id="4" name="production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33" name="Table2434" displayName="Table2434" ref="A73:D83" totalsRowShown="0" headerRowDxfId="29" dataDxfId="28" tableBorderDxfId="27">
  <autoFilter ref="A73:D83"/>
  <tableColumns count="4">
    <tableColumn id="1" name="Temperature" dataDxfId="26"/>
    <tableColumn id="2" name="Rainfall" dataDxfId="25"/>
    <tableColumn id="3" name="Humidity" dataDxfId="24"/>
    <tableColumn id="4" name="production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2:D12" totalsRowShown="0">
  <autoFilter ref="A2:D12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1" name="Table11" displayName="Table11" ref="A16:D26" totalsRowShown="0">
  <autoFilter ref="A16:D26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13" name="Table13" displayName="Table13" ref="A30:D40" totalsRowShown="0">
  <autoFilter ref="A30:D40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A44:D54" totalsRowShown="0">
  <autoFilter ref="A44:D54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A58:D68" totalsRowShown="0">
  <autoFilter ref="A58:D68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A72:D82" totalsRowShown="0">
  <autoFilter ref="A72:D82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" name="Table2" displayName="Table2" ref="A2:D12" totalsRowShown="0">
  <autoFilter ref="A2:D12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0" name="Table20" displayName="Table20" ref="A24:D34" totalsRowShown="0">
  <autoFilter ref="A24:D34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" name="Table1" displayName="Table1" ref="A25:D35" totalsRowShown="0">
  <autoFilter ref="A25:D35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3" name="Table3" displayName="Table3" ref="B48:E58" totalsRowShown="0">
  <autoFilter ref="B48:E58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5" name="Table5" displayName="Table5" ref="A70:D80" totalsRowShown="0">
  <autoFilter ref="A70:D80"/>
  <tableColumns count="4">
    <tableColumn id="1" name="tempera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6" name="Table6" displayName="Table6" ref="A93:D103" totalsRowShown="0" headerRowDxfId="23" dataDxfId="22" tableBorderDxfId="21">
  <autoFilter ref="A93:D103"/>
  <tableColumns count="4">
    <tableColumn id="1" name="temperature" dataDxfId="20"/>
    <tableColumn id="2" name="rainfall" dataDxfId="19"/>
    <tableColumn id="3" name="humidity" dataDxfId="18"/>
    <tableColumn id="4" name="production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7" name="Table7" displayName="Table7" ref="A115:D125" totalsRowShown="0" headerRowDxfId="17" dataDxfId="16" tableBorderDxfId="15">
  <autoFilter ref="A115:D125"/>
  <tableColumns count="4">
    <tableColumn id="1" name="temperature" dataDxfId="14"/>
    <tableColumn id="2" name="rainfall" dataDxfId="13"/>
    <tableColumn id="3" name="humidity" dataDxfId="12"/>
    <tableColumn id="4" name="production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25" name="Table25" displayName="Table25" ref="A2:D12" totalsRowShown="0">
  <autoFilter ref="A2:D12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27" name="Table27" displayName="Table27" ref="A16:D26" totalsRowShown="0">
  <autoFilter ref="A16:D26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30" name="Table30" displayName="Table30" ref="A30:D40" totalsRowShown="0">
  <autoFilter ref="A30:D40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34" name="Table34" displayName="Table34" ref="A44:D54" totalsRowShown="0">
  <autoFilter ref="A44:D54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35" name="Table35" displayName="Table35" ref="A58:D68" totalsRowShown="0">
  <autoFilter ref="A58:D68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1" name="Table21" displayName="Table21" ref="A47:D57" totalsRowShown="0">
  <autoFilter ref="A47:D57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id="36" name="Table36" displayName="Table36" ref="A72:D82" totalsRowShown="0">
  <autoFilter ref="A72:D82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id="43" name="Table43" displayName="Table43" ref="A2:D12" totalsRowShown="0">
  <autoFilter ref="A2:D12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id="44" name="Table44" displayName="Table44" ref="A16:D26" totalsRowShown="0">
  <autoFilter ref="A16:D26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id="45" name="Table45" displayName="Table45" ref="A30:D40" totalsRowShown="0">
  <autoFilter ref="A30:D40"/>
  <tableColumns count="4">
    <tableColumn id="1" name="Temperature"/>
    <tableColumn id="2" name="Rainfall"/>
    <tableColumn id="3" name="Humidity"/>
    <tableColumn id="4" name="prediction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id="46" name="Table46" displayName="Table46" ref="A44:D54" totalsRowShown="0">
  <autoFilter ref="A44:D54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id="8" name="Table29" displayName="Table29" ref="A2:D12" totalsRowShown="0">
  <autoFilter ref="A2:D12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id="9" name="Table110" displayName="Table110" ref="A15:D25" totalsRowShown="0">
  <autoFilter ref="A15:D25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id="10" name="Table311" displayName="Table311" ref="A28:D38" totalsRowShown="0">
  <autoFilter ref="A28:D38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id="12" name="Table513" displayName="Table513" ref="A42:D52" totalsRowShown="0">
  <autoFilter ref="A42:D52"/>
  <tableColumns count="4">
    <tableColumn id="1" name="tempera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id="14" name="Table615" displayName="Table615" ref="A56:D66" totalsRowShown="0" headerRowDxfId="11" dataDxfId="10" tableBorderDxfId="9">
  <autoFilter ref="A56:D66"/>
  <tableColumns count="4">
    <tableColumn id="1" name="temperature" dataDxfId="8"/>
    <tableColumn id="2" name="rainfall" dataDxfId="7"/>
    <tableColumn id="3" name="humidity" dataDxfId="6"/>
    <tableColumn id="4" name="productio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2" name="Table22" displayName="Table22" ref="A70:D80" totalsRowShown="0" headerRowDxfId="59" dataDxfId="58" tableBorderDxfId="57">
  <autoFilter ref="A70:D80"/>
  <tableColumns count="4">
    <tableColumn id="1" name="Temperature" dataDxfId="56"/>
    <tableColumn id="2" name="Rainfall" dataDxfId="55"/>
    <tableColumn id="3" name="humidity" dataDxfId="54"/>
    <tableColumn id="4" name="production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id="15" name="Table716" displayName="Table716" ref="A70:D80" totalsRowShown="0" headerRowDxfId="5" dataDxfId="4" tableBorderDxfId="3">
  <autoFilter ref="A70:D80"/>
  <tableColumns count="4">
    <tableColumn id="1" name="temperature" dataDxfId="2"/>
    <tableColumn id="2" name="rainfall" dataDxfId="1"/>
    <tableColumn id="3" name="humidity" dataDxfId="0"/>
    <tableColumn id="4" name="production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id="42" name="Table42" displayName="Table42" ref="A112:D123" totalsRowShown="0">
  <autoFilter ref="A112:D123"/>
  <tableColumns count="4">
    <tableColumn id="1" name="Column1"/>
    <tableColumn id="2" name="wheat"/>
    <tableColumn id="3" name="Column2"/>
    <tableColumn id="4" name="Column3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id="37" name="Table37" displayName="Table37" ref="A3:D13" totalsRowShown="0">
  <autoFilter ref="A3:D13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43.xml><?xml version="1.0" encoding="utf-8"?>
<table xmlns="http://schemas.openxmlformats.org/spreadsheetml/2006/main" id="38" name="Table38" displayName="Table38" ref="A17:D27" totalsRowShown="0">
  <autoFilter ref="A17:D27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44.xml><?xml version="1.0" encoding="utf-8"?>
<table xmlns="http://schemas.openxmlformats.org/spreadsheetml/2006/main" id="39" name="Table39" displayName="Table39" ref="A31:D41" totalsRowShown="0">
  <autoFilter ref="A31:D41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45.xml><?xml version="1.0" encoding="utf-8"?>
<table xmlns="http://schemas.openxmlformats.org/spreadsheetml/2006/main" id="40" name="Table40" displayName="Table40" ref="A44:D55" totalsRowShown="0">
  <autoFilter ref="A44:D55"/>
  <tableColumns count="4">
    <tableColumn id="1" name="Column1"/>
    <tableColumn id="2" name="Jute"/>
    <tableColumn id="3" name="Column2"/>
    <tableColumn id="4" name="Column3"/>
  </tableColumns>
  <tableStyleInfo name="TableStyleLight9" showFirstColumn="0" showLastColumn="0" showRowStripes="1" showColumnStripes="0"/>
</table>
</file>

<file path=xl/tables/table46.xml><?xml version="1.0" encoding="utf-8"?>
<table xmlns="http://schemas.openxmlformats.org/spreadsheetml/2006/main" id="41" name="Table41" displayName="Table41" ref="A58:D69" totalsRowShown="0">
  <autoFilter ref="A58:D69"/>
  <tableColumns count="4">
    <tableColumn id="1" name="Column1"/>
    <tableColumn id="2" name="Potato"/>
    <tableColumn id="3" name="Column2"/>
    <tableColumn id="4" name="Column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3" name="Table23" displayName="Table23" ref="A93:D103" totalsRowShown="0" headerRowDxfId="53" dataDxfId="52" tableBorderDxfId="51">
  <autoFilter ref="A93:D103"/>
  <tableColumns count="4">
    <tableColumn id="1" name="Temperature" dataDxfId="50"/>
    <tableColumn id="2" name="Rainfall" dataDxfId="49"/>
    <tableColumn id="3" name="Humidity" dataDxfId="48"/>
    <tableColumn id="4" name="production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4" name="Table24" displayName="Table24" ref="A115:D125" totalsRowShown="0" headerRowDxfId="47" dataDxfId="46" tableBorderDxfId="45">
  <autoFilter ref="A115:D125"/>
  <tableColumns count="4">
    <tableColumn id="1" name="Temperature" dataDxfId="44"/>
    <tableColumn id="2" name="Rainfall" dataDxfId="43"/>
    <tableColumn id="3" name="Humidity" dataDxfId="42"/>
    <tableColumn id="4" name="production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26" name="Table1927" displayName="Table1927" ref="A2:D12" totalsRowShown="0">
  <autoFilter ref="A2:D12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8" name="Table2029" displayName="Table2029" ref="A16:D26" totalsRowShown="0">
  <autoFilter ref="A16:D26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29" name="Table2130" displayName="Table2130" ref="A30:D40" totalsRowShown="0">
  <autoFilter ref="A30:D40"/>
  <tableColumns count="4">
    <tableColumn id="1" name="Temperature"/>
    <tableColumn id="2" name="Rainfall"/>
    <tableColumn id="3" name="Humidity"/>
    <tableColumn id="4" name="produc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4" Type="http://schemas.openxmlformats.org/officeDocument/2006/relationships/table" Target="../tables/table3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table" Target="../tables/table35.xml"/><Relationship Id="rId6" Type="http://schemas.openxmlformats.org/officeDocument/2006/relationships/table" Target="../tables/table40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table" Target="../tables/table42.xml"/><Relationship Id="rId5" Type="http://schemas.openxmlformats.org/officeDocument/2006/relationships/table" Target="../tables/table46.xml"/><Relationship Id="rId4" Type="http://schemas.openxmlformats.org/officeDocument/2006/relationships/table" Target="../tables/table4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topLeftCell="A40" workbookViewId="0">
      <selection activeCell="H60" sqref="H60"/>
    </sheetView>
  </sheetViews>
  <sheetFormatPr defaultRowHeight="15" x14ac:dyDescent="0.25"/>
  <cols>
    <col min="9" max="9" width="12" customWidth="1"/>
    <col min="19" max="19" width="12.140625" customWidth="1"/>
  </cols>
  <sheetData>
    <row r="1" spans="1:20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21</v>
      </c>
      <c r="J1" t="s">
        <v>22</v>
      </c>
      <c r="K1" t="s">
        <v>65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21</v>
      </c>
      <c r="T1" t="s">
        <v>22</v>
      </c>
    </row>
    <row r="2" spans="1:20" x14ac:dyDescent="0.25">
      <c r="A2" t="s">
        <v>13</v>
      </c>
      <c r="B2">
        <v>2004</v>
      </c>
      <c r="C2">
        <v>0.72199999999999998</v>
      </c>
      <c r="D2">
        <v>0.82899999999999996</v>
      </c>
      <c r="E2">
        <v>1.3120000000000001</v>
      </c>
      <c r="F2">
        <v>4.3099999999999996</v>
      </c>
      <c r="G2">
        <v>6.8259999999999996</v>
      </c>
      <c r="H2">
        <v>0.75700000000000001</v>
      </c>
      <c r="I2">
        <v>25.625</v>
      </c>
      <c r="J2">
        <v>202</v>
      </c>
      <c r="L2">
        <v>2004</v>
      </c>
      <c r="M2">
        <v>0.73299999999999998</v>
      </c>
      <c r="N2">
        <v>0.84299999999999997</v>
      </c>
      <c r="O2">
        <v>0.99</v>
      </c>
      <c r="P2">
        <v>2.99</v>
      </c>
      <c r="Q2">
        <v>3.883</v>
      </c>
      <c r="R2">
        <v>0.84599999999999997</v>
      </c>
      <c r="S2">
        <v>25.57</v>
      </c>
      <c r="T2">
        <v>355.3</v>
      </c>
    </row>
    <row r="3" spans="1:20" x14ac:dyDescent="0.25">
      <c r="B3">
        <v>2005</v>
      </c>
      <c r="C3">
        <v>0.67800000000000005</v>
      </c>
      <c r="D3">
        <v>0.71199999999999997</v>
      </c>
      <c r="E3">
        <v>1.39</v>
      </c>
      <c r="F3">
        <v>4.3099999999999996</v>
      </c>
      <c r="G3">
        <v>6.8259999999999996</v>
      </c>
      <c r="H3">
        <v>0.67500000000000004</v>
      </c>
      <c r="I3">
        <v>25.94</v>
      </c>
      <c r="J3">
        <v>218</v>
      </c>
      <c r="L3">
        <v>2005</v>
      </c>
      <c r="M3">
        <v>0.53700000000000003</v>
      </c>
      <c r="N3">
        <v>0.78400000000000003</v>
      </c>
      <c r="O3">
        <v>1.0940000000000001</v>
      </c>
      <c r="P3">
        <v>2.99</v>
      </c>
      <c r="Q3">
        <v>3.883</v>
      </c>
      <c r="R3">
        <v>0.76200000000000001</v>
      </c>
      <c r="S3">
        <v>25.7</v>
      </c>
      <c r="T3">
        <v>346</v>
      </c>
    </row>
    <row r="4" spans="1:20" x14ac:dyDescent="0.25">
      <c r="B4">
        <v>2006</v>
      </c>
      <c r="C4">
        <v>0.73899999999999999</v>
      </c>
      <c r="D4">
        <v>0.79800000000000004</v>
      </c>
      <c r="E4">
        <v>1.429</v>
      </c>
      <c r="F4">
        <v>4.09</v>
      </c>
      <c r="G4">
        <v>5.8150000000000004</v>
      </c>
      <c r="H4">
        <v>0.498</v>
      </c>
      <c r="I4">
        <v>26.2</v>
      </c>
      <c r="J4">
        <v>161</v>
      </c>
      <c r="L4">
        <v>2006</v>
      </c>
      <c r="M4">
        <v>0.78200000000000003</v>
      </c>
      <c r="N4">
        <v>0.82599999999999996</v>
      </c>
      <c r="O4">
        <v>1.0840000000000001</v>
      </c>
      <c r="P4">
        <v>3.032</v>
      </c>
      <c r="Q4">
        <v>4.1500000000000004</v>
      </c>
      <c r="R4">
        <v>0.60299999999999998</v>
      </c>
      <c r="S4">
        <v>26.27</v>
      </c>
      <c r="T4">
        <v>293</v>
      </c>
    </row>
    <row r="5" spans="1:20" x14ac:dyDescent="0.25">
      <c r="B5">
        <v>2007</v>
      </c>
      <c r="C5">
        <v>0.77500000000000002</v>
      </c>
      <c r="D5">
        <v>0.76500000000000001</v>
      </c>
      <c r="E5">
        <v>1.4179999999999999</v>
      </c>
      <c r="F5">
        <v>4.51</v>
      </c>
      <c r="G5">
        <v>5.0289999999999999</v>
      </c>
      <c r="H5">
        <v>0.61099999999999999</v>
      </c>
      <c r="I5">
        <v>25.54</v>
      </c>
      <c r="J5">
        <v>208</v>
      </c>
      <c r="L5">
        <v>2007</v>
      </c>
      <c r="M5">
        <v>0.76300000000000001</v>
      </c>
      <c r="N5">
        <v>0.82499999999999996</v>
      </c>
      <c r="O5">
        <v>0.80800000000000005</v>
      </c>
      <c r="P5">
        <v>3.1059999999999999</v>
      </c>
      <c r="Q5">
        <v>4.4039999999999999</v>
      </c>
      <c r="R5">
        <v>0.49</v>
      </c>
      <c r="S5">
        <v>25.96</v>
      </c>
      <c r="T5">
        <v>361</v>
      </c>
    </row>
    <row r="6" spans="1:20" x14ac:dyDescent="0.25">
      <c r="B6">
        <v>2008</v>
      </c>
      <c r="C6">
        <v>0.65500000000000003</v>
      </c>
      <c r="D6">
        <v>0.76400000000000001</v>
      </c>
      <c r="E6">
        <v>1.54</v>
      </c>
      <c r="F6">
        <v>4.2</v>
      </c>
      <c r="G6">
        <v>6.74</v>
      </c>
      <c r="H6">
        <v>0.65400000000000003</v>
      </c>
      <c r="I6">
        <v>25.67</v>
      </c>
      <c r="J6">
        <v>171</v>
      </c>
      <c r="L6">
        <v>2008</v>
      </c>
      <c r="M6">
        <v>0.69699999999999995</v>
      </c>
      <c r="N6">
        <v>0.77</v>
      </c>
      <c r="O6">
        <v>0.96899999999999997</v>
      </c>
      <c r="P6">
        <v>3.306</v>
      </c>
      <c r="Q6">
        <v>4.4189999999999996</v>
      </c>
      <c r="R6">
        <v>0.78300000000000003</v>
      </c>
      <c r="S6">
        <v>25.63</v>
      </c>
      <c r="T6">
        <v>245</v>
      </c>
    </row>
    <row r="7" spans="1:20" x14ac:dyDescent="0.25">
      <c r="B7">
        <v>2009</v>
      </c>
      <c r="C7">
        <v>0.79800000000000004</v>
      </c>
      <c r="D7">
        <v>0.85699999999999998</v>
      </c>
      <c r="E7">
        <v>1.5049999999999999</v>
      </c>
      <c r="F7">
        <v>4.24</v>
      </c>
      <c r="G7">
        <v>6.1349999999999998</v>
      </c>
      <c r="H7">
        <v>0.64500000000000002</v>
      </c>
      <c r="I7">
        <v>26.24</v>
      </c>
      <c r="J7">
        <v>152</v>
      </c>
      <c r="L7">
        <v>2009</v>
      </c>
      <c r="M7">
        <v>0.71299999999999997</v>
      </c>
      <c r="N7">
        <v>0.89200000000000002</v>
      </c>
      <c r="O7">
        <v>0.90900000000000003</v>
      </c>
      <c r="P7">
        <v>3.133</v>
      </c>
      <c r="Q7">
        <v>5.3150000000000004</v>
      </c>
      <c r="R7">
        <v>0.84</v>
      </c>
      <c r="S7">
        <v>26.27</v>
      </c>
      <c r="T7">
        <v>273</v>
      </c>
    </row>
    <row r="8" spans="1:20" x14ac:dyDescent="0.25">
      <c r="B8">
        <v>2010</v>
      </c>
      <c r="C8">
        <v>0.85199999999999998</v>
      </c>
      <c r="D8">
        <v>0.92700000000000005</v>
      </c>
      <c r="E8">
        <v>1.571</v>
      </c>
      <c r="F8">
        <v>4.12</v>
      </c>
      <c r="G8">
        <v>8.2089999999999996</v>
      </c>
      <c r="H8">
        <v>0.66800000000000004</v>
      </c>
      <c r="I8">
        <v>26.31</v>
      </c>
      <c r="J8">
        <v>131</v>
      </c>
      <c r="L8">
        <v>2010</v>
      </c>
      <c r="M8">
        <v>0.82699999999999996</v>
      </c>
      <c r="N8">
        <v>0.98799999999999999</v>
      </c>
      <c r="O8">
        <v>1.165</v>
      </c>
      <c r="P8">
        <v>3.012</v>
      </c>
      <c r="Q8">
        <v>5.3330000000000002</v>
      </c>
      <c r="R8">
        <v>0.83</v>
      </c>
      <c r="S8">
        <v>25.99</v>
      </c>
      <c r="T8">
        <v>411</v>
      </c>
    </row>
    <row r="9" spans="1:20" x14ac:dyDescent="0.25">
      <c r="B9">
        <v>2011</v>
      </c>
      <c r="C9">
        <v>0.875</v>
      </c>
      <c r="D9">
        <v>0.96699999999999997</v>
      </c>
      <c r="E9">
        <v>1.575</v>
      </c>
      <c r="F9">
        <v>4.05</v>
      </c>
      <c r="G9">
        <v>7.819</v>
      </c>
      <c r="H9">
        <v>0.89100000000000001</v>
      </c>
      <c r="I9">
        <v>25.72</v>
      </c>
      <c r="J9">
        <v>157</v>
      </c>
      <c r="L9">
        <v>2011</v>
      </c>
      <c r="M9">
        <v>0.78900000000000003</v>
      </c>
      <c r="N9">
        <v>0.98699999999999999</v>
      </c>
      <c r="O9">
        <v>1.2150000000000001</v>
      </c>
      <c r="P9">
        <v>3.01</v>
      </c>
      <c r="Q9">
        <v>4.0780000000000003</v>
      </c>
      <c r="R9">
        <v>0.71799999999999997</v>
      </c>
      <c r="S9">
        <v>25.97</v>
      </c>
      <c r="T9">
        <v>258</v>
      </c>
    </row>
    <row r="10" spans="1:20" x14ac:dyDescent="0.25">
      <c r="B10">
        <v>2012</v>
      </c>
      <c r="C10">
        <v>0.91400000000000003</v>
      </c>
      <c r="D10">
        <v>0.97199999999999998</v>
      </c>
      <c r="E10">
        <v>1.55</v>
      </c>
      <c r="F10">
        <v>3.7</v>
      </c>
      <c r="G10">
        <v>8.3889999999999993</v>
      </c>
      <c r="H10">
        <v>0.82699999999999996</v>
      </c>
      <c r="I10">
        <v>25.77</v>
      </c>
      <c r="J10">
        <v>160</v>
      </c>
      <c r="L10">
        <v>2012</v>
      </c>
      <c r="M10">
        <v>0.91400000000000003</v>
      </c>
      <c r="N10">
        <v>0.96499999999999997</v>
      </c>
      <c r="O10">
        <v>1.1259999999999999</v>
      </c>
      <c r="P10">
        <v>3.19</v>
      </c>
      <c r="Q10">
        <v>3.988</v>
      </c>
      <c r="R10">
        <v>0.81100000000000005</v>
      </c>
      <c r="S10">
        <v>25.57</v>
      </c>
      <c r="T10">
        <v>384</v>
      </c>
    </row>
    <row r="11" spans="1:20" x14ac:dyDescent="0.25">
      <c r="B11">
        <v>2013</v>
      </c>
      <c r="C11">
        <v>0.97</v>
      </c>
      <c r="D11">
        <v>0.95199999999999996</v>
      </c>
      <c r="E11">
        <v>1.6080000000000001</v>
      </c>
      <c r="F11">
        <v>4.24</v>
      </c>
      <c r="G11">
        <v>7.1929999999999996</v>
      </c>
      <c r="H11">
        <v>0.95</v>
      </c>
      <c r="I11">
        <v>25.9</v>
      </c>
      <c r="J11">
        <v>136</v>
      </c>
      <c r="L11">
        <v>2013</v>
      </c>
      <c r="M11">
        <v>0.9</v>
      </c>
      <c r="N11">
        <v>0.873</v>
      </c>
      <c r="O11">
        <v>1.2330000000000001</v>
      </c>
      <c r="P11">
        <v>3.3730000000000002</v>
      </c>
      <c r="Q11">
        <v>4.4649999999999999</v>
      </c>
      <c r="R11">
        <v>0.95399999999999996</v>
      </c>
      <c r="S11">
        <v>26.01</v>
      </c>
      <c r="T11">
        <v>318</v>
      </c>
    </row>
    <row r="12" spans="1:20" x14ac:dyDescent="0.25">
      <c r="B12">
        <v>2014</v>
      </c>
      <c r="C12">
        <v>1.0960000000000001</v>
      </c>
      <c r="D12">
        <v>0.94199999999999995</v>
      </c>
      <c r="E12">
        <v>1.5489999999999999</v>
      </c>
      <c r="F12">
        <v>3.49</v>
      </c>
      <c r="G12">
        <v>8.077</v>
      </c>
      <c r="H12">
        <v>0.92800000000000005</v>
      </c>
      <c r="I12">
        <v>26.15</v>
      </c>
      <c r="J12">
        <v>136.25</v>
      </c>
      <c r="L12">
        <v>2014</v>
      </c>
      <c r="M12">
        <v>1.1040000000000001</v>
      </c>
      <c r="N12">
        <v>1.0169999999999999</v>
      </c>
      <c r="O12">
        <v>1.17</v>
      </c>
      <c r="P12">
        <v>3.3759999999999999</v>
      </c>
      <c r="Q12">
        <v>4.181</v>
      </c>
      <c r="R12">
        <v>0.89200000000000002</v>
      </c>
      <c r="S12">
        <v>26.1</v>
      </c>
      <c r="T12">
        <v>281</v>
      </c>
    </row>
    <row r="13" spans="1:20" x14ac:dyDescent="0.25">
      <c r="B13">
        <v>2015</v>
      </c>
      <c r="C13">
        <v>1.014</v>
      </c>
      <c r="D13">
        <v>0.85099999999999998</v>
      </c>
      <c r="E13">
        <v>1.482</v>
      </c>
      <c r="F13">
        <v>4.08</v>
      </c>
      <c r="G13">
        <v>8.0150000000000006</v>
      </c>
      <c r="H13">
        <v>0.89400000000000002</v>
      </c>
      <c r="L13">
        <v>2015</v>
      </c>
      <c r="M13">
        <v>1.0529999999999999</v>
      </c>
      <c r="N13">
        <v>0.86199999999999999</v>
      </c>
      <c r="O13">
        <v>1.1659999999999999</v>
      </c>
      <c r="P13">
        <v>3.133</v>
      </c>
      <c r="Q13">
        <v>4.0190000000000001</v>
      </c>
      <c r="R13">
        <v>0.72299999999999998</v>
      </c>
    </row>
    <row r="14" spans="1:20" x14ac:dyDescent="0.25">
      <c r="B14">
        <v>2016</v>
      </c>
      <c r="L14">
        <v>2016</v>
      </c>
    </row>
    <row r="15" spans="1:20" x14ac:dyDescent="0.25">
      <c r="B15">
        <v>2017</v>
      </c>
      <c r="L15">
        <v>2017</v>
      </c>
    </row>
    <row r="17" spans="1:20" x14ac:dyDescent="0.25">
      <c r="A17" t="s">
        <v>9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21</v>
      </c>
      <c r="J17" t="s">
        <v>22</v>
      </c>
      <c r="K17" t="s">
        <v>9</v>
      </c>
      <c r="L17" t="s">
        <v>0</v>
      </c>
      <c r="M17" t="s">
        <v>1</v>
      </c>
      <c r="N17" t="s">
        <v>2</v>
      </c>
      <c r="O17" t="s">
        <v>3</v>
      </c>
      <c r="P17" t="s">
        <v>4</v>
      </c>
      <c r="Q17" t="s">
        <v>5</v>
      </c>
      <c r="R17" t="s">
        <v>6</v>
      </c>
      <c r="S17" t="s">
        <v>21</v>
      </c>
      <c r="T17" t="s">
        <v>22</v>
      </c>
    </row>
    <row r="18" spans="1:20" x14ac:dyDescent="0.25">
      <c r="A18" t="s">
        <v>10</v>
      </c>
      <c r="B18">
        <v>2004</v>
      </c>
      <c r="C18">
        <v>0.43099999999999999</v>
      </c>
      <c r="D18">
        <v>0.86399999999999999</v>
      </c>
      <c r="E18">
        <v>1.4490000000000001</v>
      </c>
      <c r="F18">
        <v>3.1</v>
      </c>
      <c r="G18">
        <v>5.3979999999999997</v>
      </c>
      <c r="H18">
        <v>0.70899999999999996</v>
      </c>
      <c r="I18">
        <v>26.225000000000001</v>
      </c>
      <c r="J18">
        <v>195.58</v>
      </c>
      <c r="K18" t="s">
        <v>15</v>
      </c>
      <c r="L18">
        <v>2004</v>
      </c>
      <c r="M18">
        <v>0.434</v>
      </c>
      <c r="N18">
        <v>0.58299999999999996</v>
      </c>
      <c r="O18">
        <v>1.5569999999999999</v>
      </c>
      <c r="P18">
        <v>5.22</v>
      </c>
      <c r="Q18">
        <v>3.3559999999999999</v>
      </c>
      <c r="R18">
        <v>0.81100000000000005</v>
      </c>
      <c r="S18">
        <v>26.08</v>
      </c>
      <c r="T18">
        <v>166.75</v>
      </c>
    </row>
    <row r="19" spans="1:20" x14ac:dyDescent="0.25">
      <c r="B19">
        <v>2005</v>
      </c>
      <c r="C19">
        <v>0.39700000000000002</v>
      </c>
      <c r="D19">
        <v>0.65900000000000003</v>
      </c>
      <c r="E19">
        <v>1.5429999999999999</v>
      </c>
      <c r="F19">
        <v>3.1</v>
      </c>
      <c r="G19">
        <v>5.3979999999999997</v>
      </c>
      <c r="H19">
        <v>0.70899999999999996</v>
      </c>
      <c r="I19">
        <v>26.6</v>
      </c>
      <c r="J19">
        <v>219</v>
      </c>
      <c r="L19">
        <v>2005</v>
      </c>
      <c r="M19">
        <v>0.34300000000000003</v>
      </c>
      <c r="N19">
        <v>0.44700000000000001</v>
      </c>
      <c r="O19">
        <v>1.5669999999999999</v>
      </c>
      <c r="P19">
        <v>5.22</v>
      </c>
      <c r="Q19">
        <v>3.3559999999999999</v>
      </c>
      <c r="R19">
        <v>0.59599999999999997</v>
      </c>
      <c r="S19">
        <v>25.87</v>
      </c>
      <c r="T19">
        <v>137</v>
      </c>
    </row>
    <row r="20" spans="1:20" x14ac:dyDescent="0.25">
      <c r="B20">
        <v>2006</v>
      </c>
      <c r="C20">
        <v>0.48799999999999999</v>
      </c>
      <c r="D20">
        <v>0.72099999999999997</v>
      </c>
      <c r="E20">
        <v>1.4430000000000001</v>
      </c>
      <c r="F20">
        <v>4.42</v>
      </c>
      <c r="G20">
        <v>6.5469999999999997</v>
      </c>
      <c r="H20">
        <v>0.59599999999999997</v>
      </c>
      <c r="I20">
        <v>26.87</v>
      </c>
      <c r="J20">
        <v>159</v>
      </c>
      <c r="L20">
        <v>2006</v>
      </c>
      <c r="M20">
        <v>0.371</v>
      </c>
      <c r="N20">
        <v>0.57199999999999995</v>
      </c>
      <c r="O20">
        <v>1.59</v>
      </c>
      <c r="P20">
        <v>5.4</v>
      </c>
      <c r="Q20">
        <v>6.9539999999999997</v>
      </c>
      <c r="R20">
        <v>0.56299999999999994</v>
      </c>
      <c r="S20">
        <v>26.6</v>
      </c>
      <c r="T20">
        <v>137</v>
      </c>
    </row>
    <row r="21" spans="1:20" x14ac:dyDescent="0.25">
      <c r="B21">
        <v>2007</v>
      </c>
      <c r="C21">
        <v>0.35499999999999998</v>
      </c>
      <c r="D21">
        <v>0.56699999999999995</v>
      </c>
      <c r="E21">
        <v>1.532</v>
      </c>
      <c r="F21">
        <v>3.9</v>
      </c>
      <c r="G21">
        <v>8.0500000000000007</v>
      </c>
      <c r="H21">
        <v>0.56599999999999995</v>
      </c>
      <c r="I21">
        <v>26.16</v>
      </c>
      <c r="J21">
        <v>190</v>
      </c>
      <c r="L21">
        <v>2007</v>
      </c>
      <c r="M21">
        <v>0.30199999999999999</v>
      </c>
      <c r="N21">
        <v>0.63500000000000001</v>
      </c>
      <c r="O21">
        <v>1.5329999999999999</v>
      </c>
      <c r="P21">
        <v>5.32</v>
      </c>
      <c r="Q21">
        <v>7.1029999999999998</v>
      </c>
      <c r="R21">
        <v>0.67800000000000005</v>
      </c>
      <c r="S21">
        <v>25.95</v>
      </c>
      <c r="T21">
        <v>170</v>
      </c>
    </row>
    <row r="22" spans="1:20" x14ac:dyDescent="0.25">
      <c r="B22">
        <v>2008</v>
      </c>
      <c r="C22">
        <v>0.41</v>
      </c>
      <c r="D22">
        <v>0.52900000000000003</v>
      </c>
      <c r="E22">
        <v>1.794</v>
      </c>
      <c r="F22">
        <v>3.44</v>
      </c>
      <c r="G22">
        <v>8.5259999999999998</v>
      </c>
      <c r="H22">
        <v>0.59599999999999997</v>
      </c>
      <c r="I22">
        <v>26.38</v>
      </c>
      <c r="J22">
        <v>198</v>
      </c>
      <c r="L22">
        <v>2008</v>
      </c>
      <c r="M22">
        <v>0.27900000000000003</v>
      </c>
      <c r="N22">
        <v>0.54400000000000004</v>
      </c>
      <c r="O22">
        <v>1.591</v>
      </c>
      <c r="P22">
        <v>3.86</v>
      </c>
      <c r="Q22">
        <v>7.3339999999999996</v>
      </c>
      <c r="R22">
        <v>0.83199999999999996</v>
      </c>
      <c r="S22">
        <v>26.04</v>
      </c>
      <c r="T22">
        <v>120</v>
      </c>
    </row>
    <row r="23" spans="1:20" x14ac:dyDescent="0.25">
      <c r="B23">
        <v>2009</v>
      </c>
      <c r="C23">
        <v>0.53700000000000003</v>
      </c>
      <c r="D23">
        <v>0.72199999999999998</v>
      </c>
      <c r="E23">
        <v>1.73</v>
      </c>
      <c r="F23">
        <v>4.0199999999999996</v>
      </c>
      <c r="G23">
        <v>6.6230000000000002</v>
      </c>
      <c r="H23">
        <v>0.82199999999999995</v>
      </c>
      <c r="I23">
        <v>27.07</v>
      </c>
      <c r="J23">
        <v>160</v>
      </c>
      <c r="L23">
        <v>2009</v>
      </c>
      <c r="M23">
        <v>0.39800000000000002</v>
      </c>
      <c r="N23">
        <v>0.75800000000000001</v>
      </c>
      <c r="O23">
        <v>1.6679999999999999</v>
      </c>
      <c r="P23">
        <v>4.3600000000000003</v>
      </c>
      <c r="Q23">
        <v>4.8230000000000004</v>
      </c>
      <c r="R23">
        <v>0.76800000000000002</v>
      </c>
      <c r="S23">
        <v>25.85</v>
      </c>
      <c r="T23">
        <v>179</v>
      </c>
    </row>
    <row r="24" spans="1:20" x14ac:dyDescent="0.25">
      <c r="B24">
        <v>2010</v>
      </c>
      <c r="C24">
        <v>0.60799999999999998</v>
      </c>
      <c r="D24">
        <v>0.57399999999999995</v>
      </c>
      <c r="E24">
        <v>1.6279999999999999</v>
      </c>
      <c r="F24">
        <v>4.37</v>
      </c>
      <c r="G24">
        <v>7.7549999999999999</v>
      </c>
      <c r="H24">
        <v>0.45200000000000001</v>
      </c>
      <c r="I24">
        <v>27.12</v>
      </c>
      <c r="J24">
        <v>126</v>
      </c>
      <c r="L24">
        <v>2010</v>
      </c>
      <c r="M24">
        <v>0.377</v>
      </c>
      <c r="N24">
        <v>0.78900000000000003</v>
      </c>
      <c r="O24">
        <v>1.5740000000000001</v>
      </c>
      <c r="P24">
        <v>5.13</v>
      </c>
      <c r="Q24">
        <v>6.9550000000000001</v>
      </c>
      <c r="R24">
        <v>1.1719999999999999</v>
      </c>
      <c r="S24">
        <v>26.78</v>
      </c>
      <c r="T24">
        <v>162</v>
      </c>
    </row>
    <row r="25" spans="1:20" x14ac:dyDescent="0.25">
      <c r="B25">
        <v>2011</v>
      </c>
      <c r="C25">
        <v>0.66800000000000004</v>
      </c>
      <c r="D25">
        <v>0.58199999999999996</v>
      </c>
      <c r="E25">
        <v>1.7969999999999999</v>
      </c>
      <c r="F25">
        <v>4.18</v>
      </c>
      <c r="G25">
        <v>7.73</v>
      </c>
      <c r="H25">
        <v>1.448</v>
      </c>
      <c r="I25">
        <v>26.26</v>
      </c>
      <c r="J25">
        <v>148</v>
      </c>
      <c r="L25">
        <v>2011</v>
      </c>
      <c r="M25">
        <v>0.36299999999999999</v>
      </c>
      <c r="N25">
        <v>0.78800000000000003</v>
      </c>
      <c r="O25">
        <v>1.6779999999999999</v>
      </c>
      <c r="P25">
        <v>4.8600000000000003</v>
      </c>
      <c r="Q25">
        <v>4.6230000000000002</v>
      </c>
      <c r="R25">
        <v>0.93700000000000006</v>
      </c>
      <c r="S25">
        <v>25.95</v>
      </c>
      <c r="T25">
        <v>125</v>
      </c>
    </row>
    <row r="26" spans="1:20" x14ac:dyDescent="0.25">
      <c r="B26">
        <v>2012</v>
      </c>
      <c r="C26">
        <v>0.59699999999999998</v>
      </c>
      <c r="D26">
        <v>0.60599999999999998</v>
      </c>
      <c r="E26">
        <v>1.6990000000000001</v>
      </c>
      <c r="F26">
        <v>3.85</v>
      </c>
      <c r="G26">
        <v>8.0190000000000001</v>
      </c>
      <c r="H26">
        <v>0.79</v>
      </c>
      <c r="I26">
        <v>26.55</v>
      </c>
      <c r="J26">
        <v>110</v>
      </c>
      <c r="L26">
        <v>2012</v>
      </c>
      <c r="M26">
        <v>0.28000000000000003</v>
      </c>
      <c r="N26">
        <v>0.79700000000000004</v>
      </c>
      <c r="O26">
        <v>1.903</v>
      </c>
      <c r="P26">
        <v>3.88</v>
      </c>
      <c r="Q26">
        <v>6.194</v>
      </c>
      <c r="R26">
        <v>1.1339999999999999</v>
      </c>
      <c r="S26">
        <v>26.22</v>
      </c>
      <c r="T26">
        <v>106</v>
      </c>
    </row>
    <row r="27" spans="1:20" x14ac:dyDescent="0.25">
      <c r="B27">
        <v>2013</v>
      </c>
      <c r="C27">
        <v>0.60599999999999998</v>
      </c>
      <c r="D27">
        <v>0.59</v>
      </c>
      <c r="E27">
        <v>1.627</v>
      </c>
      <c r="F27">
        <v>3.68</v>
      </c>
      <c r="G27">
        <v>7.76</v>
      </c>
      <c r="H27">
        <v>0.874</v>
      </c>
      <c r="I27">
        <v>26.57</v>
      </c>
      <c r="J27">
        <v>132</v>
      </c>
      <c r="L27">
        <v>2013</v>
      </c>
      <c r="M27">
        <v>0.45</v>
      </c>
      <c r="N27">
        <v>0.80800000000000005</v>
      </c>
      <c r="O27">
        <v>1.8260000000000001</v>
      </c>
      <c r="P27">
        <v>5.41</v>
      </c>
      <c r="Q27">
        <v>7.4980000000000002</v>
      </c>
      <c r="R27">
        <v>1.2030000000000001</v>
      </c>
      <c r="S27">
        <v>26.19</v>
      </c>
      <c r="T27">
        <v>136</v>
      </c>
    </row>
    <row r="28" spans="1:20" x14ac:dyDescent="0.25">
      <c r="B28">
        <v>2014</v>
      </c>
      <c r="C28">
        <v>0.80400000000000005</v>
      </c>
      <c r="D28">
        <v>0.64500000000000002</v>
      </c>
      <c r="E28">
        <v>1.7230000000000001</v>
      </c>
      <c r="F28">
        <v>3.79</v>
      </c>
      <c r="G28">
        <v>7.9039999999999999</v>
      </c>
      <c r="H28">
        <v>0.95599999999999996</v>
      </c>
      <c r="I28">
        <v>26.65</v>
      </c>
      <c r="J28">
        <v>116.58</v>
      </c>
      <c r="L28">
        <v>2014</v>
      </c>
      <c r="M28">
        <v>0.49399999999999999</v>
      </c>
      <c r="N28">
        <v>0.82399999999999995</v>
      </c>
      <c r="O28">
        <v>1.7470000000000001</v>
      </c>
      <c r="P28">
        <v>4.09</v>
      </c>
      <c r="Q28">
        <v>7.4379999999999997</v>
      </c>
      <c r="R28">
        <v>1.286</v>
      </c>
      <c r="S28">
        <v>26.13</v>
      </c>
      <c r="T28">
        <v>129.33000000000001</v>
      </c>
    </row>
    <row r="29" spans="1:20" x14ac:dyDescent="0.25">
      <c r="B29">
        <v>2015</v>
      </c>
      <c r="C29">
        <v>0.82599999999999996</v>
      </c>
      <c r="D29">
        <v>0.49099999999999999</v>
      </c>
      <c r="E29">
        <v>1.798</v>
      </c>
      <c r="F29">
        <v>4.26</v>
      </c>
      <c r="G29">
        <v>7.9530000000000003</v>
      </c>
      <c r="H29">
        <v>0.91400000000000003</v>
      </c>
      <c r="L29">
        <v>2015</v>
      </c>
      <c r="M29">
        <v>0.63700000000000001</v>
      </c>
      <c r="N29">
        <v>0.93799999999999994</v>
      </c>
      <c r="O29">
        <v>1.645</v>
      </c>
      <c r="P29">
        <v>4.1100000000000003</v>
      </c>
      <c r="Q29">
        <v>7.4359999999999999</v>
      </c>
      <c r="R29">
        <v>1.2709999999999999</v>
      </c>
    </row>
    <row r="30" spans="1:20" x14ac:dyDescent="0.25">
      <c r="B30">
        <v>2016</v>
      </c>
      <c r="L30">
        <v>2016</v>
      </c>
    </row>
    <row r="31" spans="1:20" x14ac:dyDescent="0.25">
      <c r="B31">
        <v>2017</v>
      </c>
      <c r="L31">
        <v>2017</v>
      </c>
    </row>
    <row r="33" spans="1:20" x14ac:dyDescent="0.25">
      <c r="A33" t="s">
        <v>9</v>
      </c>
      <c r="B33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  <c r="I33" t="s">
        <v>21</v>
      </c>
      <c r="J33" t="s">
        <v>22</v>
      </c>
      <c r="K33" t="s">
        <v>9</v>
      </c>
      <c r="L33" t="s">
        <v>0</v>
      </c>
      <c r="M33" t="s">
        <v>1</v>
      </c>
      <c r="N33" t="s">
        <v>2</v>
      </c>
      <c r="O33" t="s">
        <v>3</v>
      </c>
      <c r="P33" t="s">
        <v>4</v>
      </c>
      <c r="Q33" t="s">
        <v>5</v>
      </c>
      <c r="R33" t="s">
        <v>6</v>
      </c>
      <c r="S33" t="s">
        <v>21</v>
      </c>
      <c r="T33" t="s">
        <v>22</v>
      </c>
    </row>
    <row r="34" spans="1:20" x14ac:dyDescent="0.25">
      <c r="A34" t="s">
        <v>17</v>
      </c>
      <c r="B34">
        <v>2004</v>
      </c>
      <c r="C34">
        <v>0.69899999999999995</v>
      </c>
      <c r="D34">
        <v>0.82199999999999995</v>
      </c>
      <c r="E34">
        <v>1.3149999999999999</v>
      </c>
      <c r="F34">
        <v>3.51</v>
      </c>
      <c r="G34">
        <v>3.8319999999999999</v>
      </c>
      <c r="H34">
        <v>0.64300000000000002</v>
      </c>
      <c r="I34">
        <v>25.25</v>
      </c>
      <c r="J34">
        <v>266.42</v>
      </c>
      <c r="K34" t="s">
        <v>19</v>
      </c>
      <c r="L34">
        <v>2004</v>
      </c>
      <c r="M34">
        <v>0.52400000000000002</v>
      </c>
      <c r="N34">
        <v>0.67100000000000004</v>
      </c>
      <c r="O34">
        <v>1.196</v>
      </c>
      <c r="P34">
        <v>2.6</v>
      </c>
      <c r="Q34">
        <v>4.7869999999999999</v>
      </c>
      <c r="R34">
        <v>0.74099999999999999</v>
      </c>
      <c r="S34">
        <v>26.5</v>
      </c>
      <c r="T34">
        <v>210.75</v>
      </c>
    </row>
    <row r="35" spans="1:20" x14ac:dyDescent="0.25">
      <c r="B35">
        <v>2005</v>
      </c>
      <c r="C35">
        <v>0.625</v>
      </c>
      <c r="D35">
        <v>0.77200000000000002</v>
      </c>
      <c r="E35">
        <v>1.3380000000000001</v>
      </c>
      <c r="F35">
        <v>3.51</v>
      </c>
      <c r="G35">
        <v>3.8319999999999999</v>
      </c>
      <c r="H35">
        <v>0.58199999999999996</v>
      </c>
      <c r="I35">
        <v>25.4</v>
      </c>
      <c r="J35">
        <v>222</v>
      </c>
      <c r="L35">
        <v>2005</v>
      </c>
      <c r="M35">
        <v>0.50600000000000001</v>
      </c>
      <c r="N35">
        <v>0.53400000000000003</v>
      </c>
      <c r="O35">
        <v>1.272</v>
      </c>
      <c r="P35">
        <v>2.6</v>
      </c>
      <c r="Q35">
        <v>4.7869999999999999</v>
      </c>
      <c r="R35">
        <v>0.63800000000000001</v>
      </c>
      <c r="S35">
        <v>26.52</v>
      </c>
      <c r="T35">
        <v>161</v>
      </c>
    </row>
    <row r="36" spans="1:20" x14ac:dyDescent="0.25">
      <c r="B36">
        <v>2006</v>
      </c>
      <c r="C36">
        <v>0.65700000000000003</v>
      </c>
      <c r="D36">
        <v>0.78300000000000003</v>
      </c>
      <c r="E36">
        <v>1.3049999999999999</v>
      </c>
      <c r="F36">
        <v>3.34</v>
      </c>
      <c r="G36">
        <v>2.6280000000000001</v>
      </c>
      <c r="H36">
        <v>0.49199999999999999</v>
      </c>
      <c r="I36">
        <v>25.72</v>
      </c>
      <c r="J36">
        <v>163</v>
      </c>
      <c r="L36">
        <v>2006</v>
      </c>
      <c r="M36">
        <v>0.58199999999999996</v>
      </c>
      <c r="N36">
        <v>0.64400000000000002</v>
      </c>
      <c r="O36">
        <v>1.3169999999999999</v>
      </c>
      <c r="P36">
        <v>3.07</v>
      </c>
      <c r="Q36">
        <v>5.0709999999999997</v>
      </c>
      <c r="R36">
        <v>0.63100000000000001</v>
      </c>
      <c r="S36">
        <v>26.625</v>
      </c>
      <c r="T36">
        <v>166</v>
      </c>
    </row>
    <row r="37" spans="1:20" x14ac:dyDescent="0.25">
      <c r="B37">
        <v>2007</v>
      </c>
      <c r="C37">
        <v>0.69199999999999995</v>
      </c>
      <c r="D37">
        <v>0.76200000000000001</v>
      </c>
      <c r="E37">
        <v>1.292</v>
      </c>
      <c r="F37">
        <v>4.71</v>
      </c>
      <c r="G37">
        <v>3.6539999999999999</v>
      </c>
      <c r="H37">
        <v>0.626</v>
      </c>
      <c r="I37">
        <v>25.24</v>
      </c>
      <c r="J37">
        <v>231</v>
      </c>
      <c r="L37">
        <v>2007</v>
      </c>
      <c r="M37">
        <v>0.57899999999999996</v>
      </c>
      <c r="N37">
        <v>0.63200000000000001</v>
      </c>
      <c r="O37">
        <v>1.3140000000000001</v>
      </c>
      <c r="P37">
        <v>3.09</v>
      </c>
      <c r="Q37">
        <v>6.1120000000000001</v>
      </c>
      <c r="R37">
        <v>0.64300000000000002</v>
      </c>
      <c r="S37">
        <v>25.98</v>
      </c>
      <c r="T37">
        <v>194</v>
      </c>
    </row>
    <row r="38" spans="1:20" x14ac:dyDescent="0.25">
      <c r="B38">
        <v>2008</v>
      </c>
      <c r="C38">
        <v>0.69299999999999995</v>
      </c>
      <c r="D38">
        <v>0.78600000000000003</v>
      </c>
      <c r="E38">
        <v>1.367</v>
      </c>
      <c r="F38">
        <v>3.23</v>
      </c>
      <c r="G38">
        <v>3.621</v>
      </c>
      <c r="H38">
        <v>0.61899999999999999</v>
      </c>
      <c r="I38">
        <v>25.38</v>
      </c>
      <c r="J38">
        <v>186</v>
      </c>
      <c r="L38">
        <v>2008</v>
      </c>
      <c r="M38">
        <v>0.54</v>
      </c>
      <c r="N38">
        <v>0.44</v>
      </c>
      <c r="O38">
        <v>1.4990000000000001</v>
      </c>
      <c r="P38">
        <v>3.75</v>
      </c>
      <c r="Q38">
        <v>6.6289999999999996</v>
      </c>
      <c r="R38">
        <v>0.752</v>
      </c>
      <c r="S38">
        <v>26.15</v>
      </c>
      <c r="T38">
        <v>155</v>
      </c>
    </row>
    <row r="39" spans="1:20" x14ac:dyDescent="0.25">
      <c r="B39">
        <v>2009</v>
      </c>
      <c r="C39">
        <v>0.72199999999999998</v>
      </c>
      <c r="D39">
        <v>0.85</v>
      </c>
      <c r="E39">
        <v>1.345</v>
      </c>
      <c r="F39">
        <v>3.16</v>
      </c>
      <c r="G39">
        <v>2.8140000000000001</v>
      </c>
      <c r="H39">
        <v>0.66700000000000004</v>
      </c>
      <c r="I39">
        <v>25.85</v>
      </c>
      <c r="J39">
        <v>138</v>
      </c>
      <c r="L39">
        <v>2009</v>
      </c>
      <c r="M39">
        <v>0.34499999999999997</v>
      </c>
      <c r="N39">
        <v>0.752</v>
      </c>
      <c r="O39">
        <v>1.5049999999999999</v>
      </c>
      <c r="P39">
        <v>3.48</v>
      </c>
      <c r="Q39">
        <v>8.3230000000000004</v>
      </c>
      <c r="R39">
        <v>0.73899999999999999</v>
      </c>
      <c r="S39">
        <v>26.7</v>
      </c>
      <c r="T39">
        <v>151</v>
      </c>
    </row>
    <row r="40" spans="1:20" x14ac:dyDescent="0.25">
      <c r="B40">
        <v>2010</v>
      </c>
      <c r="C40">
        <v>0.58099999999999996</v>
      </c>
      <c r="D40">
        <v>0.72799999999999998</v>
      </c>
      <c r="E40">
        <v>1.425</v>
      </c>
      <c r="F40">
        <v>3.3679999999999999</v>
      </c>
      <c r="G40">
        <v>3.6320000000000001</v>
      </c>
      <c r="H40">
        <v>0.44600000000000001</v>
      </c>
      <c r="I40">
        <v>25.85</v>
      </c>
      <c r="J40">
        <v>174</v>
      </c>
      <c r="L40">
        <v>2010</v>
      </c>
      <c r="M40">
        <v>0.626</v>
      </c>
      <c r="N40">
        <v>0.746</v>
      </c>
      <c r="O40">
        <v>1.4019999999999999</v>
      </c>
      <c r="P40">
        <v>4.26</v>
      </c>
      <c r="Q40">
        <v>8.5709999999999997</v>
      </c>
      <c r="R40">
        <v>0.69699999999999995</v>
      </c>
      <c r="S40">
        <v>26.82</v>
      </c>
      <c r="T40">
        <v>138</v>
      </c>
    </row>
    <row r="41" spans="1:20" x14ac:dyDescent="0.25">
      <c r="B41">
        <v>2011</v>
      </c>
      <c r="C41">
        <v>0.747</v>
      </c>
      <c r="D41">
        <v>0.87</v>
      </c>
      <c r="E41">
        <v>1.452</v>
      </c>
      <c r="F41">
        <v>3.28</v>
      </c>
      <c r="G41">
        <v>3.81</v>
      </c>
      <c r="H41">
        <v>0.96199999999999997</v>
      </c>
      <c r="I41">
        <v>25.08</v>
      </c>
      <c r="J41">
        <v>178</v>
      </c>
      <c r="L41">
        <v>2011</v>
      </c>
      <c r="M41">
        <v>0.71099999999999997</v>
      </c>
      <c r="N41">
        <v>0.82099999999999995</v>
      </c>
      <c r="O41">
        <v>1.524</v>
      </c>
      <c r="P41">
        <v>3.37</v>
      </c>
      <c r="Q41">
        <v>7.9969999999999999</v>
      </c>
      <c r="R41">
        <v>0.59899999999999998</v>
      </c>
      <c r="S41">
        <v>26.1</v>
      </c>
      <c r="T41">
        <v>159</v>
      </c>
    </row>
    <row r="42" spans="1:20" x14ac:dyDescent="0.25">
      <c r="B42">
        <v>2012</v>
      </c>
      <c r="C42">
        <v>0.81200000000000006</v>
      </c>
      <c r="D42">
        <v>0.85099999999999998</v>
      </c>
      <c r="E42">
        <v>1.496</v>
      </c>
      <c r="F42">
        <v>3.63</v>
      </c>
      <c r="G42">
        <v>3.5569999999999999</v>
      </c>
      <c r="H42">
        <v>0.72399999999999998</v>
      </c>
      <c r="I42">
        <v>25.29</v>
      </c>
      <c r="J42">
        <v>123</v>
      </c>
      <c r="L42">
        <v>2012</v>
      </c>
      <c r="M42">
        <v>0.70499999999999996</v>
      </c>
      <c r="N42">
        <v>0.83699999999999997</v>
      </c>
      <c r="O42">
        <v>1.5960000000000001</v>
      </c>
      <c r="P42">
        <v>4.13</v>
      </c>
      <c r="Q42">
        <v>7.8040000000000003</v>
      </c>
      <c r="R42">
        <v>0.74199999999999999</v>
      </c>
      <c r="S42">
        <v>26.27</v>
      </c>
      <c r="T42">
        <v>134</v>
      </c>
    </row>
    <row r="43" spans="1:20" x14ac:dyDescent="0.25">
      <c r="B43">
        <v>2013</v>
      </c>
      <c r="C43">
        <v>0.77600000000000002</v>
      </c>
      <c r="D43">
        <v>0.875</v>
      </c>
      <c r="E43">
        <v>1.446</v>
      </c>
      <c r="F43">
        <v>3.23</v>
      </c>
      <c r="G43">
        <v>3.39</v>
      </c>
      <c r="H43">
        <v>0.76600000000000001</v>
      </c>
      <c r="I43">
        <v>25.52</v>
      </c>
      <c r="J43">
        <v>144</v>
      </c>
      <c r="L43">
        <v>2013</v>
      </c>
      <c r="M43">
        <v>0.65900000000000003</v>
      </c>
      <c r="N43">
        <v>0.73299999999999998</v>
      </c>
      <c r="O43">
        <v>1.6080000000000001</v>
      </c>
      <c r="P43">
        <v>4.3810000000000002</v>
      </c>
      <c r="Q43">
        <v>7.875</v>
      </c>
      <c r="R43">
        <v>0.69299999999999995</v>
      </c>
      <c r="S43">
        <v>26.02</v>
      </c>
      <c r="T43">
        <v>193</v>
      </c>
    </row>
    <row r="44" spans="1:20" x14ac:dyDescent="0.25">
      <c r="B44">
        <v>2014</v>
      </c>
      <c r="C44">
        <v>0.84</v>
      </c>
      <c r="D44">
        <v>0.88800000000000001</v>
      </c>
      <c r="E44">
        <v>1.6639999999999999</v>
      </c>
      <c r="F44">
        <v>3.79</v>
      </c>
      <c r="G44">
        <v>4.5640000000000001</v>
      </c>
      <c r="H44">
        <v>1.0249999999999999</v>
      </c>
      <c r="I44">
        <v>25.6</v>
      </c>
      <c r="J44">
        <v>161.16999999999999</v>
      </c>
      <c r="L44">
        <v>2014</v>
      </c>
      <c r="M44">
        <v>0.55900000000000005</v>
      </c>
      <c r="N44">
        <v>0.81599999999999995</v>
      </c>
      <c r="O44">
        <v>1.512</v>
      </c>
      <c r="P44">
        <v>3.49</v>
      </c>
      <c r="Q44">
        <v>8.2469999999999999</v>
      </c>
      <c r="R44">
        <v>0.77</v>
      </c>
      <c r="S44">
        <v>26.25</v>
      </c>
      <c r="T44">
        <v>121.17</v>
      </c>
    </row>
    <row r="45" spans="1:20" x14ac:dyDescent="0.25">
      <c r="B45">
        <v>2015</v>
      </c>
      <c r="C45">
        <v>0.95799999999999996</v>
      </c>
      <c r="D45">
        <v>0.997</v>
      </c>
      <c r="E45">
        <v>1.6459999999999999</v>
      </c>
      <c r="F45">
        <v>3.3250000000000002</v>
      </c>
      <c r="G45">
        <v>3.8860000000000001</v>
      </c>
      <c r="H45">
        <v>0.91400000000000003</v>
      </c>
      <c r="L45">
        <v>2015</v>
      </c>
      <c r="M45">
        <v>0.59</v>
      </c>
      <c r="N45">
        <v>0.78600000000000003</v>
      </c>
      <c r="O45">
        <v>1.5009999999999999</v>
      </c>
      <c r="P45">
        <v>3.68</v>
      </c>
      <c r="Q45">
        <v>8.2070000000000007</v>
      </c>
      <c r="R45">
        <v>0.89300000000000002</v>
      </c>
    </row>
    <row r="46" spans="1:20" x14ac:dyDescent="0.25">
      <c r="B46">
        <v>2016</v>
      </c>
      <c r="L46">
        <v>2016</v>
      </c>
    </row>
    <row r="47" spans="1:20" x14ac:dyDescent="0.25">
      <c r="B47">
        <v>2017</v>
      </c>
      <c r="L47">
        <v>2017</v>
      </c>
    </row>
    <row r="49" spans="1:20" x14ac:dyDescent="0.25">
      <c r="A49" t="s">
        <v>9</v>
      </c>
      <c r="B49" t="s">
        <v>0</v>
      </c>
      <c r="C49" t="s">
        <v>1</v>
      </c>
      <c r="D49" t="s">
        <v>2</v>
      </c>
      <c r="E49" t="s">
        <v>3</v>
      </c>
      <c r="F49" t="s">
        <v>4</v>
      </c>
      <c r="G49" t="s">
        <v>5</v>
      </c>
      <c r="H49" t="s">
        <v>6</v>
      </c>
      <c r="I49" t="s">
        <v>21</v>
      </c>
      <c r="J49" t="s">
        <v>22</v>
      </c>
      <c r="K49" t="s">
        <v>9</v>
      </c>
      <c r="L49" t="s">
        <v>0</v>
      </c>
      <c r="M49" t="s">
        <v>1</v>
      </c>
      <c r="N49" t="s">
        <v>2</v>
      </c>
      <c r="O49" t="s">
        <v>3</v>
      </c>
      <c r="P49" t="s">
        <v>4</v>
      </c>
      <c r="Q49" t="s">
        <v>5</v>
      </c>
      <c r="R49" t="s">
        <v>6</v>
      </c>
      <c r="S49" t="s">
        <v>21</v>
      </c>
      <c r="T49" t="s">
        <v>22</v>
      </c>
    </row>
    <row r="50" spans="1:20" x14ac:dyDescent="0.25">
      <c r="A50" t="s">
        <v>18</v>
      </c>
      <c r="B50">
        <v>2004</v>
      </c>
      <c r="C50">
        <v>0.69099999999999995</v>
      </c>
      <c r="D50">
        <v>1.1160000000000001</v>
      </c>
      <c r="E50">
        <v>1.452</v>
      </c>
      <c r="F50">
        <v>5.83</v>
      </c>
      <c r="G50">
        <v>8.891</v>
      </c>
      <c r="H50">
        <v>0.94399999999999995</v>
      </c>
      <c r="I50">
        <v>26.324999999999999</v>
      </c>
      <c r="J50">
        <v>203.67</v>
      </c>
      <c r="K50" t="s">
        <v>14</v>
      </c>
      <c r="L50">
        <v>2004</v>
      </c>
      <c r="M50">
        <v>0.71799999999999997</v>
      </c>
      <c r="N50">
        <v>0.82699999999999996</v>
      </c>
      <c r="O50">
        <v>1.2090000000000001</v>
      </c>
      <c r="P50">
        <v>4.92</v>
      </c>
      <c r="Q50">
        <v>5.8840000000000003</v>
      </c>
      <c r="R50">
        <v>0.877</v>
      </c>
      <c r="S50">
        <v>26.574999999999999</v>
      </c>
      <c r="T50">
        <v>166.25</v>
      </c>
    </row>
    <row r="51" spans="1:20" x14ac:dyDescent="0.25">
      <c r="B51">
        <v>2005</v>
      </c>
      <c r="C51">
        <v>0.80600000000000005</v>
      </c>
      <c r="D51">
        <v>0.95299999999999996</v>
      </c>
      <c r="E51">
        <v>1.5109999999999999</v>
      </c>
      <c r="F51">
        <v>5.83</v>
      </c>
      <c r="G51">
        <v>8.891</v>
      </c>
      <c r="H51">
        <v>0.67900000000000005</v>
      </c>
      <c r="I51">
        <v>26.77</v>
      </c>
      <c r="J51">
        <v>139</v>
      </c>
      <c r="L51">
        <v>2005</v>
      </c>
      <c r="M51">
        <v>0.70899999999999996</v>
      </c>
      <c r="N51">
        <v>0.81799999999999995</v>
      </c>
      <c r="O51">
        <v>1.2390000000000001</v>
      </c>
      <c r="P51">
        <v>4.92</v>
      </c>
      <c r="Q51">
        <v>5.8840000000000003</v>
      </c>
      <c r="R51">
        <v>0.77300000000000002</v>
      </c>
      <c r="S51">
        <v>26.92</v>
      </c>
      <c r="T51">
        <v>165</v>
      </c>
    </row>
    <row r="52" spans="1:20" x14ac:dyDescent="0.25">
      <c r="B52">
        <v>2006</v>
      </c>
      <c r="C52">
        <v>0.81399999999999995</v>
      </c>
      <c r="D52">
        <v>0.99299999999999999</v>
      </c>
      <c r="E52">
        <v>1.47</v>
      </c>
      <c r="F52">
        <v>5.41</v>
      </c>
      <c r="G52">
        <v>8.1560000000000006</v>
      </c>
      <c r="H52">
        <v>0.81</v>
      </c>
      <c r="I52">
        <v>26.85</v>
      </c>
      <c r="J52">
        <v>147</v>
      </c>
      <c r="L52">
        <v>2006</v>
      </c>
      <c r="M52">
        <v>0.76</v>
      </c>
      <c r="N52">
        <v>0.83299999999999996</v>
      </c>
      <c r="O52">
        <v>1.319</v>
      </c>
      <c r="P52">
        <v>4.58</v>
      </c>
      <c r="Q52">
        <v>5.5789999999999997</v>
      </c>
      <c r="R52">
        <v>0.63600000000000001</v>
      </c>
      <c r="S52">
        <v>27</v>
      </c>
      <c r="T52">
        <v>171</v>
      </c>
    </row>
    <row r="53" spans="1:20" x14ac:dyDescent="0.25">
      <c r="B53">
        <v>2007</v>
      </c>
      <c r="C53">
        <v>1.0429999999999999</v>
      </c>
      <c r="D53">
        <v>1.0069999999999999</v>
      </c>
      <c r="E53">
        <v>1.7450000000000001</v>
      </c>
      <c r="F53">
        <v>5.6</v>
      </c>
      <c r="G53">
        <v>7.88</v>
      </c>
      <c r="H53">
        <v>0.92400000000000004</v>
      </c>
      <c r="I53">
        <v>26.32</v>
      </c>
      <c r="J53">
        <v>176</v>
      </c>
      <c r="L53">
        <v>2007</v>
      </c>
      <c r="M53">
        <v>0.51700000000000002</v>
      </c>
      <c r="N53">
        <v>0.80100000000000005</v>
      </c>
      <c r="O53">
        <v>1.331</v>
      </c>
      <c r="P53">
        <v>4.42</v>
      </c>
      <c r="Q53">
        <v>4.2560000000000002</v>
      </c>
      <c r="R53">
        <v>0.64700000000000002</v>
      </c>
      <c r="S53">
        <v>26.42</v>
      </c>
      <c r="T53">
        <v>175</v>
      </c>
    </row>
    <row r="54" spans="1:20" x14ac:dyDescent="0.25">
      <c r="B54">
        <v>2008</v>
      </c>
      <c r="C54">
        <v>0.93</v>
      </c>
      <c r="D54">
        <v>1.044</v>
      </c>
      <c r="E54">
        <v>1.5640000000000001</v>
      </c>
      <c r="F54">
        <v>5.35</v>
      </c>
      <c r="G54">
        <v>7.859</v>
      </c>
      <c r="H54">
        <v>0.95899999999999996</v>
      </c>
      <c r="I54">
        <v>26.32</v>
      </c>
      <c r="J54">
        <v>157</v>
      </c>
      <c r="L54">
        <v>2008</v>
      </c>
      <c r="M54">
        <v>0.58899999999999997</v>
      </c>
      <c r="N54">
        <v>0.72</v>
      </c>
      <c r="O54">
        <v>1.56</v>
      </c>
      <c r="P54">
        <v>4.71</v>
      </c>
      <c r="Q54">
        <v>4.649</v>
      </c>
      <c r="R54">
        <v>0.72799999999999998</v>
      </c>
      <c r="S54">
        <v>26.6</v>
      </c>
      <c r="T54">
        <v>133</v>
      </c>
    </row>
    <row r="55" spans="1:20" x14ac:dyDescent="0.25">
      <c r="B55">
        <v>2009</v>
      </c>
      <c r="C55">
        <v>0.93600000000000005</v>
      </c>
      <c r="D55">
        <v>0.99199999999999999</v>
      </c>
      <c r="E55">
        <v>1.597</v>
      </c>
      <c r="F55">
        <v>5.84</v>
      </c>
      <c r="G55">
        <v>6.2530000000000001</v>
      </c>
      <c r="H55">
        <v>1.0960000000000001</v>
      </c>
      <c r="I55">
        <v>26.86</v>
      </c>
      <c r="J55">
        <v>131</v>
      </c>
      <c r="L55">
        <v>2009</v>
      </c>
      <c r="M55">
        <v>0.61099999999999999</v>
      </c>
      <c r="N55">
        <v>0.80200000000000005</v>
      </c>
      <c r="O55">
        <v>1.419</v>
      </c>
      <c r="P55">
        <v>4.4400000000000004</v>
      </c>
      <c r="Q55">
        <v>3.1070000000000002</v>
      </c>
      <c r="R55">
        <v>0.85899999999999999</v>
      </c>
      <c r="S55">
        <v>27.18</v>
      </c>
      <c r="T55">
        <v>150</v>
      </c>
    </row>
    <row r="56" spans="1:20" x14ac:dyDescent="0.25">
      <c r="B56">
        <v>2010</v>
      </c>
      <c r="C56">
        <v>0.88600000000000001</v>
      </c>
      <c r="D56">
        <v>0.91900000000000004</v>
      </c>
      <c r="E56">
        <v>1.6220000000000001</v>
      </c>
      <c r="F56">
        <v>5.76</v>
      </c>
      <c r="G56">
        <v>10.087999999999999</v>
      </c>
      <c r="H56">
        <v>0.84299999999999997</v>
      </c>
      <c r="I56">
        <v>27.03</v>
      </c>
      <c r="J56">
        <v>117</v>
      </c>
      <c r="L56">
        <v>2010</v>
      </c>
      <c r="M56">
        <v>0.57299999999999995</v>
      </c>
      <c r="N56">
        <v>0.99099999999999999</v>
      </c>
      <c r="O56">
        <v>1.4910000000000001</v>
      </c>
      <c r="P56">
        <v>4.3</v>
      </c>
      <c r="Q56">
        <v>4.8479999999999999</v>
      </c>
      <c r="R56">
        <v>0.81799999999999995</v>
      </c>
      <c r="S56">
        <v>27.29</v>
      </c>
      <c r="T56">
        <v>113</v>
      </c>
    </row>
    <row r="57" spans="1:20" x14ac:dyDescent="0.25">
      <c r="B57">
        <v>2011</v>
      </c>
      <c r="C57">
        <v>0.95799999999999996</v>
      </c>
      <c r="D57">
        <v>0.96199999999999997</v>
      </c>
      <c r="E57">
        <v>1.623</v>
      </c>
      <c r="F57">
        <v>5.48</v>
      </c>
      <c r="G57">
        <v>8.2240000000000002</v>
      </c>
      <c r="H57">
        <v>1.1639999999999999</v>
      </c>
      <c r="I57">
        <v>26.14</v>
      </c>
      <c r="J57">
        <v>113</v>
      </c>
      <c r="L57">
        <v>2011</v>
      </c>
      <c r="M57">
        <v>0.61299999999999999</v>
      </c>
      <c r="N57">
        <v>0.879</v>
      </c>
      <c r="O57">
        <v>1.514</v>
      </c>
      <c r="P57">
        <v>4.53</v>
      </c>
      <c r="Q57">
        <v>5.1100000000000003</v>
      </c>
      <c r="R57">
        <v>1.079</v>
      </c>
      <c r="S57">
        <v>26.49</v>
      </c>
      <c r="T57">
        <v>162</v>
      </c>
    </row>
    <row r="58" spans="1:20" x14ac:dyDescent="0.25">
      <c r="B58">
        <v>2012</v>
      </c>
      <c r="C58">
        <v>0.996</v>
      </c>
      <c r="D58">
        <v>1.0509999999999999</v>
      </c>
      <c r="E58">
        <v>1.6859999999999999</v>
      </c>
      <c r="F58">
        <v>4.2</v>
      </c>
      <c r="G58">
        <v>7.9359999999999999</v>
      </c>
      <c r="H58">
        <v>1.0129999999999999</v>
      </c>
      <c r="I58">
        <v>2652</v>
      </c>
      <c r="J58">
        <v>108</v>
      </c>
      <c r="L58">
        <v>2012</v>
      </c>
      <c r="M58">
        <v>0.58899999999999997</v>
      </c>
      <c r="N58">
        <v>0.879</v>
      </c>
      <c r="O58">
        <v>1.4430000000000001</v>
      </c>
      <c r="P58">
        <v>3.5</v>
      </c>
      <c r="Q58">
        <v>4.9930000000000003</v>
      </c>
      <c r="R58">
        <v>0.92200000000000004</v>
      </c>
      <c r="S58">
        <v>26.93</v>
      </c>
      <c r="T58">
        <v>137</v>
      </c>
    </row>
    <row r="59" spans="1:20" x14ac:dyDescent="0.25">
      <c r="B59">
        <v>2013</v>
      </c>
      <c r="C59">
        <v>0.746</v>
      </c>
      <c r="D59">
        <v>0.96899999999999997</v>
      </c>
      <c r="E59">
        <v>1.69</v>
      </c>
      <c r="F59">
        <v>4.3810000000000002</v>
      </c>
      <c r="G59">
        <v>9.0039999999999996</v>
      </c>
      <c r="H59">
        <v>1.141</v>
      </c>
      <c r="I59">
        <v>26.27</v>
      </c>
      <c r="J59">
        <v>139</v>
      </c>
      <c r="L59">
        <v>2013</v>
      </c>
      <c r="M59">
        <v>0.91700000000000004</v>
      </c>
      <c r="N59">
        <v>0.91400000000000003</v>
      </c>
      <c r="O59">
        <v>1.4950000000000001</v>
      </c>
      <c r="P59">
        <v>3.4</v>
      </c>
      <c r="Q59">
        <v>5.3979999999999997</v>
      </c>
      <c r="R59">
        <v>0.80400000000000005</v>
      </c>
      <c r="S59">
        <v>26.65</v>
      </c>
      <c r="T59">
        <v>172</v>
      </c>
    </row>
    <row r="60" spans="1:20" x14ac:dyDescent="0.25">
      <c r="B60">
        <v>2014</v>
      </c>
      <c r="C60">
        <v>0.78600000000000003</v>
      </c>
      <c r="D60">
        <v>0.92900000000000005</v>
      </c>
      <c r="E60">
        <v>1.667</v>
      </c>
      <c r="F60">
        <v>5.12</v>
      </c>
      <c r="G60">
        <v>9.1389999999999993</v>
      </c>
      <c r="H60">
        <v>1.22</v>
      </c>
      <c r="I60">
        <v>25.9</v>
      </c>
      <c r="J60">
        <v>109.83</v>
      </c>
      <c r="L60">
        <v>2014</v>
      </c>
      <c r="M60">
        <v>0.89700000000000002</v>
      </c>
      <c r="N60">
        <v>0.93500000000000005</v>
      </c>
      <c r="O60">
        <v>1.625</v>
      </c>
      <c r="P60">
        <v>4.2699999999999996</v>
      </c>
      <c r="Q60">
        <v>5.2169999999999996</v>
      </c>
      <c r="R60">
        <v>0.85799999999999998</v>
      </c>
      <c r="S60">
        <v>26.75</v>
      </c>
      <c r="T60">
        <v>121.75</v>
      </c>
    </row>
    <row r="61" spans="1:20" x14ac:dyDescent="0.25">
      <c r="B61">
        <v>2015</v>
      </c>
      <c r="C61">
        <v>1.1379999999999999</v>
      </c>
      <c r="D61">
        <v>1.05</v>
      </c>
      <c r="E61">
        <v>1.69</v>
      </c>
      <c r="F61">
        <v>5.22</v>
      </c>
      <c r="G61">
        <v>9.3000000000000007</v>
      </c>
      <c r="H61">
        <v>1.2490000000000001</v>
      </c>
      <c r="L61">
        <v>2015</v>
      </c>
      <c r="M61">
        <v>0.53900000000000003</v>
      </c>
      <c r="N61">
        <v>1.032</v>
      </c>
      <c r="O61">
        <v>1.4510000000000001</v>
      </c>
      <c r="P61">
        <v>4.49</v>
      </c>
      <c r="Q61">
        <v>5.2450000000000001</v>
      </c>
      <c r="R61">
        <v>1.044</v>
      </c>
    </row>
    <row r="62" spans="1:20" x14ac:dyDescent="0.25">
      <c r="B62">
        <v>2016</v>
      </c>
      <c r="L62">
        <v>2016</v>
      </c>
    </row>
    <row r="63" spans="1:20" x14ac:dyDescent="0.25">
      <c r="B63">
        <v>2017</v>
      </c>
      <c r="L63">
        <v>2017</v>
      </c>
    </row>
    <row r="65" spans="1:20" x14ac:dyDescent="0.25">
      <c r="A65" t="s">
        <v>9</v>
      </c>
      <c r="B65" t="s">
        <v>0</v>
      </c>
      <c r="C65" t="s">
        <v>1</v>
      </c>
      <c r="D65" t="s">
        <v>2</v>
      </c>
      <c r="E65" t="s">
        <v>3</v>
      </c>
      <c r="F65" t="s">
        <v>4</v>
      </c>
      <c r="G65" t="s">
        <v>5</v>
      </c>
      <c r="H65" t="s">
        <v>6</v>
      </c>
      <c r="I65" t="s">
        <v>21</v>
      </c>
      <c r="J65" t="s">
        <v>22</v>
      </c>
      <c r="K65" t="s">
        <v>9</v>
      </c>
      <c r="L65" t="s">
        <v>0</v>
      </c>
      <c r="M65" t="s">
        <v>1</v>
      </c>
      <c r="N65" t="s">
        <v>2</v>
      </c>
      <c r="O65" t="s">
        <v>3</v>
      </c>
      <c r="P65" t="s">
        <v>4</v>
      </c>
      <c r="Q65" t="s">
        <v>5</v>
      </c>
      <c r="R65" t="s">
        <v>6</v>
      </c>
      <c r="S65" t="s">
        <v>21</v>
      </c>
      <c r="T65" t="s">
        <v>22</v>
      </c>
    </row>
    <row r="66" spans="1:20" x14ac:dyDescent="0.25">
      <c r="A66" t="s">
        <v>16</v>
      </c>
      <c r="B66">
        <v>2004</v>
      </c>
      <c r="C66">
        <v>0.624</v>
      </c>
      <c r="D66">
        <v>0.61099999999999999</v>
      </c>
      <c r="E66">
        <v>0.59399999999999997</v>
      </c>
      <c r="F66">
        <v>1.38</v>
      </c>
      <c r="G66">
        <v>2.6280000000000001</v>
      </c>
      <c r="H66">
        <v>0</v>
      </c>
      <c r="I66">
        <v>27.09</v>
      </c>
      <c r="J66">
        <v>220.58</v>
      </c>
      <c r="K66" t="s">
        <v>12</v>
      </c>
      <c r="L66">
        <v>2004</v>
      </c>
      <c r="M66">
        <v>0.67400000000000004</v>
      </c>
      <c r="N66">
        <v>0.88</v>
      </c>
      <c r="O66">
        <v>1.34</v>
      </c>
      <c r="P66">
        <v>4.58</v>
      </c>
      <c r="Q66">
        <v>5.327</v>
      </c>
      <c r="R66">
        <v>0.85499999999999998</v>
      </c>
      <c r="S66">
        <v>25.7</v>
      </c>
      <c r="T66">
        <v>179.75</v>
      </c>
    </row>
    <row r="67" spans="1:20" x14ac:dyDescent="0.25">
      <c r="B67">
        <v>2005</v>
      </c>
      <c r="C67">
        <v>0.624</v>
      </c>
      <c r="D67">
        <v>0.63100000000000001</v>
      </c>
      <c r="E67">
        <v>0.70499999999999996</v>
      </c>
      <c r="F67">
        <v>1.38</v>
      </c>
      <c r="G67">
        <v>2.6280000000000001</v>
      </c>
      <c r="H67">
        <v>0</v>
      </c>
      <c r="I67">
        <v>26.68</v>
      </c>
      <c r="J67">
        <v>225</v>
      </c>
      <c r="L67">
        <v>2005</v>
      </c>
      <c r="M67">
        <v>0.69199999999999995</v>
      </c>
      <c r="N67">
        <v>0.83599999999999997</v>
      </c>
      <c r="O67">
        <v>1.3640000000000001</v>
      </c>
      <c r="P67">
        <v>4.58</v>
      </c>
      <c r="Q67">
        <v>5.327</v>
      </c>
      <c r="R67">
        <v>0.75800000000000001</v>
      </c>
      <c r="S67">
        <v>26.01</v>
      </c>
      <c r="T67">
        <v>174</v>
      </c>
    </row>
    <row r="68" spans="1:20" x14ac:dyDescent="0.25">
      <c r="B68">
        <v>2006</v>
      </c>
      <c r="C68">
        <v>0.70199999999999996</v>
      </c>
      <c r="D68">
        <v>0.64500000000000002</v>
      </c>
      <c r="E68">
        <v>0.55300000000000005</v>
      </c>
      <c r="F68">
        <v>0</v>
      </c>
      <c r="G68">
        <v>0</v>
      </c>
      <c r="H68">
        <v>0</v>
      </c>
      <c r="I68">
        <v>26.87</v>
      </c>
      <c r="J68">
        <v>190</v>
      </c>
      <c r="L68">
        <v>2006</v>
      </c>
      <c r="M68">
        <v>0.747</v>
      </c>
      <c r="N68">
        <v>0.84699999999999998</v>
      </c>
      <c r="O68">
        <v>1.3560000000000001</v>
      </c>
      <c r="P68">
        <v>4.4800000000000004</v>
      </c>
      <c r="Q68">
        <v>5.1310000000000002</v>
      </c>
      <c r="R68">
        <v>0.68600000000000005</v>
      </c>
      <c r="S68">
        <v>26.29</v>
      </c>
      <c r="T68">
        <v>92</v>
      </c>
    </row>
    <row r="69" spans="1:20" x14ac:dyDescent="0.25">
      <c r="B69">
        <v>2007</v>
      </c>
      <c r="C69">
        <v>0.55900000000000005</v>
      </c>
      <c r="D69">
        <v>0.61599999999999999</v>
      </c>
      <c r="E69">
        <v>0.58399999999999996</v>
      </c>
      <c r="F69">
        <v>0</v>
      </c>
      <c r="G69">
        <v>7.5510000000000002</v>
      </c>
      <c r="H69">
        <v>0</v>
      </c>
      <c r="I69">
        <v>26.26</v>
      </c>
      <c r="J69">
        <v>238</v>
      </c>
      <c r="L69">
        <v>2007</v>
      </c>
      <c r="M69">
        <v>0.75900000000000001</v>
      </c>
      <c r="N69">
        <v>0.88300000000000001</v>
      </c>
      <c r="O69">
        <v>1.4610000000000001</v>
      </c>
      <c r="P69">
        <v>4.71</v>
      </c>
      <c r="Q69">
        <v>5.2169999999999996</v>
      </c>
      <c r="R69">
        <v>0.69799999999999995</v>
      </c>
      <c r="S69">
        <v>25.87</v>
      </c>
      <c r="T69">
        <v>159</v>
      </c>
    </row>
    <row r="70" spans="1:20" x14ac:dyDescent="0.25">
      <c r="B70">
        <v>2008</v>
      </c>
      <c r="C70">
        <v>0.53500000000000003</v>
      </c>
      <c r="D70">
        <v>0.41099999999999998</v>
      </c>
      <c r="E70">
        <v>0.65800000000000003</v>
      </c>
      <c r="F70">
        <v>4.5999999999999996</v>
      </c>
      <c r="G70">
        <v>9.875</v>
      </c>
      <c r="H70">
        <v>0.4</v>
      </c>
      <c r="I70">
        <v>26.37</v>
      </c>
      <c r="J70">
        <v>201</v>
      </c>
      <c r="L70">
        <v>2008</v>
      </c>
      <c r="M70">
        <v>0.84499999999999997</v>
      </c>
      <c r="N70">
        <v>0.88900000000000001</v>
      </c>
      <c r="O70">
        <v>1.619</v>
      </c>
      <c r="P70">
        <v>4.46</v>
      </c>
      <c r="Q70">
        <v>5.6989999999999998</v>
      </c>
      <c r="R70">
        <v>0.81499999999999995</v>
      </c>
      <c r="S70">
        <v>25.89</v>
      </c>
      <c r="T70">
        <v>149</v>
      </c>
    </row>
    <row r="71" spans="1:20" x14ac:dyDescent="0.25">
      <c r="B71">
        <v>2009</v>
      </c>
      <c r="C71">
        <v>0.63600000000000001</v>
      </c>
      <c r="D71">
        <v>0.54700000000000004</v>
      </c>
      <c r="E71">
        <v>0.65100000000000002</v>
      </c>
      <c r="F71">
        <v>0</v>
      </c>
      <c r="G71">
        <v>5.8620000000000001</v>
      </c>
      <c r="H71">
        <v>0.84</v>
      </c>
      <c r="I71">
        <v>26.92</v>
      </c>
      <c r="J71">
        <v>192</v>
      </c>
      <c r="L71">
        <v>2009</v>
      </c>
      <c r="M71">
        <v>0.83599999999999997</v>
      </c>
      <c r="N71">
        <v>0.871</v>
      </c>
      <c r="O71">
        <v>1.677</v>
      </c>
      <c r="P71">
        <v>4.47</v>
      </c>
      <c r="Q71">
        <v>3.8170000000000002</v>
      </c>
      <c r="R71">
        <v>0.85499999999999998</v>
      </c>
      <c r="S71">
        <v>26.24</v>
      </c>
      <c r="T71">
        <v>117</v>
      </c>
    </row>
    <row r="72" spans="1:20" x14ac:dyDescent="0.25">
      <c r="B72">
        <v>2010</v>
      </c>
      <c r="C72">
        <v>0.63</v>
      </c>
      <c r="D72">
        <v>0.67300000000000004</v>
      </c>
      <c r="E72">
        <v>0.94099999999999995</v>
      </c>
      <c r="F72">
        <v>0</v>
      </c>
      <c r="G72">
        <v>7.5620000000000003</v>
      </c>
      <c r="H72">
        <v>0.66700000000000004</v>
      </c>
      <c r="I72">
        <v>27.12</v>
      </c>
      <c r="J72">
        <v>172</v>
      </c>
      <c r="L72">
        <v>2010</v>
      </c>
      <c r="M72">
        <v>0.68200000000000005</v>
      </c>
      <c r="N72">
        <v>0.82899999999999996</v>
      </c>
      <c r="O72">
        <v>1.613</v>
      </c>
      <c r="P72">
        <v>4.5199999999999996</v>
      </c>
      <c r="Q72">
        <v>6.452</v>
      </c>
      <c r="R72">
        <v>0.80800000000000005</v>
      </c>
      <c r="S72">
        <v>26.5</v>
      </c>
      <c r="T72">
        <v>105</v>
      </c>
    </row>
    <row r="73" spans="1:20" x14ac:dyDescent="0.25">
      <c r="B73">
        <v>2011</v>
      </c>
      <c r="C73">
        <v>0.70899999999999996</v>
      </c>
      <c r="D73">
        <v>0.69</v>
      </c>
      <c r="E73">
        <v>1.048</v>
      </c>
      <c r="F73">
        <v>0</v>
      </c>
      <c r="G73">
        <v>7.4189999999999996</v>
      </c>
      <c r="H73">
        <v>0.46200000000000002</v>
      </c>
      <c r="I73">
        <v>26.39</v>
      </c>
      <c r="J73">
        <v>201</v>
      </c>
      <c r="L73">
        <v>2011</v>
      </c>
      <c r="M73">
        <v>0.79300000000000004</v>
      </c>
      <c r="N73">
        <v>0.875</v>
      </c>
      <c r="O73">
        <v>1.51</v>
      </c>
      <c r="P73">
        <v>4.42</v>
      </c>
      <c r="Q73">
        <v>6.6989999999999998</v>
      </c>
      <c r="R73">
        <v>0.91400000000000003</v>
      </c>
      <c r="S73">
        <v>25.8</v>
      </c>
      <c r="T73">
        <v>143</v>
      </c>
    </row>
    <row r="74" spans="1:20" x14ac:dyDescent="0.25">
      <c r="B74">
        <v>2012</v>
      </c>
      <c r="C74">
        <v>0.79800000000000004</v>
      </c>
      <c r="D74">
        <v>0.66800000000000004</v>
      </c>
      <c r="E74">
        <v>0.995</v>
      </c>
      <c r="F74">
        <v>0</v>
      </c>
      <c r="G74">
        <v>8.8290000000000006</v>
      </c>
      <c r="H74">
        <v>0</v>
      </c>
      <c r="I74">
        <v>26.63</v>
      </c>
      <c r="J74">
        <v>157</v>
      </c>
      <c r="L74">
        <v>2012</v>
      </c>
      <c r="M74">
        <v>0.84099999999999997</v>
      </c>
      <c r="N74">
        <v>0.94499999999999995</v>
      </c>
      <c r="O74">
        <v>1.512</v>
      </c>
      <c r="P74">
        <v>4.32</v>
      </c>
      <c r="Q74">
        <v>7.4909999999999997</v>
      </c>
      <c r="R74">
        <v>0.94599999999999995</v>
      </c>
      <c r="S74">
        <v>26</v>
      </c>
      <c r="T74">
        <v>95</v>
      </c>
    </row>
    <row r="75" spans="1:20" x14ac:dyDescent="0.25">
      <c r="B75">
        <v>2013</v>
      </c>
      <c r="C75">
        <v>0.95799999999999996</v>
      </c>
      <c r="D75">
        <v>0.71099999999999997</v>
      </c>
      <c r="E75">
        <v>0.998</v>
      </c>
      <c r="F75">
        <v>4.91</v>
      </c>
      <c r="G75">
        <v>7.5309999999999997</v>
      </c>
      <c r="H75">
        <v>0</v>
      </c>
      <c r="I75">
        <v>26.4</v>
      </c>
      <c r="J75">
        <v>221</v>
      </c>
      <c r="L75">
        <v>2013</v>
      </c>
      <c r="M75">
        <v>0.88900000000000001</v>
      </c>
      <c r="N75">
        <v>0.996</v>
      </c>
      <c r="O75">
        <v>1.6060000000000001</v>
      </c>
      <c r="P75">
        <v>5.27</v>
      </c>
      <c r="Q75">
        <v>7.0990000000000002</v>
      </c>
      <c r="R75">
        <v>0.98199999999999998</v>
      </c>
      <c r="S75">
        <v>26.13</v>
      </c>
      <c r="T75">
        <v>101</v>
      </c>
    </row>
    <row r="76" spans="1:20" x14ac:dyDescent="0.25">
      <c r="B76">
        <v>2014</v>
      </c>
      <c r="C76">
        <v>1.089</v>
      </c>
      <c r="D76">
        <v>1.125</v>
      </c>
      <c r="E76">
        <v>0.95399999999999996</v>
      </c>
      <c r="F76">
        <v>0</v>
      </c>
      <c r="G76">
        <v>6.0860000000000003</v>
      </c>
      <c r="H76">
        <v>0.41299999999999998</v>
      </c>
      <c r="I76">
        <v>26.7</v>
      </c>
      <c r="J76">
        <v>169</v>
      </c>
      <c r="L76">
        <v>2014</v>
      </c>
      <c r="M76">
        <v>0.97899999999999998</v>
      </c>
      <c r="N76">
        <v>1.0289999999999999</v>
      </c>
      <c r="O76">
        <v>1.6379999999999999</v>
      </c>
      <c r="P76">
        <v>4.87</v>
      </c>
      <c r="Q76">
        <v>7.0119999999999996</v>
      </c>
      <c r="R76">
        <v>0.99399999999999999</v>
      </c>
      <c r="S76">
        <v>26</v>
      </c>
      <c r="T76">
        <v>142.30000000000001</v>
      </c>
    </row>
    <row r="77" spans="1:20" x14ac:dyDescent="0.25">
      <c r="B77">
        <v>2015</v>
      </c>
      <c r="C77">
        <v>0.79700000000000004</v>
      </c>
      <c r="D77">
        <v>0.71199999999999997</v>
      </c>
      <c r="E77">
        <v>0.84299999999999997</v>
      </c>
      <c r="F77">
        <v>0</v>
      </c>
      <c r="G77">
        <v>6.2409999999999997</v>
      </c>
      <c r="H77">
        <v>0.41299999999999998</v>
      </c>
      <c r="L77">
        <v>2015</v>
      </c>
      <c r="M77">
        <v>0.92900000000000005</v>
      </c>
      <c r="N77">
        <v>1.0720000000000001</v>
      </c>
      <c r="O77">
        <v>1.5149999999999999</v>
      </c>
      <c r="P77">
        <v>4.7</v>
      </c>
      <c r="Q77">
        <v>6.9930000000000003</v>
      </c>
      <c r="R77">
        <v>0.98599999999999999</v>
      </c>
    </row>
    <row r="78" spans="1:20" x14ac:dyDescent="0.25">
      <c r="B78">
        <v>2016</v>
      </c>
      <c r="L78">
        <v>2016</v>
      </c>
    </row>
    <row r="79" spans="1:20" x14ac:dyDescent="0.25">
      <c r="B79">
        <v>2017</v>
      </c>
      <c r="L79">
        <v>2017</v>
      </c>
    </row>
    <row r="81" spans="1:20" x14ac:dyDescent="0.25">
      <c r="A81" t="s">
        <v>9</v>
      </c>
      <c r="B81" t="s">
        <v>0</v>
      </c>
      <c r="C81" t="s">
        <v>1</v>
      </c>
      <c r="D81" t="s">
        <v>2</v>
      </c>
      <c r="E81" t="s">
        <v>3</v>
      </c>
      <c r="F81" t="s">
        <v>4</v>
      </c>
      <c r="G81" t="s">
        <v>5</v>
      </c>
      <c r="H81" t="s">
        <v>6</v>
      </c>
      <c r="I81" t="s">
        <v>21</v>
      </c>
      <c r="J81" t="s">
        <v>22</v>
      </c>
      <c r="K81" t="s">
        <v>9</v>
      </c>
      <c r="L81" t="s">
        <v>0</v>
      </c>
      <c r="M81" t="s">
        <v>1</v>
      </c>
      <c r="N81" t="s">
        <v>2</v>
      </c>
      <c r="O81" t="s">
        <v>3</v>
      </c>
      <c r="P81" t="s">
        <v>4</v>
      </c>
      <c r="Q81" t="s">
        <v>5</v>
      </c>
      <c r="R81" t="s">
        <v>6</v>
      </c>
      <c r="S81" t="s">
        <v>21</v>
      </c>
      <c r="T81" t="s">
        <v>22</v>
      </c>
    </row>
    <row r="82" spans="1:20" x14ac:dyDescent="0.25">
      <c r="A82" t="s">
        <v>8</v>
      </c>
      <c r="B82">
        <v>2004</v>
      </c>
      <c r="C82">
        <v>0.877</v>
      </c>
      <c r="D82">
        <v>0.752</v>
      </c>
      <c r="E82">
        <v>1.2689999999999999</v>
      </c>
      <c r="F82">
        <v>4.43</v>
      </c>
      <c r="G82">
        <v>5.1289999999999996</v>
      </c>
      <c r="H82">
        <v>0.71899999999999997</v>
      </c>
      <c r="I82">
        <v>24.78</v>
      </c>
      <c r="J82">
        <v>191</v>
      </c>
      <c r="K82" t="s">
        <v>11</v>
      </c>
      <c r="L82">
        <v>2004</v>
      </c>
      <c r="M82">
        <v>0.67300000000000004</v>
      </c>
      <c r="N82">
        <v>0.85099999999999998</v>
      </c>
      <c r="O82">
        <v>1.363</v>
      </c>
      <c r="P82">
        <v>5.12</v>
      </c>
      <c r="Q82">
        <v>5.6130000000000004</v>
      </c>
      <c r="R82">
        <v>0.997</v>
      </c>
      <c r="S82">
        <v>25.96</v>
      </c>
      <c r="T82">
        <v>148.83000000000001</v>
      </c>
    </row>
    <row r="83" spans="1:20" x14ac:dyDescent="0.25">
      <c r="B83">
        <v>2005</v>
      </c>
      <c r="C83">
        <v>0.78</v>
      </c>
      <c r="D83">
        <v>0.72799999999999998</v>
      </c>
      <c r="E83">
        <v>1.37</v>
      </c>
      <c r="F83">
        <v>4.43</v>
      </c>
      <c r="G83">
        <v>5.1289999999999996</v>
      </c>
      <c r="H83">
        <v>0.65700000000000003</v>
      </c>
      <c r="I83">
        <v>25.125</v>
      </c>
      <c r="J83">
        <v>247</v>
      </c>
      <c r="L83">
        <v>2005</v>
      </c>
      <c r="M83">
        <v>0.74</v>
      </c>
      <c r="N83">
        <v>0.874</v>
      </c>
      <c r="O83">
        <v>1.4370000000000001</v>
      </c>
      <c r="P83">
        <v>5.12</v>
      </c>
      <c r="Q83">
        <v>5.6130000000000004</v>
      </c>
      <c r="R83">
        <v>0.79900000000000004</v>
      </c>
      <c r="S83">
        <v>26.17</v>
      </c>
      <c r="T83">
        <v>117</v>
      </c>
    </row>
    <row r="84" spans="1:20" x14ac:dyDescent="0.25">
      <c r="B84">
        <v>2006</v>
      </c>
      <c r="C84">
        <v>0.85099999999999998</v>
      </c>
      <c r="D84">
        <v>0.81699999999999995</v>
      </c>
      <c r="E84">
        <v>1.425</v>
      </c>
      <c r="F84">
        <v>4.07</v>
      </c>
      <c r="G84">
        <v>5.4039999999999999</v>
      </c>
      <c r="H84">
        <v>0.623</v>
      </c>
      <c r="I84">
        <v>25.4</v>
      </c>
      <c r="J84">
        <v>107</v>
      </c>
      <c r="L84">
        <v>2006</v>
      </c>
      <c r="M84">
        <v>0.81899999999999995</v>
      </c>
      <c r="N84">
        <v>0.93</v>
      </c>
      <c r="O84">
        <v>1.4710000000000001</v>
      </c>
      <c r="P84">
        <v>5.84</v>
      </c>
      <c r="Q84">
        <v>4.9050000000000002</v>
      </c>
      <c r="R84">
        <v>0.73</v>
      </c>
      <c r="S84">
        <v>26.324999999999999</v>
      </c>
      <c r="T84">
        <v>95</v>
      </c>
    </row>
    <row r="85" spans="1:20" x14ac:dyDescent="0.25">
      <c r="B85">
        <v>2007</v>
      </c>
      <c r="C85">
        <v>0.745</v>
      </c>
      <c r="D85">
        <v>0.82599999999999996</v>
      </c>
      <c r="E85">
        <v>1.5189999999999999</v>
      </c>
      <c r="F85">
        <v>4.17</v>
      </c>
      <c r="G85">
        <v>5.6559999999999997</v>
      </c>
      <c r="H85">
        <v>0.66500000000000004</v>
      </c>
      <c r="I85">
        <v>25.22</v>
      </c>
      <c r="J85">
        <v>136</v>
      </c>
      <c r="L85">
        <v>2007</v>
      </c>
      <c r="M85">
        <v>0.873</v>
      </c>
      <c r="N85">
        <v>0.874</v>
      </c>
      <c r="O85">
        <v>1.621</v>
      </c>
      <c r="P85">
        <v>5.79</v>
      </c>
      <c r="Q85">
        <v>5.8639999999999999</v>
      </c>
      <c r="R85">
        <v>0.76900000000000002</v>
      </c>
      <c r="S85">
        <v>25.86</v>
      </c>
      <c r="T85">
        <v>168</v>
      </c>
    </row>
    <row r="86" spans="1:20" x14ac:dyDescent="0.25">
      <c r="B86">
        <v>2008</v>
      </c>
      <c r="C86">
        <v>0.7</v>
      </c>
      <c r="D86">
        <v>0.95499999999999996</v>
      </c>
      <c r="E86">
        <v>1.607</v>
      </c>
      <c r="F86">
        <v>3.8</v>
      </c>
      <c r="G86">
        <v>7.423</v>
      </c>
      <c r="H86">
        <v>0.86699999999999999</v>
      </c>
      <c r="I86">
        <v>25.12</v>
      </c>
      <c r="J86">
        <v>147</v>
      </c>
      <c r="L86">
        <v>2008</v>
      </c>
      <c r="M86">
        <v>0.79900000000000004</v>
      </c>
      <c r="N86">
        <v>1.0389999999999999</v>
      </c>
      <c r="O86">
        <v>1.7629999999999999</v>
      </c>
      <c r="P86">
        <v>5.05</v>
      </c>
      <c r="Q86">
        <v>6.7140000000000004</v>
      </c>
      <c r="R86">
        <v>0.9</v>
      </c>
      <c r="S86">
        <v>25.84</v>
      </c>
      <c r="T86">
        <v>109</v>
      </c>
    </row>
    <row r="87" spans="1:20" x14ac:dyDescent="0.25">
      <c r="B87">
        <v>2009</v>
      </c>
      <c r="C87">
        <v>0.97799999999999998</v>
      </c>
      <c r="D87">
        <v>0.996</v>
      </c>
      <c r="E87">
        <v>1.542</v>
      </c>
      <c r="F87">
        <v>4.1100000000000003</v>
      </c>
      <c r="G87">
        <v>4.4859999999999998</v>
      </c>
      <c r="H87">
        <v>0.80600000000000005</v>
      </c>
      <c r="I87">
        <v>25.47</v>
      </c>
      <c r="J87">
        <v>169</v>
      </c>
      <c r="L87">
        <v>2009</v>
      </c>
      <c r="M87">
        <v>0.93400000000000005</v>
      </c>
      <c r="N87">
        <v>1.0469999999999999</v>
      </c>
      <c r="O87">
        <v>1.6679999999999999</v>
      </c>
      <c r="P87">
        <v>5.4</v>
      </c>
      <c r="Q87">
        <v>5.9569999999999999</v>
      </c>
      <c r="R87">
        <v>0.91500000000000004</v>
      </c>
      <c r="S87">
        <v>26.3</v>
      </c>
      <c r="T87">
        <v>86</v>
      </c>
    </row>
    <row r="88" spans="1:20" x14ac:dyDescent="0.25">
      <c r="B88">
        <v>2010</v>
      </c>
      <c r="C88">
        <v>0.81699999999999995</v>
      </c>
      <c r="D88">
        <v>0.95699999999999996</v>
      </c>
      <c r="E88">
        <v>1.528</v>
      </c>
      <c r="F88">
        <v>4.34</v>
      </c>
      <c r="G88">
        <v>6.8</v>
      </c>
      <c r="H88">
        <v>0.96599999999999997</v>
      </c>
      <c r="I88">
        <v>25.55</v>
      </c>
      <c r="J88">
        <v>136</v>
      </c>
      <c r="L88">
        <v>2010</v>
      </c>
      <c r="M88">
        <v>0.83399999999999996</v>
      </c>
      <c r="N88">
        <v>1.0349999999999999</v>
      </c>
      <c r="O88">
        <v>1.55</v>
      </c>
      <c r="P88">
        <v>5.46</v>
      </c>
      <c r="Q88">
        <v>7.9160000000000004</v>
      </c>
      <c r="R88">
        <v>1.0820000000000001</v>
      </c>
      <c r="S88">
        <v>26.53</v>
      </c>
      <c r="T88">
        <v>66</v>
      </c>
    </row>
    <row r="89" spans="1:20" x14ac:dyDescent="0.25">
      <c r="B89">
        <v>2011</v>
      </c>
      <c r="C89">
        <v>0.80400000000000005</v>
      </c>
      <c r="D89">
        <v>1.0549999999999999</v>
      </c>
      <c r="E89">
        <v>1.534</v>
      </c>
      <c r="F89">
        <v>4.4800000000000004</v>
      </c>
      <c r="G89">
        <v>6.3419999999999996</v>
      </c>
      <c r="H89">
        <v>1.0569999999999999</v>
      </c>
      <c r="I89">
        <v>24.98</v>
      </c>
      <c r="J89">
        <v>137</v>
      </c>
      <c r="L89">
        <v>2011</v>
      </c>
      <c r="M89">
        <v>0.872</v>
      </c>
      <c r="N89">
        <v>1.1080000000000001</v>
      </c>
      <c r="O89">
        <v>1.6220000000000001</v>
      </c>
      <c r="P89">
        <v>5.4</v>
      </c>
      <c r="Q89">
        <v>8.1809999999999992</v>
      </c>
      <c r="R89">
        <v>0.999</v>
      </c>
      <c r="S89">
        <v>26.25</v>
      </c>
      <c r="T89">
        <v>122</v>
      </c>
    </row>
    <row r="90" spans="1:20" x14ac:dyDescent="0.25">
      <c r="B90">
        <v>2012</v>
      </c>
      <c r="C90">
        <v>1.095</v>
      </c>
      <c r="D90">
        <v>0.99299999999999999</v>
      </c>
      <c r="E90">
        <v>1.5369999999999999</v>
      </c>
      <c r="F90">
        <v>4.3899999999999997</v>
      </c>
      <c r="G90">
        <v>7.3630000000000004</v>
      </c>
      <c r="H90">
        <v>1.109</v>
      </c>
      <c r="I90">
        <v>25.07</v>
      </c>
      <c r="J90">
        <v>125</v>
      </c>
      <c r="L90">
        <v>2012</v>
      </c>
      <c r="M90">
        <v>0.98699999999999999</v>
      </c>
      <c r="N90">
        <v>1.0289999999999999</v>
      </c>
      <c r="O90">
        <v>1.6479999999999999</v>
      </c>
      <c r="P90">
        <v>5.85</v>
      </c>
      <c r="Q90">
        <v>9.157</v>
      </c>
      <c r="R90">
        <v>1.278</v>
      </c>
      <c r="S90">
        <v>26.1</v>
      </c>
      <c r="T90">
        <v>97</v>
      </c>
    </row>
    <row r="91" spans="1:20" x14ac:dyDescent="0.25">
      <c r="B91">
        <v>2013</v>
      </c>
      <c r="C91">
        <v>0.56799999999999995</v>
      </c>
      <c r="D91">
        <v>1.04</v>
      </c>
      <c r="E91">
        <v>1.637</v>
      </c>
      <c r="F91">
        <v>5.01</v>
      </c>
      <c r="G91">
        <v>6.8310000000000004</v>
      </c>
      <c r="H91">
        <v>1.2649999999999999</v>
      </c>
      <c r="I91">
        <v>25.17</v>
      </c>
      <c r="J91">
        <v>152</v>
      </c>
      <c r="L91">
        <v>2013</v>
      </c>
      <c r="M91">
        <v>0.875</v>
      </c>
      <c r="N91">
        <v>1.151</v>
      </c>
      <c r="O91">
        <v>1.64</v>
      </c>
      <c r="P91">
        <v>4.08</v>
      </c>
      <c r="Q91">
        <v>9.0719999999999992</v>
      </c>
      <c r="R91">
        <v>1.3169999999999999</v>
      </c>
      <c r="S91">
        <v>26.06</v>
      </c>
      <c r="T91">
        <v>104</v>
      </c>
    </row>
    <row r="92" spans="1:20" x14ac:dyDescent="0.25">
      <c r="B92">
        <v>2014</v>
      </c>
      <c r="C92">
        <v>0.65400000000000003</v>
      </c>
      <c r="D92">
        <v>0.85399999999999998</v>
      </c>
      <c r="E92">
        <v>1.665</v>
      </c>
      <c r="F92">
        <v>4.83</v>
      </c>
      <c r="G92">
        <v>7.1310000000000002</v>
      </c>
      <c r="H92">
        <v>1.2609999999999999</v>
      </c>
      <c r="I92">
        <v>25.2</v>
      </c>
      <c r="J92">
        <v>116.5</v>
      </c>
      <c r="L92">
        <v>2014</v>
      </c>
      <c r="M92">
        <v>0.88200000000000001</v>
      </c>
      <c r="N92">
        <v>1.0089999999999999</v>
      </c>
      <c r="O92">
        <v>1.5840000000000001</v>
      </c>
      <c r="P92">
        <v>5.49</v>
      </c>
      <c r="Q92">
        <v>8.4730000000000008</v>
      </c>
      <c r="R92">
        <v>1.2689999999999999</v>
      </c>
      <c r="S92">
        <v>26.05</v>
      </c>
      <c r="T92">
        <v>99</v>
      </c>
    </row>
    <row r="93" spans="1:20" x14ac:dyDescent="0.25">
      <c r="B93">
        <v>2015</v>
      </c>
      <c r="C93">
        <v>0.92900000000000005</v>
      </c>
      <c r="D93">
        <v>1.129</v>
      </c>
      <c r="E93">
        <v>1.655</v>
      </c>
      <c r="F93">
        <v>4.55</v>
      </c>
      <c r="G93">
        <v>7.7009999999999996</v>
      </c>
      <c r="H93">
        <v>1.2869999999999999</v>
      </c>
      <c r="L93">
        <v>2015</v>
      </c>
      <c r="M93">
        <v>1.1599999999999999</v>
      </c>
      <c r="N93">
        <v>1.147</v>
      </c>
      <c r="O93">
        <v>1.643</v>
      </c>
      <c r="P93">
        <v>5.04</v>
      </c>
      <c r="Q93">
        <v>8.5109999999999992</v>
      </c>
      <c r="R93">
        <v>1.321</v>
      </c>
    </row>
    <row r="94" spans="1:20" x14ac:dyDescent="0.25">
      <c r="B94">
        <v>2016</v>
      </c>
      <c r="L94">
        <v>2016</v>
      </c>
    </row>
    <row r="95" spans="1:20" x14ac:dyDescent="0.25">
      <c r="B95">
        <v>2017</v>
      </c>
      <c r="L95">
        <v>2017</v>
      </c>
    </row>
    <row r="97" spans="1:10" x14ac:dyDescent="0.25">
      <c r="A97" t="s">
        <v>9</v>
      </c>
      <c r="B97" t="s">
        <v>0</v>
      </c>
      <c r="C97" t="s">
        <v>1</v>
      </c>
      <c r="D97" t="s">
        <v>2</v>
      </c>
      <c r="E97" t="s">
        <v>3</v>
      </c>
      <c r="F97" t="s">
        <v>4</v>
      </c>
      <c r="G97" t="s">
        <v>5</v>
      </c>
      <c r="H97" t="s">
        <v>6</v>
      </c>
      <c r="I97" t="s">
        <v>21</v>
      </c>
      <c r="J97" t="s">
        <v>22</v>
      </c>
    </row>
    <row r="98" spans="1:10" x14ac:dyDescent="0.25">
      <c r="A98" t="s">
        <v>7</v>
      </c>
      <c r="B98">
        <v>2004</v>
      </c>
      <c r="C98">
        <v>0.58899999999999997</v>
      </c>
      <c r="D98">
        <v>0.86599999999999999</v>
      </c>
      <c r="E98">
        <v>1.3169999999999999</v>
      </c>
      <c r="F98">
        <v>3.99</v>
      </c>
      <c r="G98">
        <v>7.2149999999999999</v>
      </c>
      <c r="H98">
        <v>0.89900000000000002</v>
      </c>
      <c r="I98">
        <v>24.83</v>
      </c>
      <c r="J98">
        <v>223.33</v>
      </c>
    </row>
    <row r="99" spans="1:10" x14ac:dyDescent="0.25">
      <c r="B99">
        <v>2005</v>
      </c>
      <c r="C99">
        <v>0.47699999999999998</v>
      </c>
      <c r="D99">
        <v>0.77500000000000002</v>
      </c>
      <c r="E99">
        <v>1.349</v>
      </c>
      <c r="F99">
        <v>3.99</v>
      </c>
      <c r="G99">
        <v>7.2149999999999999</v>
      </c>
      <c r="H99">
        <v>0.74299999999999999</v>
      </c>
      <c r="I99">
        <v>24.99</v>
      </c>
      <c r="J99">
        <v>237</v>
      </c>
    </row>
    <row r="100" spans="1:10" x14ac:dyDescent="0.25">
      <c r="B100">
        <v>2006</v>
      </c>
      <c r="C100">
        <v>0.51800000000000002</v>
      </c>
      <c r="D100">
        <v>0.83</v>
      </c>
      <c r="E100">
        <v>1.399</v>
      </c>
      <c r="F100">
        <v>4.78</v>
      </c>
      <c r="G100">
        <v>5.2050000000000001</v>
      </c>
      <c r="H100">
        <v>0.61199999999999999</v>
      </c>
      <c r="I100">
        <v>25.37</v>
      </c>
      <c r="J100">
        <v>140</v>
      </c>
    </row>
    <row r="101" spans="1:10" x14ac:dyDescent="0.25">
      <c r="B101">
        <v>2007</v>
      </c>
      <c r="C101">
        <v>0</v>
      </c>
      <c r="D101">
        <v>0.94499999999999995</v>
      </c>
      <c r="E101">
        <v>1.5009999999999999</v>
      </c>
      <c r="F101">
        <v>4.7699999999999996</v>
      </c>
      <c r="G101">
        <v>5.6909999999999998</v>
      </c>
      <c r="H101">
        <v>0.71899999999999997</v>
      </c>
      <c r="I101">
        <v>25.05</v>
      </c>
      <c r="J101">
        <v>169</v>
      </c>
    </row>
    <row r="102" spans="1:10" x14ac:dyDescent="0.25">
      <c r="B102">
        <v>2008</v>
      </c>
      <c r="C102">
        <v>0</v>
      </c>
      <c r="D102">
        <v>0.79600000000000004</v>
      </c>
      <c r="E102">
        <v>1.5780000000000001</v>
      </c>
      <c r="F102">
        <v>4.78</v>
      </c>
      <c r="G102">
        <v>6.2679999999999998</v>
      </c>
      <c r="H102">
        <v>0.89400000000000002</v>
      </c>
      <c r="I102">
        <v>24.95</v>
      </c>
      <c r="J102">
        <v>158</v>
      </c>
    </row>
    <row r="103" spans="1:10" x14ac:dyDescent="0.25">
      <c r="B103">
        <v>2009</v>
      </c>
      <c r="C103">
        <v>0</v>
      </c>
      <c r="D103">
        <v>0.92200000000000004</v>
      </c>
      <c r="E103">
        <v>1.589</v>
      </c>
      <c r="F103">
        <v>5.03</v>
      </c>
      <c r="G103">
        <v>5.7389999999999999</v>
      </c>
      <c r="H103">
        <v>0.872</v>
      </c>
      <c r="I103">
        <v>25.4</v>
      </c>
      <c r="J103">
        <v>184</v>
      </c>
    </row>
    <row r="104" spans="1:10" x14ac:dyDescent="0.25">
      <c r="B104">
        <v>2010</v>
      </c>
      <c r="C104">
        <v>0</v>
      </c>
      <c r="D104">
        <v>0.96699999999999997</v>
      </c>
      <c r="E104">
        <v>1.637</v>
      </c>
      <c r="F104">
        <v>4.6900000000000004</v>
      </c>
      <c r="G104">
        <v>7.5350000000000001</v>
      </c>
      <c r="H104">
        <v>0.88700000000000001</v>
      </c>
      <c r="I104">
        <v>25.87</v>
      </c>
      <c r="J104">
        <v>158</v>
      </c>
    </row>
    <row r="105" spans="1:10" x14ac:dyDescent="0.25">
      <c r="B105">
        <v>2011</v>
      </c>
      <c r="C105">
        <v>0</v>
      </c>
      <c r="D105">
        <v>1.071</v>
      </c>
      <c r="E105">
        <v>1.5189999999999999</v>
      </c>
      <c r="F105">
        <v>5.04</v>
      </c>
      <c r="G105">
        <v>7.81</v>
      </c>
      <c r="H105">
        <v>0.90400000000000003</v>
      </c>
      <c r="I105">
        <v>24.93</v>
      </c>
      <c r="J105">
        <v>161</v>
      </c>
    </row>
    <row r="106" spans="1:10" x14ac:dyDescent="0.25">
      <c r="B106">
        <v>2012</v>
      </c>
      <c r="C106">
        <v>0.80300000000000005</v>
      </c>
      <c r="D106">
        <v>1.081</v>
      </c>
      <c r="E106">
        <v>1.522</v>
      </c>
      <c r="F106">
        <v>5.12</v>
      </c>
      <c r="G106">
        <v>8.4039999999999999</v>
      </c>
      <c r="H106">
        <v>0.91900000000000004</v>
      </c>
      <c r="I106">
        <v>24.87</v>
      </c>
      <c r="J106">
        <v>157</v>
      </c>
    </row>
    <row r="107" spans="1:10" x14ac:dyDescent="0.25">
      <c r="B107">
        <v>2013</v>
      </c>
      <c r="C107">
        <v>0.89</v>
      </c>
      <c r="D107">
        <v>1.06</v>
      </c>
      <c r="E107">
        <v>1.6459999999999999</v>
      </c>
      <c r="F107">
        <v>4.78</v>
      </c>
      <c r="G107">
        <v>8.8810000000000002</v>
      </c>
      <c r="H107">
        <v>1.016</v>
      </c>
      <c r="I107">
        <v>25.13</v>
      </c>
      <c r="J107">
        <v>159</v>
      </c>
    </row>
    <row r="108" spans="1:10" x14ac:dyDescent="0.25">
      <c r="B108">
        <v>2014</v>
      </c>
      <c r="C108">
        <v>0</v>
      </c>
      <c r="D108">
        <v>1.109</v>
      </c>
      <c r="E108">
        <v>1.7569999999999999</v>
      </c>
      <c r="F108">
        <v>5.29</v>
      </c>
      <c r="G108">
        <v>8.3539999999999992</v>
      </c>
      <c r="H108">
        <v>1.141</v>
      </c>
      <c r="I108">
        <v>25.2</v>
      </c>
      <c r="J108">
        <v>132.58000000000001</v>
      </c>
    </row>
    <row r="109" spans="1:10" x14ac:dyDescent="0.25">
      <c r="B109">
        <v>2015</v>
      </c>
      <c r="C109">
        <v>0.92200000000000004</v>
      </c>
      <c r="D109">
        <v>1.119</v>
      </c>
      <c r="E109">
        <v>1.7849999999999999</v>
      </c>
      <c r="F109">
        <v>5.09</v>
      </c>
      <c r="G109">
        <v>8.2789999999999999</v>
      </c>
      <c r="H109">
        <v>1.173</v>
      </c>
    </row>
    <row r="110" spans="1:10" x14ac:dyDescent="0.25">
      <c r="B110">
        <v>2016</v>
      </c>
    </row>
    <row r="111" spans="1:10" x14ac:dyDescent="0.25">
      <c r="B111">
        <v>2017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4"/>
  <sheetViews>
    <sheetView topLeftCell="A112" workbookViewId="0">
      <selection activeCell="D125" sqref="A115:D125"/>
    </sheetView>
  </sheetViews>
  <sheetFormatPr defaultRowHeight="15" x14ac:dyDescent="0.25"/>
  <cols>
    <col min="1" max="2" width="14.42578125" customWidth="1"/>
    <col min="3" max="3" width="11.140625" customWidth="1"/>
    <col min="4" max="5" width="12.85546875" customWidth="1"/>
    <col min="7" max="7" width="11.28515625" customWidth="1"/>
    <col min="14" max="14" width="10.7109375" customWidth="1"/>
    <col min="15" max="15" width="12.42578125" customWidth="1"/>
    <col min="16" max="16" width="12.85546875" customWidth="1"/>
    <col min="18" max="18" width="11.42578125" customWidth="1"/>
    <col min="19" max="19" width="10.7109375" customWidth="1"/>
  </cols>
  <sheetData>
    <row r="1" spans="1:18" x14ac:dyDescent="0.25">
      <c r="B1" t="s">
        <v>1</v>
      </c>
    </row>
    <row r="2" spans="1:18" x14ac:dyDescent="0.25">
      <c r="A2" t="s">
        <v>78</v>
      </c>
      <c r="B2" s="6" t="s">
        <v>79</v>
      </c>
      <c r="C2" t="s">
        <v>64</v>
      </c>
      <c r="D2" t="s">
        <v>23</v>
      </c>
      <c r="F2" t="s">
        <v>24</v>
      </c>
    </row>
    <row r="3" spans="1:18" ht="15.75" thickBot="1" x14ac:dyDescent="0.3">
      <c r="A3">
        <v>27.15</v>
      </c>
      <c r="B3">
        <v>268</v>
      </c>
      <c r="C3">
        <v>82</v>
      </c>
      <c r="D3">
        <v>0.72199999999999998</v>
      </c>
    </row>
    <row r="4" spans="1:18" x14ac:dyDescent="0.25">
      <c r="A4">
        <v>27.77</v>
      </c>
      <c r="B4">
        <v>255</v>
      </c>
      <c r="C4">
        <v>82</v>
      </c>
      <c r="D4">
        <v>0.67800000000000005</v>
      </c>
      <c r="F4" s="2" t="s">
        <v>27</v>
      </c>
      <c r="G4" s="2"/>
      <c r="N4" t="s">
        <v>78</v>
      </c>
      <c r="O4" s="6" t="s">
        <v>79</v>
      </c>
      <c r="P4" t="s">
        <v>64</v>
      </c>
      <c r="Q4" t="s">
        <v>82</v>
      </c>
      <c r="R4" t="s">
        <v>83</v>
      </c>
    </row>
    <row r="5" spans="1:18" x14ac:dyDescent="0.25">
      <c r="A5">
        <v>27.97</v>
      </c>
      <c r="B5">
        <v>214</v>
      </c>
      <c r="C5">
        <v>82</v>
      </c>
      <c r="D5">
        <v>0.73899999999999999</v>
      </c>
      <c r="F5" s="3" t="s">
        <v>28</v>
      </c>
      <c r="G5" s="3">
        <v>0.62241234308427396</v>
      </c>
      <c r="N5">
        <v>27.93</v>
      </c>
      <c r="O5">
        <v>184</v>
      </c>
      <c r="P5">
        <v>80</v>
      </c>
      <c r="Q5">
        <f>G18+G19*N5+G20*O5+G21*P5</f>
        <v>0.84253335927539164</v>
      </c>
      <c r="R5">
        <v>23.12</v>
      </c>
    </row>
    <row r="6" spans="1:18" x14ac:dyDescent="0.25">
      <c r="A6">
        <v>28</v>
      </c>
      <c r="B6">
        <v>281</v>
      </c>
      <c r="C6">
        <v>79</v>
      </c>
      <c r="D6">
        <v>0.77500000000000002</v>
      </c>
      <c r="F6" s="3" t="s">
        <v>30</v>
      </c>
      <c r="G6" s="3">
        <v>0.38739712482365596</v>
      </c>
    </row>
    <row r="7" spans="1:18" x14ac:dyDescent="0.25">
      <c r="A7">
        <v>27.35</v>
      </c>
      <c r="B7">
        <v>225</v>
      </c>
      <c r="C7">
        <v>81</v>
      </c>
      <c r="D7">
        <v>0.65500000000000003</v>
      </c>
      <c r="F7" s="3" t="s">
        <v>31</v>
      </c>
      <c r="G7" s="3">
        <v>8.1095687235483924E-2</v>
      </c>
    </row>
    <row r="8" spans="1:18" x14ac:dyDescent="0.25">
      <c r="A8">
        <v>27.73</v>
      </c>
      <c r="B8">
        <v>168</v>
      </c>
      <c r="C8">
        <v>82</v>
      </c>
      <c r="D8">
        <v>0.79800000000000004</v>
      </c>
      <c r="F8" s="3" t="s">
        <v>32</v>
      </c>
      <c r="G8" s="3">
        <v>9.9270828604438352E-2</v>
      </c>
    </row>
    <row r="9" spans="1:18" ht="15.75" thickBot="1" x14ac:dyDescent="0.3">
      <c r="A9">
        <v>28.43</v>
      </c>
      <c r="B9">
        <v>145</v>
      </c>
      <c r="C9">
        <v>79</v>
      </c>
      <c r="D9">
        <v>0.85199999999999998</v>
      </c>
      <c r="F9" s="4" t="s">
        <v>33</v>
      </c>
      <c r="G9" s="4">
        <v>10</v>
      </c>
    </row>
    <row r="10" spans="1:18" x14ac:dyDescent="0.25">
      <c r="A10">
        <v>28.57</v>
      </c>
      <c r="B10">
        <v>203</v>
      </c>
      <c r="C10">
        <v>81</v>
      </c>
      <c r="D10">
        <v>0.875</v>
      </c>
    </row>
    <row r="11" spans="1:18" ht="15.75" thickBot="1" x14ac:dyDescent="0.3">
      <c r="A11">
        <v>27.58</v>
      </c>
      <c r="B11">
        <v>200</v>
      </c>
      <c r="C11">
        <v>80</v>
      </c>
      <c r="D11">
        <v>0.91400000000000003</v>
      </c>
      <c r="F11" t="s">
        <v>34</v>
      </c>
    </row>
    <row r="12" spans="1:18" x14ac:dyDescent="0.25">
      <c r="A12">
        <v>28.1</v>
      </c>
      <c r="B12">
        <v>214</v>
      </c>
      <c r="C12">
        <v>81</v>
      </c>
      <c r="D12">
        <v>0.97</v>
      </c>
      <c r="F12" s="5"/>
      <c r="G12" s="5" t="s">
        <v>35</v>
      </c>
      <c r="H12" s="5" t="s">
        <v>36</v>
      </c>
      <c r="I12" s="5" t="s">
        <v>37</v>
      </c>
      <c r="J12" s="5" t="s">
        <v>38</v>
      </c>
      <c r="K12" s="5" t="s">
        <v>39</v>
      </c>
    </row>
    <row r="13" spans="1:18" x14ac:dyDescent="0.25">
      <c r="F13" s="3" t="s">
        <v>40</v>
      </c>
      <c r="G13" s="3">
        <v>3</v>
      </c>
      <c r="H13" s="3">
        <v>3.7391415529129335E-2</v>
      </c>
      <c r="I13" s="3">
        <v>1.2463805176376444E-2</v>
      </c>
      <c r="J13" s="3">
        <v>1.2647577754581698</v>
      </c>
      <c r="K13" s="3">
        <v>0.36764669951079387</v>
      </c>
    </row>
    <row r="14" spans="1:18" x14ac:dyDescent="0.25">
      <c r="F14" s="3" t="s">
        <v>41</v>
      </c>
      <c r="G14" s="3">
        <v>6</v>
      </c>
      <c r="H14" s="3">
        <v>5.9128184470870648E-2</v>
      </c>
      <c r="I14" s="3">
        <v>9.8546974118117747E-3</v>
      </c>
      <c r="J14" s="3"/>
      <c r="K14" s="3"/>
    </row>
    <row r="15" spans="1:18" ht="15.75" thickBot="1" x14ac:dyDescent="0.3">
      <c r="F15" s="4" t="s">
        <v>42</v>
      </c>
      <c r="G15" s="4">
        <v>9</v>
      </c>
      <c r="H15" s="4">
        <v>9.6519599999999983E-2</v>
      </c>
      <c r="I15" s="4"/>
      <c r="J15" s="4"/>
      <c r="K15" s="4"/>
    </row>
    <row r="16" spans="1:18" ht="15.75" thickBot="1" x14ac:dyDescent="0.3"/>
    <row r="17" spans="1:19" x14ac:dyDescent="0.25">
      <c r="F17" s="5"/>
      <c r="G17" s="5" t="s">
        <v>43</v>
      </c>
      <c r="H17" s="5" t="s">
        <v>32</v>
      </c>
      <c r="I17" s="5" t="s">
        <v>44</v>
      </c>
      <c r="J17" s="5" t="s">
        <v>45</v>
      </c>
      <c r="K17" s="5" t="s">
        <v>46</v>
      </c>
      <c r="L17" s="5" t="s">
        <v>47</v>
      </c>
      <c r="M17" s="5" t="s">
        <v>48</v>
      </c>
      <c r="N17" s="5" t="s">
        <v>49</v>
      </c>
    </row>
    <row r="18" spans="1:19" x14ac:dyDescent="0.25">
      <c r="F18" s="3" t="s">
        <v>50</v>
      </c>
      <c r="G18" s="3">
        <v>0.36335694556816778</v>
      </c>
      <c r="H18" s="3">
        <v>4.1730068613096316</v>
      </c>
      <c r="I18" s="3">
        <v>8.7073172329779971E-2</v>
      </c>
      <c r="J18" s="3">
        <v>0.93344657881865523</v>
      </c>
      <c r="K18" s="3">
        <v>-9.8476229982796433</v>
      </c>
      <c r="L18" s="3">
        <v>10.574336889415978</v>
      </c>
      <c r="M18" s="3">
        <v>-9.8476229982796433</v>
      </c>
      <c r="N18" s="3">
        <v>10.574336889415978</v>
      </c>
    </row>
    <row r="19" spans="1:19" x14ac:dyDescent="0.25">
      <c r="F19" s="3" t="s">
        <v>78</v>
      </c>
      <c r="G19" s="3">
        <v>7.4640278595854745E-2</v>
      </c>
      <c r="H19" s="3">
        <v>8.9739389229217245E-2</v>
      </c>
      <c r="I19" s="3">
        <v>0.83174489192482104</v>
      </c>
      <c r="J19" s="3">
        <v>0.43739606970709061</v>
      </c>
      <c r="K19" s="3">
        <v>-0.14494409642362815</v>
      </c>
      <c r="L19" s="3">
        <v>0.29422465361533767</v>
      </c>
      <c r="M19" s="3">
        <v>-0.14494409642362815</v>
      </c>
      <c r="N19" s="3">
        <v>0.29422465361533767</v>
      </c>
    </row>
    <row r="20" spans="1:19" x14ac:dyDescent="0.25">
      <c r="F20" s="3" t="s">
        <v>79</v>
      </c>
      <c r="G20" s="3">
        <v>-6.9867330395668753E-4</v>
      </c>
      <c r="H20" s="3">
        <v>8.6828625902573393E-4</v>
      </c>
      <c r="I20" s="3">
        <v>-0.80465779193677245</v>
      </c>
      <c r="J20" s="3">
        <v>0.45171466224548373</v>
      </c>
      <c r="K20" s="3">
        <v>-2.8232932413530865E-3</v>
      </c>
      <c r="L20" s="3">
        <v>1.4259466334397117E-3</v>
      </c>
      <c r="M20" s="3">
        <v>-2.8232932413530865E-3</v>
      </c>
      <c r="N20" s="3">
        <v>1.4259466334397117E-3</v>
      </c>
    </row>
    <row r="21" spans="1:19" ht="15.75" thickBot="1" x14ac:dyDescent="0.3">
      <c r="F21" s="4" t="s">
        <v>64</v>
      </c>
      <c r="G21" s="4">
        <v>-1.8462133494337108E-2</v>
      </c>
      <c r="H21" s="4">
        <v>3.0280741373674668E-2</v>
      </c>
      <c r="I21" s="4">
        <v>-0.60969885996211548</v>
      </c>
      <c r="J21" s="4">
        <v>0.56442124529056104</v>
      </c>
      <c r="K21" s="4">
        <v>-9.2556438423037457E-2</v>
      </c>
      <c r="L21" s="4">
        <v>5.5632171434363248E-2</v>
      </c>
      <c r="M21" s="4">
        <v>-9.2556438423037457E-2</v>
      </c>
      <c r="N21" s="4">
        <v>5.5632171434363248E-2</v>
      </c>
    </row>
    <row r="24" spans="1:19" x14ac:dyDescent="0.25">
      <c r="C24" t="s">
        <v>2</v>
      </c>
    </row>
    <row r="25" spans="1:19" x14ac:dyDescent="0.25">
      <c r="A25" t="s">
        <v>78</v>
      </c>
      <c r="B25" t="s">
        <v>79</v>
      </c>
      <c r="C25" t="s">
        <v>64</v>
      </c>
      <c r="D25" t="s">
        <v>23</v>
      </c>
      <c r="F25" t="s">
        <v>24</v>
      </c>
      <c r="O25" t="s">
        <v>78</v>
      </c>
      <c r="P25" t="s">
        <v>79</v>
      </c>
      <c r="Q25" t="s">
        <v>64</v>
      </c>
      <c r="R25" t="s">
        <v>82</v>
      </c>
      <c r="S25" t="s">
        <v>83</v>
      </c>
    </row>
    <row r="26" spans="1:19" ht="15.75" thickBot="1" x14ac:dyDescent="0.3">
      <c r="A26">
        <v>28.72</v>
      </c>
      <c r="B26">
        <v>161</v>
      </c>
      <c r="C26">
        <v>85</v>
      </c>
      <c r="D26">
        <v>0.82899999999999996</v>
      </c>
      <c r="O26">
        <v>28.7</v>
      </c>
      <c r="P26">
        <v>224</v>
      </c>
      <c r="Q26">
        <v>85</v>
      </c>
      <c r="R26">
        <f>G41+G42*O26+G43*P26+G44*Q26</f>
        <v>0.83718502818072515</v>
      </c>
      <c r="S26">
        <v>11.12</v>
      </c>
    </row>
    <row r="27" spans="1:19" x14ac:dyDescent="0.25">
      <c r="A27">
        <v>28.13</v>
      </c>
      <c r="B27">
        <v>349</v>
      </c>
      <c r="C27">
        <v>84</v>
      </c>
      <c r="D27">
        <v>0.71199999999999997</v>
      </c>
      <c r="F27" s="2" t="s">
        <v>27</v>
      </c>
      <c r="G27" s="2"/>
    </row>
    <row r="28" spans="1:19" x14ac:dyDescent="0.25">
      <c r="A28">
        <v>28.45</v>
      </c>
      <c r="B28">
        <v>389</v>
      </c>
      <c r="C28">
        <v>86</v>
      </c>
      <c r="D28">
        <v>0.79800000000000004</v>
      </c>
      <c r="F28" s="3" t="s">
        <v>28</v>
      </c>
      <c r="G28" s="3">
        <v>0.72968660681184072</v>
      </c>
    </row>
    <row r="29" spans="1:19" x14ac:dyDescent="0.25">
      <c r="A29">
        <v>28.73</v>
      </c>
      <c r="B29">
        <v>192</v>
      </c>
      <c r="C29">
        <v>85</v>
      </c>
      <c r="D29">
        <v>0.76500000000000001</v>
      </c>
      <c r="F29" s="3" t="s">
        <v>30</v>
      </c>
      <c r="G29" s="3">
        <v>0.5324425441605779</v>
      </c>
    </row>
    <row r="30" spans="1:19" x14ac:dyDescent="0.25">
      <c r="A30">
        <v>28.52</v>
      </c>
      <c r="B30">
        <v>373</v>
      </c>
      <c r="C30">
        <v>85</v>
      </c>
      <c r="D30">
        <v>0.76400000000000001</v>
      </c>
      <c r="F30" s="3" t="s">
        <v>31</v>
      </c>
      <c r="G30" s="3">
        <v>0.2986638162408668</v>
      </c>
    </row>
    <row r="31" spans="1:19" x14ac:dyDescent="0.25">
      <c r="A31">
        <v>28.23</v>
      </c>
      <c r="B31">
        <v>336</v>
      </c>
      <c r="C31">
        <v>85</v>
      </c>
      <c r="D31">
        <v>0.85699999999999998</v>
      </c>
      <c r="F31" s="3" t="s">
        <v>32</v>
      </c>
      <c r="G31" s="3">
        <v>7.9732243585563342E-2</v>
      </c>
    </row>
    <row r="32" spans="1:19" ht="15.75" thickBot="1" x14ac:dyDescent="0.3">
      <c r="A32">
        <v>28.7</v>
      </c>
      <c r="B32">
        <v>310</v>
      </c>
      <c r="C32">
        <v>84</v>
      </c>
      <c r="D32">
        <v>0.92700000000000005</v>
      </c>
      <c r="F32" s="4" t="s">
        <v>33</v>
      </c>
      <c r="G32" s="4">
        <v>10</v>
      </c>
    </row>
    <row r="33" spans="1:14" x14ac:dyDescent="0.25">
      <c r="A33">
        <v>29.28</v>
      </c>
      <c r="B33">
        <v>184</v>
      </c>
      <c r="C33">
        <v>84</v>
      </c>
      <c r="D33">
        <v>0.96699999999999997</v>
      </c>
    </row>
    <row r="34" spans="1:14" ht="15.75" thickBot="1" x14ac:dyDescent="0.3">
      <c r="A34">
        <v>28.7</v>
      </c>
      <c r="B34">
        <v>270</v>
      </c>
      <c r="C34">
        <v>84</v>
      </c>
      <c r="D34">
        <v>0.97199999999999998</v>
      </c>
      <c r="F34" t="s">
        <v>34</v>
      </c>
    </row>
    <row r="35" spans="1:14" x14ac:dyDescent="0.25">
      <c r="A35">
        <v>28.65</v>
      </c>
      <c r="B35">
        <v>237</v>
      </c>
      <c r="C35">
        <v>84</v>
      </c>
      <c r="D35">
        <v>0.95199999999999996</v>
      </c>
      <c r="F35" s="5"/>
      <c r="G35" s="5" t="s">
        <v>35</v>
      </c>
      <c r="H35" s="5" t="s">
        <v>36</v>
      </c>
      <c r="I35" s="5" t="s">
        <v>37</v>
      </c>
      <c r="J35" s="5" t="s">
        <v>38</v>
      </c>
      <c r="K35" s="5" t="s">
        <v>39</v>
      </c>
    </row>
    <row r="36" spans="1:14" x14ac:dyDescent="0.25">
      <c r="F36" s="3" t="s">
        <v>40</v>
      </c>
      <c r="G36" s="3">
        <v>3</v>
      </c>
      <c r="H36" s="3">
        <v>4.3436715996874355E-2</v>
      </c>
      <c r="I36" s="3">
        <v>1.4478905332291452E-2</v>
      </c>
      <c r="J36" s="3">
        <v>2.27754915470085</v>
      </c>
      <c r="K36" s="3">
        <v>0.17975300137331743</v>
      </c>
    </row>
    <row r="37" spans="1:14" x14ac:dyDescent="0.25">
      <c r="F37" s="3" t="s">
        <v>41</v>
      </c>
      <c r="G37" s="3">
        <v>6</v>
      </c>
      <c r="H37" s="3">
        <v>3.8143384003125634E-2</v>
      </c>
      <c r="I37" s="3">
        <v>6.3572306671876057E-3</v>
      </c>
      <c r="J37" s="3"/>
      <c r="K37" s="3"/>
    </row>
    <row r="38" spans="1:14" ht="15.75" thickBot="1" x14ac:dyDescent="0.3">
      <c r="F38" s="4" t="s">
        <v>42</v>
      </c>
      <c r="G38" s="4">
        <v>9</v>
      </c>
      <c r="H38" s="4">
        <v>8.1580099999999989E-2</v>
      </c>
      <c r="I38" s="4"/>
      <c r="J38" s="4"/>
      <c r="K38" s="4"/>
    </row>
    <row r="39" spans="1:14" ht="15.75" thickBot="1" x14ac:dyDescent="0.3"/>
    <row r="40" spans="1:14" x14ac:dyDescent="0.25">
      <c r="F40" s="5"/>
      <c r="G40" s="5" t="s">
        <v>43</v>
      </c>
      <c r="H40" s="5" t="s">
        <v>32</v>
      </c>
      <c r="I40" s="5" t="s">
        <v>44</v>
      </c>
      <c r="J40" s="5" t="s">
        <v>45</v>
      </c>
      <c r="K40" s="5" t="s">
        <v>46</v>
      </c>
      <c r="L40" s="5" t="s">
        <v>47</v>
      </c>
      <c r="M40" s="5" t="s">
        <v>48</v>
      </c>
      <c r="N40" s="5" t="s">
        <v>49</v>
      </c>
    </row>
    <row r="41" spans="1:14" x14ac:dyDescent="0.25">
      <c r="F41" s="3" t="s">
        <v>50</v>
      </c>
      <c r="G41" s="3">
        <v>-7.5862892959436934E-2</v>
      </c>
      <c r="H41" s="3">
        <v>5.1073374149069268</v>
      </c>
      <c r="I41" s="3">
        <v>-1.485370689197346E-2</v>
      </c>
      <c r="J41" s="3">
        <v>0.98863048692206101</v>
      </c>
      <c r="K41" s="3">
        <v>-12.57306734129131</v>
      </c>
      <c r="L41" s="3">
        <v>12.421341555372436</v>
      </c>
      <c r="M41" s="3">
        <v>-12.57306734129131</v>
      </c>
      <c r="N41" s="3">
        <v>12.421341555372436</v>
      </c>
    </row>
    <row r="42" spans="1:14" x14ac:dyDescent="0.25">
      <c r="F42" s="3" t="s">
        <v>78</v>
      </c>
      <c r="G42" s="3">
        <v>0.19229950393915582</v>
      </c>
      <c r="H42" s="3">
        <v>0.11963870758675052</v>
      </c>
      <c r="I42" s="3">
        <v>1.6073351828856781</v>
      </c>
      <c r="J42" s="3">
        <v>0.15910491277308125</v>
      </c>
      <c r="K42" s="3">
        <v>-0.10044586751053161</v>
      </c>
      <c r="L42" s="3">
        <v>0.48504487538884322</v>
      </c>
      <c r="M42" s="3">
        <v>-0.10044586751053161</v>
      </c>
      <c r="N42" s="3">
        <v>0.48504487538884322</v>
      </c>
    </row>
    <row r="43" spans="1:14" x14ac:dyDescent="0.25">
      <c r="F43" s="3" t="s">
        <v>79</v>
      </c>
      <c r="G43" s="3">
        <v>2.1966184623053265E-4</v>
      </c>
      <c r="H43" s="3">
        <v>4.5774580287668659E-4</v>
      </c>
      <c r="I43" s="3">
        <v>0.47987735736750808</v>
      </c>
      <c r="J43" s="3">
        <v>0.64830699657891677</v>
      </c>
      <c r="K43" s="3">
        <v>-9.0040178364030098E-4</v>
      </c>
      <c r="L43" s="3">
        <v>1.3397254761013662E-3</v>
      </c>
      <c r="M43" s="3">
        <v>-9.0040178364030098E-4</v>
      </c>
      <c r="N43" s="3">
        <v>1.3397254761013662E-3</v>
      </c>
    </row>
    <row r="44" spans="1:14" ht="15.75" thickBot="1" x14ac:dyDescent="0.3">
      <c r="F44" s="4" t="s">
        <v>64</v>
      </c>
      <c r="G44" s="4">
        <v>-5.4766495240814686E-2</v>
      </c>
      <c r="H44" s="4">
        <v>4.0111352053483915E-2</v>
      </c>
      <c r="I44" s="4">
        <v>-1.3653614858903238</v>
      </c>
      <c r="J44" s="4">
        <v>0.2211123965886477</v>
      </c>
      <c r="K44" s="4">
        <v>-0.1529154379459326</v>
      </c>
      <c r="L44" s="4">
        <v>4.3382447464303225E-2</v>
      </c>
      <c r="M44" s="4">
        <v>-0.1529154379459326</v>
      </c>
      <c r="N44" s="4">
        <v>4.3382447464303225E-2</v>
      </c>
    </row>
    <row r="47" spans="1:14" x14ac:dyDescent="0.25">
      <c r="C47" t="s">
        <v>3</v>
      </c>
    </row>
    <row r="48" spans="1:14" x14ac:dyDescent="0.25">
      <c r="B48" t="s">
        <v>78</v>
      </c>
      <c r="C48" t="s">
        <v>79</v>
      </c>
      <c r="D48" t="s">
        <v>64</v>
      </c>
      <c r="E48" t="s">
        <v>23</v>
      </c>
      <c r="G48" t="s">
        <v>24</v>
      </c>
    </row>
    <row r="49" spans="2:20" ht="15.75" thickBot="1" x14ac:dyDescent="0.3">
      <c r="B49">
        <v>20.55</v>
      </c>
      <c r="C49">
        <v>14</v>
      </c>
      <c r="D49">
        <v>79</v>
      </c>
      <c r="E49">
        <v>1.3120000000000001</v>
      </c>
    </row>
    <row r="50" spans="2:20" x14ac:dyDescent="0.25">
      <c r="B50">
        <v>20.97</v>
      </c>
      <c r="C50">
        <v>2</v>
      </c>
      <c r="D50">
        <v>78</v>
      </c>
      <c r="E50">
        <v>1.39</v>
      </c>
      <c r="G50" s="2" t="s">
        <v>27</v>
      </c>
      <c r="H50" s="2"/>
      <c r="P50" t="s">
        <v>78</v>
      </c>
      <c r="Q50" t="s">
        <v>79</v>
      </c>
      <c r="R50" t="s">
        <v>64</v>
      </c>
      <c r="S50" t="s">
        <v>82</v>
      </c>
      <c r="T50" t="s">
        <v>83</v>
      </c>
    </row>
    <row r="51" spans="2:20" x14ac:dyDescent="0.25">
      <c r="B51">
        <v>21.4</v>
      </c>
      <c r="C51">
        <v>1</v>
      </c>
      <c r="D51">
        <v>78</v>
      </c>
      <c r="E51">
        <v>1.429</v>
      </c>
      <c r="G51" s="3" t="s">
        <v>28</v>
      </c>
      <c r="H51" s="3">
        <v>0.90532754930335024</v>
      </c>
      <c r="P51">
        <v>21.08</v>
      </c>
      <c r="Q51">
        <v>3</v>
      </c>
      <c r="R51">
        <v>75</v>
      </c>
      <c r="S51">
        <f>H64+H65*P51+H66*Q51+H67*R51</f>
        <v>1.6556349836587154</v>
      </c>
      <c r="T51">
        <v>6.5</v>
      </c>
    </row>
    <row r="52" spans="2:20" x14ac:dyDescent="0.25">
      <c r="B52">
        <v>21.88</v>
      </c>
      <c r="C52">
        <v>5</v>
      </c>
      <c r="D52">
        <v>80</v>
      </c>
      <c r="E52">
        <v>1.4179999999999999</v>
      </c>
      <c r="G52" s="3" t="s">
        <v>30</v>
      </c>
      <c r="H52" s="3">
        <v>0.81961797152761007</v>
      </c>
    </row>
    <row r="53" spans="2:20" x14ac:dyDescent="0.25">
      <c r="B53">
        <v>21.95</v>
      </c>
      <c r="C53">
        <v>31</v>
      </c>
      <c r="D53">
        <v>79</v>
      </c>
      <c r="E53">
        <v>1.54</v>
      </c>
      <c r="G53" s="3" t="s">
        <v>31</v>
      </c>
      <c r="H53" s="3">
        <v>0.72942695729141516</v>
      </c>
    </row>
    <row r="54" spans="2:20" x14ac:dyDescent="0.25">
      <c r="B54">
        <v>21.08</v>
      </c>
      <c r="C54">
        <v>1</v>
      </c>
      <c r="D54">
        <v>78</v>
      </c>
      <c r="E54">
        <v>1.5049999999999999</v>
      </c>
      <c r="G54" s="3" t="s">
        <v>32</v>
      </c>
      <c r="H54" s="3">
        <v>5.0439033536597642E-2</v>
      </c>
    </row>
    <row r="55" spans="2:20" ht="15.75" thickBot="1" x14ac:dyDescent="0.3">
      <c r="B55">
        <v>21.6</v>
      </c>
      <c r="C55">
        <v>3</v>
      </c>
      <c r="D55">
        <v>77</v>
      </c>
      <c r="E55">
        <v>1.571</v>
      </c>
      <c r="G55" s="4" t="s">
        <v>33</v>
      </c>
      <c r="H55" s="4">
        <v>10</v>
      </c>
    </row>
    <row r="56" spans="2:20" x14ac:dyDescent="0.25">
      <c r="B56">
        <v>21.1</v>
      </c>
      <c r="C56">
        <v>4</v>
      </c>
      <c r="D56">
        <v>76</v>
      </c>
      <c r="E56">
        <v>1.575</v>
      </c>
    </row>
    <row r="57" spans="2:20" ht="15.75" thickBot="1" x14ac:dyDescent="0.3">
      <c r="B57">
        <v>20.88</v>
      </c>
      <c r="C57">
        <v>4</v>
      </c>
      <c r="D57">
        <v>76</v>
      </c>
      <c r="E57">
        <v>1.55</v>
      </c>
      <c r="G57" t="s">
        <v>34</v>
      </c>
    </row>
    <row r="58" spans="2:20" x14ac:dyDescent="0.25">
      <c r="B58">
        <v>20.55</v>
      </c>
      <c r="C58">
        <v>27</v>
      </c>
      <c r="D58">
        <v>77</v>
      </c>
      <c r="E58">
        <v>1.6080000000000001</v>
      </c>
      <c r="G58" s="5"/>
      <c r="H58" s="5" t="s">
        <v>35</v>
      </c>
      <c r="I58" s="5" t="s">
        <v>36</v>
      </c>
      <c r="J58" s="5" t="s">
        <v>37</v>
      </c>
      <c r="K58" s="5" t="s">
        <v>38</v>
      </c>
      <c r="L58" s="5" t="s">
        <v>39</v>
      </c>
    </row>
    <row r="59" spans="2:20" x14ac:dyDescent="0.25">
      <c r="G59" s="3" t="s">
        <v>40</v>
      </c>
      <c r="H59" s="3">
        <v>3</v>
      </c>
      <c r="I59" s="3">
        <v>6.9359023375363885E-2</v>
      </c>
      <c r="J59" s="3">
        <v>2.3119674458454628E-2</v>
      </c>
      <c r="K59" s="3">
        <v>9.0875790506265979</v>
      </c>
      <c r="L59" s="3">
        <v>1.1936494090862844E-2</v>
      </c>
    </row>
    <row r="60" spans="2:20" x14ac:dyDescent="0.25">
      <c r="G60" s="3" t="s">
        <v>41</v>
      </c>
      <c r="H60" s="3">
        <v>6</v>
      </c>
      <c r="I60" s="3">
        <v>1.5264576624636131E-2</v>
      </c>
      <c r="J60" s="3">
        <v>2.544096104106022E-3</v>
      </c>
      <c r="K60" s="3"/>
      <c r="L60" s="3"/>
    </row>
    <row r="61" spans="2:20" ht="15.75" thickBot="1" x14ac:dyDescent="0.3">
      <c r="G61" s="4" t="s">
        <v>42</v>
      </c>
      <c r="H61" s="4">
        <v>9</v>
      </c>
      <c r="I61" s="4">
        <v>8.4623600000000021E-2</v>
      </c>
      <c r="J61" s="4"/>
      <c r="K61" s="4"/>
      <c r="L61" s="4"/>
    </row>
    <row r="62" spans="2:20" ht="15.75" thickBot="1" x14ac:dyDescent="0.3"/>
    <row r="63" spans="2:20" x14ac:dyDescent="0.25">
      <c r="G63" s="5"/>
      <c r="H63" s="5" t="s">
        <v>43</v>
      </c>
      <c r="I63" s="5" t="s">
        <v>32</v>
      </c>
      <c r="J63" s="5" t="s">
        <v>44</v>
      </c>
      <c r="K63" s="5" t="s">
        <v>45</v>
      </c>
      <c r="L63" s="5" t="s">
        <v>46</v>
      </c>
      <c r="M63" s="5" t="s">
        <v>47</v>
      </c>
      <c r="N63" s="5" t="s">
        <v>48</v>
      </c>
      <c r="O63" s="5" t="s">
        <v>49</v>
      </c>
    </row>
    <row r="64" spans="2:20" x14ac:dyDescent="0.25">
      <c r="G64" s="3" t="s">
        <v>50</v>
      </c>
      <c r="H64" s="3">
        <v>4.943771268005805</v>
      </c>
      <c r="I64" s="3">
        <v>1.0556481424002968</v>
      </c>
      <c r="J64" s="3">
        <v>4.6831620020330131</v>
      </c>
      <c r="K64" s="3">
        <v>3.3847903326019672E-3</v>
      </c>
      <c r="L64" s="3">
        <v>2.3606933177273461</v>
      </c>
      <c r="M64" s="3">
        <v>7.5268492182842639</v>
      </c>
      <c r="N64" s="3">
        <v>2.3606933177273461</v>
      </c>
      <c r="O64" s="3">
        <v>7.5268492182842639</v>
      </c>
    </row>
    <row r="65" spans="1:15" x14ac:dyDescent="0.25">
      <c r="G65" s="3" t="s">
        <v>78</v>
      </c>
      <c r="H65" s="3">
        <v>0.10103669811543692</v>
      </c>
      <c r="I65" s="3">
        <v>3.7469091081796677E-2</v>
      </c>
      <c r="J65" s="3">
        <v>2.696534535488714</v>
      </c>
      <c r="K65" s="3">
        <v>3.574042327510691E-2</v>
      </c>
      <c r="L65" s="3">
        <v>9.3531350957583442E-3</v>
      </c>
      <c r="M65" s="3">
        <v>0.19272026113511548</v>
      </c>
      <c r="N65" s="3">
        <v>9.3531350957583442E-3</v>
      </c>
      <c r="O65" s="3">
        <v>0.19272026113511548</v>
      </c>
    </row>
    <row r="66" spans="1:15" x14ac:dyDescent="0.25">
      <c r="G66" s="3" t="s">
        <v>79</v>
      </c>
      <c r="H66" s="3">
        <v>4.0598524260391259E-3</v>
      </c>
      <c r="I66" s="3">
        <v>1.5565182928479516E-3</v>
      </c>
      <c r="J66" s="3">
        <v>2.6082908531777291</v>
      </c>
      <c r="K66" s="3">
        <v>4.0212483834506887E-2</v>
      </c>
      <c r="L66" s="3">
        <v>2.5118936874553646E-4</v>
      </c>
      <c r="M66" s="3">
        <v>7.8685154833327154E-3</v>
      </c>
      <c r="N66" s="3">
        <v>2.5118936874553646E-4</v>
      </c>
      <c r="O66" s="3">
        <v>7.8685154833327154E-3</v>
      </c>
    </row>
    <row r="67" spans="1:15" ht="15.75" thickBot="1" x14ac:dyDescent="0.3">
      <c r="G67" s="4" t="s">
        <v>64</v>
      </c>
      <c r="H67" s="4">
        <v>-7.2402259171981564E-2</v>
      </c>
      <c r="I67" s="4">
        <v>1.4545806328311185E-2</v>
      </c>
      <c r="J67" s="4">
        <v>-4.9775349360359389</v>
      </c>
      <c r="K67" s="4">
        <v>2.5078965061952406E-3</v>
      </c>
      <c r="L67" s="4">
        <v>-0.10799456506118571</v>
      </c>
      <c r="M67" s="4">
        <v>-3.6809953282777426E-2</v>
      </c>
      <c r="N67" s="4">
        <v>-0.10799456506118571</v>
      </c>
      <c r="O67" s="4">
        <v>-3.6809953282777426E-2</v>
      </c>
    </row>
    <row r="69" spans="1:15" x14ac:dyDescent="0.25">
      <c r="B69" t="s">
        <v>84</v>
      </c>
    </row>
    <row r="70" spans="1:15" x14ac:dyDescent="0.25">
      <c r="A70" t="s">
        <v>85</v>
      </c>
      <c r="B70" t="s">
        <v>79</v>
      </c>
      <c r="C70" t="s">
        <v>64</v>
      </c>
      <c r="D70" t="s">
        <v>23</v>
      </c>
      <c r="F70" t="s">
        <v>24</v>
      </c>
    </row>
    <row r="71" spans="1:15" ht="15.75" thickBot="1" x14ac:dyDescent="0.3">
      <c r="A71">
        <v>27.15</v>
      </c>
      <c r="B71">
        <v>268</v>
      </c>
      <c r="C71">
        <v>82</v>
      </c>
      <c r="D71">
        <v>4.3099999999999996</v>
      </c>
    </row>
    <row r="72" spans="1:15" x14ac:dyDescent="0.25">
      <c r="A72">
        <v>27.77</v>
      </c>
      <c r="B72">
        <v>255</v>
      </c>
      <c r="C72">
        <v>82</v>
      </c>
      <c r="D72">
        <v>4.3099999999999996</v>
      </c>
      <c r="F72" s="2" t="s">
        <v>27</v>
      </c>
      <c r="G72" s="2"/>
    </row>
    <row r="73" spans="1:15" x14ac:dyDescent="0.25">
      <c r="A73">
        <v>27.97</v>
      </c>
      <c r="B73">
        <v>214</v>
      </c>
      <c r="C73">
        <v>82</v>
      </c>
      <c r="D73">
        <v>4.09</v>
      </c>
      <c r="F73" s="3" t="s">
        <v>28</v>
      </c>
      <c r="G73" s="3">
        <v>0.57741337806673998</v>
      </c>
    </row>
    <row r="74" spans="1:15" x14ac:dyDescent="0.25">
      <c r="A74">
        <v>28</v>
      </c>
      <c r="B74">
        <v>281</v>
      </c>
      <c r="C74">
        <v>79</v>
      </c>
      <c r="D74">
        <v>4.51</v>
      </c>
      <c r="F74" s="3" t="s">
        <v>30</v>
      </c>
      <c r="G74" s="3">
        <v>0.333406209170444</v>
      </c>
    </row>
    <row r="75" spans="1:15" x14ac:dyDescent="0.25">
      <c r="A75">
        <v>27.35</v>
      </c>
      <c r="B75">
        <v>225</v>
      </c>
      <c r="C75">
        <v>81</v>
      </c>
      <c r="D75">
        <v>4.2</v>
      </c>
      <c r="F75" s="3" t="s">
        <v>31</v>
      </c>
      <c r="G75" s="3">
        <v>1.0931375566602952E-4</v>
      </c>
    </row>
    <row r="76" spans="1:15" x14ac:dyDescent="0.25">
      <c r="A76">
        <v>27.73</v>
      </c>
      <c r="B76">
        <v>168</v>
      </c>
      <c r="C76">
        <v>82</v>
      </c>
      <c r="D76">
        <v>4.24</v>
      </c>
      <c r="F76" s="3" t="s">
        <v>32</v>
      </c>
      <c r="G76" s="3">
        <v>0.21322009174612755</v>
      </c>
    </row>
    <row r="77" spans="1:15" ht="15.75" thickBot="1" x14ac:dyDescent="0.3">
      <c r="A77">
        <v>28.43</v>
      </c>
      <c r="B77">
        <v>145</v>
      </c>
      <c r="C77">
        <v>79</v>
      </c>
      <c r="D77">
        <v>4.12</v>
      </c>
      <c r="F77" s="4" t="s">
        <v>33</v>
      </c>
      <c r="G77" s="4">
        <v>10</v>
      </c>
    </row>
    <row r="78" spans="1:15" x14ac:dyDescent="0.25">
      <c r="A78">
        <v>28.57</v>
      </c>
      <c r="B78">
        <v>203</v>
      </c>
      <c r="C78">
        <v>81</v>
      </c>
      <c r="D78">
        <v>4.05</v>
      </c>
    </row>
    <row r="79" spans="1:15" ht="15.75" thickBot="1" x14ac:dyDescent="0.3">
      <c r="A79">
        <v>27.58</v>
      </c>
      <c r="B79">
        <v>200</v>
      </c>
      <c r="C79">
        <v>80</v>
      </c>
      <c r="D79">
        <v>3.7</v>
      </c>
      <c r="F79" t="s">
        <v>34</v>
      </c>
    </row>
    <row r="80" spans="1:15" x14ac:dyDescent="0.25">
      <c r="A80">
        <v>28.1</v>
      </c>
      <c r="B80">
        <v>214</v>
      </c>
      <c r="C80">
        <v>81</v>
      </c>
      <c r="D80">
        <v>4.24</v>
      </c>
      <c r="F80" s="5"/>
      <c r="G80" s="5" t="s">
        <v>35</v>
      </c>
      <c r="H80" s="5" t="s">
        <v>36</v>
      </c>
      <c r="I80" s="5" t="s">
        <v>37</v>
      </c>
      <c r="J80" s="5" t="s">
        <v>38</v>
      </c>
      <c r="K80" s="5" t="s">
        <v>39</v>
      </c>
    </row>
    <row r="81" spans="1:14" x14ac:dyDescent="0.25">
      <c r="F81" s="3" t="s">
        <v>40</v>
      </c>
      <c r="G81" s="3">
        <v>3</v>
      </c>
      <c r="H81" s="3">
        <v>0.13643315485463725</v>
      </c>
      <c r="I81" s="3">
        <v>4.5477718284879086E-2</v>
      </c>
      <c r="J81" s="3">
        <v>1.0003279771194089</v>
      </c>
      <c r="K81" s="3">
        <v>0.4546020340613196</v>
      </c>
    </row>
    <row r="82" spans="1:14" x14ac:dyDescent="0.25">
      <c r="F82" s="3" t="s">
        <v>41</v>
      </c>
      <c r="G82" s="3">
        <v>6</v>
      </c>
      <c r="H82" s="3">
        <v>0.27277684514536232</v>
      </c>
      <c r="I82" s="3">
        <v>4.5462807524227052E-2</v>
      </c>
      <c r="J82" s="3"/>
      <c r="K82" s="3"/>
    </row>
    <row r="83" spans="1:14" ht="15.75" thickBot="1" x14ac:dyDescent="0.3">
      <c r="A83" t="s">
        <v>60</v>
      </c>
      <c r="B83" t="s">
        <v>61</v>
      </c>
      <c r="C83" t="s">
        <v>64</v>
      </c>
      <c r="D83" t="s">
        <v>82</v>
      </c>
      <c r="F83" s="4" t="s">
        <v>42</v>
      </c>
      <c r="G83" s="4">
        <v>9</v>
      </c>
      <c r="H83" s="4">
        <v>0.40920999999999957</v>
      </c>
      <c r="I83" s="4"/>
      <c r="J83" s="4"/>
      <c r="K83" s="4"/>
    </row>
    <row r="84" spans="1:14" ht="15.75" thickBot="1" x14ac:dyDescent="0.3">
      <c r="A84">
        <v>27.93</v>
      </c>
      <c r="B84">
        <v>184</v>
      </c>
      <c r="C84">
        <v>80</v>
      </c>
      <c r="D84">
        <f>G86+A84*G87+B84*G88+C84*G89</f>
        <v>4.066535485815777</v>
      </c>
    </row>
    <row r="85" spans="1:14" x14ac:dyDescent="0.25">
      <c r="F85" s="5"/>
      <c r="G85" s="5" t="s">
        <v>43</v>
      </c>
      <c r="H85" s="5" t="s">
        <v>32</v>
      </c>
      <c r="I85" s="5" t="s">
        <v>44</v>
      </c>
      <c r="J85" s="5" t="s">
        <v>45</v>
      </c>
      <c r="K85" s="5" t="s">
        <v>46</v>
      </c>
      <c r="L85" s="5" t="s">
        <v>47</v>
      </c>
      <c r="M85" s="5" t="s">
        <v>48</v>
      </c>
      <c r="N85" s="5" t="s">
        <v>49</v>
      </c>
    </row>
    <row r="86" spans="1:14" x14ac:dyDescent="0.25">
      <c r="B86" t="s">
        <v>83</v>
      </c>
      <c r="F86" s="3" t="s">
        <v>50</v>
      </c>
      <c r="G86" s="3">
        <v>-0.72745468581787232</v>
      </c>
      <c r="H86" s="3">
        <v>8.9630450187042996</v>
      </c>
      <c r="I86" s="3">
        <v>-8.1161556624986517E-2</v>
      </c>
      <c r="J86" s="3">
        <v>0.9379530812883109</v>
      </c>
      <c r="K86" s="3">
        <v>-22.659235764431308</v>
      </c>
      <c r="L86" s="3">
        <v>21.204326392795565</v>
      </c>
      <c r="M86" s="3">
        <v>-22.659235764431308</v>
      </c>
      <c r="N86" s="3">
        <v>21.204326392795565</v>
      </c>
    </row>
    <row r="87" spans="1:14" x14ac:dyDescent="0.25">
      <c r="B87" s="10">
        <v>0.1633</v>
      </c>
      <c r="F87" s="3" t="s">
        <v>85</v>
      </c>
      <c r="G87" s="3">
        <v>0.11392083838535771</v>
      </c>
      <c r="H87" s="3">
        <v>0.1927478703833411</v>
      </c>
      <c r="I87" s="3">
        <v>0.59103552303218454</v>
      </c>
      <c r="J87" s="3">
        <v>0.57606882463361209</v>
      </c>
      <c r="K87" s="3">
        <v>-0.3577162099385941</v>
      </c>
      <c r="L87" s="3">
        <v>0.58555788670930953</v>
      </c>
      <c r="M87" s="3">
        <v>-0.3577162099385941</v>
      </c>
      <c r="N87" s="3">
        <v>0.58555788670930953</v>
      </c>
    </row>
    <row r="88" spans="1:14" x14ac:dyDescent="0.25">
      <c r="F88" s="3" t="s">
        <v>79</v>
      </c>
      <c r="G88" s="3">
        <v>3.1934784079267371E-3</v>
      </c>
      <c r="H88" s="3">
        <v>1.8649595093950041E-3</v>
      </c>
      <c r="I88" s="3">
        <v>1.7123580387880415</v>
      </c>
      <c r="J88" s="3">
        <v>0.13767014626562607</v>
      </c>
      <c r="K88" s="3">
        <v>-1.3699131175174068E-3</v>
      </c>
      <c r="L88" s="3">
        <v>7.756869933370881E-3</v>
      </c>
      <c r="M88" s="3">
        <v>-1.3699131175174068E-3</v>
      </c>
      <c r="N88" s="3">
        <v>7.756869933370881E-3</v>
      </c>
    </row>
    <row r="89" spans="1:14" ht="15.75" thickBot="1" x14ac:dyDescent="0.3">
      <c r="F89" s="4" t="s">
        <v>64</v>
      </c>
      <c r="G89" s="4">
        <v>1.2807264105901113E-2</v>
      </c>
      <c r="H89" s="4">
        <v>6.5038869369798011E-2</v>
      </c>
      <c r="I89" s="4">
        <v>0.19691707789509022</v>
      </c>
      <c r="J89" s="4">
        <v>0.85039343427956071</v>
      </c>
      <c r="K89" s="4">
        <v>-0.1463371161401272</v>
      </c>
      <c r="L89" s="4">
        <v>0.17195164435192942</v>
      </c>
      <c r="M89" s="4">
        <v>-0.1463371161401272</v>
      </c>
      <c r="N89" s="4">
        <v>0.17195164435192942</v>
      </c>
    </row>
    <row r="92" spans="1:14" x14ac:dyDescent="0.25">
      <c r="B92" t="s">
        <v>86</v>
      </c>
    </row>
    <row r="93" spans="1:14" x14ac:dyDescent="0.25">
      <c r="A93" s="7" t="s">
        <v>78</v>
      </c>
      <c r="B93" s="7" t="s">
        <v>79</v>
      </c>
      <c r="C93" s="7" t="s">
        <v>64</v>
      </c>
      <c r="D93" s="11" t="s">
        <v>23</v>
      </c>
      <c r="F93" t="s">
        <v>24</v>
      </c>
    </row>
    <row r="94" spans="1:14" ht="15.75" thickBot="1" x14ac:dyDescent="0.3">
      <c r="A94" s="8">
        <v>20.55</v>
      </c>
      <c r="B94" s="8">
        <v>14</v>
      </c>
      <c r="C94" s="8">
        <v>79</v>
      </c>
      <c r="D94">
        <v>6.8259999999999996</v>
      </c>
    </row>
    <row r="95" spans="1:14" x14ac:dyDescent="0.25">
      <c r="A95" s="8">
        <v>20.97</v>
      </c>
      <c r="B95" s="8">
        <v>2</v>
      </c>
      <c r="C95" s="8">
        <v>78</v>
      </c>
      <c r="D95">
        <v>6.8259999999999996</v>
      </c>
      <c r="F95" s="2" t="s">
        <v>27</v>
      </c>
      <c r="G95" s="2"/>
    </row>
    <row r="96" spans="1:14" x14ac:dyDescent="0.25">
      <c r="A96" s="8">
        <v>21.4</v>
      </c>
      <c r="B96" s="8">
        <v>1</v>
      </c>
      <c r="C96" s="8">
        <v>78</v>
      </c>
      <c r="D96">
        <v>5.8150000000000004</v>
      </c>
      <c r="F96" s="3" t="s">
        <v>28</v>
      </c>
      <c r="G96" s="3">
        <v>0.85431751489593744</v>
      </c>
    </row>
    <row r="97" spans="1:14" x14ac:dyDescent="0.25">
      <c r="A97" s="8">
        <v>21.88</v>
      </c>
      <c r="B97" s="8">
        <v>5</v>
      </c>
      <c r="C97" s="8">
        <v>80</v>
      </c>
      <c r="D97">
        <v>5.0289999999999999</v>
      </c>
      <c r="F97" s="3" t="s">
        <v>30</v>
      </c>
      <c r="G97" s="3">
        <v>0.72985841625797032</v>
      </c>
    </row>
    <row r="98" spans="1:14" x14ac:dyDescent="0.25">
      <c r="A98" s="8">
        <v>21.95</v>
      </c>
      <c r="B98" s="8">
        <v>31</v>
      </c>
      <c r="C98" s="8">
        <v>79</v>
      </c>
      <c r="D98">
        <v>6.74</v>
      </c>
      <c r="F98" s="3" t="s">
        <v>31</v>
      </c>
      <c r="G98" s="3">
        <v>0.59478762438695554</v>
      </c>
    </row>
    <row r="99" spans="1:14" x14ac:dyDescent="0.25">
      <c r="A99" s="8">
        <v>21.08</v>
      </c>
      <c r="B99" s="8">
        <v>1</v>
      </c>
      <c r="C99" s="8">
        <v>78</v>
      </c>
      <c r="D99">
        <v>6.1349999999999998</v>
      </c>
      <c r="F99" s="3" t="s">
        <v>32</v>
      </c>
      <c r="G99" s="3">
        <v>0.67636352176488623</v>
      </c>
    </row>
    <row r="100" spans="1:14" ht="15.75" thickBot="1" x14ac:dyDescent="0.3">
      <c r="A100" s="8">
        <v>21.6</v>
      </c>
      <c r="B100" s="8">
        <v>3</v>
      </c>
      <c r="C100" s="8">
        <v>77</v>
      </c>
      <c r="D100">
        <v>8.2089999999999996</v>
      </c>
      <c r="F100" s="4" t="s">
        <v>33</v>
      </c>
      <c r="G100" s="4">
        <v>10</v>
      </c>
    </row>
    <row r="101" spans="1:14" x14ac:dyDescent="0.25">
      <c r="A101" s="8">
        <v>21.1</v>
      </c>
      <c r="B101" s="8">
        <v>4</v>
      </c>
      <c r="C101" s="8">
        <v>76</v>
      </c>
      <c r="D101">
        <v>7.819</v>
      </c>
    </row>
    <row r="102" spans="1:14" ht="15.75" thickBot="1" x14ac:dyDescent="0.3">
      <c r="A102" s="8">
        <v>20.88</v>
      </c>
      <c r="B102" s="8">
        <v>4</v>
      </c>
      <c r="C102" s="8">
        <v>76</v>
      </c>
      <c r="D102">
        <v>8.3889999999999993</v>
      </c>
      <c r="F102" t="s">
        <v>34</v>
      </c>
    </row>
    <row r="103" spans="1:14" x14ac:dyDescent="0.25">
      <c r="A103" s="9">
        <v>20.55</v>
      </c>
      <c r="B103" s="9">
        <v>27</v>
      </c>
      <c r="C103" s="9">
        <v>77</v>
      </c>
      <c r="D103">
        <v>7.1929999999999996</v>
      </c>
      <c r="F103" s="5"/>
      <c r="G103" s="5" t="s">
        <v>35</v>
      </c>
      <c r="H103" s="5" t="s">
        <v>36</v>
      </c>
      <c r="I103" s="5" t="s">
        <v>37</v>
      </c>
      <c r="J103" s="5" t="s">
        <v>38</v>
      </c>
      <c r="K103" s="5" t="s">
        <v>39</v>
      </c>
    </row>
    <row r="104" spans="1:14" x14ac:dyDescent="0.25">
      <c r="F104" s="3" t="s">
        <v>40</v>
      </c>
      <c r="G104" s="3">
        <v>3</v>
      </c>
      <c r="H104" s="3">
        <v>7.4158132185547974</v>
      </c>
      <c r="I104" s="3">
        <v>2.4719377395182658</v>
      </c>
      <c r="J104" s="3">
        <v>5.403525115592311</v>
      </c>
      <c r="K104" s="3">
        <v>3.8488484456968501E-2</v>
      </c>
    </row>
    <row r="105" spans="1:14" x14ac:dyDescent="0.25">
      <c r="F105" s="3" t="s">
        <v>41</v>
      </c>
      <c r="G105" s="3">
        <v>6</v>
      </c>
      <c r="H105" s="3">
        <v>2.744805681445198</v>
      </c>
      <c r="I105" s="3">
        <v>0.45746761357419968</v>
      </c>
      <c r="J105" s="3"/>
      <c r="K105" s="3"/>
    </row>
    <row r="106" spans="1:14" ht="15.75" thickBot="1" x14ac:dyDescent="0.3">
      <c r="A106" t="s">
        <v>60</v>
      </c>
      <c r="B106" t="s">
        <v>61</v>
      </c>
      <c r="C106" t="s">
        <v>80</v>
      </c>
      <c r="D106" t="s">
        <v>82</v>
      </c>
      <c r="F106" s="4" t="s">
        <v>42</v>
      </c>
      <c r="G106" s="4">
        <v>9</v>
      </c>
      <c r="H106" s="4">
        <v>10.160618899999996</v>
      </c>
      <c r="I106" s="4"/>
      <c r="J106" s="4"/>
      <c r="K106" s="4"/>
    </row>
    <row r="107" spans="1:14" ht="15.75" thickBot="1" x14ac:dyDescent="0.3">
      <c r="A107">
        <v>21.08</v>
      </c>
      <c r="B107">
        <v>3</v>
      </c>
      <c r="C107">
        <v>75</v>
      </c>
      <c r="D107">
        <f>G109+G110*A107+B107*G111+C107*G112</f>
        <v>8.7577979003842898</v>
      </c>
    </row>
    <row r="108" spans="1:14" x14ac:dyDescent="0.25">
      <c r="F108" s="5"/>
      <c r="G108" s="5" t="s">
        <v>43</v>
      </c>
      <c r="H108" s="5" t="s">
        <v>32</v>
      </c>
      <c r="I108" s="5" t="s">
        <v>44</v>
      </c>
      <c r="J108" s="5" t="s">
        <v>45</v>
      </c>
      <c r="K108" s="5" t="s">
        <v>46</v>
      </c>
      <c r="L108" s="5" t="s">
        <v>47</v>
      </c>
      <c r="M108" s="5" t="s">
        <v>48</v>
      </c>
      <c r="N108" s="5" t="s">
        <v>49</v>
      </c>
    </row>
    <row r="109" spans="1:14" x14ac:dyDescent="0.25">
      <c r="B109" t="s">
        <v>83</v>
      </c>
      <c r="F109" s="3" t="s">
        <v>50</v>
      </c>
      <c r="G109" s="3">
        <v>60.968407055211657</v>
      </c>
      <c r="H109" s="3">
        <v>14.155741006027768</v>
      </c>
      <c r="I109" s="3">
        <v>4.3069739005008794</v>
      </c>
      <c r="J109" s="3">
        <v>5.0541036856054013E-3</v>
      </c>
      <c r="K109" s="3">
        <v>26.330556625823498</v>
      </c>
      <c r="L109" s="3">
        <v>95.606257484599809</v>
      </c>
      <c r="M109" s="3">
        <v>26.330556625823498</v>
      </c>
      <c r="N109" s="3">
        <v>95.606257484599809</v>
      </c>
    </row>
    <row r="110" spans="1:14" x14ac:dyDescent="0.25">
      <c r="B110" s="10">
        <v>8.3299999999999999E-2</v>
      </c>
      <c r="F110" s="3" t="s">
        <v>78</v>
      </c>
      <c r="G110" s="3">
        <v>6.1688248871387769E-2</v>
      </c>
      <c r="H110" s="3">
        <v>0.50244274373387965</v>
      </c>
      <c r="I110" s="3">
        <v>0.12277667384139025</v>
      </c>
      <c r="J110" s="3">
        <v>0.90629322175382931</v>
      </c>
      <c r="K110" s="3">
        <v>-1.1677448552928373</v>
      </c>
      <c r="L110" s="3">
        <v>1.2911213530356127</v>
      </c>
      <c r="M110" s="3">
        <v>-1.1677448552928373</v>
      </c>
      <c r="N110" s="3">
        <v>1.2911213530356127</v>
      </c>
    </row>
    <row r="111" spans="1:14" x14ac:dyDescent="0.25">
      <c r="F111" s="3" t="s">
        <v>79</v>
      </c>
      <c r="G111" s="3">
        <v>2.1499698950719629E-2</v>
      </c>
      <c r="H111" s="3">
        <v>2.087217221317765E-2</v>
      </c>
      <c r="I111" s="3">
        <v>1.0300652338018652</v>
      </c>
      <c r="J111" s="3">
        <v>0.34270113081163023</v>
      </c>
      <c r="K111" s="3">
        <v>-2.9572666596843492E-2</v>
      </c>
      <c r="L111" s="3">
        <v>7.2572064498282754E-2</v>
      </c>
      <c r="M111" s="3">
        <v>-2.9572666596843492E-2</v>
      </c>
      <c r="N111" s="3">
        <v>7.2572064498282754E-2</v>
      </c>
    </row>
    <row r="112" spans="1:14" ht="15.75" thickBot="1" x14ac:dyDescent="0.3">
      <c r="F112" s="4" t="s">
        <v>64</v>
      </c>
      <c r="G112" s="4">
        <v>-0.71433995383851179</v>
      </c>
      <c r="H112" s="4">
        <v>0.19505236530727862</v>
      </c>
      <c r="I112" s="4">
        <v>-3.6622983408233258</v>
      </c>
      <c r="J112" s="4">
        <v>1.0550529248417189E-2</v>
      </c>
      <c r="K112" s="4">
        <v>-1.1916158981027498</v>
      </c>
      <c r="L112" s="4">
        <v>-0.23706400957427376</v>
      </c>
      <c r="M112" s="4">
        <v>-1.1916158981027498</v>
      </c>
      <c r="N112" s="4">
        <v>-0.23706400957427376</v>
      </c>
    </row>
    <row r="114" spans="1:11" x14ac:dyDescent="0.25">
      <c r="B114" t="s">
        <v>87</v>
      </c>
    </row>
    <row r="115" spans="1:11" x14ac:dyDescent="0.25">
      <c r="A115" s="7" t="s">
        <v>78</v>
      </c>
      <c r="B115" s="7" t="s">
        <v>79</v>
      </c>
      <c r="C115" s="7" t="s">
        <v>64</v>
      </c>
      <c r="D115" s="11" t="s">
        <v>23</v>
      </c>
      <c r="F115" t="s">
        <v>24</v>
      </c>
    </row>
    <row r="116" spans="1:11" ht="15.75" thickBot="1" x14ac:dyDescent="0.3">
      <c r="A116" s="8">
        <v>20.55</v>
      </c>
      <c r="B116" s="8">
        <v>14</v>
      </c>
      <c r="C116" s="8">
        <v>79</v>
      </c>
      <c r="D116">
        <v>0.75700000000000001</v>
      </c>
    </row>
    <row r="117" spans="1:11" x14ac:dyDescent="0.25">
      <c r="A117" s="8">
        <v>20.97</v>
      </c>
      <c r="B117" s="8">
        <v>2</v>
      </c>
      <c r="C117" s="8">
        <v>78</v>
      </c>
      <c r="D117">
        <v>0.67500000000000004</v>
      </c>
      <c r="F117" s="2" t="s">
        <v>27</v>
      </c>
      <c r="G117" s="2"/>
    </row>
    <row r="118" spans="1:11" x14ac:dyDescent="0.25">
      <c r="A118" s="8">
        <v>21.4</v>
      </c>
      <c r="B118" s="8">
        <v>1</v>
      </c>
      <c r="C118" s="8">
        <v>78</v>
      </c>
      <c r="D118">
        <v>0.498</v>
      </c>
      <c r="F118" s="3" t="s">
        <v>28</v>
      </c>
      <c r="G118" s="3">
        <v>0.86125330196576744</v>
      </c>
    </row>
    <row r="119" spans="1:11" x14ac:dyDescent="0.25">
      <c r="A119" s="8">
        <v>21.88</v>
      </c>
      <c r="B119" s="8">
        <v>5</v>
      </c>
      <c r="C119" s="8">
        <v>80</v>
      </c>
      <c r="D119">
        <v>0.61099999999999999</v>
      </c>
      <c r="F119" s="3" t="s">
        <v>30</v>
      </c>
      <c r="G119" s="3">
        <v>0.74175725014693739</v>
      </c>
    </row>
    <row r="120" spans="1:11" x14ac:dyDescent="0.25">
      <c r="A120" s="8">
        <v>21.95</v>
      </c>
      <c r="B120" s="8">
        <v>31</v>
      </c>
      <c r="C120" s="8">
        <v>79</v>
      </c>
      <c r="D120">
        <v>0.65400000000000003</v>
      </c>
      <c r="F120" s="3" t="s">
        <v>31</v>
      </c>
      <c r="G120" s="3">
        <v>0.61263587522040608</v>
      </c>
    </row>
    <row r="121" spans="1:11" x14ac:dyDescent="0.25">
      <c r="A121" s="8">
        <v>21.08</v>
      </c>
      <c r="B121" s="8">
        <v>1</v>
      </c>
      <c r="C121" s="8">
        <v>78</v>
      </c>
      <c r="D121">
        <v>0.64500000000000002</v>
      </c>
      <c r="F121" s="3" t="s">
        <v>32</v>
      </c>
      <c r="G121" s="3">
        <v>8.573385868100436E-2</v>
      </c>
    </row>
    <row r="122" spans="1:11" ht="15.75" thickBot="1" x14ac:dyDescent="0.3">
      <c r="A122" s="8">
        <v>21.6</v>
      </c>
      <c r="B122" s="8">
        <v>3</v>
      </c>
      <c r="C122" s="8">
        <v>77</v>
      </c>
      <c r="D122">
        <v>0.66800000000000004</v>
      </c>
      <c r="F122" s="4" t="s">
        <v>33</v>
      </c>
      <c r="G122" s="4">
        <v>10</v>
      </c>
    </row>
    <row r="123" spans="1:11" x14ac:dyDescent="0.25">
      <c r="A123" s="8">
        <v>21.1</v>
      </c>
      <c r="B123" s="8">
        <v>4</v>
      </c>
      <c r="C123" s="8">
        <v>76</v>
      </c>
      <c r="D123">
        <v>0.89100000000000001</v>
      </c>
    </row>
    <row r="124" spans="1:11" ht="15.75" thickBot="1" x14ac:dyDescent="0.3">
      <c r="A124" s="8">
        <v>20.88</v>
      </c>
      <c r="B124" s="8">
        <v>4</v>
      </c>
      <c r="C124" s="8">
        <v>76</v>
      </c>
      <c r="D124">
        <v>0.82699999999999996</v>
      </c>
      <c r="F124" t="s">
        <v>34</v>
      </c>
    </row>
    <row r="125" spans="1:11" x14ac:dyDescent="0.25">
      <c r="A125" s="9">
        <v>20.55</v>
      </c>
      <c r="B125" s="9">
        <v>27</v>
      </c>
      <c r="C125" s="9">
        <v>77</v>
      </c>
      <c r="D125">
        <v>0.95</v>
      </c>
      <c r="F125" s="5"/>
      <c r="G125" s="5" t="s">
        <v>35</v>
      </c>
      <c r="H125" s="5" t="s">
        <v>36</v>
      </c>
      <c r="I125" s="5" t="s">
        <v>37</v>
      </c>
      <c r="J125" s="5" t="s">
        <v>38</v>
      </c>
      <c r="K125" s="5" t="s">
        <v>39</v>
      </c>
    </row>
    <row r="126" spans="1:11" x14ac:dyDescent="0.25">
      <c r="F126" s="3" t="s">
        <v>40</v>
      </c>
      <c r="G126" s="3">
        <v>3</v>
      </c>
      <c r="H126" s="3">
        <v>0.12667463285399341</v>
      </c>
      <c r="I126" s="3">
        <v>4.2224877617997807E-2</v>
      </c>
      <c r="J126" s="3">
        <v>5.7446511127146014</v>
      </c>
      <c r="K126" s="3">
        <v>3.3812838021437377E-2</v>
      </c>
    </row>
    <row r="127" spans="1:11" x14ac:dyDescent="0.25">
      <c r="F127" s="3" t="s">
        <v>41</v>
      </c>
      <c r="G127" s="3">
        <v>6</v>
      </c>
      <c r="H127" s="3">
        <v>4.4101767146006561E-2</v>
      </c>
      <c r="I127" s="3">
        <v>7.3502945243344268E-3</v>
      </c>
      <c r="J127" s="3"/>
      <c r="K127" s="3"/>
    </row>
    <row r="128" spans="1:11" ht="15.75" thickBot="1" x14ac:dyDescent="0.3">
      <c r="A128" t="s">
        <v>60</v>
      </c>
      <c r="B128" t="s">
        <v>61</v>
      </c>
      <c r="C128" t="s">
        <v>80</v>
      </c>
      <c r="D128" t="s">
        <v>82</v>
      </c>
      <c r="F128" s="4" t="s">
        <v>42</v>
      </c>
      <c r="G128" s="4">
        <v>9</v>
      </c>
      <c r="H128" s="4">
        <v>0.17077639999999997</v>
      </c>
      <c r="I128" s="4"/>
      <c r="J128" s="4"/>
      <c r="K128" s="4"/>
    </row>
    <row r="129" spans="1:14" ht="15.75" thickBot="1" x14ac:dyDescent="0.3">
      <c r="A129">
        <v>21.08</v>
      </c>
      <c r="B129">
        <v>3</v>
      </c>
      <c r="C129">
        <v>75</v>
      </c>
      <c r="D129">
        <f>G131+G132*A129+G133*B129+G134*C129</f>
        <v>0.84910365842762037</v>
      </c>
    </row>
    <row r="130" spans="1:14" x14ac:dyDescent="0.25">
      <c r="F130" s="5"/>
      <c r="G130" s="5" t="s">
        <v>43</v>
      </c>
      <c r="H130" s="5" t="s">
        <v>32</v>
      </c>
      <c r="I130" s="5" t="s">
        <v>44</v>
      </c>
      <c r="J130" s="5" t="s">
        <v>45</v>
      </c>
      <c r="K130" s="5" t="s">
        <v>46</v>
      </c>
      <c r="L130" s="5" t="s">
        <v>47</v>
      </c>
      <c r="M130" s="5" t="s">
        <v>48</v>
      </c>
      <c r="N130" s="5" t="s">
        <v>49</v>
      </c>
    </row>
    <row r="131" spans="1:14" x14ac:dyDescent="0.25">
      <c r="B131" t="s">
        <v>83</v>
      </c>
      <c r="F131" s="3" t="s">
        <v>50</v>
      </c>
      <c r="G131" s="3">
        <v>7.3187068750383535</v>
      </c>
      <c r="H131" s="3">
        <v>1.794340262125427</v>
      </c>
      <c r="I131" s="3">
        <v>4.0787731454953917</v>
      </c>
      <c r="J131" s="3">
        <v>6.5110828521365615E-3</v>
      </c>
      <c r="K131" s="3">
        <v>2.9281144226570746</v>
      </c>
      <c r="L131" s="3">
        <v>11.709299327419632</v>
      </c>
      <c r="M131" s="3">
        <v>2.9281144226570746</v>
      </c>
      <c r="N131" s="3">
        <v>11.709299327419632</v>
      </c>
    </row>
    <row r="132" spans="1:14" x14ac:dyDescent="0.25">
      <c r="B132" s="10">
        <v>8.5099999999999995E-2</v>
      </c>
      <c r="F132" s="3" t="s">
        <v>78</v>
      </c>
      <c r="G132" s="3">
        <v>-0.11190606452432283</v>
      </c>
      <c r="H132" s="3">
        <v>6.3688170340964204E-2</v>
      </c>
      <c r="I132" s="3">
        <v>-1.757093411935323</v>
      </c>
      <c r="J132" s="3">
        <v>0.12941455168417865</v>
      </c>
      <c r="K132" s="3">
        <v>-0.26774540330936769</v>
      </c>
      <c r="L132" s="3">
        <v>4.3933274260722049E-2</v>
      </c>
      <c r="M132" s="3">
        <v>-0.26774540330936769</v>
      </c>
      <c r="N132" s="3">
        <v>4.3933274260722049E-2</v>
      </c>
    </row>
    <row r="133" spans="1:14" x14ac:dyDescent="0.25">
      <c r="F133" s="3" t="s">
        <v>79</v>
      </c>
      <c r="G133" s="3">
        <v>5.739276901700536E-3</v>
      </c>
      <c r="H133" s="3">
        <v>2.6456954068439522E-3</v>
      </c>
      <c r="I133" s="3">
        <v>2.1692886062598244</v>
      </c>
      <c r="J133" s="3">
        <v>7.3133674169009594E-2</v>
      </c>
      <c r="K133" s="3">
        <v>-7.3450654382574247E-4</v>
      </c>
      <c r="L133" s="3">
        <v>1.2213060347226815E-2</v>
      </c>
      <c r="M133" s="3">
        <v>-7.3450654382574247E-4</v>
      </c>
      <c r="N133" s="3">
        <v>1.2213060347226815E-2</v>
      </c>
    </row>
    <row r="134" spans="1:14" ht="15.75" thickBot="1" x14ac:dyDescent="0.3">
      <c r="F134" s="4" t="s">
        <v>64</v>
      </c>
      <c r="G134" s="4">
        <v>-5.5037882761908123E-2</v>
      </c>
      <c r="H134" s="4">
        <v>2.4724266440351996E-2</v>
      </c>
      <c r="I134" s="4">
        <v>-2.2260673696705462</v>
      </c>
      <c r="J134" s="4">
        <v>6.763086234280781E-2</v>
      </c>
      <c r="K134" s="4">
        <v>-0.11553598332567128</v>
      </c>
      <c r="L134" s="4">
        <v>5.4602178018550301E-3</v>
      </c>
      <c r="M134" s="4">
        <v>-0.11553598332567128</v>
      </c>
      <c r="N134" s="4">
        <v>5.4602178018550301E-3</v>
      </c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opLeftCell="A60" workbookViewId="0">
      <selection activeCell="I76" sqref="I76"/>
    </sheetView>
  </sheetViews>
  <sheetFormatPr defaultRowHeight="15" x14ac:dyDescent="0.25"/>
  <cols>
    <col min="1" max="1" width="14.7109375" customWidth="1"/>
    <col min="2" max="2" width="13.85546875" customWidth="1"/>
    <col min="3" max="3" width="11.28515625" customWidth="1"/>
    <col min="4" max="4" width="12.85546875" customWidth="1"/>
    <col min="7" max="7" width="9.85546875" customWidth="1"/>
    <col min="9" max="9" width="10.85546875" customWidth="1"/>
    <col min="10" max="10" width="10.140625" customWidth="1"/>
    <col min="12" max="12" width="6.42578125" customWidth="1"/>
    <col min="13" max="13" width="18" customWidth="1"/>
  </cols>
  <sheetData>
    <row r="1" spans="1:14" x14ac:dyDescent="0.25">
      <c r="B1" t="s">
        <v>1</v>
      </c>
    </row>
    <row r="2" spans="1:14" x14ac:dyDescent="0.25">
      <c r="A2" t="s">
        <v>21</v>
      </c>
      <c r="B2" s="6" t="s">
        <v>22</v>
      </c>
      <c r="C2" t="s">
        <v>95</v>
      </c>
      <c r="D2" t="s">
        <v>23</v>
      </c>
      <c r="G2" t="s">
        <v>88</v>
      </c>
      <c r="H2" t="s">
        <v>89</v>
      </c>
      <c r="I2" t="s">
        <v>90</v>
      </c>
      <c r="J2" t="s">
        <v>82</v>
      </c>
      <c r="L2" s="6" t="s">
        <v>91</v>
      </c>
      <c r="M2" t="s">
        <v>92</v>
      </c>
      <c r="N2" s="6" t="s">
        <v>93</v>
      </c>
    </row>
    <row r="3" spans="1:14" x14ac:dyDescent="0.25">
      <c r="A3">
        <v>28.3</v>
      </c>
      <c r="B3">
        <v>150</v>
      </c>
      <c r="C3">
        <v>78</v>
      </c>
      <c r="D3">
        <v>0.434</v>
      </c>
      <c r="G3">
        <v>28.75</v>
      </c>
      <c r="H3">
        <v>184</v>
      </c>
      <c r="I3">
        <v>75</v>
      </c>
      <c r="J3">
        <v>0.34300000000000003</v>
      </c>
      <c r="L3">
        <f>RANK(M3,$M$3:$M$12,1)</f>
        <v>5</v>
      </c>
      <c r="M3">
        <f>SQRT((Table25[[#This Row],[Temperature]]-$G$3)^2+(Table25[[#This Row],[Rainfall]]-$H$3)^2+(Table25[[#This Row],[Humidity]]-$I$3)^2)</f>
        <v>34.13506261895531</v>
      </c>
      <c r="N3">
        <f>Table25[[#This Row],[production]]</f>
        <v>0.434</v>
      </c>
    </row>
    <row r="4" spans="1:14" x14ac:dyDescent="0.25">
      <c r="A4">
        <v>28.8</v>
      </c>
      <c r="B4">
        <v>171</v>
      </c>
      <c r="C4">
        <v>75</v>
      </c>
      <c r="D4">
        <v>0.34300000000000003</v>
      </c>
      <c r="L4">
        <f t="shared" ref="L4:L12" si="0">RANK(M4,$M$3:$M$12,1)</f>
        <v>1</v>
      </c>
      <c r="M4">
        <f>SQRT((Table25[[#This Row],[Temperature]]-$G$3)^2+(Table25[[#This Row],[Rainfall]]-$H$3)^2+(Table25[[#This Row],[Humidity]]-$I$3)^2)</f>
        <v>13.000096153490558</v>
      </c>
      <c r="N4">
        <f>Table25[[#This Row],[production]]</f>
        <v>0.34300000000000003</v>
      </c>
    </row>
    <row r="5" spans="1:14" x14ac:dyDescent="0.25">
      <c r="A5">
        <v>29.15</v>
      </c>
      <c r="B5">
        <v>112</v>
      </c>
      <c r="C5">
        <v>75</v>
      </c>
      <c r="D5">
        <v>0.371</v>
      </c>
      <c r="H5" t="s">
        <v>83</v>
      </c>
      <c r="L5">
        <f t="shared" si="0"/>
        <v>8</v>
      </c>
      <c r="M5">
        <f>SQRT((Table25[[#This Row],[Temperature]]-$G$3)^2+(Table25[[#This Row],[Rainfall]]-$H$3)^2+(Table25[[#This Row],[Humidity]]-$I$3)^2)</f>
        <v>72.001111102537848</v>
      </c>
      <c r="N5">
        <f>Table25[[#This Row],[production]]</f>
        <v>0.371</v>
      </c>
    </row>
    <row r="6" spans="1:14" x14ac:dyDescent="0.25">
      <c r="A6">
        <v>28.73</v>
      </c>
      <c r="B6">
        <v>228</v>
      </c>
      <c r="C6">
        <v>75</v>
      </c>
      <c r="D6">
        <v>0.30199999999999999</v>
      </c>
      <c r="H6" s="10">
        <v>0.30559999999999998</v>
      </c>
      <c r="L6">
        <f t="shared" si="0"/>
        <v>6</v>
      </c>
      <c r="M6">
        <f>SQRT((Table25[[#This Row],[Temperature]]-$G$3)^2+(Table25[[#This Row],[Rainfall]]-$H$3)^2+(Table25[[#This Row],[Humidity]]-$I$3)^2)</f>
        <v>44.00000454545431</v>
      </c>
      <c r="N6">
        <f>Table25[[#This Row],[production]]</f>
        <v>0.30199999999999999</v>
      </c>
    </row>
    <row r="7" spans="1:14" x14ac:dyDescent="0.25">
      <c r="A7">
        <v>28.23</v>
      </c>
      <c r="B7">
        <v>171</v>
      </c>
      <c r="C7">
        <v>74</v>
      </c>
      <c r="D7">
        <v>0.27900000000000003</v>
      </c>
      <c r="L7">
        <f t="shared" si="0"/>
        <v>2</v>
      </c>
      <c r="M7">
        <f>SQRT((Table25[[#This Row],[Temperature]]-$G$3)^2+(Table25[[#This Row],[Rainfall]]-$H$3)^2+(Table25[[#This Row],[Humidity]]-$I$3)^2)</f>
        <v>13.048770056982383</v>
      </c>
      <c r="N7">
        <f>Table25[[#This Row],[production]]</f>
        <v>0.27900000000000003</v>
      </c>
    </row>
    <row r="8" spans="1:14" x14ac:dyDescent="0.25">
      <c r="A8">
        <v>28.8</v>
      </c>
      <c r="B8">
        <v>89</v>
      </c>
      <c r="C8">
        <v>76</v>
      </c>
      <c r="D8">
        <v>0.39800000000000002</v>
      </c>
      <c r="L8">
        <f t="shared" si="0"/>
        <v>10</v>
      </c>
      <c r="M8">
        <f>SQRT((Table25[[#This Row],[Temperature]]-$G$3)^2+(Table25[[#This Row],[Rainfall]]-$H$3)^2+(Table25[[#This Row],[Humidity]]-$I$3)^2)</f>
        <v>95.005276169273884</v>
      </c>
      <c r="N8">
        <f>Table25[[#This Row],[production]]</f>
        <v>0.39800000000000002</v>
      </c>
    </row>
    <row r="9" spans="1:14" x14ac:dyDescent="0.25">
      <c r="A9">
        <v>29.35</v>
      </c>
      <c r="B9">
        <v>169</v>
      </c>
      <c r="C9">
        <v>72</v>
      </c>
      <c r="D9">
        <v>0.377</v>
      </c>
      <c r="L9">
        <f t="shared" si="0"/>
        <v>3</v>
      </c>
      <c r="M9">
        <f>SQRT((Table25[[#This Row],[Temperature]]-$G$3)^2+(Table25[[#This Row],[Rainfall]]-$H$3)^2+(Table25[[#This Row],[Humidity]]-$I$3)^2)</f>
        <v>15.308820986607689</v>
      </c>
      <c r="N9">
        <f>Table25[[#This Row],[production]]</f>
        <v>0.377</v>
      </c>
    </row>
    <row r="10" spans="1:14" x14ac:dyDescent="0.25">
      <c r="A10">
        <v>29.8</v>
      </c>
      <c r="B10">
        <v>243</v>
      </c>
      <c r="C10">
        <v>75</v>
      </c>
      <c r="D10">
        <v>0.36299999999999999</v>
      </c>
      <c r="L10">
        <f t="shared" si="0"/>
        <v>7</v>
      </c>
      <c r="M10">
        <f>SQRT((Table25[[#This Row],[Temperature]]-$G$3)^2+(Table25[[#This Row],[Rainfall]]-$H$3)^2+(Table25[[#This Row],[Humidity]]-$I$3)^2)</f>
        <v>59.009342480661481</v>
      </c>
      <c r="N10">
        <f>Table25[[#This Row],[production]]</f>
        <v>0.36299999999999999</v>
      </c>
    </row>
    <row r="11" spans="1:14" x14ac:dyDescent="0.25">
      <c r="A11">
        <v>28.17</v>
      </c>
      <c r="B11">
        <v>168</v>
      </c>
      <c r="C11">
        <v>76</v>
      </c>
      <c r="D11">
        <v>0.28000000000000003</v>
      </c>
      <c r="L11">
        <f t="shared" si="0"/>
        <v>4</v>
      </c>
      <c r="M11">
        <f>SQRT((Table25[[#This Row],[Temperature]]-$G$3)^2+(Table25[[#This Row],[Rainfall]]-$H$3)^2+(Table25[[#This Row],[Humidity]]-$I$3)^2)</f>
        <v>16.041708138474533</v>
      </c>
      <c r="N11">
        <f>Table25[[#This Row],[production]]</f>
        <v>0.28000000000000003</v>
      </c>
    </row>
    <row r="12" spans="1:14" x14ac:dyDescent="0.25">
      <c r="A12">
        <v>29</v>
      </c>
      <c r="B12">
        <v>102</v>
      </c>
      <c r="C12">
        <v>74</v>
      </c>
      <c r="D12">
        <v>0.45</v>
      </c>
      <c r="L12">
        <f t="shared" si="0"/>
        <v>9</v>
      </c>
      <c r="M12">
        <f>SQRT((Table25[[#This Row],[Temperature]]-$G$3)^2+(Table25[[#This Row],[Rainfall]]-$H$3)^2+(Table25[[#This Row],[Humidity]]-$I$3)^2)</f>
        <v>82.00647840262377</v>
      </c>
      <c r="N12">
        <f>Table25[[#This Row],[production]]</f>
        <v>0.45</v>
      </c>
    </row>
    <row r="15" spans="1:14" x14ac:dyDescent="0.25">
      <c r="B15" t="s">
        <v>2</v>
      </c>
    </row>
    <row r="16" spans="1:14" x14ac:dyDescent="0.25">
      <c r="A16" t="s">
        <v>21</v>
      </c>
      <c r="B16" s="6" t="s">
        <v>22</v>
      </c>
      <c r="C16" t="s">
        <v>95</v>
      </c>
      <c r="D16" t="s">
        <v>23</v>
      </c>
      <c r="G16" t="s">
        <v>88</v>
      </c>
      <c r="H16" t="s">
        <v>89</v>
      </c>
      <c r="I16" t="s">
        <v>90</v>
      </c>
      <c r="J16" t="s">
        <v>82</v>
      </c>
      <c r="L16" s="6" t="s">
        <v>91</v>
      </c>
      <c r="M16" t="s">
        <v>92</v>
      </c>
      <c r="N16" s="6" t="s">
        <v>93</v>
      </c>
    </row>
    <row r="17" spans="1:14" x14ac:dyDescent="0.25">
      <c r="A17">
        <v>29.03</v>
      </c>
      <c r="B17">
        <v>164</v>
      </c>
      <c r="C17">
        <v>85</v>
      </c>
      <c r="D17">
        <v>0.58299999999999996</v>
      </c>
      <c r="G17">
        <v>29.05</v>
      </c>
      <c r="H17">
        <v>222</v>
      </c>
      <c r="I17">
        <v>85</v>
      </c>
      <c r="J17">
        <v>0.79700000000000004</v>
      </c>
      <c r="L17">
        <f>RANK(M17,$M$17:$M$26,1)</f>
        <v>6</v>
      </c>
      <c r="M17">
        <f>SQRT((Table27[[#This Row],[Temperature]]-$G$17)^2+(Table27[[#This Row],[Rainfall]]-$H$17)^2+(Table27[[#This Row],[Humidity]]-$I$17)^2)</f>
        <v>58.000003448275756</v>
      </c>
      <c r="N17">
        <f>Table27[[#This Row],[production]]</f>
        <v>0.58299999999999996</v>
      </c>
    </row>
    <row r="18" spans="1:14" x14ac:dyDescent="0.25">
      <c r="A18">
        <v>28.4</v>
      </c>
      <c r="B18">
        <v>327</v>
      </c>
      <c r="C18">
        <v>85</v>
      </c>
      <c r="D18">
        <v>0.44700000000000001</v>
      </c>
      <c r="L18">
        <f t="shared" ref="L18:L26" si="1">RANK(M18,$M$17:$M$26,1)</f>
        <v>9</v>
      </c>
      <c r="M18">
        <f>SQRT((Table27[[#This Row],[Temperature]]-$G$17)^2+(Table27[[#This Row],[Rainfall]]-$H$17)^2+(Table27[[#This Row],[Humidity]]-$I$17)^2)</f>
        <v>105.00201188548722</v>
      </c>
      <c r="N18">
        <f>Table27[[#This Row],[production]]</f>
        <v>0.44700000000000001</v>
      </c>
    </row>
    <row r="19" spans="1:14" x14ac:dyDescent="0.25">
      <c r="A19">
        <v>28.7</v>
      </c>
      <c r="B19">
        <v>296</v>
      </c>
      <c r="C19">
        <v>86</v>
      </c>
      <c r="D19">
        <v>0.57199999999999995</v>
      </c>
      <c r="L19">
        <f t="shared" si="1"/>
        <v>7</v>
      </c>
      <c r="M19">
        <f>SQRT((Table27[[#This Row],[Temperature]]-$G$17)^2+(Table27[[#This Row],[Rainfall]]-$H$17)^2+(Table27[[#This Row],[Humidity]]-$I$17)^2)</f>
        <v>74.007584070823441</v>
      </c>
      <c r="N19">
        <f>Table27[[#This Row],[production]]</f>
        <v>0.57199999999999995</v>
      </c>
    </row>
    <row r="20" spans="1:14" x14ac:dyDescent="0.25">
      <c r="A20">
        <v>29.05</v>
      </c>
      <c r="B20">
        <v>268</v>
      </c>
      <c r="C20">
        <v>84</v>
      </c>
      <c r="D20">
        <v>0.63500000000000001</v>
      </c>
      <c r="H20" t="s">
        <v>83</v>
      </c>
      <c r="L20">
        <f t="shared" si="1"/>
        <v>5</v>
      </c>
      <c r="M20">
        <f>SQRT((Table27[[#This Row],[Temperature]]-$G$17)^2+(Table27[[#This Row],[Rainfall]]-$H$17)^2+(Table27[[#This Row],[Humidity]]-$I$17)^2)</f>
        <v>46.010868281309364</v>
      </c>
      <c r="N20">
        <f>Table27[[#This Row],[production]]</f>
        <v>0.63500000000000001</v>
      </c>
    </row>
    <row r="21" spans="1:14" x14ac:dyDescent="0.25">
      <c r="A21">
        <v>28.83</v>
      </c>
      <c r="B21">
        <v>300</v>
      </c>
      <c r="C21">
        <v>83</v>
      </c>
      <c r="D21">
        <v>0.54400000000000004</v>
      </c>
      <c r="H21" s="10">
        <v>3.27E-2</v>
      </c>
      <c r="L21">
        <f t="shared" si="1"/>
        <v>8</v>
      </c>
      <c r="M21">
        <f>SQRT((Table27[[#This Row],[Temperature]]-$G$17)^2+(Table27[[#This Row],[Rainfall]]-$H$17)^2+(Table27[[#This Row],[Humidity]]-$I$17)^2)</f>
        <v>78.025946966377788</v>
      </c>
      <c r="N21">
        <f>Table27[[#This Row],[production]]</f>
        <v>0.54400000000000004</v>
      </c>
    </row>
    <row r="22" spans="1:14" x14ac:dyDescent="0.25">
      <c r="A22">
        <v>28.62</v>
      </c>
      <c r="B22">
        <v>250</v>
      </c>
      <c r="C22">
        <v>84</v>
      </c>
      <c r="D22">
        <v>0.75800000000000001</v>
      </c>
      <c r="L22">
        <f t="shared" si="1"/>
        <v>3</v>
      </c>
      <c r="M22">
        <f>SQRT((Table27[[#This Row],[Temperature]]-$G$17)^2+(Table27[[#This Row],[Rainfall]]-$H$17)^2+(Table27[[#This Row],[Humidity]]-$I$17)^2)</f>
        <v>28.021150939959622</v>
      </c>
      <c r="N22">
        <f>Table27[[#This Row],[production]]</f>
        <v>0.75800000000000001</v>
      </c>
    </row>
    <row r="23" spans="1:14" x14ac:dyDescent="0.25">
      <c r="A23">
        <v>29.07</v>
      </c>
      <c r="B23">
        <v>369</v>
      </c>
      <c r="C23">
        <v>84</v>
      </c>
      <c r="D23">
        <v>0.78900000000000003</v>
      </c>
      <c r="L23">
        <f t="shared" si="1"/>
        <v>10</v>
      </c>
      <c r="M23">
        <f>SQRT((Table27[[#This Row],[Temperature]]-$G$17)^2+(Table27[[#This Row],[Rainfall]]-$H$17)^2+(Table27[[#This Row],[Humidity]]-$I$17)^2)</f>
        <v>147.00340268170666</v>
      </c>
      <c r="N23">
        <f>Table27[[#This Row],[production]]</f>
        <v>0.78900000000000003</v>
      </c>
    </row>
    <row r="24" spans="1:14" x14ac:dyDescent="0.25">
      <c r="A24">
        <v>29.45</v>
      </c>
      <c r="B24">
        <v>243</v>
      </c>
      <c r="C24">
        <v>83</v>
      </c>
      <c r="D24">
        <v>0.78800000000000003</v>
      </c>
      <c r="L24">
        <f t="shared" si="1"/>
        <v>2</v>
      </c>
      <c r="M24">
        <f>SQRT((Table27[[#This Row],[Temperature]]-$G$17)^2+(Table27[[#This Row],[Rainfall]]-$H$17)^2+(Table27[[#This Row],[Humidity]]-$I$17)^2)</f>
        <v>21.098815132608753</v>
      </c>
      <c r="N24">
        <f>Table27[[#This Row],[production]]</f>
        <v>0.78800000000000003</v>
      </c>
    </row>
    <row r="25" spans="1:14" x14ac:dyDescent="0.25">
      <c r="A25">
        <v>29.17</v>
      </c>
      <c r="B25">
        <v>209</v>
      </c>
      <c r="C25">
        <v>83</v>
      </c>
      <c r="D25">
        <v>0.79700000000000004</v>
      </c>
      <c r="L25">
        <f t="shared" si="1"/>
        <v>1</v>
      </c>
      <c r="M25">
        <f>SQRT((Table27[[#This Row],[Temperature]]-$G$17)^2+(Table27[[#This Row],[Rainfall]]-$H$17)^2+(Table27[[#This Row],[Humidity]]-$I$17)^2)</f>
        <v>13.153493832438588</v>
      </c>
      <c r="N25">
        <f>Table27[[#This Row],[production]]</f>
        <v>0.79700000000000004</v>
      </c>
    </row>
    <row r="26" spans="1:14" x14ac:dyDescent="0.25">
      <c r="A26">
        <v>29.1</v>
      </c>
      <c r="B26">
        <v>180</v>
      </c>
      <c r="C26">
        <v>84</v>
      </c>
      <c r="D26">
        <v>0.80800000000000005</v>
      </c>
      <c r="L26">
        <f t="shared" si="1"/>
        <v>4</v>
      </c>
      <c r="M26">
        <f>SQRT((Table27[[#This Row],[Temperature]]-$G$17)^2+(Table27[[#This Row],[Rainfall]]-$H$17)^2+(Table27[[#This Row],[Humidity]]-$I$17)^2)</f>
        <v>42.011932828661905</v>
      </c>
      <c r="N26">
        <f>Table27[[#This Row],[production]]</f>
        <v>0.80800000000000005</v>
      </c>
    </row>
    <row r="29" spans="1:14" x14ac:dyDescent="0.25">
      <c r="B29" t="s">
        <v>3</v>
      </c>
    </row>
    <row r="30" spans="1:14" x14ac:dyDescent="0.25">
      <c r="A30" t="s">
        <v>21</v>
      </c>
      <c r="B30" s="6" t="s">
        <v>22</v>
      </c>
      <c r="C30" t="s">
        <v>95</v>
      </c>
      <c r="D30" t="s">
        <v>23</v>
      </c>
      <c r="G30" s="6" t="s">
        <v>88</v>
      </c>
      <c r="H30" t="s">
        <v>89</v>
      </c>
      <c r="I30" t="s">
        <v>90</v>
      </c>
      <c r="J30" t="s">
        <v>82</v>
      </c>
      <c r="L30" s="6" t="s">
        <v>91</v>
      </c>
      <c r="M30" t="s">
        <v>92</v>
      </c>
      <c r="N30" s="6" t="s">
        <v>93</v>
      </c>
    </row>
    <row r="31" spans="1:14" x14ac:dyDescent="0.25">
      <c r="A31">
        <v>20.58</v>
      </c>
      <c r="B31">
        <v>7</v>
      </c>
      <c r="C31">
        <v>78</v>
      </c>
      <c r="D31">
        <v>1.5569999999999999</v>
      </c>
      <c r="G31">
        <v>20.77</v>
      </c>
      <c r="H31">
        <v>3</v>
      </c>
      <c r="I31">
        <v>76</v>
      </c>
      <c r="J31">
        <v>1.5669999999999999</v>
      </c>
      <c r="L31">
        <f>RANK(M31,$M$31:$M$40,1)</f>
        <v>6</v>
      </c>
      <c r="M31">
        <f>SQRT((Table30[[#This Row],[Temperature]]-$G$31)^2+(Table30[[#This Row],[Rainfall]]-$H$31)^2+(Table30[[#This Row],[Humidity]]-$I$31))</f>
        <v>4.2468929819339696</v>
      </c>
      <c r="N31">
        <f>Table30[[#This Row],[production]]</f>
        <v>1.5569999999999999</v>
      </c>
    </row>
    <row r="32" spans="1:14" x14ac:dyDescent="0.25">
      <c r="A32">
        <v>21.05</v>
      </c>
      <c r="B32">
        <v>4</v>
      </c>
      <c r="C32">
        <v>77</v>
      </c>
      <c r="D32">
        <v>1.5669999999999999</v>
      </c>
      <c r="L32">
        <f t="shared" ref="L32:L40" si="2">RANK(M32,$M$31:$M$40,1)</f>
        <v>1</v>
      </c>
      <c r="M32">
        <f>SQRT((Table30[[#This Row],[Temperature]]-$G$31)^2+(Table30[[#This Row],[Rainfall]]-$H$31)^2+(Table30[[#This Row],[Humidity]]-$I$31))</f>
        <v>1.4416657032752083</v>
      </c>
      <c r="N32">
        <f>Table30[[#This Row],[production]]</f>
        <v>1.5669999999999999</v>
      </c>
    </row>
    <row r="33" spans="1:14" x14ac:dyDescent="0.25">
      <c r="A33">
        <v>21.47</v>
      </c>
      <c r="B33">
        <v>1</v>
      </c>
      <c r="C33">
        <v>76</v>
      </c>
      <c r="D33">
        <v>1.59</v>
      </c>
      <c r="H33" t="s">
        <v>83</v>
      </c>
      <c r="L33">
        <f t="shared" si="2"/>
        <v>3</v>
      </c>
      <c r="M33">
        <f>SQRT((Table30[[#This Row],[Temperature]]-$G$31)^2+(Table30[[#This Row],[Rainfall]]-$H$31)^2+(Table30[[#This Row],[Humidity]]-$I$31))</f>
        <v>2.118962010041709</v>
      </c>
      <c r="N33">
        <f>Table30[[#This Row],[production]]</f>
        <v>1.59</v>
      </c>
    </row>
    <row r="34" spans="1:14" x14ac:dyDescent="0.25">
      <c r="A34">
        <v>22.03</v>
      </c>
      <c r="B34">
        <v>15</v>
      </c>
      <c r="C34">
        <v>77</v>
      </c>
      <c r="D34">
        <v>1.5329999999999999</v>
      </c>
      <c r="H34" s="10">
        <v>0.10299999999999999</v>
      </c>
      <c r="L34">
        <f t="shared" si="2"/>
        <v>8</v>
      </c>
      <c r="M34">
        <f>SQRT((Table30[[#This Row],[Temperature]]-$G$31)^2+(Table30[[#This Row],[Rainfall]]-$H$31)^2+(Table30[[#This Row],[Humidity]]-$I$31))</f>
        <v>12.107336618761369</v>
      </c>
      <c r="N34">
        <f>Table30[[#This Row],[production]]</f>
        <v>1.5329999999999999</v>
      </c>
    </row>
    <row r="35" spans="1:14" x14ac:dyDescent="0.25">
      <c r="A35">
        <v>20.8</v>
      </c>
      <c r="B35">
        <v>45</v>
      </c>
      <c r="C35">
        <v>78</v>
      </c>
      <c r="D35">
        <v>1.591</v>
      </c>
      <c r="L35">
        <f t="shared" si="2"/>
        <v>10</v>
      </c>
      <c r="M35">
        <f>SQRT((Table30[[#This Row],[Temperature]]-$G$31)^2+(Table30[[#This Row],[Rainfall]]-$H$31)^2+(Table30[[#This Row],[Humidity]]-$I$31))</f>
        <v>42.023813487117039</v>
      </c>
      <c r="N35">
        <f>Table30[[#This Row],[production]]</f>
        <v>1.591</v>
      </c>
    </row>
    <row r="36" spans="1:14" x14ac:dyDescent="0.25">
      <c r="A36">
        <v>20.85</v>
      </c>
      <c r="B36">
        <v>1</v>
      </c>
      <c r="C36">
        <v>78</v>
      </c>
      <c r="D36">
        <v>1.6679999999999999</v>
      </c>
      <c r="L36">
        <f t="shared" si="2"/>
        <v>5</v>
      </c>
      <c r="M36">
        <f>SQRT((Table30[[#This Row],[Temperature]]-$G$31)^2+(Table30[[#This Row],[Rainfall]]-$H$31)^2+(Table30[[#This Row],[Humidity]]-$I$31))</f>
        <v>2.4507957891264627</v>
      </c>
      <c r="N36">
        <f>Table30[[#This Row],[production]]</f>
        <v>1.6679999999999999</v>
      </c>
    </row>
    <row r="37" spans="1:14" x14ac:dyDescent="0.25">
      <c r="A37">
        <v>21.63</v>
      </c>
      <c r="B37">
        <v>1</v>
      </c>
      <c r="C37">
        <v>76</v>
      </c>
      <c r="D37">
        <v>1.5740000000000001</v>
      </c>
      <c r="L37">
        <f t="shared" si="2"/>
        <v>4</v>
      </c>
      <c r="M37">
        <f>SQRT((Table30[[#This Row],[Temperature]]-$G$31)^2+(Table30[[#This Row],[Rainfall]]-$H$31)^2+(Table30[[#This Row],[Humidity]]-$I$31))</f>
        <v>2.1770622407271683</v>
      </c>
      <c r="N37">
        <f>Table30[[#This Row],[production]]</f>
        <v>1.5740000000000001</v>
      </c>
    </row>
    <row r="38" spans="1:14" x14ac:dyDescent="0.25">
      <c r="A38">
        <v>21.1</v>
      </c>
      <c r="B38">
        <v>1</v>
      </c>
      <c r="C38">
        <v>76</v>
      </c>
      <c r="D38">
        <v>1.6779999999999999</v>
      </c>
      <c r="L38">
        <f t="shared" si="2"/>
        <v>2</v>
      </c>
      <c r="M38">
        <f>SQRT((Table30[[#This Row],[Temperature]]-$G$31)^2+(Table30[[#This Row],[Rainfall]]-$H$31)^2+(Table30[[#This Row],[Humidity]]-$I$31))</f>
        <v>2.0270421801235416</v>
      </c>
      <c r="N38">
        <f>Table30[[#This Row],[production]]</f>
        <v>1.6779999999999999</v>
      </c>
    </row>
    <row r="39" spans="1:14" x14ac:dyDescent="0.25">
      <c r="A39">
        <v>20.5</v>
      </c>
      <c r="B39">
        <v>8</v>
      </c>
      <c r="C39">
        <v>76</v>
      </c>
      <c r="D39">
        <v>1.903</v>
      </c>
      <c r="L39">
        <f t="shared" si="2"/>
        <v>7</v>
      </c>
      <c r="M39">
        <f>SQRT((Table30[[#This Row],[Temperature]]-$G$31)^2+(Table30[[#This Row],[Rainfall]]-$H$31)^2+(Table30[[#This Row],[Humidity]]-$I$31))</f>
        <v>5.0072846933243174</v>
      </c>
      <c r="N39">
        <f>Table30[[#This Row],[production]]</f>
        <v>1.903</v>
      </c>
    </row>
    <row r="40" spans="1:14" x14ac:dyDescent="0.25">
      <c r="A40">
        <v>20.57</v>
      </c>
      <c r="B40">
        <v>32</v>
      </c>
      <c r="C40">
        <v>76</v>
      </c>
      <c r="D40">
        <v>1.8260000000000001</v>
      </c>
      <c r="L40">
        <f t="shared" si="2"/>
        <v>9</v>
      </c>
      <c r="M40">
        <f>SQRT((Table30[[#This Row],[Temperature]]-$G$31)^2+(Table30[[#This Row],[Rainfall]]-$H$31)^2+(Table30[[#This Row],[Humidity]]-$I$31))</f>
        <v>29.000689646972191</v>
      </c>
      <c r="N40">
        <f>Table30[[#This Row],[production]]</f>
        <v>1.8260000000000001</v>
      </c>
    </row>
    <row r="43" spans="1:14" x14ac:dyDescent="0.25">
      <c r="B43" t="s">
        <v>53</v>
      </c>
    </row>
    <row r="44" spans="1:14" x14ac:dyDescent="0.25">
      <c r="A44" t="s">
        <v>21</v>
      </c>
      <c r="B44" s="6" t="s">
        <v>22</v>
      </c>
      <c r="C44" t="s">
        <v>95</v>
      </c>
      <c r="D44" t="s">
        <v>23</v>
      </c>
      <c r="G44" s="6" t="s">
        <v>88</v>
      </c>
      <c r="H44" t="s">
        <v>89</v>
      </c>
      <c r="I44" t="s">
        <v>90</v>
      </c>
      <c r="J44" t="s">
        <v>82</v>
      </c>
      <c r="L44" s="6" t="s">
        <v>91</v>
      </c>
      <c r="M44" t="s">
        <v>92</v>
      </c>
      <c r="N44" s="6" t="s">
        <v>93</v>
      </c>
    </row>
    <row r="45" spans="1:14" x14ac:dyDescent="0.25">
      <c r="A45">
        <v>28.3</v>
      </c>
      <c r="B45">
        <v>150</v>
      </c>
      <c r="C45">
        <v>78</v>
      </c>
      <c r="D45">
        <v>5.22</v>
      </c>
      <c r="G45">
        <v>28.75</v>
      </c>
      <c r="H45">
        <v>184</v>
      </c>
      <c r="I45">
        <v>75</v>
      </c>
      <c r="J45">
        <v>5.22</v>
      </c>
      <c r="L45">
        <f>RANK(M45,$M$45:$M$54,1)</f>
        <v>5</v>
      </c>
      <c r="M45">
        <f>SQRT((Table34[[#This Row],[Temperature]]-$G$45)^2+(Table34[[#This Row],[Rainfall]]-$H$45)^2+(Table34[[#This Row],[Humidity]]-$I$45)^2)</f>
        <v>34.13506261895531</v>
      </c>
      <c r="N45">
        <f>Table34[[#This Row],[production]]</f>
        <v>5.22</v>
      </c>
    </row>
    <row r="46" spans="1:14" x14ac:dyDescent="0.25">
      <c r="A46">
        <v>28.8</v>
      </c>
      <c r="B46">
        <v>171</v>
      </c>
      <c r="C46">
        <v>75</v>
      </c>
      <c r="D46">
        <v>5.22</v>
      </c>
      <c r="L46">
        <f t="shared" ref="L46:L54" si="3">RANK(M46,$M$45:$M$54,1)</f>
        <v>1</v>
      </c>
      <c r="M46">
        <f>SQRT((Table34[[#This Row],[Temperature]]-$G$45)^2+(Table34[[#This Row],[Rainfall]]-$H$45)^2+(Table34[[#This Row],[Humidity]]-$I$45)^2)</f>
        <v>13.000096153490558</v>
      </c>
      <c r="N46">
        <f>Table34[[#This Row],[production]]</f>
        <v>5.22</v>
      </c>
    </row>
    <row r="47" spans="1:14" x14ac:dyDescent="0.25">
      <c r="A47">
        <v>29.15</v>
      </c>
      <c r="B47">
        <v>112</v>
      </c>
      <c r="C47">
        <v>75</v>
      </c>
      <c r="D47">
        <v>5.4</v>
      </c>
      <c r="H47" t="s">
        <v>83</v>
      </c>
      <c r="L47">
        <f t="shared" si="3"/>
        <v>8</v>
      </c>
      <c r="M47">
        <f>SQRT((Table34[[#This Row],[Temperature]]-$G$45)^2+(Table34[[#This Row],[Rainfall]]-$H$45)^2+(Table34[[#This Row],[Humidity]]-$I$45)^2)</f>
        <v>72.001111102537848</v>
      </c>
      <c r="N47">
        <f>Table34[[#This Row],[production]]</f>
        <v>5.4</v>
      </c>
    </row>
    <row r="48" spans="1:14" x14ac:dyDescent="0.25">
      <c r="A48">
        <v>28.73</v>
      </c>
      <c r="B48">
        <v>228</v>
      </c>
      <c r="C48">
        <v>75</v>
      </c>
      <c r="D48">
        <v>5.32</v>
      </c>
      <c r="H48" s="10">
        <v>0.2762</v>
      </c>
      <c r="L48">
        <f t="shared" si="3"/>
        <v>6</v>
      </c>
      <c r="M48">
        <f>SQRT((Table34[[#This Row],[Temperature]]-$G$45)^2+(Table34[[#This Row],[Rainfall]]-$H$45)^2+(Table34[[#This Row],[Humidity]]-$I$45)^2)</f>
        <v>44.00000454545431</v>
      </c>
      <c r="N48">
        <f>Table34[[#This Row],[production]]</f>
        <v>5.32</v>
      </c>
    </row>
    <row r="49" spans="1:14" x14ac:dyDescent="0.25">
      <c r="A49">
        <v>28.23</v>
      </c>
      <c r="B49">
        <v>171</v>
      </c>
      <c r="C49">
        <v>74</v>
      </c>
      <c r="D49">
        <v>3.86</v>
      </c>
      <c r="L49">
        <f t="shared" si="3"/>
        <v>2</v>
      </c>
      <c r="M49">
        <f>SQRT((Table34[[#This Row],[Temperature]]-$G$45)^2+(Table34[[#This Row],[Rainfall]]-$H$45)^2+(Table34[[#This Row],[Humidity]]-$I$45)^2)</f>
        <v>13.048770056982383</v>
      </c>
      <c r="N49">
        <f>Table34[[#This Row],[production]]</f>
        <v>3.86</v>
      </c>
    </row>
    <row r="50" spans="1:14" x14ac:dyDescent="0.25">
      <c r="A50">
        <v>28.8</v>
      </c>
      <c r="B50">
        <v>89</v>
      </c>
      <c r="C50">
        <v>76</v>
      </c>
      <c r="D50">
        <v>4.3600000000000003</v>
      </c>
      <c r="L50">
        <f t="shared" si="3"/>
        <v>10</v>
      </c>
      <c r="M50">
        <f>SQRT((Table34[[#This Row],[Temperature]]-$G$45)^2+(Table34[[#This Row],[Rainfall]]-$H$45)^2+(Table34[[#This Row],[Humidity]]-$I$45)^2)</f>
        <v>95.005276169273884</v>
      </c>
      <c r="N50">
        <f>Table34[[#This Row],[production]]</f>
        <v>4.3600000000000003</v>
      </c>
    </row>
    <row r="51" spans="1:14" x14ac:dyDescent="0.25">
      <c r="A51">
        <v>29.35</v>
      </c>
      <c r="B51">
        <v>169</v>
      </c>
      <c r="C51">
        <v>72</v>
      </c>
      <c r="D51">
        <v>5.13</v>
      </c>
      <c r="L51">
        <f t="shared" si="3"/>
        <v>3</v>
      </c>
      <c r="M51">
        <f>SQRT((Table34[[#This Row],[Temperature]]-$G$45)^2+(Table34[[#This Row],[Rainfall]]-$H$45)^2+(Table34[[#This Row],[Humidity]]-$I$45)^2)</f>
        <v>15.308820986607689</v>
      </c>
      <c r="N51">
        <f>Table34[[#This Row],[production]]</f>
        <v>5.13</v>
      </c>
    </row>
    <row r="52" spans="1:14" x14ac:dyDescent="0.25">
      <c r="A52">
        <v>29.8</v>
      </c>
      <c r="B52">
        <v>243</v>
      </c>
      <c r="C52">
        <v>75</v>
      </c>
      <c r="D52">
        <v>4.8600000000000003</v>
      </c>
      <c r="L52">
        <f t="shared" si="3"/>
        <v>7</v>
      </c>
      <c r="M52">
        <f>SQRT((Table34[[#This Row],[Temperature]]-$G$45)^2+(Table34[[#This Row],[Rainfall]]-$H$45)^2+(Table34[[#This Row],[Humidity]]-$I$45)^2)</f>
        <v>59.009342480661481</v>
      </c>
      <c r="N52">
        <f>Table34[[#This Row],[production]]</f>
        <v>4.8600000000000003</v>
      </c>
    </row>
    <row r="53" spans="1:14" x14ac:dyDescent="0.25">
      <c r="A53">
        <v>28.17</v>
      </c>
      <c r="B53">
        <v>168</v>
      </c>
      <c r="C53">
        <v>76</v>
      </c>
      <c r="D53">
        <v>3.88</v>
      </c>
      <c r="L53">
        <f t="shared" si="3"/>
        <v>4</v>
      </c>
      <c r="M53">
        <f>SQRT((Table34[[#This Row],[Temperature]]-$G$45)^2+(Table34[[#This Row],[Rainfall]]-$H$45)^2+(Table34[[#This Row],[Humidity]]-$I$45)^2)</f>
        <v>16.041708138474533</v>
      </c>
      <c r="N53">
        <f>Table34[[#This Row],[production]]</f>
        <v>3.88</v>
      </c>
    </row>
    <row r="54" spans="1:14" x14ac:dyDescent="0.25">
      <c r="A54">
        <v>29</v>
      </c>
      <c r="B54">
        <v>102</v>
      </c>
      <c r="C54">
        <v>74</v>
      </c>
      <c r="D54">
        <v>5.41</v>
      </c>
      <c r="L54">
        <f t="shared" si="3"/>
        <v>9</v>
      </c>
      <c r="M54">
        <f>SQRT((Table34[[#This Row],[Temperature]]-$G$45)^2+(Table34[[#This Row],[Rainfall]]-$H$45)^2+(Table34[[#This Row],[Humidity]]-$I$45)^2)</f>
        <v>82.00647840262377</v>
      </c>
      <c r="N54">
        <f>Table34[[#This Row],[production]]</f>
        <v>5.41</v>
      </c>
    </row>
    <row r="57" spans="1:14" x14ac:dyDescent="0.25">
      <c r="B57" t="s">
        <v>5</v>
      </c>
    </row>
    <row r="58" spans="1:14" x14ac:dyDescent="0.25">
      <c r="A58" t="s">
        <v>21</v>
      </c>
      <c r="B58" s="6" t="s">
        <v>22</v>
      </c>
      <c r="C58" t="s">
        <v>95</v>
      </c>
      <c r="D58" t="s">
        <v>23</v>
      </c>
      <c r="G58" s="6" t="s">
        <v>88</v>
      </c>
      <c r="H58" t="s">
        <v>89</v>
      </c>
      <c r="I58" t="s">
        <v>90</v>
      </c>
      <c r="J58" t="s">
        <v>82</v>
      </c>
      <c r="L58" s="6" t="s">
        <v>91</v>
      </c>
      <c r="M58" t="s">
        <v>92</v>
      </c>
      <c r="N58" s="6" t="s">
        <v>93</v>
      </c>
    </row>
    <row r="59" spans="1:14" x14ac:dyDescent="0.25">
      <c r="A59">
        <v>20.58</v>
      </c>
      <c r="B59">
        <v>7</v>
      </c>
      <c r="C59">
        <v>78</v>
      </c>
      <c r="D59">
        <v>3.3559999999999999</v>
      </c>
      <c r="G59">
        <v>20.77</v>
      </c>
      <c r="H59">
        <v>3</v>
      </c>
      <c r="I59">
        <v>76</v>
      </c>
      <c r="J59">
        <v>3.3559999999999999</v>
      </c>
      <c r="L59">
        <f>RANK(M59,$M$59:$M$68,1)</f>
        <v>6</v>
      </c>
      <c r="M59">
        <f>SQRT((Table35[[#This Row],[Temperature]]-$G$59)^2+(Table35[[#This Row],[Rainfall]]-$H$59)^2+(Table35[[#This Row],[Humidity]]-$I$59)^2)</f>
        <v>4.4761702380494874</v>
      </c>
      <c r="N59">
        <f>Table35[[#This Row],[production]]</f>
        <v>3.3559999999999999</v>
      </c>
    </row>
    <row r="60" spans="1:14" x14ac:dyDescent="0.25">
      <c r="A60">
        <v>21.05</v>
      </c>
      <c r="B60">
        <v>4</v>
      </c>
      <c r="C60">
        <v>77</v>
      </c>
      <c r="D60">
        <v>3.3559999999999999</v>
      </c>
      <c r="L60">
        <f t="shared" ref="L60:L68" si="4">RANK(M60,$M$59:$M$68,1)</f>
        <v>1</v>
      </c>
      <c r="M60">
        <f>SQRT((Table35[[#This Row],[Temperature]]-$G$59)^2+(Table35[[#This Row],[Rainfall]]-$H$59)^2+(Table35[[#This Row],[Humidity]]-$I$59)^2)</f>
        <v>1.4416657032752083</v>
      </c>
      <c r="N60">
        <f>Table35[[#This Row],[production]]</f>
        <v>3.3559999999999999</v>
      </c>
    </row>
    <row r="61" spans="1:14" x14ac:dyDescent="0.25">
      <c r="A61">
        <v>21.47</v>
      </c>
      <c r="B61">
        <v>1</v>
      </c>
      <c r="C61">
        <v>76</v>
      </c>
      <c r="D61">
        <v>6.9539999999999997</v>
      </c>
      <c r="H61" t="s">
        <v>83</v>
      </c>
      <c r="L61">
        <f t="shared" si="4"/>
        <v>3</v>
      </c>
      <c r="M61">
        <f>SQRT((Table35[[#This Row],[Temperature]]-$G$59)^2+(Table35[[#This Row],[Rainfall]]-$H$59)^2+(Table35[[#This Row],[Humidity]]-$I$59)^2)</f>
        <v>2.118962010041709</v>
      </c>
      <c r="N61">
        <f>Table35[[#This Row],[production]]</f>
        <v>6.9539999999999997</v>
      </c>
    </row>
    <row r="62" spans="1:14" x14ac:dyDescent="0.25">
      <c r="A62">
        <v>22.03</v>
      </c>
      <c r="B62">
        <v>15</v>
      </c>
      <c r="C62">
        <v>77</v>
      </c>
      <c r="D62">
        <v>7.1029999999999998</v>
      </c>
      <c r="H62" s="10">
        <v>0.3488</v>
      </c>
      <c r="L62">
        <f t="shared" si="4"/>
        <v>8</v>
      </c>
      <c r="M62">
        <f>SQRT((Table35[[#This Row],[Temperature]]-$G$59)^2+(Table35[[#This Row],[Rainfall]]-$H$59)^2+(Table35[[#This Row],[Humidity]]-$I$59)^2)</f>
        <v>12.107336618761369</v>
      </c>
      <c r="N62">
        <f>Table35[[#This Row],[production]]</f>
        <v>7.1029999999999998</v>
      </c>
    </row>
    <row r="63" spans="1:14" x14ac:dyDescent="0.25">
      <c r="A63">
        <v>20.8</v>
      </c>
      <c r="B63">
        <v>45</v>
      </c>
      <c r="C63">
        <v>78</v>
      </c>
      <c r="D63">
        <v>7.3339999999999996</v>
      </c>
      <c r="L63">
        <f t="shared" si="4"/>
        <v>10</v>
      </c>
      <c r="M63">
        <f>SQRT((Table35[[#This Row],[Temperature]]-$G$59)^2+(Table35[[#This Row],[Rainfall]]-$H$59)^2+(Table35[[#This Row],[Humidity]]-$I$59)^2)</f>
        <v>42.047602785414533</v>
      </c>
      <c r="N63">
        <f>Table35[[#This Row],[production]]</f>
        <v>7.3339999999999996</v>
      </c>
    </row>
    <row r="64" spans="1:14" x14ac:dyDescent="0.25">
      <c r="A64">
        <v>20.85</v>
      </c>
      <c r="B64">
        <v>1</v>
      </c>
      <c r="C64">
        <v>78</v>
      </c>
      <c r="D64">
        <v>4.8230000000000004</v>
      </c>
      <c r="L64">
        <f t="shared" si="4"/>
        <v>5</v>
      </c>
      <c r="M64">
        <f>SQRT((Table35[[#This Row],[Temperature]]-$G$59)^2+(Table35[[#This Row],[Rainfall]]-$H$59)^2+(Table35[[#This Row],[Humidity]]-$I$59)^2)</f>
        <v>2.8295582694123831</v>
      </c>
      <c r="N64">
        <f>Table35[[#This Row],[production]]</f>
        <v>4.8230000000000004</v>
      </c>
    </row>
    <row r="65" spans="1:14" x14ac:dyDescent="0.25">
      <c r="A65">
        <v>21.63</v>
      </c>
      <c r="B65">
        <v>1</v>
      </c>
      <c r="C65">
        <v>76</v>
      </c>
      <c r="D65">
        <v>6.9550000000000001</v>
      </c>
      <c r="L65">
        <f t="shared" si="4"/>
        <v>4</v>
      </c>
      <c r="M65">
        <f>SQRT((Table35[[#This Row],[Temperature]]-$G$59)^2+(Table35[[#This Row],[Rainfall]]-$H$59)^2+(Table35[[#This Row],[Humidity]]-$I$59)^2)</f>
        <v>2.1770622407271683</v>
      </c>
      <c r="N65">
        <f>Table35[[#This Row],[production]]</f>
        <v>6.9550000000000001</v>
      </c>
    </row>
    <row r="66" spans="1:14" x14ac:dyDescent="0.25">
      <c r="A66">
        <v>21.1</v>
      </c>
      <c r="B66">
        <v>1</v>
      </c>
      <c r="C66">
        <v>76</v>
      </c>
      <c r="D66">
        <v>4.6230000000000002</v>
      </c>
      <c r="L66">
        <f t="shared" si="4"/>
        <v>2</v>
      </c>
      <c r="M66">
        <f>SQRT((Table35[[#This Row],[Temperature]]-$G$59)^2+(Table35[[#This Row],[Rainfall]]-$H$59)^2+(Table35[[#This Row],[Humidity]]-$I$59)^2)</f>
        <v>2.0270421801235416</v>
      </c>
      <c r="N66">
        <f>Table35[[#This Row],[production]]</f>
        <v>4.6230000000000002</v>
      </c>
    </row>
    <row r="67" spans="1:14" x14ac:dyDescent="0.25">
      <c r="A67">
        <v>20.5</v>
      </c>
      <c r="B67">
        <v>8</v>
      </c>
      <c r="C67">
        <v>76</v>
      </c>
      <c r="D67">
        <v>6.194</v>
      </c>
      <c r="L67">
        <f t="shared" si="4"/>
        <v>7</v>
      </c>
      <c r="M67">
        <f>SQRT((Table35[[#This Row],[Temperature]]-$G$59)^2+(Table35[[#This Row],[Rainfall]]-$H$59)^2+(Table35[[#This Row],[Humidity]]-$I$59)^2)</f>
        <v>5.0072846933243174</v>
      </c>
      <c r="N67">
        <f>Table35[[#This Row],[production]]</f>
        <v>6.194</v>
      </c>
    </row>
    <row r="68" spans="1:14" x14ac:dyDescent="0.25">
      <c r="A68">
        <v>20.57</v>
      </c>
      <c r="B68">
        <v>32</v>
      </c>
      <c r="C68">
        <v>76</v>
      </c>
      <c r="D68">
        <v>7.4980000000000002</v>
      </c>
      <c r="L68">
        <f t="shared" si="4"/>
        <v>9</v>
      </c>
      <c r="M68">
        <f>SQRT((Table35[[#This Row],[Temperature]]-$G$59)^2+(Table35[[#This Row],[Rainfall]]-$H$59)^2+(Table35[[#This Row],[Humidity]]-$I$59)^2)</f>
        <v>29.000689646972191</v>
      </c>
      <c r="N68">
        <f>Table35[[#This Row],[production]]</f>
        <v>7.4980000000000002</v>
      </c>
    </row>
    <row r="71" spans="1:14" x14ac:dyDescent="0.25">
      <c r="B71" t="s">
        <v>87</v>
      </c>
    </row>
    <row r="72" spans="1:14" x14ac:dyDescent="0.25">
      <c r="A72" t="s">
        <v>21</v>
      </c>
      <c r="B72" s="6" t="s">
        <v>22</v>
      </c>
      <c r="C72" t="s">
        <v>95</v>
      </c>
      <c r="D72" t="s">
        <v>23</v>
      </c>
      <c r="G72" s="6" t="s">
        <v>88</v>
      </c>
      <c r="H72" t="s">
        <v>89</v>
      </c>
      <c r="I72" t="s">
        <v>90</v>
      </c>
      <c r="J72" t="s">
        <v>23</v>
      </c>
      <c r="L72" s="6" t="s">
        <v>91</v>
      </c>
      <c r="M72" t="s">
        <v>92</v>
      </c>
      <c r="N72" s="6" t="s">
        <v>93</v>
      </c>
    </row>
    <row r="73" spans="1:14" x14ac:dyDescent="0.25">
      <c r="A73">
        <v>20.58</v>
      </c>
      <c r="B73">
        <v>7</v>
      </c>
      <c r="C73">
        <v>78</v>
      </c>
      <c r="D73">
        <v>0.81100000000000005</v>
      </c>
      <c r="G73">
        <v>20.77</v>
      </c>
      <c r="H73">
        <v>3</v>
      </c>
      <c r="I73">
        <v>76</v>
      </c>
      <c r="J73">
        <v>0.59599999999999997</v>
      </c>
      <c r="L73">
        <f>RANK(M73,$M$73:$M$82,1)</f>
        <v>6</v>
      </c>
      <c r="M73">
        <f>SQRT((Table36[[#This Row],[Temperature]]-$G$73)^2+(Table36[[#This Row],[Rainfall]]-$H$73)^2+(Table36[[#This Row],[Humidity]]-$I$73)^2)</f>
        <v>4.4761702380494874</v>
      </c>
      <c r="N73">
        <f>Table36[[#This Row],[production]]</f>
        <v>0.81100000000000005</v>
      </c>
    </row>
    <row r="74" spans="1:14" x14ac:dyDescent="0.25">
      <c r="A74">
        <v>21.05</v>
      </c>
      <c r="B74">
        <v>4</v>
      </c>
      <c r="C74">
        <v>77</v>
      </c>
      <c r="D74">
        <v>0.59599999999999997</v>
      </c>
      <c r="L74">
        <f t="shared" ref="L74:L82" si="5">RANK(M74,$M$73:$M$82,1)</f>
        <v>1</v>
      </c>
      <c r="M74">
        <f>SQRT((Table36[[#This Row],[Temperature]]-$G$73)^2+(Table36[[#This Row],[Rainfall]]-$H$73)^2+(Table36[[#This Row],[Humidity]]-$I$73)^2)</f>
        <v>1.4416657032752083</v>
      </c>
      <c r="N74">
        <f>Table36[[#This Row],[production]]</f>
        <v>0.59599999999999997</v>
      </c>
    </row>
    <row r="75" spans="1:14" x14ac:dyDescent="0.25">
      <c r="A75">
        <v>21.47</v>
      </c>
      <c r="B75">
        <v>1</v>
      </c>
      <c r="C75">
        <v>76</v>
      </c>
      <c r="D75">
        <v>0.56299999999999994</v>
      </c>
      <c r="H75" t="s">
        <v>83</v>
      </c>
      <c r="L75">
        <f t="shared" si="5"/>
        <v>3</v>
      </c>
      <c r="M75">
        <f>SQRT((Table36[[#This Row],[Temperature]]-$G$73)^2+(Table36[[#This Row],[Rainfall]]-$H$73)^2+(Table36[[#This Row],[Humidity]]-$I$73)^2)</f>
        <v>2.118962010041709</v>
      </c>
      <c r="N75">
        <f>Table36[[#This Row],[production]]</f>
        <v>0.56299999999999994</v>
      </c>
    </row>
    <row r="76" spans="1:14" x14ac:dyDescent="0.25">
      <c r="A76">
        <v>22.03</v>
      </c>
      <c r="B76">
        <v>15</v>
      </c>
      <c r="C76">
        <v>77</v>
      </c>
      <c r="D76">
        <v>0.67800000000000005</v>
      </c>
      <c r="H76" s="10">
        <v>0.33650000000000002</v>
      </c>
      <c r="L76">
        <f t="shared" si="5"/>
        <v>8</v>
      </c>
      <c r="M76">
        <f>SQRT((Table36[[#This Row],[Temperature]]-$G$73)^2+(Table36[[#This Row],[Rainfall]]-$H$73)^2+(Table36[[#This Row],[Humidity]]-$I$73)^2)</f>
        <v>12.107336618761369</v>
      </c>
      <c r="N76">
        <f>Table36[[#This Row],[production]]</f>
        <v>0.67800000000000005</v>
      </c>
    </row>
    <row r="77" spans="1:14" x14ac:dyDescent="0.25">
      <c r="A77">
        <v>20.8</v>
      </c>
      <c r="B77">
        <v>45</v>
      </c>
      <c r="C77">
        <v>78</v>
      </c>
      <c r="D77">
        <v>0.83199999999999996</v>
      </c>
      <c r="L77">
        <f t="shared" si="5"/>
        <v>10</v>
      </c>
      <c r="M77">
        <f>SQRT((Table36[[#This Row],[Temperature]]-$G$73)^2+(Table36[[#This Row],[Rainfall]]-$H$73)^2+(Table36[[#This Row],[Humidity]]-$I$73)^2)</f>
        <v>42.047602785414533</v>
      </c>
      <c r="N77">
        <f>Table36[[#This Row],[production]]</f>
        <v>0.83199999999999996</v>
      </c>
    </row>
    <row r="78" spans="1:14" x14ac:dyDescent="0.25">
      <c r="A78">
        <v>20.85</v>
      </c>
      <c r="B78">
        <v>1</v>
      </c>
      <c r="C78">
        <v>78</v>
      </c>
      <c r="D78">
        <v>0.76800000000000002</v>
      </c>
      <c r="L78">
        <f t="shared" si="5"/>
        <v>5</v>
      </c>
      <c r="M78">
        <f>SQRT((Table36[[#This Row],[Temperature]]-$G$73)^2+(Table36[[#This Row],[Rainfall]]-$H$73)^2+(Table36[[#This Row],[Humidity]]-$I$73)^2)</f>
        <v>2.8295582694123831</v>
      </c>
      <c r="N78">
        <f>Table36[[#This Row],[production]]</f>
        <v>0.76800000000000002</v>
      </c>
    </row>
    <row r="79" spans="1:14" x14ac:dyDescent="0.25">
      <c r="A79">
        <v>21.63</v>
      </c>
      <c r="B79">
        <v>1</v>
      </c>
      <c r="C79">
        <v>76</v>
      </c>
      <c r="D79">
        <v>1.1719999999999999</v>
      </c>
      <c r="L79">
        <f t="shared" si="5"/>
        <v>4</v>
      </c>
      <c r="M79">
        <f>SQRT((Table36[[#This Row],[Temperature]]-$G$73)^2+(Table36[[#This Row],[Rainfall]]-$H$73)^2+(Table36[[#This Row],[Humidity]]-$I$73)^2)</f>
        <v>2.1770622407271683</v>
      </c>
      <c r="N79">
        <f>Table36[[#This Row],[production]]</f>
        <v>1.1719999999999999</v>
      </c>
    </row>
    <row r="80" spans="1:14" x14ac:dyDescent="0.25">
      <c r="A80">
        <v>21.1</v>
      </c>
      <c r="B80">
        <v>1</v>
      </c>
      <c r="C80">
        <v>76</v>
      </c>
      <c r="D80">
        <v>0.93700000000000006</v>
      </c>
      <c r="L80">
        <f t="shared" si="5"/>
        <v>2</v>
      </c>
      <c r="M80">
        <f>SQRT((Table36[[#This Row],[Temperature]]-$G$73)^2+(Table36[[#This Row],[Rainfall]]-$H$73)^2+(Table36[[#This Row],[Humidity]]-$I$73)^2)</f>
        <v>2.0270421801235416</v>
      </c>
      <c r="N80">
        <f>Table36[[#This Row],[production]]</f>
        <v>0.93700000000000006</v>
      </c>
    </row>
    <row r="81" spans="1:14" x14ac:dyDescent="0.25">
      <c r="A81">
        <v>20.5</v>
      </c>
      <c r="B81">
        <v>8</v>
      </c>
      <c r="C81">
        <v>76</v>
      </c>
      <c r="D81">
        <v>1.1339999999999999</v>
      </c>
      <c r="L81">
        <f t="shared" si="5"/>
        <v>7</v>
      </c>
      <c r="M81">
        <f>SQRT((Table36[[#This Row],[Temperature]]-$G$73)^2+(Table36[[#This Row],[Rainfall]]-$H$73)^2+(Table36[[#This Row],[Humidity]]-$I$73)^2)</f>
        <v>5.0072846933243174</v>
      </c>
      <c r="N81">
        <f>Table36[[#This Row],[production]]</f>
        <v>1.1339999999999999</v>
      </c>
    </row>
    <row r="82" spans="1:14" x14ac:dyDescent="0.25">
      <c r="A82">
        <v>20.57</v>
      </c>
      <c r="B82">
        <v>32</v>
      </c>
      <c r="C82">
        <v>76</v>
      </c>
      <c r="D82">
        <v>1.2030000000000001</v>
      </c>
      <c r="L82">
        <f t="shared" si="5"/>
        <v>9</v>
      </c>
      <c r="M82">
        <f>SQRT((Table36[[#This Row],[Temperature]]-$G$73)^2+(Table36[[#This Row],[Rainfall]]-$H$73)^2+(Table36[[#This Row],[Humidity]]-$I$73)^2)</f>
        <v>29.000689646972191</v>
      </c>
      <c r="N82">
        <f>Table36[[#This Row],[production]]</f>
        <v>1.2030000000000001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opLeftCell="A60" workbookViewId="0">
      <selection activeCell="H76" sqref="H76"/>
    </sheetView>
  </sheetViews>
  <sheetFormatPr defaultRowHeight="15" x14ac:dyDescent="0.25"/>
  <cols>
    <col min="1" max="1" width="14.7109375" customWidth="1"/>
    <col min="2" max="2" width="9.85546875" customWidth="1"/>
    <col min="3" max="3" width="11.28515625" customWidth="1"/>
    <col min="4" max="4" width="12.85546875" customWidth="1"/>
    <col min="7" max="7" width="10" customWidth="1"/>
    <col min="9" max="9" width="11" customWidth="1"/>
    <col min="10" max="10" width="10.140625" customWidth="1"/>
    <col min="13" max="13" width="6.7109375" customWidth="1"/>
    <col min="14" max="14" width="17.5703125" customWidth="1"/>
  </cols>
  <sheetData>
    <row r="1" spans="1:15" x14ac:dyDescent="0.25">
      <c r="B1" t="s">
        <v>1</v>
      </c>
    </row>
    <row r="2" spans="1:15" x14ac:dyDescent="0.25">
      <c r="A2" t="s">
        <v>21</v>
      </c>
      <c r="B2" s="6" t="s">
        <v>22</v>
      </c>
      <c r="C2" t="s">
        <v>95</v>
      </c>
      <c r="D2" t="s">
        <v>23</v>
      </c>
      <c r="G2" t="s">
        <v>88</v>
      </c>
      <c r="H2" t="s">
        <v>89</v>
      </c>
      <c r="I2" t="s">
        <v>90</v>
      </c>
      <c r="J2" t="s">
        <v>82</v>
      </c>
      <c r="M2" t="s">
        <v>91</v>
      </c>
      <c r="N2" t="s">
        <v>92</v>
      </c>
      <c r="O2" t="s">
        <v>93</v>
      </c>
    </row>
    <row r="3" spans="1:15" x14ac:dyDescent="0.25">
      <c r="A3">
        <v>26.4</v>
      </c>
      <c r="B3">
        <v>160</v>
      </c>
      <c r="C3">
        <v>79</v>
      </c>
      <c r="D3">
        <v>0.877</v>
      </c>
      <c r="G3">
        <v>27.47</v>
      </c>
      <c r="H3">
        <v>150</v>
      </c>
      <c r="I3">
        <v>74</v>
      </c>
      <c r="J3">
        <v>0.7</v>
      </c>
      <c r="M3">
        <f>RANK(N3,$N$3:$N$12,1)</f>
        <v>3</v>
      </c>
      <c r="N3">
        <f>SQRT((A3-$G$3)^2+(B3-$H$3)^2+(C3-$I$3)^2)</f>
        <v>11.231424664752019</v>
      </c>
      <c r="O3">
        <f>D3</f>
        <v>0.877</v>
      </c>
    </row>
    <row r="4" spans="1:15" x14ac:dyDescent="0.25">
      <c r="A4">
        <v>27.05</v>
      </c>
      <c r="B4">
        <v>242</v>
      </c>
      <c r="C4">
        <v>78</v>
      </c>
      <c r="D4">
        <v>0.78</v>
      </c>
      <c r="M4">
        <f t="shared" ref="M4:M12" si="0">RANK(N4,$N$3:$N$12,1)</f>
        <v>10</v>
      </c>
      <c r="N4">
        <f t="shared" ref="N4:N12" si="1">SQRT((A4-$G$3)^2+(B4-$H$3)^2+(C4-$I$3)^2)</f>
        <v>92.087873251585094</v>
      </c>
      <c r="O4">
        <f t="shared" ref="O4:O12" si="2">D4</f>
        <v>0.78</v>
      </c>
    </row>
    <row r="5" spans="1:15" x14ac:dyDescent="0.25">
      <c r="A5">
        <v>27.07</v>
      </c>
      <c r="B5">
        <v>213</v>
      </c>
      <c r="C5">
        <v>79</v>
      </c>
      <c r="D5">
        <v>0.85099999999999998</v>
      </c>
      <c r="H5" t="s">
        <v>83</v>
      </c>
      <c r="M5">
        <f t="shared" si="0"/>
        <v>8</v>
      </c>
      <c r="N5">
        <f t="shared" si="1"/>
        <v>63.199367085438439</v>
      </c>
      <c r="O5">
        <f t="shared" si="2"/>
        <v>0.85099999999999998</v>
      </c>
    </row>
    <row r="6" spans="1:15" x14ac:dyDescent="0.25">
      <c r="A6">
        <v>27.07</v>
      </c>
      <c r="B6">
        <v>137</v>
      </c>
      <c r="C6">
        <v>74</v>
      </c>
      <c r="D6">
        <v>0.745</v>
      </c>
      <c r="H6" s="10">
        <v>7.0300000000000001E-2</v>
      </c>
      <c r="M6">
        <f t="shared" si="0"/>
        <v>4</v>
      </c>
      <c r="N6">
        <f t="shared" si="1"/>
        <v>13.006152390311287</v>
      </c>
      <c r="O6">
        <f t="shared" si="2"/>
        <v>0.745</v>
      </c>
    </row>
    <row r="7" spans="1:15" x14ac:dyDescent="0.25">
      <c r="A7">
        <v>27.2</v>
      </c>
      <c r="B7">
        <v>157</v>
      </c>
      <c r="C7">
        <v>74</v>
      </c>
      <c r="D7">
        <v>0.7</v>
      </c>
      <c r="M7">
        <f t="shared" si="0"/>
        <v>1</v>
      </c>
      <c r="N7">
        <f t="shared" si="1"/>
        <v>7.0052052075581628</v>
      </c>
      <c r="O7">
        <f t="shared" si="2"/>
        <v>0.7</v>
      </c>
    </row>
    <row r="8" spans="1:15" x14ac:dyDescent="0.25">
      <c r="A8">
        <v>27.17</v>
      </c>
      <c r="B8">
        <v>157</v>
      </c>
      <c r="C8">
        <v>77</v>
      </c>
      <c r="D8">
        <v>0.97799999999999998</v>
      </c>
      <c r="M8">
        <f t="shared" si="0"/>
        <v>2</v>
      </c>
      <c r="N8">
        <f t="shared" si="1"/>
        <v>7.6216796049164905</v>
      </c>
      <c r="O8">
        <f t="shared" si="2"/>
        <v>0.97799999999999998</v>
      </c>
    </row>
    <row r="9" spans="1:15" x14ac:dyDescent="0.25">
      <c r="A9">
        <v>27.35</v>
      </c>
      <c r="B9">
        <v>219</v>
      </c>
      <c r="C9">
        <v>73</v>
      </c>
      <c r="D9">
        <v>0.81699999999999995</v>
      </c>
      <c r="M9">
        <f t="shared" si="0"/>
        <v>9</v>
      </c>
      <c r="N9">
        <f t="shared" si="1"/>
        <v>69.007350333134809</v>
      </c>
      <c r="O9">
        <f t="shared" si="2"/>
        <v>0.81699999999999995</v>
      </c>
    </row>
    <row r="10" spans="1:15" x14ac:dyDescent="0.25">
      <c r="A10">
        <v>28.02</v>
      </c>
      <c r="B10">
        <v>201</v>
      </c>
      <c r="C10">
        <v>74</v>
      </c>
      <c r="D10">
        <v>0.80400000000000005</v>
      </c>
      <c r="M10">
        <f t="shared" si="0"/>
        <v>7</v>
      </c>
      <c r="N10">
        <f t="shared" si="1"/>
        <v>51.002965600051141</v>
      </c>
      <c r="O10">
        <f t="shared" si="2"/>
        <v>0.80400000000000005</v>
      </c>
    </row>
    <row r="11" spans="1:15" x14ac:dyDescent="0.25">
      <c r="A11">
        <v>26.95</v>
      </c>
      <c r="B11">
        <v>171</v>
      </c>
      <c r="C11">
        <v>76</v>
      </c>
      <c r="D11">
        <v>1.095</v>
      </c>
      <c r="M11">
        <f t="shared" si="0"/>
        <v>5</v>
      </c>
      <c r="N11">
        <f t="shared" si="1"/>
        <v>21.101431231080038</v>
      </c>
      <c r="O11">
        <f t="shared" si="2"/>
        <v>1.095</v>
      </c>
    </row>
    <row r="12" spans="1:15" x14ac:dyDescent="0.25">
      <c r="A12">
        <v>27.6</v>
      </c>
      <c r="B12">
        <v>129</v>
      </c>
      <c r="C12">
        <v>71</v>
      </c>
      <c r="D12">
        <v>0.56799999999999995</v>
      </c>
      <c r="M12">
        <f t="shared" si="0"/>
        <v>6</v>
      </c>
      <c r="N12">
        <f t="shared" si="1"/>
        <v>21.213601768676625</v>
      </c>
      <c r="O12">
        <f t="shared" si="2"/>
        <v>0.56799999999999995</v>
      </c>
    </row>
    <row r="15" spans="1:15" x14ac:dyDescent="0.25">
      <c r="B15" t="s">
        <v>2</v>
      </c>
      <c r="G15" t="s">
        <v>88</v>
      </c>
      <c r="H15" t="s">
        <v>89</v>
      </c>
      <c r="I15" t="s">
        <v>90</v>
      </c>
      <c r="J15" t="s">
        <v>82</v>
      </c>
      <c r="M15" t="s">
        <v>91</v>
      </c>
      <c r="N15" t="s">
        <v>92</v>
      </c>
      <c r="O15" t="s">
        <v>93</v>
      </c>
    </row>
    <row r="16" spans="1:15" x14ac:dyDescent="0.25">
      <c r="A16" t="s">
        <v>21</v>
      </c>
      <c r="B16" t="s">
        <v>22</v>
      </c>
      <c r="C16" t="s">
        <v>95</v>
      </c>
      <c r="D16" t="s">
        <v>23</v>
      </c>
      <c r="G16">
        <v>28.85</v>
      </c>
      <c r="H16">
        <v>303</v>
      </c>
      <c r="I16">
        <v>84</v>
      </c>
      <c r="J16">
        <v>0.95699999999999996</v>
      </c>
      <c r="M16">
        <f>RANK(N16,$N$16:$N$25,1)</f>
        <v>4</v>
      </c>
      <c r="N16">
        <f>SQRT((A17-$G$16)^2+(B17-$H$16)^2+(C17-$I$16)^2)</f>
        <v>31.016131286799776</v>
      </c>
      <c r="O16">
        <f>D17</f>
        <v>0.752</v>
      </c>
    </row>
    <row r="17" spans="1:15" x14ac:dyDescent="0.25">
      <c r="A17">
        <v>28.83</v>
      </c>
      <c r="B17">
        <v>334</v>
      </c>
      <c r="C17">
        <v>85</v>
      </c>
      <c r="D17">
        <v>0.752</v>
      </c>
      <c r="M17">
        <f t="shared" ref="M17:M25" si="3">RANK(N17,$N$16:$N$25,1)</f>
        <v>2</v>
      </c>
      <c r="N17">
        <f t="shared" ref="N17:N25" si="4">SQRT((A18-$G$16)^2+(B18-$H$16)^2+(C18-$I$16)^2)</f>
        <v>25.031230493125982</v>
      </c>
      <c r="O17">
        <f t="shared" ref="O17:O25" si="5">D18</f>
        <v>0.72799999999999998</v>
      </c>
    </row>
    <row r="18" spans="1:15" x14ac:dyDescent="0.25">
      <c r="A18">
        <v>28.1</v>
      </c>
      <c r="B18">
        <v>328</v>
      </c>
      <c r="C18">
        <v>85</v>
      </c>
      <c r="D18">
        <v>0.72799999999999998</v>
      </c>
      <c r="M18">
        <f t="shared" si="3"/>
        <v>10</v>
      </c>
      <c r="N18">
        <f t="shared" si="4"/>
        <v>221.00258912510503</v>
      </c>
      <c r="O18">
        <f t="shared" si="5"/>
        <v>0.81699999999999995</v>
      </c>
    </row>
    <row r="19" spans="1:15" x14ac:dyDescent="0.25">
      <c r="A19">
        <v>28.47</v>
      </c>
      <c r="B19">
        <v>524</v>
      </c>
      <c r="C19">
        <v>85</v>
      </c>
      <c r="D19">
        <v>0.81699999999999995</v>
      </c>
      <c r="H19" t="s">
        <v>83</v>
      </c>
      <c r="M19">
        <f t="shared" si="3"/>
        <v>9</v>
      </c>
      <c r="N19">
        <f t="shared" si="4"/>
        <v>127.01574862984512</v>
      </c>
      <c r="O19">
        <f t="shared" si="5"/>
        <v>0.82599999999999996</v>
      </c>
    </row>
    <row r="20" spans="1:15" x14ac:dyDescent="0.25">
      <c r="A20">
        <v>28.87</v>
      </c>
      <c r="B20">
        <v>176</v>
      </c>
      <c r="C20">
        <v>82</v>
      </c>
      <c r="D20">
        <v>0.82599999999999996</v>
      </c>
      <c r="H20" s="10">
        <v>0.1206</v>
      </c>
      <c r="M20">
        <f t="shared" si="3"/>
        <v>7</v>
      </c>
      <c r="N20">
        <f t="shared" si="4"/>
        <v>74.006908461305159</v>
      </c>
      <c r="O20">
        <f t="shared" si="5"/>
        <v>0.95499999999999996</v>
      </c>
    </row>
    <row r="21" spans="1:15" x14ac:dyDescent="0.25">
      <c r="A21">
        <v>28.7</v>
      </c>
      <c r="B21">
        <v>229</v>
      </c>
      <c r="C21">
        <v>85</v>
      </c>
      <c r="D21">
        <v>0.95499999999999996</v>
      </c>
      <c r="M21">
        <f t="shared" si="3"/>
        <v>3</v>
      </c>
      <c r="N21">
        <f t="shared" si="4"/>
        <v>26.020953095534377</v>
      </c>
      <c r="O21">
        <f t="shared" si="5"/>
        <v>0.996</v>
      </c>
    </row>
    <row r="22" spans="1:15" x14ac:dyDescent="0.25">
      <c r="A22">
        <v>28.55</v>
      </c>
      <c r="B22">
        <v>277</v>
      </c>
      <c r="C22">
        <v>85</v>
      </c>
      <c r="D22">
        <v>0.996</v>
      </c>
      <c r="M22">
        <f t="shared" si="3"/>
        <v>1</v>
      </c>
      <c r="N22">
        <f t="shared" si="4"/>
        <v>17.029679973505079</v>
      </c>
      <c r="O22">
        <f t="shared" si="5"/>
        <v>0.95699999999999996</v>
      </c>
    </row>
    <row r="23" spans="1:15" x14ac:dyDescent="0.25">
      <c r="A23">
        <v>28.95</v>
      </c>
      <c r="B23">
        <v>286</v>
      </c>
      <c r="C23">
        <v>83</v>
      </c>
      <c r="D23">
        <v>0.95699999999999996</v>
      </c>
      <c r="M23">
        <f t="shared" si="3"/>
        <v>8</v>
      </c>
      <c r="N23">
        <f t="shared" si="4"/>
        <v>95.005415108824195</v>
      </c>
      <c r="O23">
        <f t="shared" si="5"/>
        <v>1.0549999999999999</v>
      </c>
    </row>
    <row r="24" spans="1:15" x14ac:dyDescent="0.25">
      <c r="A24">
        <v>29.02</v>
      </c>
      <c r="B24">
        <v>208</v>
      </c>
      <c r="C24">
        <v>83</v>
      </c>
      <c r="D24">
        <v>1.0549999999999999</v>
      </c>
      <c r="M24">
        <f t="shared" si="3"/>
        <v>6</v>
      </c>
      <c r="N24">
        <f t="shared" si="4"/>
        <v>72.00710034434104</v>
      </c>
      <c r="O24">
        <f t="shared" si="5"/>
        <v>0.99299999999999999</v>
      </c>
    </row>
    <row r="25" spans="1:15" x14ac:dyDescent="0.25">
      <c r="A25">
        <v>29</v>
      </c>
      <c r="B25">
        <v>231</v>
      </c>
      <c r="C25">
        <v>83</v>
      </c>
      <c r="D25">
        <v>0.99299999999999999</v>
      </c>
      <c r="M25">
        <f t="shared" si="3"/>
        <v>5</v>
      </c>
      <c r="N25">
        <f t="shared" si="4"/>
        <v>58.034475960415115</v>
      </c>
      <c r="O25">
        <f t="shared" si="5"/>
        <v>1.04</v>
      </c>
    </row>
    <row r="26" spans="1:15" x14ac:dyDescent="0.25">
      <c r="A26">
        <v>28.87</v>
      </c>
      <c r="B26">
        <v>245</v>
      </c>
      <c r="C26">
        <v>82</v>
      </c>
      <c r="D26">
        <v>1.04</v>
      </c>
    </row>
    <row r="29" spans="1:15" x14ac:dyDescent="0.25">
      <c r="B29" t="s">
        <v>3</v>
      </c>
    </row>
    <row r="30" spans="1:15" x14ac:dyDescent="0.25">
      <c r="A30" t="s">
        <v>21</v>
      </c>
      <c r="B30" t="s">
        <v>22</v>
      </c>
      <c r="C30" t="s">
        <v>95</v>
      </c>
      <c r="D30" t="s">
        <v>82</v>
      </c>
      <c r="G30" t="s">
        <v>88</v>
      </c>
      <c r="H30" t="s">
        <v>89</v>
      </c>
      <c r="I30" t="s">
        <v>90</v>
      </c>
      <c r="J30" t="s">
        <v>82</v>
      </c>
      <c r="M30" t="s">
        <v>91</v>
      </c>
      <c r="N30" t="s">
        <v>92</v>
      </c>
      <c r="O30" t="s">
        <v>93</v>
      </c>
    </row>
    <row r="31" spans="1:15" x14ac:dyDescent="0.25">
      <c r="A31">
        <v>18.88</v>
      </c>
      <c r="B31">
        <v>9</v>
      </c>
      <c r="C31">
        <v>82</v>
      </c>
      <c r="D31">
        <v>1.2689999999999999</v>
      </c>
      <c r="G31">
        <v>19.170000000000002</v>
      </c>
      <c r="H31">
        <v>8</v>
      </c>
      <c r="I31">
        <v>77</v>
      </c>
      <c r="J31">
        <v>1.607</v>
      </c>
      <c r="M31">
        <f>RANK(N31,$N$31:$N$40,1)</f>
        <v>5</v>
      </c>
      <c r="N31">
        <f>SQRT((Table45[[#This Row],[Temperature]]-$G$31)^2+(Table45[[#This Row],[Rainfall]]-$H$31)^2+(Table45[[#This Row],[Humidity]]-$I$31)^2)</f>
        <v>5.1072595391266349</v>
      </c>
      <c r="O31">
        <f>Table45[[#This Row],[prediction]]</f>
        <v>1.2689999999999999</v>
      </c>
    </row>
    <row r="32" spans="1:15" x14ac:dyDescent="0.25">
      <c r="A32">
        <v>19.27</v>
      </c>
      <c r="B32">
        <v>7</v>
      </c>
      <c r="C32">
        <v>80</v>
      </c>
      <c r="D32">
        <v>1.37</v>
      </c>
      <c r="M32">
        <f t="shared" ref="M32:M40" si="6">RANK(N32,$N$31:$N$40,1)</f>
        <v>3</v>
      </c>
      <c r="N32">
        <f>SQRT((Table45[[#This Row],[Temperature]]-$G$31)^2+(Table45[[#This Row],[Rainfall]]-$H$31)^2+(Table45[[#This Row],[Humidity]]-$I$31)^2)</f>
        <v>3.1638584039112749</v>
      </c>
      <c r="O32">
        <f>Table45[[#This Row],[prediction]]</f>
        <v>1.37</v>
      </c>
    </row>
    <row r="33" spans="1:15" x14ac:dyDescent="0.25">
      <c r="A33">
        <v>19.82</v>
      </c>
      <c r="B33">
        <v>1</v>
      </c>
      <c r="C33">
        <v>78</v>
      </c>
      <c r="D33">
        <v>1.425</v>
      </c>
      <c r="M33">
        <f t="shared" si="6"/>
        <v>7</v>
      </c>
      <c r="N33">
        <f>SQRT((Table45[[#This Row],[Temperature]]-$G$31)^2+(Table45[[#This Row],[Rainfall]]-$H$31)^2+(Table45[[#This Row],[Humidity]]-$I$31)^2)</f>
        <v>7.1008802271267752</v>
      </c>
      <c r="O33">
        <f>Table45[[#This Row],[prediction]]</f>
        <v>1.425</v>
      </c>
    </row>
    <row r="34" spans="1:15" x14ac:dyDescent="0.25">
      <c r="A34">
        <v>20.27</v>
      </c>
      <c r="B34">
        <v>15</v>
      </c>
      <c r="C34">
        <v>79</v>
      </c>
      <c r="D34">
        <v>1.5189999999999999</v>
      </c>
      <c r="H34" t="s">
        <v>83</v>
      </c>
      <c r="M34">
        <f t="shared" si="6"/>
        <v>9</v>
      </c>
      <c r="N34">
        <f>SQRT((Table45[[#This Row],[Temperature]]-$G$31)^2+(Table45[[#This Row],[Rainfall]]-$H$31)^2+(Table45[[#This Row],[Humidity]]-$I$31)^2)</f>
        <v>7.362744053679986</v>
      </c>
      <c r="O34">
        <f>Table45[[#This Row],[prediction]]</f>
        <v>1.5189999999999999</v>
      </c>
    </row>
    <row r="35" spans="1:15" x14ac:dyDescent="0.25">
      <c r="A35">
        <v>19.52</v>
      </c>
      <c r="B35">
        <v>8</v>
      </c>
      <c r="C35">
        <v>78</v>
      </c>
      <c r="D35">
        <v>1.607</v>
      </c>
      <c r="H35" s="10">
        <v>3.4799999999999998E-2</v>
      </c>
      <c r="M35">
        <f t="shared" si="6"/>
        <v>1</v>
      </c>
      <c r="N35">
        <f>SQRT((Table45[[#This Row],[Temperature]]-$G$31)^2+(Table45[[#This Row],[Rainfall]]-$H$31)^2+(Table45[[#This Row],[Humidity]]-$I$31)^2)</f>
        <v>1.0594810050208538</v>
      </c>
      <c r="O35">
        <f>Table45[[#This Row],[prediction]]</f>
        <v>1.607</v>
      </c>
    </row>
    <row r="36" spans="1:15" x14ac:dyDescent="0.25">
      <c r="A36">
        <v>19.63</v>
      </c>
      <c r="B36">
        <v>1</v>
      </c>
      <c r="C36">
        <v>80</v>
      </c>
      <c r="D36">
        <v>1.542</v>
      </c>
      <c r="M36">
        <f t="shared" si="6"/>
        <v>10</v>
      </c>
      <c r="N36">
        <f>SQRT((Table45[[#This Row],[Temperature]]-$G$31)^2+(Table45[[#This Row],[Rainfall]]-$H$31)^2+(Table45[[#This Row],[Humidity]]-$I$31)^2)</f>
        <v>7.6296526788576688</v>
      </c>
      <c r="O36">
        <f>Table45[[#This Row],[prediction]]</f>
        <v>1.542</v>
      </c>
    </row>
    <row r="37" spans="1:15" x14ac:dyDescent="0.25">
      <c r="A37">
        <v>20.100000000000001</v>
      </c>
      <c r="B37">
        <v>1</v>
      </c>
      <c r="C37">
        <v>78</v>
      </c>
      <c r="D37">
        <v>1.528</v>
      </c>
      <c r="M37">
        <f t="shared" si="6"/>
        <v>8</v>
      </c>
      <c r="N37">
        <f>SQRT((Table45[[#This Row],[Temperature]]-$G$31)^2+(Table45[[#This Row],[Rainfall]]-$H$31)^2+(Table45[[#This Row],[Humidity]]-$I$31)^2)</f>
        <v>7.1319632640669148</v>
      </c>
      <c r="O37">
        <f>Table45[[#This Row],[prediction]]</f>
        <v>1.528</v>
      </c>
    </row>
    <row r="38" spans="1:15" x14ac:dyDescent="0.25">
      <c r="A38">
        <v>19.600000000000001</v>
      </c>
      <c r="B38">
        <v>7</v>
      </c>
      <c r="C38">
        <v>76</v>
      </c>
      <c r="D38">
        <v>1.534</v>
      </c>
      <c r="M38">
        <f t="shared" si="6"/>
        <v>2</v>
      </c>
      <c r="N38">
        <f>SQRT((Table45[[#This Row],[Temperature]]-$G$31)^2+(Table45[[#This Row],[Rainfall]]-$H$31)^2+(Table45[[#This Row],[Humidity]]-$I$31)^2)</f>
        <v>1.4781407240178452</v>
      </c>
      <c r="O38">
        <f>Table45[[#This Row],[prediction]]</f>
        <v>1.534</v>
      </c>
    </row>
    <row r="39" spans="1:15" x14ac:dyDescent="0.25">
      <c r="A39">
        <v>18.97</v>
      </c>
      <c r="B39">
        <v>3</v>
      </c>
      <c r="C39">
        <v>78</v>
      </c>
      <c r="D39">
        <v>1.5369999999999999</v>
      </c>
      <c r="M39">
        <f t="shared" si="6"/>
        <v>4</v>
      </c>
      <c r="N39">
        <f>SQRT((Table45[[#This Row],[Temperature]]-$G$31)^2+(Table45[[#This Row],[Rainfall]]-$H$31)^2+(Table45[[#This Row],[Humidity]]-$I$31)^2)</f>
        <v>5.1029403288692299</v>
      </c>
      <c r="O39">
        <f>Table45[[#This Row],[prediction]]</f>
        <v>1.5369999999999999</v>
      </c>
    </row>
    <row r="40" spans="1:15" x14ac:dyDescent="0.25">
      <c r="A40">
        <v>18.73</v>
      </c>
      <c r="B40">
        <v>3</v>
      </c>
      <c r="C40">
        <v>76</v>
      </c>
      <c r="D40">
        <v>1.637</v>
      </c>
      <c r="M40">
        <f t="shared" si="6"/>
        <v>6</v>
      </c>
      <c r="N40">
        <f>SQRT((Table45[[#This Row],[Temperature]]-$G$31)^2+(Table45[[#This Row],[Rainfall]]-$H$31)^2+(Table45[[#This Row],[Humidity]]-$I$31)^2)</f>
        <v>5.1179683469126696</v>
      </c>
      <c r="O40">
        <f>Table45[[#This Row],[prediction]]</f>
        <v>1.637</v>
      </c>
    </row>
    <row r="43" spans="1:15" x14ac:dyDescent="0.25">
      <c r="B43" t="s">
        <v>53</v>
      </c>
    </row>
    <row r="44" spans="1:15" x14ac:dyDescent="0.25">
      <c r="A44" t="s">
        <v>21</v>
      </c>
      <c r="B44" s="6" t="s">
        <v>22</v>
      </c>
      <c r="C44" t="s">
        <v>95</v>
      </c>
      <c r="D44" t="s">
        <v>23</v>
      </c>
      <c r="G44" t="s">
        <v>88</v>
      </c>
      <c r="H44" t="s">
        <v>89</v>
      </c>
      <c r="I44" t="s">
        <v>90</v>
      </c>
      <c r="J44" t="s">
        <v>82</v>
      </c>
      <c r="M44" t="s">
        <v>91</v>
      </c>
      <c r="N44" t="s">
        <v>92</v>
      </c>
      <c r="O44" t="s">
        <v>93</v>
      </c>
    </row>
    <row r="45" spans="1:15" x14ac:dyDescent="0.25">
      <c r="A45">
        <v>26.4</v>
      </c>
      <c r="B45">
        <v>160</v>
      </c>
      <c r="C45">
        <v>79</v>
      </c>
      <c r="D45">
        <v>4.43</v>
      </c>
      <c r="G45">
        <v>27.47</v>
      </c>
      <c r="H45">
        <v>150</v>
      </c>
      <c r="I45">
        <v>74</v>
      </c>
      <c r="J45">
        <v>3.8</v>
      </c>
      <c r="M45">
        <f>RANK(N45,$N$45:$N$54,1)</f>
        <v>3</v>
      </c>
      <c r="N45">
        <f>SQRT((A45-$G$45)^2+(B45-$H$45)^2+(C45-$I$45)^2)</f>
        <v>11.231424664752019</v>
      </c>
      <c r="O45">
        <f>D45</f>
        <v>4.43</v>
      </c>
    </row>
    <row r="46" spans="1:15" x14ac:dyDescent="0.25">
      <c r="A46">
        <v>27.05</v>
      </c>
      <c r="B46">
        <v>242</v>
      </c>
      <c r="C46">
        <v>78</v>
      </c>
      <c r="D46">
        <v>4.43</v>
      </c>
      <c r="M46">
        <f t="shared" ref="M46:M54" si="7">RANK(N46,$N$45:$N$54,1)</f>
        <v>10</v>
      </c>
      <c r="N46">
        <f t="shared" ref="N46:N54" si="8">SQRT((A46-$G$45)^2+(B46-$H$45)^2+(C46-$I$45)^2)</f>
        <v>92.087873251585094</v>
      </c>
      <c r="O46">
        <f t="shared" ref="O46:O54" si="9">D46</f>
        <v>4.43</v>
      </c>
    </row>
    <row r="47" spans="1:15" x14ac:dyDescent="0.25">
      <c r="A47">
        <v>27.07</v>
      </c>
      <c r="B47">
        <v>213</v>
      </c>
      <c r="C47">
        <v>79</v>
      </c>
      <c r="D47">
        <v>4.07</v>
      </c>
      <c r="H47" t="s">
        <v>83</v>
      </c>
      <c r="M47">
        <f t="shared" si="7"/>
        <v>8</v>
      </c>
      <c r="N47">
        <f t="shared" si="8"/>
        <v>63.199367085438439</v>
      </c>
      <c r="O47">
        <f t="shared" si="9"/>
        <v>4.07</v>
      </c>
    </row>
    <row r="48" spans="1:15" x14ac:dyDescent="0.25">
      <c r="A48">
        <v>27.07</v>
      </c>
      <c r="B48">
        <v>137</v>
      </c>
      <c r="C48">
        <v>74</v>
      </c>
      <c r="D48">
        <v>4.17</v>
      </c>
      <c r="H48" s="10">
        <v>0.2132</v>
      </c>
      <c r="M48">
        <f t="shared" si="7"/>
        <v>4</v>
      </c>
      <c r="N48">
        <f t="shared" si="8"/>
        <v>13.006152390311287</v>
      </c>
      <c r="O48">
        <f t="shared" si="9"/>
        <v>4.17</v>
      </c>
    </row>
    <row r="49" spans="1:15" x14ac:dyDescent="0.25">
      <c r="A49">
        <v>27.2</v>
      </c>
      <c r="B49">
        <v>157</v>
      </c>
      <c r="C49">
        <v>74</v>
      </c>
      <c r="D49">
        <v>3.8</v>
      </c>
      <c r="M49">
        <f t="shared" si="7"/>
        <v>1</v>
      </c>
      <c r="N49">
        <f t="shared" si="8"/>
        <v>7.0052052075581628</v>
      </c>
      <c r="O49">
        <f t="shared" si="9"/>
        <v>3.8</v>
      </c>
    </row>
    <row r="50" spans="1:15" x14ac:dyDescent="0.25">
      <c r="A50">
        <v>27.17</v>
      </c>
      <c r="B50">
        <v>157</v>
      </c>
      <c r="C50">
        <v>77</v>
      </c>
      <c r="D50">
        <v>4.1100000000000003</v>
      </c>
      <c r="M50">
        <f t="shared" si="7"/>
        <v>2</v>
      </c>
      <c r="N50">
        <f t="shared" si="8"/>
        <v>7.6216796049164905</v>
      </c>
      <c r="O50">
        <f t="shared" si="9"/>
        <v>4.1100000000000003</v>
      </c>
    </row>
    <row r="51" spans="1:15" x14ac:dyDescent="0.25">
      <c r="A51">
        <v>27.35</v>
      </c>
      <c r="B51">
        <v>219</v>
      </c>
      <c r="C51">
        <v>73</v>
      </c>
      <c r="D51">
        <v>4.34</v>
      </c>
      <c r="M51">
        <f t="shared" si="7"/>
        <v>9</v>
      </c>
      <c r="N51">
        <f t="shared" si="8"/>
        <v>69.007350333134809</v>
      </c>
      <c r="O51">
        <f t="shared" si="9"/>
        <v>4.34</v>
      </c>
    </row>
    <row r="52" spans="1:15" x14ac:dyDescent="0.25">
      <c r="A52">
        <v>28.02</v>
      </c>
      <c r="B52">
        <v>201</v>
      </c>
      <c r="C52">
        <v>74</v>
      </c>
      <c r="D52">
        <v>4.4800000000000004</v>
      </c>
      <c r="M52">
        <f t="shared" si="7"/>
        <v>7</v>
      </c>
      <c r="N52">
        <f t="shared" si="8"/>
        <v>51.002965600051141</v>
      </c>
      <c r="O52">
        <f t="shared" si="9"/>
        <v>4.4800000000000004</v>
      </c>
    </row>
    <row r="53" spans="1:15" x14ac:dyDescent="0.25">
      <c r="A53">
        <v>26.95</v>
      </c>
      <c r="B53">
        <v>171</v>
      </c>
      <c r="C53">
        <v>76</v>
      </c>
      <c r="D53">
        <v>4.3899999999999997</v>
      </c>
      <c r="M53">
        <f t="shared" si="7"/>
        <v>5</v>
      </c>
      <c r="N53">
        <f t="shared" si="8"/>
        <v>21.101431231080038</v>
      </c>
      <c r="O53">
        <f t="shared" si="9"/>
        <v>4.3899999999999997</v>
      </c>
    </row>
    <row r="54" spans="1:15" x14ac:dyDescent="0.25">
      <c r="A54">
        <v>27.6</v>
      </c>
      <c r="B54">
        <v>129</v>
      </c>
      <c r="C54">
        <v>71</v>
      </c>
      <c r="D54">
        <v>5.01</v>
      </c>
      <c r="M54">
        <f t="shared" si="7"/>
        <v>6</v>
      </c>
      <c r="N54">
        <f t="shared" si="8"/>
        <v>21.213601768676625</v>
      </c>
      <c r="O54">
        <f t="shared" si="9"/>
        <v>5.01</v>
      </c>
    </row>
    <row r="57" spans="1:15" x14ac:dyDescent="0.25">
      <c r="B57" t="s">
        <v>5</v>
      </c>
    </row>
    <row r="58" spans="1:15" x14ac:dyDescent="0.25">
      <c r="A58" t="s">
        <v>21</v>
      </c>
      <c r="B58" t="s">
        <v>22</v>
      </c>
      <c r="C58" t="s">
        <v>95</v>
      </c>
      <c r="D58" t="s">
        <v>23</v>
      </c>
      <c r="G58" t="s">
        <v>88</v>
      </c>
      <c r="H58" t="s">
        <v>89</v>
      </c>
      <c r="I58" t="s">
        <v>90</v>
      </c>
      <c r="J58" t="s">
        <v>23</v>
      </c>
      <c r="M58" t="s">
        <v>91</v>
      </c>
      <c r="N58" t="s">
        <v>92</v>
      </c>
      <c r="O58" t="s">
        <v>93</v>
      </c>
    </row>
    <row r="59" spans="1:15" x14ac:dyDescent="0.25">
      <c r="A59">
        <v>18.88</v>
      </c>
      <c r="B59">
        <v>9</v>
      </c>
      <c r="C59">
        <v>82</v>
      </c>
      <c r="D59">
        <v>5.1289999999999996</v>
      </c>
      <c r="G59">
        <v>19.170000000000002</v>
      </c>
      <c r="H59">
        <v>8</v>
      </c>
      <c r="I59">
        <v>77</v>
      </c>
      <c r="J59">
        <v>7.423</v>
      </c>
      <c r="M59">
        <f>RANK(N59,$N$59:$N$68,1)</f>
        <v>5</v>
      </c>
      <c r="N59">
        <f>SQRT((A59-$G$59)^2+(B59-$H$59)^2+(C59-$I$59)^2)</f>
        <v>5.1072595391266349</v>
      </c>
      <c r="O59">
        <f>D59</f>
        <v>5.1289999999999996</v>
      </c>
    </row>
    <row r="60" spans="1:15" x14ac:dyDescent="0.25">
      <c r="A60">
        <v>19.27</v>
      </c>
      <c r="B60">
        <v>7</v>
      </c>
      <c r="C60">
        <v>80</v>
      </c>
      <c r="D60">
        <v>5.1289999999999996</v>
      </c>
      <c r="M60">
        <f t="shared" ref="M60:M68" si="10">RANK(N60,$N$59:$N$68,1)</f>
        <v>3</v>
      </c>
      <c r="N60">
        <f t="shared" ref="N60:N68" si="11">SQRT((A60-$G$59)^2+(B60-$H$59)^2+(C60-$I$59)^2)</f>
        <v>3.1638584039112749</v>
      </c>
      <c r="O60">
        <f t="shared" ref="O60:O68" si="12">D60</f>
        <v>5.1289999999999996</v>
      </c>
    </row>
    <row r="61" spans="1:15" x14ac:dyDescent="0.25">
      <c r="A61">
        <v>19.82</v>
      </c>
      <c r="B61">
        <v>1</v>
      </c>
      <c r="C61">
        <v>78</v>
      </c>
      <c r="D61">
        <v>5.4039999999999999</v>
      </c>
      <c r="H61" t="s">
        <v>83</v>
      </c>
      <c r="M61">
        <f t="shared" si="10"/>
        <v>7</v>
      </c>
      <c r="N61">
        <f t="shared" si="11"/>
        <v>7.1008802271267752</v>
      </c>
      <c r="O61">
        <f t="shared" si="12"/>
        <v>5.4039999999999999</v>
      </c>
    </row>
    <row r="62" spans="1:15" x14ac:dyDescent="0.25">
      <c r="A62">
        <v>20.27</v>
      </c>
      <c r="B62">
        <v>15</v>
      </c>
      <c r="C62">
        <v>79</v>
      </c>
      <c r="D62">
        <v>5.6559999999999997</v>
      </c>
      <c r="H62" s="10">
        <v>4.0899999999999999E-2</v>
      </c>
      <c r="M62">
        <f t="shared" si="10"/>
        <v>9</v>
      </c>
      <c r="N62">
        <f t="shared" si="11"/>
        <v>7.362744053679986</v>
      </c>
      <c r="O62">
        <f t="shared" si="12"/>
        <v>5.6559999999999997</v>
      </c>
    </row>
    <row r="63" spans="1:15" x14ac:dyDescent="0.25">
      <c r="A63">
        <v>19.52</v>
      </c>
      <c r="B63">
        <v>8</v>
      </c>
      <c r="C63">
        <v>78</v>
      </c>
      <c r="D63">
        <v>7.423</v>
      </c>
      <c r="M63">
        <f t="shared" si="10"/>
        <v>1</v>
      </c>
      <c r="N63">
        <f t="shared" si="11"/>
        <v>1.0594810050208538</v>
      </c>
      <c r="O63">
        <f t="shared" si="12"/>
        <v>7.423</v>
      </c>
    </row>
    <row r="64" spans="1:15" x14ac:dyDescent="0.25">
      <c r="A64">
        <v>19.63</v>
      </c>
      <c r="B64">
        <v>1</v>
      </c>
      <c r="C64">
        <v>80</v>
      </c>
      <c r="D64">
        <v>4.4859999999999998</v>
      </c>
      <c r="M64">
        <f t="shared" si="10"/>
        <v>10</v>
      </c>
      <c r="N64">
        <f t="shared" si="11"/>
        <v>7.6296526788576688</v>
      </c>
      <c r="O64">
        <f t="shared" si="12"/>
        <v>4.4859999999999998</v>
      </c>
    </row>
    <row r="65" spans="1:15" x14ac:dyDescent="0.25">
      <c r="A65">
        <v>20.100000000000001</v>
      </c>
      <c r="B65">
        <v>1</v>
      </c>
      <c r="C65">
        <v>78</v>
      </c>
      <c r="D65">
        <v>6.8</v>
      </c>
      <c r="M65">
        <f t="shared" si="10"/>
        <v>8</v>
      </c>
      <c r="N65">
        <f t="shared" si="11"/>
        <v>7.1319632640669148</v>
      </c>
      <c r="O65">
        <f t="shared" si="12"/>
        <v>6.8</v>
      </c>
    </row>
    <row r="66" spans="1:15" x14ac:dyDescent="0.25">
      <c r="A66">
        <v>19.600000000000001</v>
      </c>
      <c r="B66">
        <v>7</v>
      </c>
      <c r="C66">
        <v>76</v>
      </c>
      <c r="D66">
        <v>6.3419999999999996</v>
      </c>
      <c r="M66">
        <f t="shared" si="10"/>
        <v>2</v>
      </c>
      <c r="N66">
        <f t="shared" si="11"/>
        <v>1.4781407240178452</v>
      </c>
      <c r="O66">
        <f t="shared" si="12"/>
        <v>6.3419999999999996</v>
      </c>
    </row>
    <row r="67" spans="1:15" x14ac:dyDescent="0.25">
      <c r="A67">
        <v>18.97</v>
      </c>
      <c r="B67">
        <v>3</v>
      </c>
      <c r="C67">
        <v>78</v>
      </c>
      <c r="D67">
        <v>7.3630000000000004</v>
      </c>
      <c r="M67">
        <f t="shared" si="10"/>
        <v>4</v>
      </c>
      <c r="N67">
        <f t="shared" si="11"/>
        <v>5.1029403288692299</v>
      </c>
      <c r="O67">
        <f t="shared" si="12"/>
        <v>7.3630000000000004</v>
      </c>
    </row>
    <row r="68" spans="1:15" x14ac:dyDescent="0.25">
      <c r="A68">
        <v>18.73</v>
      </c>
      <c r="B68">
        <v>3</v>
      </c>
      <c r="C68">
        <v>76</v>
      </c>
      <c r="D68">
        <v>6.8310000000000004</v>
      </c>
      <c r="M68">
        <f t="shared" si="10"/>
        <v>6</v>
      </c>
      <c r="N68">
        <f t="shared" si="11"/>
        <v>5.1179683469126696</v>
      </c>
      <c r="O68">
        <f t="shared" si="12"/>
        <v>6.8310000000000004</v>
      </c>
    </row>
    <row r="71" spans="1:15" x14ac:dyDescent="0.25">
      <c r="B71" t="s">
        <v>6</v>
      </c>
    </row>
    <row r="72" spans="1:15" x14ac:dyDescent="0.25">
      <c r="A72" t="s">
        <v>21</v>
      </c>
      <c r="B72" t="s">
        <v>22</v>
      </c>
      <c r="C72" t="s">
        <v>95</v>
      </c>
      <c r="D72" t="s">
        <v>82</v>
      </c>
      <c r="G72" t="s">
        <v>88</v>
      </c>
      <c r="H72" t="s">
        <v>89</v>
      </c>
      <c r="I72" t="s">
        <v>90</v>
      </c>
      <c r="J72" t="s">
        <v>82</v>
      </c>
      <c r="M72" t="s">
        <v>91</v>
      </c>
      <c r="N72" t="s">
        <v>92</v>
      </c>
      <c r="O72" t="s">
        <v>93</v>
      </c>
    </row>
    <row r="73" spans="1:15" x14ac:dyDescent="0.25">
      <c r="A73">
        <v>18.88</v>
      </c>
      <c r="B73">
        <v>9</v>
      </c>
      <c r="C73">
        <v>82</v>
      </c>
      <c r="D73">
        <v>0.71899999999999997</v>
      </c>
      <c r="G73">
        <v>19.170000000000002</v>
      </c>
      <c r="H73">
        <v>8</v>
      </c>
      <c r="I73">
        <v>77</v>
      </c>
      <c r="J73">
        <v>0.86699999999999999</v>
      </c>
      <c r="M73">
        <f>RANK(N73,$N$73:$N$82,1)</f>
        <v>5</v>
      </c>
      <c r="N73">
        <f>SQRT((A73-$G$73)^2+(B73-$H$73)^2+(C73-$I$73)^2)</f>
        <v>5.1072595391266349</v>
      </c>
      <c r="O73">
        <f>D73</f>
        <v>0.71899999999999997</v>
      </c>
    </row>
    <row r="74" spans="1:15" x14ac:dyDescent="0.25">
      <c r="A74">
        <v>19.27</v>
      </c>
      <c r="B74">
        <v>7</v>
      </c>
      <c r="C74">
        <v>80</v>
      </c>
      <c r="D74">
        <v>0.65700000000000003</v>
      </c>
      <c r="M74">
        <f t="shared" ref="M74:M82" si="13">RANK(N74,$N$73:$N$82,1)</f>
        <v>3</v>
      </c>
      <c r="N74">
        <f t="shared" ref="N74:N82" si="14">SQRT((A74-$G$73)^2+(B74-$H$73)^2+(C74-$I$73)^2)</f>
        <v>3.1638584039112749</v>
      </c>
      <c r="O74">
        <f t="shared" ref="O74:O82" si="15">D74</f>
        <v>0.65700000000000003</v>
      </c>
    </row>
    <row r="75" spans="1:15" x14ac:dyDescent="0.25">
      <c r="A75">
        <v>19.82</v>
      </c>
      <c r="B75">
        <v>1</v>
      </c>
      <c r="C75">
        <v>78</v>
      </c>
      <c r="D75">
        <v>0.623</v>
      </c>
      <c r="H75" t="s">
        <v>83</v>
      </c>
      <c r="M75">
        <f t="shared" si="13"/>
        <v>7</v>
      </c>
      <c r="N75">
        <f t="shared" si="14"/>
        <v>7.1008802271267752</v>
      </c>
      <c r="O75">
        <f t="shared" si="15"/>
        <v>0.623</v>
      </c>
    </row>
    <row r="76" spans="1:15" x14ac:dyDescent="0.25">
      <c r="A76">
        <v>20.27</v>
      </c>
      <c r="B76">
        <v>15</v>
      </c>
      <c r="C76">
        <v>79</v>
      </c>
      <c r="D76">
        <v>0.66500000000000004</v>
      </c>
      <c r="H76" s="10">
        <v>0.3095</v>
      </c>
      <c r="M76">
        <f t="shared" si="13"/>
        <v>9</v>
      </c>
      <c r="N76">
        <f t="shared" si="14"/>
        <v>7.362744053679986</v>
      </c>
      <c r="O76">
        <f t="shared" si="15"/>
        <v>0.66500000000000004</v>
      </c>
    </row>
    <row r="77" spans="1:15" x14ac:dyDescent="0.25">
      <c r="A77">
        <v>19.52</v>
      </c>
      <c r="B77">
        <v>8</v>
      </c>
      <c r="C77">
        <v>78</v>
      </c>
      <c r="D77">
        <v>0.86699999999999999</v>
      </c>
      <c r="M77">
        <f t="shared" si="13"/>
        <v>1</v>
      </c>
      <c r="N77">
        <f t="shared" si="14"/>
        <v>1.0594810050208538</v>
      </c>
      <c r="O77">
        <f t="shared" si="15"/>
        <v>0.86699999999999999</v>
      </c>
    </row>
    <row r="78" spans="1:15" x14ac:dyDescent="0.25">
      <c r="A78">
        <v>19.63</v>
      </c>
      <c r="B78">
        <v>1</v>
      </c>
      <c r="C78">
        <v>80</v>
      </c>
      <c r="D78">
        <v>0.80600000000000005</v>
      </c>
      <c r="M78">
        <f t="shared" si="13"/>
        <v>10</v>
      </c>
      <c r="N78">
        <f t="shared" si="14"/>
        <v>7.6296526788576688</v>
      </c>
      <c r="O78">
        <f t="shared" si="15"/>
        <v>0.80600000000000005</v>
      </c>
    </row>
    <row r="79" spans="1:15" x14ac:dyDescent="0.25">
      <c r="A79">
        <v>20.100000000000001</v>
      </c>
      <c r="B79">
        <v>1</v>
      </c>
      <c r="C79">
        <v>78</v>
      </c>
      <c r="D79">
        <v>0.96599999999999997</v>
      </c>
      <c r="M79">
        <f t="shared" si="13"/>
        <v>8</v>
      </c>
      <c r="N79">
        <f t="shared" si="14"/>
        <v>7.1319632640669148</v>
      </c>
      <c r="O79">
        <f t="shared" si="15"/>
        <v>0.96599999999999997</v>
      </c>
    </row>
    <row r="80" spans="1:15" x14ac:dyDescent="0.25">
      <c r="A80">
        <v>19.600000000000001</v>
      </c>
      <c r="B80">
        <v>7</v>
      </c>
      <c r="C80">
        <v>76</v>
      </c>
      <c r="D80">
        <v>1.0569999999999999</v>
      </c>
      <c r="M80">
        <f t="shared" si="13"/>
        <v>2</v>
      </c>
      <c r="N80">
        <f t="shared" si="14"/>
        <v>1.4781407240178452</v>
      </c>
      <c r="O80">
        <f t="shared" si="15"/>
        <v>1.0569999999999999</v>
      </c>
    </row>
    <row r="81" spans="1:15" x14ac:dyDescent="0.25">
      <c r="A81">
        <v>18.97</v>
      </c>
      <c r="B81">
        <v>3</v>
      </c>
      <c r="C81">
        <v>78</v>
      </c>
      <c r="D81">
        <v>1.109</v>
      </c>
      <c r="M81">
        <f t="shared" si="13"/>
        <v>4</v>
      </c>
      <c r="N81">
        <f t="shared" si="14"/>
        <v>5.1029403288692299</v>
      </c>
      <c r="O81">
        <f t="shared" si="15"/>
        <v>1.109</v>
      </c>
    </row>
    <row r="82" spans="1:15" x14ac:dyDescent="0.25">
      <c r="A82">
        <v>18.73</v>
      </c>
      <c r="B82">
        <v>3</v>
      </c>
      <c r="C82">
        <v>76</v>
      </c>
      <c r="D82">
        <v>1.2649999999999999</v>
      </c>
      <c r="M82">
        <f t="shared" si="13"/>
        <v>6</v>
      </c>
      <c r="N82">
        <f t="shared" si="14"/>
        <v>5.1179683469126696</v>
      </c>
      <c r="O82">
        <f t="shared" si="15"/>
        <v>1.2649999999999999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workbookViewId="0">
      <selection activeCell="A127" sqref="A127:C128"/>
    </sheetView>
  </sheetViews>
  <sheetFormatPr defaultRowHeight="15" x14ac:dyDescent="0.25"/>
  <cols>
    <col min="1" max="1" width="12.5703125" customWidth="1"/>
    <col min="3" max="3" width="11" customWidth="1"/>
    <col min="4" max="4" width="10.28515625" customWidth="1"/>
  </cols>
  <sheetData>
    <row r="1" spans="1:12" x14ac:dyDescent="0.25">
      <c r="B1" t="s">
        <v>1</v>
      </c>
    </row>
    <row r="2" spans="1:12" x14ac:dyDescent="0.25">
      <c r="A2" t="s">
        <v>21</v>
      </c>
      <c r="B2" s="6" t="s">
        <v>22</v>
      </c>
      <c r="C2" t="s">
        <v>95</v>
      </c>
      <c r="D2" t="s">
        <v>23</v>
      </c>
      <c r="G2" t="s">
        <v>24</v>
      </c>
    </row>
    <row r="3" spans="1:12" ht="15.75" thickBot="1" x14ac:dyDescent="0.3">
      <c r="A3">
        <v>28.3</v>
      </c>
      <c r="B3">
        <v>150</v>
      </c>
      <c r="C3">
        <v>78</v>
      </c>
      <c r="D3">
        <v>0.434</v>
      </c>
    </row>
    <row r="4" spans="1:12" x14ac:dyDescent="0.25">
      <c r="A4">
        <v>28.8</v>
      </c>
      <c r="B4">
        <v>171</v>
      </c>
      <c r="C4">
        <v>75</v>
      </c>
      <c r="D4">
        <v>0.34300000000000003</v>
      </c>
      <c r="G4" s="2" t="s">
        <v>27</v>
      </c>
      <c r="H4" s="2"/>
    </row>
    <row r="5" spans="1:12" x14ac:dyDescent="0.25">
      <c r="A5">
        <v>29.15</v>
      </c>
      <c r="B5">
        <v>112</v>
      </c>
      <c r="C5">
        <v>75</v>
      </c>
      <c r="D5">
        <v>0.371</v>
      </c>
      <c r="G5" s="3" t="s">
        <v>28</v>
      </c>
      <c r="H5" s="3">
        <v>0.79068425889640692</v>
      </c>
    </row>
    <row r="6" spans="1:12" x14ac:dyDescent="0.25">
      <c r="A6">
        <v>28.73</v>
      </c>
      <c r="B6">
        <v>228</v>
      </c>
      <c r="C6">
        <v>75</v>
      </c>
      <c r="D6">
        <v>0.30199999999999999</v>
      </c>
      <c r="G6" s="3" t="s">
        <v>30</v>
      </c>
      <c r="H6" s="3">
        <v>0.6251815972665602</v>
      </c>
    </row>
    <row r="7" spans="1:12" x14ac:dyDescent="0.25">
      <c r="A7">
        <v>28.23</v>
      </c>
      <c r="B7">
        <v>171</v>
      </c>
      <c r="C7">
        <v>74</v>
      </c>
      <c r="D7">
        <v>0.27900000000000003</v>
      </c>
      <c r="G7" s="3" t="s">
        <v>31</v>
      </c>
      <c r="H7" s="3">
        <v>0.43777239589984029</v>
      </c>
    </row>
    <row r="8" spans="1:12" x14ac:dyDescent="0.25">
      <c r="A8">
        <v>28.8</v>
      </c>
      <c r="B8">
        <v>89</v>
      </c>
      <c r="C8">
        <v>76</v>
      </c>
      <c r="D8">
        <v>0.39800000000000002</v>
      </c>
      <c r="G8" s="3" t="s">
        <v>32</v>
      </c>
      <c r="H8" s="3">
        <v>4.4746912232861549E-2</v>
      </c>
    </row>
    <row r="9" spans="1:12" ht="15.75" thickBot="1" x14ac:dyDescent="0.3">
      <c r="A9">
        <v>29.35</v>
      </c>
      <c r="B9">
        <v>169</v>
      </c>
      <c r="C9">
        <v>72</v>
      </c>
      <c r="D9">
        <v>0.377</v>
      </c>
      <c r="G9" s="4" t="s">
        <v>33</v>
      </c>
      <c r="H9" s="4">
        <v>10</v>
      </c>
    </row>
    <row r="10" spans="1:12" x14ac:dyDescent="0.25">
      <c r="A10">
        <v>29.8</v>
      </c>
      <c r="B10">
        <v>243</v>
      </c>
      <c r="C10">
        <v>75</v>
      </c>
      <c r="D10">
        <v>0.36299999999999999</v>
      </c>
    </row>
    <row r="11" spans="1:12" ht="15.75" thickBot="1" x14ac:dyDescent="0.3">
      <c r="A11">
        <v>28.17</v>
      </c>
      <c r="B11">
        <v>168</v>
      </c>
      <c r="C11">
        <v>76</v>
      </c>
      <c r="D11">
        <v>0.28000000000000003</v>
      </c>
      <c r="G11" t="s">
        <v>34</v>
      </c>
    </row>
    <row r="12" spans="1:12" x14ac:dyDescent="0.25">
      <c r="A12">
        <v>29</v>
      </c>
      <c r="B12">
        <v>102</v>
      </c>
      <c r="C12">
        <v>74</v>
      </c>
      <c r="D12">
        <v>0.45</v>
      </c>
      <c r="G12" s="5"/>
      <c r="H12" s="5" t="s">
        <v>35</v>
      </c>
      <c r="I12" s="5" t="s">
        <v>36</v>
      </c>
      <c r="J12" s="5" t="s">
        <v>37</v>
      </c>
      <c r="K12" s="5" t="s">
        <v>38</v>
      </c>
      <c r="L12" s="5" t="s">
        <v>39</v>
      </c>
    </row>
    <row r="13" spans="1:12" x14ac:dyDescent="0.25">
      <c r="G13" s="3" t="s">
        <v>40</v>
      </c>
      <c r="H13" s="3">
        <v>3</v>
      </c>
      <c r="I13" s="3">
        <v>2.0038383073747515E-2</v>
      </c>
      <c r="J13" s="3">
        <v>6.6794610245825047E-3</v>
      </c>
      <c r="K13" s="3">
        <v>3.3359173013240309</v>
      </c>
      <c r="L13" s="3">
        <v>9.7545295755520914E-2</v>
      </c>
    </row>
    <row r="14" spans="1:12" x14ac:dyDescent="0.25">
      <c r="G14" s="3" t="s">
        <v>41</v>
      </c>
      <c r="H14" s="3">
        <v>6</v>
      </c>
      <c r="I14" s="3">
        <v>1.2013716926252487E-2</v>
      </c>
      <c r="J14" s="3">
        <v>2.0022861543754146E-3</v>
      </c>
      <c r="K14" s="3"/>
      <c r="L14" s="3"/>
    </row>
    <row r="15" spans="1:12" ht="15.75" thickBot="1" x14ac:dyDescent="0.3">
      <c r="A15" s="6" t="s">
        <v>88</v>
      </c>
      <c r="B15" t="s">
        <v>89</v>
      </c>
      <c r="C15" t="s">
        <v>90</v>
      </c>
      <c r="D15" t="s">
        <v>82</v>
      </c>
      <c r="G15" s="4" t="s">
        <v>42</v>
      </c>
      <c r="H15" s="4">
        <v>9</v>
      </c>
      <c r="I15" s="4">
        <v>3.20521E-2</v>
      </c>
      <c r="J15" s="4"/>
      <c r="K15" s="4"/>
      <c r="L15" s="4"/>
    </row>
    <row r="16" spans="1:12" ht="15.75" thickBot="1" x14ac:dyDescent="0.3">
      <c r="A16">
        <v>28.75</v>
      </c>
      <c r="B16">
        <v>184</v>
      </c>
      <c r="C16">
        <v>75</v>
      </c>
      <c r="D16">
        <f>H18+H19*A16+H20*B16+H21*C16</f>
        <v>0.33561621537563235</v>
      </c>
    </row>
    <row r="17" spans="1:15" x14ac:dyDescent="0.25">
      <c r="G17" s="5"/>
      <c r="H17" s="5" t="s">
        <v>43</v>
      </c>
      <c r="I17" s="5" t="s">
        <v>32</v>
      </c>
      <c r="J17" s="5" t="s">
        <v>44</v>
      </c>
      <c r="K17" s="5" t="s">
        <v>45</v>
      </c>
      <c r="L17" s="5" t="s">
        <v>46</v>
      </c>
      <c r="M17" s="5" t="s">
        <v>47</v>
      </c>
      <c r="N17" s="5" t="s">
        <v>48</v>
      </c>
      <c r="O17" s="5" t="s">
        <v>49</v>
      </c>
    </row>
    <row r="18" spans="1:15" x14ac:dyDescent="0.25">
      <c r="B18" t="s">
        <v>83</v>
      </c>
      <c r="G18" s="3" t="s">
        <v>50</v>
      </c>
      <c r="H18" s="3">
        <v>-2.81232314845718</v>
      </c>
      <c r="I18" s="3">
        <v>1.4994357374742855</v>
      </c>
      <c r="J18" s="3">
        <v>-1.8755876481871634</v>
      </c>
      <c r="K18" s="3">
        <v>0.10982478141851906</v>
      </c>
      <c r="L18" s="3">
        <v>-6.4813102245133063</v>
      </c>
      <c r="M18" s="3">
        <v>0.85666392759894672</v>
      </c>
      <c r="N18" s="3">
        <v>-6.4813102245133063</v>
      </c>
      <c r="O18" s="3">
        <v>0.85666392759894672</v>
      </c>
    </row>
    <row r="19" spans="1:15" x14ac:dyDescent="0.25">
      <c r="B19" s="10">
        <v>0.31979999999999997</v>
      </c>
      <c r="G19" s="3" t="s">
        <v>21</v>
      </c>
      <c r="H19" s="3">
        <v>7.588089338976492E-2</v>
      </c>
      <c r="I19" s="3">
        <v>3.2977955674290974E-2</v>
      </c>
      <c r="J19" s="3">
        <v>2.3009580745152225</v>
      </c>
      <c r="K19" s="3">
        <v>6.1020274531852679E-2</v>
      </c>
      <c r="L19" s="3">
        <v>-4.8132571761911602E-3</v>
      </c>
      <c r="M19" s="3">
        <v>0.156575043955721</v>
      </c>
      <c r="N19" s="3">
        <v>-4.8132571761911602E-3</v>
      </c>
      <c r="O19" s="3">
        <v>0.156575043955721</v>
      </c>
    </row>
    <row r="20" spans="1:15" x14ac:dyDescent="0.25">
      <c r="G20" s="3" t="s">
        <v>22</v>
      </c>
      <c r="H20" s="3">
        <v>-7.5045023092899473E-4</v>
      </c>
      <c r="I20" s="3">
        <v>3.0345690266956026E-4</v>
      </c>
      <c r="J20" s="3">
        <v>-2.4730043189894864</v>
      </c>
      <c r="K20" s="3">
        <v>4.8260738465810589E-2</v>
      </c>
      <c r="L20" s="3">
        <v>-1.4929825223828873E-3</v>
      </c>
      <c r="M20" s="3">
        <v>-7.9179394751021769E-6</v>
      </c>
      <c r="N20" s="3">
        <v>-1.4929825223828873E-3</v>
      </c>
      <c r="O20" s="3">
        <v>-7.9179394751021769E-6</v>
      </c>
    </row>
    <row r="21" spans="1:15" ht="15.75" thickBot="1" x14ac:dyDescent="0.3">
      <c r="G21" s="4" t="s">
        <v>95</v>
      </c>
      <c r="H21" s="4">
        <v>1.4725953618240079E-2</v>
      </c>
      <c r="I21" s="4">
        <v>1.0784687508932495E-2</v>
      </c>
      <c r="J21" s="4">
        <v>1.3654501909344339</v>
      </c>
      <c r="K21" s="4">
        <v>0.22108605835242126</v>
      </c>
      <c r="L21" s="4">
        <v>-1.1663226058261962E-2</v>
      </c>
      <c r="M21" s="4">
        <v>4.1115133294742118E-2</v>
      </c>
      <c r="N21" s="4">
        <v>-1.1663226058261962E-2</v>
      </c>
      <c r="O21" s="4">
        <v>4.1115133294742118E-2</v>
      </c>
    </row>
    <row r="23" spans="1:15" x14ac:dyDescent="0.25">
      <c r="B23" t="s">
        <v>2</v>
      </c>
    </row>
    <row r="24" spans="1:15" x14ac:dyDescent="0.25">
      <c r="A24" t="s">
        <v>21</v>
      </c>
      <c r="B24" s="6" t="s">
        <v>22</v>
      </c>
      <c r="C24" t="s">
        <v>95</v>
      </c>
      <c r="D24" t="s">
        <v>23</v>
      </c>
      <c r="F24" t="s">
        <v>24</v>
      </c>
    </row>
    <row r="25" spans="1:15" ht="15.75" thickBot="1" x14ac:dyDescent="0.3">
      <c r="A25">
        <v>29.03</v>
      </c>
      <c r="B25">
        <v>164</v>
      </c>
      <c r="C25">
        <v>85</v>
      </c>
      <c r="D25">
        <v>0.58299999999999996</v>
      </c>
    </row>
    <row r="26" spans="1:15" x14ac:dyDescent="0.25">
      <c r="A26">
        <v>28.4</v>
      </c>
      <c r="B26">
        <v>327</v>
      </c>
      <c r="C26">
        <v>85</v>
      </c>
      <c r="D26">
        <v>0.44700000000000001</v>
      </c>
      <c r="F26" s="2" t="s">
        <v>27</v>
      </c>
      <c r="G26" s="2"/>
    </row>
    <row r="27" spans="1:15" x14ac:dyDescent="0.25">
      <c r="A27">
        <v>28.7</v>
      </c>
      <c r="B27">
        <v>296</v>
      </c>
      <c r="C27">
        <v>86</v>
      </c>
      <c r="D27">
        <v>0.57199999999999995</v>
      </c>
      <c r="F27" s="3" t="s">
        <v>28</v>
      </c>
      <c r="G27" s="3">
        <v>0.70367512955870082</v>
      </c>
    </row>
    <row r="28" spans="1:15" x14ac:dyDescent="0.25">
      <c r="A28">
        <v>29.05</v>
      </c>
      <c r="B28">
        <v>268</v>
      </c>
      <c r="C28">
        <v>84</v>
      </c>
      <c r="D28">
        <v>0.63500000000000001</v>
      </c>
      <c r="F28" s="3" t="s">
        <v>30</v>
      </c>
      <c r="G28" s="3">
        <v>0.49515868795945445</v>
      </c>
    </row>
    <row r="29" spans="1:15" x14ac:dyDescent="0.25">
      <c r="A29">
        <v>28.83</v>
      </c>
      <c r="B29">
        <v>300</v>
      </c>
      <c r="C29">
        <v>83</v>
      </c>
      <c r="D29">
        <v>0.54400000000000004</v>
      </c>
      <c r="F29" s="3" t="s">
        <v>31</v>
      </c>
      <c r="G29" s="3">
        <v>0.24273803193918164</v>
      </c>
    </row>
    <row r="30" spans="1:15" x14ac:dyDescent="0.25">
      <c r="A30">
        <v>28.62</v>
      </c>
      <c r="B30">
        <v>250</v>
      </c>
      <c r="C30">
        <v>84</v>
      </c>
      <c r="D30">
        <v>0.75800000000000001</v>
      </c>
      <c r="F30" s="3" t="s">
        <v>32</v>
      </c>
      <c r="G30" s="3">
        <v>0.11418600619966805</v>
      </c>
    </row>
    <row r="31" spans="1:15" ht="15.75" thickBot="1" x14ac:dyDescent="0.3">
      <c r="A31">
        <v>29.07</v>
      </c>
      <c r="B31">
        <v>369</v>
      </c>
      <c r="C31">
        <v>84</v>
      </c>
      <c r="D31">
        <v>0.78900000000000003</v>
      </c>
      <c r="F31" s="4" t="s">
        <v>33</v>
      </c>
      <c r="G31" s="4">
        <v>10</v>
      </c>
    </row>
    <row r="32" spans="1:15" x14ac:dyDescent="0.25">
      <c r="A32">
        <v>29.45</v>
      </c>
      <c r="B32">
        <v>243</v>
      </c>
      <c r="C32">
        <v>83</v>
      </c>
      <c r="D32">
        <v>0.78800000000000003</v>
      </c>
    </row>
    <row r="33" spans="1:14" ht="15.75" thickBot="1" x14ac:dyDescent="0.3">
      <c r="A33">
        <v>29.17</v>
      </c>
      <c r="B33">
        <v>209</v>
      </c>
      <c r="C33">
        <v>83</v>
      </c>
      <c r="D33">
        <v>0.79700000000000004</v>
      </c>
      <c r="F33" t="s">
        <v>34</v>
      </c>
    </row>
    <row r="34" spans="1:14" x14ac:dyDescent="0.25">
      <c r="A34">
        <v>29.1</v>
      </c>
      <c r="B34">
        <v>180</v>
      </c>
      <c r="C34">
        <v>84</v>
      </c>
      <c r="D34">
        <v>0.80800000000000005</v>
      </c>
      <c r="F34" s="5"/>
      <c r="G34" s="5" t="s">
        <v>35</v>
      </c>
      <c r="H34" s="5" t="s">
        <v>36</v>
      </c>
      <c r="I34" s="5" t="s">
        <v>37</v>
      </c>
      <c r="J34" s="5" t="s">
        <v>38</v>
      </c>
      <c r="K34" s="5" t="s">
        <v>39</v>
      </c>
    </row>
    <row r="35" spans="1:14" x14ac:dyDescent="0.25">
      <c r="F35" s="3" t="s">
        <v>40</v>
      </c>
      <c r="G35" s="3">
        <v>3</v>
      </c>
      <c r="H35" s="3">
        <v>7.6730235929016247E-2</v>
      </c>
      <c r="I35" s="3">
        <v>2.5576745309672081E-2</v>
      </c>
      <c r="J35" s="3">
        <v>1.9616409202251917</v>
      </c>
      <c r="K35" s="3">
        <v>0.22121056958008878</v>
      </c>
    </row>
    <row r="36" spans="1:14" x14ac:dyDescent="0.25">
      <c r="F36" s="3" t="s">
        <v>41</v>
      </c>
      <c r="G36" s="3">
        <v>6</v>
      </c>
      <c r="H36" s="3">
        <v>7.8230664070983794E-2</v>
      </c>
      <c r="I36" s="3">
        <v>1.3038444011830632E-2</v>
      </c>
      <c r="J36" s="3"/>
      <c r="K36" s="3"/>
    </row>
    <row r="37" spans="1:14" ht="15.75" thickBot="1" x14ac:dyDescent="0.3">
      <c r="A37" s="6" t="s">
        <v>88</v>
      </c>
      <c r="B37" t="s">
        <v>89</v>
      </c>
      <c r="C37" t="s">
        <v>90</v>
      </c>
      <c r="D37" t="s">
        <v>82</v>
      </c>
      <c r="F37" s="4" t="s">
        <v>42</v>
      </c>
      <c r="G37" s="4">
        <v>9</v>
      </c>
      <c r="H37" s="4">
        <v>0.15496090000000004</v>
      </c>
      <c r="I37" s="4"/>
      <c r="J37" s="4"/>
      <c r="K37" s="4"/>
    </row>
    <row r="38" spans="1:14" ht="15.75" thickBot="1" x14ac:dyDescent="0.3">
      <c r="A38">
        <v>29.05</v>
      </c>
      <c r="B38">
        <v>222</v>
      </c>
      <c r="C38">
        <v>85</v>
      </c>
      <c r="D38">
        <f>G40+G41*A38+G42*B38+G43*C38</f>
        <v>0.67406836843507101</v>
      </c>
    </row>
    <row r="39" spans="1:14" x14ac:dyDescent="0.25">
      <c r="F39" s="5"/>
      <c r="G39" s="5" t="s">
        <v>43</v>
      </c>
      <c r="H39" s="5" t="s">
        <v>32</v>
      </c>
      <c r="I39" s="5" t="s">
        <v>44</v>
      </c>
      <c r="J39" s="5" t="s">
        <v>45</v>
      </c>
      <c r="K39" s="5" t="s">
        <v>46</v>
      </c>
      <c r="L39" s="5" t="s">
        <v>47</v>
      </c>
      <c r="M39" s="5" t="s">
        <v>48</v>
      </c>
      <c r="N39" s="5" t="s">
        <v>49</v>
      </c>
    </row>
    <row r="40" spans="1:14" x14ac:dyDescent="0.25">
      <c r="B40" t="s">
        <v>83</v>
      </c>
      <c r="F40" s="3" t="s">
        <v>50</v>
      </c>
      <c r="G40" s="3">
        <v>-3.3408823498493292</v>
      </c>
      <c r="H40" s="3">
        <v>7.8811949346531192</v>
      </c>
      <c r="I40" s="3">
        <v>-0.42390555969624344</v>
      </c>
      <c r="J40" s="3">
        <v>0.6864116099293589</v>
      </c>
      <c r="K40" s="3">
        <v>-22.625471636635751</v>
      </c>
      <c r="L40" s="3">
        <v>15.943706936937092</v>
      </c>
      <c r="M40" s="3">
        <v>-22.625471636635751</v>
      </c>
      <c r="N40" s="3">
        <v>15.943706936937092</v>
      </c>
    </row>
    <row r="41" spans="1:14" x14ac:dyDescent="0.25">
      <c r="B41" s="10">
        <v>0.182</v>
      </c>
      <c r="F41" s="3" t="s">
        <v>21</v>
      </c>
      <c r="G41" s="3">
        <v>0.22637153515840294</v>
      </c>
      <c r="H41" s="3">
        <v>0.16702051401585896</v>
      </c>
      <c r="I41" s="3">
        <v>1.355351685343924</v>
      </c>
      <c r="J41" s="3">
        <v>0.22410278834080494</v>
      </c>
      <c r="K41" s="3">
        <v>-0.18231293997132689</v>
      </c>
      <c r="L41" s="3">
        <v>0.63505601028813274</v>
      </c>
      <c r="M41" s="3">
        <v>-0.18231293997132689</v>
      </c>
      <c r="N41" s="3">
        <v>0.63505601028813274</v>
      </c>
    </row>
    <row r="42" spans="1:14" x14ac:dyDescent="0.25">
      <c r="F42" s="3" t="s">
        <v>22</v>
      </c>
      <c r="G42" s="3">
        <v>-1.1326383718893556E-4</v>
      </c>
      <c r="H42" s="3">
        <v>6.4950873152132499E-4</v>
      </c>
      <c r="I42" s="3">
        <v>-0.17438385612406015</v>
      </c>
      <c r="J42" s="3">
        <v>0.86729909790945792</v>
      </c>
      <c r="K42" s="3">
        <v>-1.7025544497706021E-3</v>
      </c>
      <c r="L42" s="3">
        <v>1.476026775392731E-3</v>
      </c>
      <c r="M42" s="3">
        <v>-1.7025544497706021E-3</v>
      </c>
      <c r="N42" s="3">
        <v>1.476026775392731E-3</v>
      </c>
    </row>
    <row r="43" spans="1:14" ht="15.75" thickBot="1" x14ac:dyDescent="0.3">
      <c r="F43" s="4" t="s">
        <v>95</v>
      </c>
      <c r="G43" s="4">
        <v>-2.9835268308367791E-2</v>
      </c>
      <c r="H43" s="4">
        <v>4.7173491198595457E-2</v>
      </c>
      <c r="I43" s="4">
        <v>-0.63245834790485267</v>
      </c>
      <c r="J43" s="4">
        <v>0.55041331942275684</v>
      </c>
      <c r="K43" s="4">
        <v>-0.14526464298209393</v>
      </c>
      <c r="L43" s="4">
        <v>8.5594106365358358E-2</v>
      </c>
      <c r="M43" s="4">
        <v>-0.14526464298209393</v>
      </c>
      <c r="N43" s="4">
        <v>8.5594106365358358E-2</v>
      </c>
    </row>
    <row r="45" spans="1:14" x14ac:dyDescent="0.25">
      <c r="B45" t="s">
        <v>3</v>
      </c>
    </row>
    <row r="46" spans="1:14" x14ac:dyDescent="0.25">
      <c r="A46" t="s">
        <v>21</v>
      </c>
      <c r="B46" s="6" t="s">
        <v>22</v>
      </c>
      <c r="C46" t="s">
        <v>95</v>
      </c>
      <c r="D46" t="s">
        <v>23</v>
      </c>
    </row>
    <row r="47" spans="1:14" x14ac:dyDescent="0.25">
      <c r="A47">
        <v>20.58</v>
      </c>
      <c r="B47">
        <v>7</v>
      </c>
      <c r="C47">
        <v>78</v>
      </c>
      <c r="D47">
        <v>1.5569999999999999</v>
      </c>
      <c r="G47" t="s">
        <v>24</v>
      </c>
    </row>
    <row r="48" spans="1:14" ht="15.75" thickBot="1" x14ac:dyDescent="0.3">
      <c r="A48">
        <v>21.05</v>
      </c>
      <c r="B48">
        <v>4</v>
      </c>
      <c r="C48">
        <v>77</v>
      </c>
      <c r="D48">
        <v>1.5669999999999999</v>
      </c>
    </row>
    <row r="49" spans="1:15" x14ac:dyDescent="0.25">
      <c r="A49">
        <v>21.47</v>
      </c>
      <c r="B49">
        <v>1</v>
      </c>
      <c r="C49">
        <v>76</v>
      </c>
      <c r="D49">
        <v>1.59</v>
      </c>
      <c r="G49" s="2" t="s">
        <v>27</v>
      </c>
      <c r="H49" s="2"/>
    </row>
    <row r="50" spans="1:15" x14ac:dyDescent="0.25">
      <c r="A50">
        <v>22.03</v>
      </c>
      <c r="B50">
        <v>15</v>
      </c>
      <c r="C50">
        <v>77</v>
      </c>
      <c r="D50">
        <v>1.5329999999999999</v>
      </c>
      <c r="G50" s="3" t="s">
        <v>28</v>
      </c>
      <c r="H50" s="3">
        <v>0.86457817934162162</v>
      </c>
    </row>
    <row r="51" spans="1:15" x14ac:dyDescent="0.25">
      <c r="A51">
        <v>20.8</v>
      </c>
      <c r="B51">
        <v>45</v>
      </c>
      <c r="C51">
        <v>78</v>
      </c>
      <c r="D51">
        <v>1.591</v>
      </c>
      <c r="G51" s="3" t="s">
        <v>30</v>
      </c>
      <c r="H51" s="3">
        <v>0.74749542819367332</v>
      </c>
    </row>
    <row r="52" spans="1:15" x14ac:dyDescent="0.25">
      <c r="A52">
        <v>20.85</v>
      </c>
      <c r="B52">
        <v>1</v>
      </c>
      <c r="C52">
        <v>78</v>
      </c>
      <c r="D52">
        <v>1.6679999999999999</v>
      </c>
      <c r="G52" s="3" t="s">
        <v>31</v>
      </c>
      <c r="H52" s="3">
        <v>0.62124314229050992</v>
      </c>
    </row>
    <row r="53" spans="1:15" x14ac:dyDescent="0.25">
      <c r="A53">
        <v>21.63</v>
      </c>
      <c r="B53">
        <v>1</v>
      </c>
      <c r="C53">
        <v>76</v>
      </c>
      <c r="D53">
        <v>1.5740000000000001</v>
      </c>
      <c r="G53" s="3" t="s">
        <v>32</v>
      </c>
      <c r="H53" s="3">
        <v>7.6251838110325029E-2</v>
      </c>
    </row>
    <row r="54" spans="1:15" ht="15.75" thickBot="1" x14ac:dyDescent="0.3">
      <c r="A54">
        <v>21.1</v>
      </c>
      <c r="B54">
        <v>1</v>
      </c>
      <c r="C54">
        <v>76</v>
      </c>
      <c r="D54">
        <v>1.6779999999999999</v>
      </c>
      <c r="G54" s="4" t="s">
        <v>33</v>
      </c>
      <c r="H54" s="4">
        <v>10</v>
      </c>
    </row>
    <row r="55" spans="1:15" x14ac:dyDescent="0.25">
      <c r="A55">
        <v>20.5</v>
      </c>
      <c r="B55">
        <v>8</v>
      </c>
      <c r="C55">
        <v>76</v>
      </c>
      <c r="D55">
        <v>1.903</v>
      </c>
    </row>
    <row r="56" spans="1:15" ht="15.75" thickBot="1" x14ac:dyDescent="0.3">
      <c r="A56">
        <v>20.57</v>
      </c>
      <c r="B56">
        <v>32</v>
      </c>
      <c r="C56">
        <v>76</v>
      </c>
      <c r="D56">
        <v>1.8260000000000001</v>
      </c>
      <c r="G56" t="s">
        <v>34</v>
      </c>
    </row>
    <row r="57" spans="1:15" x14ac:dyDescent="0.25">
      <c r="G57" s="5"/>
      <c r="H57" s="5" t="s">
        <v>35</v>
      </c>
      <c r="I57" s="5" t="s">
        <v>36</v>
      </c>
      <c r="J57" s="5" t="s">
        <v>37</v>
      </c>
      <c r="K57" s="5" t="s">
        <v>38</v>
      </c>
      <c r="L57" s="5" t="s">
        <v>39</v>
      </c>
    </row>
    <row r="58" spans="1:15" x14ac:dyDescent="0.25">
      <c r="G58" s="3" t="s">
        <v>40</v>
      </c>
      <c r="H58" s="3">
        <v>3</v>
      </c>
      <c r="I58" s="3">
        <v>0.10327404310878074</v>
      </c>
      <c r="J58" s="3">
        <v>3.442468103626025E-2</v>
      </c>
      <c r="K58" s="3">
        <v>5.9206486666467866</v>
      </c>
      <c r="L58" s="3">
        <v>3.169361592003471E-2</v>
      </c>
    </row>
    <row r="59" spans="1:15" x14ac:dyDescent="0.25">
      <c r="G59" s="3" t="s">
        <v>41</v>
      </c>
      <c r="H59" s="3">
        <v>6</v>
      </c>
      <c r="I59" s="3">
        <v>3.4886056891219298E-2</v>
      </c>
      <c r="J59" s="3">
        <v>5.8143428152032167E-3</v>
      </c>
      <c r="K59" s="3"/>
      <c r="L59" s="3"/>
    </row>
    <row r="60" spans="1:15" ht="15.75" thickBot="1" x14ac:dyDescent="0.3">
      <c r="A60" s="6" t="s">
        <v>88</v>
      </c>
      <c r="B60" t="s">
        <v>89</v>
      </c>
      <c r="C60" t="s">
        <v>90</v>
      </c>
      <c r="D60" t="s">
        <v>82</v>
      </c>
      <c r="G60" s="4" t="s">
        <v>42</v>
      </c>
      <c r="H60" s="4">
        <v>9</v>
      </c>
      <c r="I60" s="4">
        <v>0.13816010000000004</v>
      </c>
      <c r="J60" s="4"/>
      <c r="K60" s="4"/>
      <c r="L60" s="4"/>
    </row>
    <row r="61" spans="1:15" ht="15.75" thickBot="1" x14ac:dyDescent="0.3">
      <c r="A61">
        <v>20.77</v>
      </c>
      <c r="B61">
        <v>3</v>
      </c>
      <c r="C61">
        <v>76</v>
      </c>
      <c r="D61">
        <f>H63+H64*A61+H65*B61+H66*C61</f>
        <v>1.7614171367234084</v>
      </c>
    </row>
    <row r="62" spans="1:15" x14ac:dyDescent="0.25">
      <c r="G62" s="5"/>
      <c r="H62" s="5" t="s">
        <v>43</v>
      </c>
      <c r="I62" s="5" t="s">
        <v>32</v>
      </c>
      <c r="J62" s="5" t="s">
        <v>44</v>
      </c>
      <c r="K62" s="5" t="s">
        <v>45</v>
      </c>
      <c r="L62" s="5" t="s">
        <v>46</v>
      </c>
      <c r="M62" s="5" t="s">
        <v>47</v>
      </c>
      <c r="N62" s="5" t="s">
        <v>48</v>
      </c>
      <c r="O62" s="5" t="s">
        <v>49</v>
      </c>
    </row>
    <row r="63" spans="1:15" x14ac:dyDescent="0.25">
      <c r="B63" t="s">
        <v>83</v>
      </c>
      <c r="G63" s="3" t="s">
        <v>50</v>
      </c>
      <c r="H63" s="3">
        <v>11.93008566467706</v>
      </c>
      <c r="I63" s="3">
        <v>2.6401625420638863</v>
      </c>
      <c r="J63" s="3">
        <v>4.5186936313970234</v>
      </c>
      <c r="K63" s="3">
        <v>4.023147415454756E-3</v>
      </c>
      <c r="L63" s="3">
        <v>5.4698406515519071</v>
      </c>
      <c r="M63" s="3">
        <v>18.390330677802211</v>
      </c>
      <c r="N63" s="3">
        <v>5.4698406515519071</v>
      </c>
      <c r="O63" s="3">
        <v>18.390330677802211</v>
      </c>
    </row>
    <row r="64" spans="1:15" x14ac:dyDescent="0.25">
      <c r="B64" s="10">
        <v>7.4000000000000003E-3</v>
      </c>
      <c r="G64" s="3" t="s">
        <v>21</v>
      </c>
      <c r="H64" s="3">
        <v>-0.17779715261006007</v>
      </c>
      <c r="I64" s="3">
        <v>5.2710163868494218E-2</v>
      </c>
      <c r="J64" s="3">
        <v>-3.3731094643083157</v>
      </c>
      <c r="K64" s="3">
        <v>1.4984764273306431E-2</v>
      </c>
      <c r="L64" s="3">
        <v>-0.30677427725567197</v>
      </c>
      <c r="M64" s="3">
        <v>-4.8820027964448176E-2</v>
      </c>
      <c r="N64" s="3">
        <v>-0.30677427725567197</v>
      </c>
      <c r="O64" s="3">
        <v>-4.8820027964448176E-2</v>
      </c>
    </row>
    <row r="65" spans="1:15" x14ac:dyDescent="0.25">
      <c r="G65" s="3" t="s">
        <v>22</v>
      </c>
      <c r="H65" s="3">
        <v>7.8585926032338164E-4</v>
      </c>
      <c r="I65" s="3">
        <v>1.7821274466162521E-3</v>
      </c>
      <c r="J65" s="3">
        <v>0.44096692512957059</v>
      </c>
      <c r="K65" s="3">
        <v>0.67468199398129558</v>
      </c>
      <c r="L65" s="3">
        <v>-3.5748495090526496E-3</v>
      </c>
      <c r="M65" s="3">
        <v>5.1465680296994129E-3</v>
      </c>
      <c r="N65" s="3">
        <v>-3.5748495090526496E-3</v>
      </c>
      <c r="O65" s="3">
        <v>5.1465680296994129E-3</v>
      </c>
    </row>
    <row r="66" spans="1:15" ht="15.75" thickBot="1" x14ac:dyDescent="0.3">
      <c r="G66" s="4" t="s">
        <v>95</v>
      </c>
      <c r="H66" s="4">
        <v>-8.5239200605574661E-2</v>
      </c>
      <c r="I66" s="4">
        <v>2.902294815588622E-2</v>
      </c>
      <c r="J66" s="4">
        <v>-2.9369587178994796</v>
      </c>
      <c r="K66" s="4">
        <v>2.6050374069351911E-2</v>
      </c>
      <c r="L66" s="4">
        <v>-0.15625579640337869</v>
      </c>
      <c r="M66" s="4">
        <v>-1.4222604807770628E-2</v>
      </c>
      <c r="N66" s="4">
        <v>-0.15625579640337869</v>
      </c>
      <c r="O66" s="4">
        <v>-1.4222604807770628E-2</v>
      </c>
    </row>
    <row r="68" spans="1:15" x14ac:dyDescent="0.25">
      <c r="B68" t="s">
        <v>53</v>
      </c>
    </row>
    <row r="69" spans="1:15" x14ac:dyDescent="0.25">
      <c r="A69" t="s">
        <v>21</v>
      </c>
      <c r="B69" s="6" t="s">
        <v>22</v>
      </c>
      <c r="C69" t="s">
        <v>95</v>
      </c>
      <c r="D69" t="s">
        <v>23</v>
      </c>
      <c r="G69" t="s">
        <v>24</v>
      </c>
    </row>
    <row r="70" spans="1:15" ht="15.75" thickBot="1" x14ac:dyDescent="0.3">
      <c r="A70">
        <v>28.3</v>
      </c>
      <c r="B70">
        <v>150</v>
      </c>
      <c r="C70">
        <v>78</v>
      </c>
      <c r="D70">
        <v>5.22</v>
      </c>
    </row>
    <row r="71" spans="1:15" x14ac:dyDescent="0.25">
      <c r="A71">
        <v>28.8</v>
      </c>
      <c r="B71">
        <v>171</v>
      </c>
      <c r="C71">
        <v>75</v>
      </c>
      <c r="D71">
        <v>5.22</v>
      </c>
      <c r="G71" s="2" t="s">
        <v>27</v>
      </c>
      <c r="H71" s="2"/>
    </row>
    <row r="72" spans="1:15" x14ac:dyDescent="0.25">
      <c r="A72">
        <v>29.15</v>
      </c>
      <c r="B72">
        <v>112</v>
      </c>
      <c r="C72">
        <v>75</v>
      </c>
      <c r="D72">
        <v>5.4</v>
      </c>
      <c r="G72" s="3" t="s">
        <v>28</v>
      </c>
      <c r="H72" s="3">
        <v>0.53967676777151707</v>
      </c>
    </row>
    <row r="73" spans="1:15" x14ac:dyDescent="0.25">
      <c r="A73">
        <v>28.73</v>
      </c>
      <c r="B73">
        <v>228</v>
      </c>
      <c r="C73">
        <v>75</v>
      </c>
      <c r="D73">
        <v>5.32</v>
      </c>
      <c r="G73" s="3" t="s">
        <v>30</v>
      </c>
      <c r="H73" s="3">
        <v>0.29125101367231199</v>
      </c>
    </row>
    <row r="74" spans="1:15" x14ac:dyDescent="0.25">
      <c r="A74">
        <v>28.23</v>
      </c>
      <c r="B74">
        <v>171</v>
      </c>
      <c r="C74">
        <v>74</v>
      </c>
      <c r="D74">
        <v>3.86</v>
      </c>
      <c r="G74" s="3" t="s">
        <v>31</v>
      </c>
      <c r="H74" s="3">
        <v>-6.3123479491532006E-2</v>
      </c>
    </row>
    <row r="75" spans="1:15" x14ac:dyDescent="0.25">
      <c r="A75">
        <v>28.8</v>
      </c>
      <c r="B75">
        <v>89</v>
      </c>
      <c r="C75">
        <v>76</v>
      </c>
      <c r="D75">
        <v>4.3600000000000003</v>
      </c>
      <c r="G75" s="3" t="s">
        <v>32</v>
      </c>
      <c r="H75" s="3">
        <v>0.62885851699558082</v>
      </c>
    </row>
    <row r="76" spans="1:15" ht="15.75" thickBot="1" x14ac:dyDescent="0.3">
      <c r="A76">
        <v>29.35</v>
      </c>
      <c r="B76">
        <v>169</v>
      </c>
      <c r="C76">
        <v>72</v>
      </c>
      <c r="D76">
        <v>5.13</v>
      </c>
      <c r="G76" s="4" t="s">
        <v>33</v>
      </c>
      <c r="H76" s="4">
        <v>10</v>
      </c>
    </row>
    <row r="77" spans="1:15" x14ac:dyDescent="0.25">
      <c r="A77">
        <v>29.8</v>
      </c>
      <c r="B77">
        <v>243</v>
      </c>
      <c r="C77">
        <v>75</v>
      </c>
      <c r="D77">
        <v>4.8600000000000003</v>
      </c>
    </row>
    <row r="78" spans="1:15" ht="15.75" thickBot="1" x14ac:dyDescent="0.3">
      <c r="A78">
        <v>28.17</v>
      </c>
      <c r="B78">
        <v>168</v>
      </c>
      <c r="C78">
        <v>76</v>
      </c>
      <c r="D78">
        <v>3.88</v>
      </c>
      <c r="G78" t="s">
        <v>34</v>
      </c>
    </row>
    <row r="79" spans="1:15" x14ac:dyDescent="0.25">
      <c r="A79">
        <v>29</v>
      </c>
      <c r="B79">
        <v>102</v>
      </c>
      <c r="C79">
        <v>74</v>
      </c>
      <c r="D79">
        <v>5.41</v>
      </c>
      <c r="G79" s="5"/>
      <c r="H79" s="5" t="s">
        <v>35</v>
      </c>
      <c r="I79" s="5" t="s">
        <v>36</v>
      </c>
      <c r="J79" s="5" t="s">
        <v>37</v>
      </c>
      <c r="K79" s="5" t="s">
        <v>38</v>
      </c>
      <c r="L79" s="5" t="s">
        <v>39</v>
      </c>
    </row>
    <row r="80" spans="1:15" x14ac:dyDescent="0.25">
      <c r="G80" s="3" t="s">
        <v>40</v>
      </c>
      <c r="H80" s="3">
        <v>3</v>
      </c>
      <c r="I80" s="3">
        <v>0.97506179361271306</v>
      </c>
      <c r="J80" s="3">
        <v>0.32502059787090437</v>
      </c>
      <c r="K80" s="3">
        <v>0.82187352445158324</v>
      </c>
      <c r="L80" s="3">
        <v>0.52767253389795377</v>
      </c>
    </row>
    <row r="81" spans="1:15" x14ac:dyDescent="0.25">
      <c r="G81" s="3" t="s">
        <v>41</v>
      </c>
      <c r="H81" s="3">
        <v>6</v>
      </c>
      <c r="I81" s="3">
        <v>2.3727782063872875</v>
      </c>
      <c r="J81" s="3">
        <v>0.39546303439788127</v>
      </c>
      <c r="K81" s="3"/>
      <c r="L81" s="3"/>
    </row>
    <row r="82" spans="1:15" ht="15.75" thickBot="1" x14ac:dyDescent="0.3">
      <c r="A82" s="6" t="s">
        <v>88</v>
      </c>
      <c r="B82" t="s">
        <v>89</v>
      </c>
      <c r="C82" t="s">
        <v>90</v>
      </c>
      <c r="D82" t="s">
        <v>23</v>
      </c>
      <c r="G82" s="4" t="s">
        <v>42</v>
      </c>
      <c r="H82" s="4">
        <v>9</v>
      </c>
      <c r="I82" s="4">
        <v>3.3478400000000006</v>
      </c>
      <c r="J82" s="4"/>
      <c r="K82" s="4"/>
      <c r="L82" s="4"/>
    </row>
    <row r="83" spans="1:15" ht="15.75" thickBot="1" x14ac:dyDescent="0.3">
      <c r="A83">
        <v>28.75</v>
      </c>
      <c r="B83">
        <v>184</v>
      </c>
      <c r="C83">
        <v>75</v>
      </c>
      <c r="D83">
        <f>H85+H86*A83+H87*B83+H88*C83</f>
        <v>4.7683778025194643</v>
      </c>
    </row>
    <row r="84" spans="1:15" x14ac:dyDescent="0.25">
      <c r="G84" s="5"/>
      <c r="H84" s="5" t="s">
        <v>43</v>
      </c>
      <c r="I84" s="5" t="s">
        <v>32</v>
      </c>
      <c r="J84" s="5" t="s">
        <v>44</v>
      </c>
      <c r="K84" s="5" t="s">
        <v>45</v>
      </c>
      <c r="L84" s="5" t="s">
        <v>46</v>
      </c>
      <c r="M84" s="5" t="s">
        <v>47</v>
      </c>
      <c r="N84" s="5" t="s">
        <v>48</v>
      </c>
      <c r="O84" s="5" t="s">
        <v>49</v>
      </c>
    </row>
    <row r="85" spans="1:15" x14ac:dyDescent="0.25">
      <c r="B85" t="s">
        <v>83</v>
      </c>
      <c r="G85" s="3" t="s">
        <v>50</v>
      </c>
      <c r="H85" s="3">
        <v>-20.864740034674998</v>
      </c>
      <c r="I85" s="3">
        <v>21.072581037352041</v>
      </c>
      <c r="J85" s="3">
        <v>-0.99013689864053023</v>
      </c>
      <c r="K85" s="3">
        <v>0.36034116133485522</v>
      </c>
      <c r="L85" s="3">
        <v>-72.427488309184469</v>
      </c>
      <c r="M85" s="3">
        <v>30.698008239834468</v>
      </c>
      <c r="N85" s="3">
        <v>-72.427488309184469</v>
      </c>
      <c r="O85" s="3">
        <v>30.698008239834468</v>
      </c>
    </row>
    <row r="86" spans="1:15" x14ac:dyDescent="0.25">
      <c r="B86" s="10">
        <v>0.1638</v>
      </c>
      <c r="G86" s="3" t="s">
        <v>21</v>
      </c>
      <c r="H86" s="3">
        <v>0.71631311709486345</v>
      </c>
      <c r="I86" s="3">
        <v>0.46346143820959695</v>
      </c>
      <c r="J86" s="3">
        <v>1.5455722052347238</v>
      </c>
      <c r="K86" s="3">
        <v>0.17316402763588343</v>
      </c>
      <c r="L86" s="3">
        <v>-0.41773616860889151</v>
      </c>
      <c r="M86" s="3">
        <v>1.8503624027986185</v>
      </c>
      <c r="N86" s="3">
        <v>-0.41773616860889151</v>
      </c>
      <c r="O86" s="3">
        <v>1.8503624027986185</v>
      </c>
    </row>
    <row r="87" spans="1:15" x14ac:dyDescent="0.25">
      <c r="G87" s="3" t="s">
        <v>22</v>
      </c>
      <c r="H87" s="3">
        <v>-1.6104729435297887E-3</v>
      </c>
      <c r="I87" s="3">
        <v>4.2646843829529735E-3</v>
      </c>
      <c r="J87" s="3">
        <v>-0.37763004220599727</v>
      </c>
      <c r="K87" s="3">
        <v>0.718703124118514</v>
      </c>
      <c r="L87" s="3">
        <v>-1.2045779701570293E-2</v>
      </c>
      <c r="M87" s="3">
        <v>8.8248338145107148E-3</v>
      </c>
      <c r="N87" s="3">
        <v>-1.2045779701570293E-2</v>
      </c>
      <c r="O87" s="3">
        <v>8.8248338145107148E-3</v>
      </c>
    </row>
    <row r="88" spans="1:15" ht="15.75" thickBot="1" x14ac:dyDescent="0.3">
      <c r="G88" s="4" t="s">
        <v>95</v>
      </c>
      <c r="H88" s="4">
        <v>7.1139236564354932E-2</v>
      </c>
      <c r="I88" s="4">
        <v>0.15156448243477705</v>
      </c>
      <c r="J88" s="4">
        <v>0.46936614318574521</v>
      </c>
      <c r="K88" s="4">
        <v>0.65537918371763726</v>
      </c>
      <c r="L88" s="4">
        <v>-0.2997256917179546</v>
      </c>
      <c r="M88" s="4">
        <v>0.44200416484666449</v>
      </c>
      <c r="N88" s="4">
        <v>-0.2997256917179546</v>
      </c>
      <c r="O88" s="4">
        <v>0.44200416484666449</v>
      </c>
    </row>
    <row r="91" spans="1:15" x14ac:dyDescent="0.25">
      <c r="B91" t="s">
        <v>5</v>
      </c>
    </row>
    <row r="92" spans="1:15" x14ac:dyDescent="0.25">
      <c r="A92" t="s">
        <v>21</v>
      </c>
      <c r="B92" s="6" t="s">
        <v>22</v>
      </c>
      <c r="C92" t="s">
        <v>95</v>
      </c>
      <c r="D92" t="s">
        <v>23</v>
      </c>
      <c r="G92" t="s">
        <v>24</v>
      </c>
    </row>
    <row r="93" spans="1:15" ht="15.75" thickBot="1" x14ac:dyDescent="0.3">
      <c r="A93">
        <v>20.58</v>
      </c>
      <c r="B93">
        <v>7</v>
      </c>
      <c r="C93">
        <v>78</v>
      </c>
      <c r="D93">
        <v>3.3559999999999999</v>
      </c>
    </row>
    <row r="94" spans="1:15" x14ac:dyDescent="0.25">
      <c r="A94">
        <v>21.05</v>
      </c>
      <c r="B94">
        <v>4</v>
      </c>
      <c r="C94">
        <v>77</v>
      </c>
      <c r="D94">
        <v>3.3559999999999999</v>
      </c>
      <c r="G94" s="2" t="s">
        <v>27</v>
      </c>
      <c r="H94" s="2"/>
    </row>
    <row r="95" spans="1:15" x14ac:dyDescent="0.25">
      <c r="A95">
        <v>21.47</v>
      </c>
      <c r="B95">
        <v>1</v>
      </c>
      <c r="C95">
        <v>76</v>
      </c>
      <c r="D95">
        <v>6.9539999999999997</v>
      </c>
      <c r="G95" s="3" t="s">
        <v>28</v>
      </c>
      <c r="H95" s="3">
        <v>0.84375820466872586</v>
      </c>
    </row>
    <row r="96" spans="1:15" x14ac:dyDescent="0.25">
      <c r="A96">
        <v>22.03</v>
      </c>
      <c r="B96">
        <v>15</v>
      </c>
      <c r="C96">
        <v>77</v>
      </c>
      <c r="D96">
        <v>7.1029999999999998</v>
      </c>
      <c r="G96" s="3" t="s">
        <v>30</v>
      </c>
      <c r="H96" s="3">
        <v>0.71192790794579142</v>
      </c>
    </row>
    <row r="97" spans="1:15" x14ac:dyDescent="0.25">
      <c r="A97">
        <v>20.8</v>
      </c>
      <c r="B97">
        <v>45</v>
      </c>
      <c r="C97">
        <v>78</v>
      </c>
      <c r="D97">
        <v>7.3339999999999996</v>
      </c>
      <c r="G97" s="3" t="s">
        <v>31</v>
      </c>
      <c r="H97" s="3">
        <v>0.56789186191868712</v>
      </c>
    </row>
    <row r="98" spans="1:15" x14ac:dyDescent="0.25">
      <c r="A98">
        <v>20.85</v>
      </c>
      <c r="B98">
        <v>1</v>
      </c>
      <c r="C98">
        <v>78</v>
      </c>
      <c r="D98">
        <v>4.8230000000000004</v>
      </c>
      <c r="G98" s="3" t="s">
        <v>32</v>
      </c>
      <c r="H98" s="3">
        <v>1.0742837936057523</v>
      </c>
    </row>
    <row r="99" spans="1:15" ht="15.75" thickBot="1" x14ac:dyDescent="0.3">
      <c r="A99">
        <v>21.63</v>
      </c>
      <c r="B99">
        <v>1</v>
      </c>
      <c r="C99">
        <v>76</v>
      </c>
      <c r="D99">
        <v>6.9550000000000001</v>
      </c>
      <c r="G99" s="4" t="s">
        <v>33</v>
      </c>
      <c r="H99" s="4">
        <v>10</v>
      </c>
    </row>
    <row r="100" spans="1:15" x14ac:dyDescent="0.25">
      <c r="A100">
        <v>21.1</v>
      </c>
      <c r="B100">
        <v>1</v>
      </c>
      <c r="C100">
        <v>76</v>
      </c>
      <c r="D100">
        <v>4.6230000000000002</v>
      </c>
    </row>
    <row r="101" spans="1:15" ht="15.75" thickBot="1" x14ac:dyDescent="0.3">
      <c r="A101">
        <v>20.5</v>
      </c>
      <c r="B101">
        <v>8</v>
      </c>
      <c r="C101">
        <v>76</v>
      </c>
      <c r="D101">
        <v>6.194</v>
      </c>
      <c r="G101" t="s">
        <v>34</v>
      </c>
    </row>
    <row r="102" spans="1:15" x14ac:dyDescent="0.25">
      <c r="A102">
        <v>20.57</v>
      </c>
      <c r="B102">
        <v>32</v>
      </c>
      <c r="C102">
        <v>76</v>
      </c>
      <c r="D102">
        <v>7.4980000000000002</v>
      </c>
      <c r="G102" s="5"/>
      <c r="H102" s="5" t="s">
        <v>35</v>
      </c>
      <c r="I102" s="5" t="s">
        <v>36</v>
      </c>
      <c r="J102" s="5" t="s">
        <v>37</v>
      </c>
      <c r="K102" s="5" t="s">
        <v>38</v>
      </c>
      <c r="L102" s="5" t="s">
        <v>39</v>
      </c>
    </row>
    <row r="103" spans="1:15" x14ac:dyDescent="0.25">
      <c r="G103" s="3" t="s">
        <v>40</v>
      </c>
      <c r="H103" s="3">
        <v>3</v>
      </c>
      <c r="I103" s="3">
        <v>17.112920384776199</v>
      </c>
      <c r="J103" s="3">
        <v>5.7043067949254</v>
      </c>
      <c r="K103" s="3">
        <v>4.9427065486914508</v>
      </c>
      <c r="L103" s="3">
        <v>4.6272918604583664E-2</v>
      </c>
    </row>
    <row r="104" spans="1:15" x14ac:dyDescent="0.25">
      <c r="G104" s="3" t="s">
        <v>41</v>
      </c>
      <c r="H104" s="3">
        <v>6</v>
      </c>
      <c r="I104" s="3">
        <v>6.9245140152237994</v>
      </c>
      <c r="J104" s="3">
        <v>1.1540856692039665</v>
      </c>
      <c r="K104" s="3"/>
      <c r="L104" s="3"/>
    </row>
    <row r="105" spans="1:15" ht="15.75" thickBot="1" x14ac:dyDescent="0.3">
      <c r="A105" s="6" t="s">
        <v>88</v>
      </c>
      <c r="B105" t="s">
        <v>89</v>
      </c>
      <c r="C105" t="s">
        <v>90</v>
      </c>
      <c r="D105" t="s">
        <v>82</v>
      </c>
      <c r="G105" s="4" t="s">
        <v>42</v>
      </c>
      <c r="H105" s="4">
        <v>9</v>
      </c>
      <c r="I105" s="4">
        <v>24.037434399999999</v>
      </c>
      <c r="J105" s="4"/>
      <c r="K105" s="4"/>
      <c r="L105" s="4"/>
    </row>
    <row r="106" spans="1:15" ht="15.75" thickBot="1" x14ac:dyDescent="0.3">
      <c r="A106">
        <v>20.77</v>
      </c>
      <c r="B106">
        <v>3</v>
      </c>
      <c r="C106">
        <v>76</v>
      </c>
      <c r="D106">
        <f>H108+H109*A106+H110*B106+H111*C106</f>
        <v>5.4225024384541598</v>
      </c>
    </row>
    <row r="107" spans="1:15" x14ac:dyDescent="0.25">
      <c r="G107" s="5"/>
      <c r="H107" s="5" t="s">
        <v>43</v>
      </c>
      <c r="I107" s="5" t="s">
        <v>32</v>
      </c>
      <c r="J107" s="5" t="s">
        <v>44</v>
      </c>
      <c r="K107" s="5" t="s">
        <v>45</v>
      </c>
      <c r="L107" s="5" t="s">
        <v>46</v>
      </c>
      <c r="M107" s="5" t="s">
        <v>47</v>
      </c>
      <c r="N107" s="5" t="s">
        <v>48</v>
      </c>
      <c r="O107" s="5" t="s">
        <v>49</v>
      </c>
    </row>
    <row r="108" spans="1:15" x14ac:dyDescent="0.25">
      <c r="B108" t="s">
        <v>83</v>
      </c>
      <c r="G108" s="3" t="s">
        <v>50</v>
      </c>
      <c r="H108" s="3">
        <v>42.879441627723388</v>
      </c>
      <c r="I108" s="3">
        <v>37.19626833546647</v>
      </c>
      <c r="J108" s="3">
        <v>1.1527888023874169</v>
      </c>
      <c r="K108" s="3">
        <v>0.29284650931647865</v>
      </c>
      <c r="L108" s="3">
        <v>-48.136548180697893</v>
      </c>
      <c r="M108" s="3">
        <v>133.89543143614466</v>
      </c>
      <c r="N108" s="3">
        <v>-48.136548180697893</v>
      </c>
      <c r="O108" s="3">
        <v>133.89543143614466</v>
      </c>
    </row>
    <row r="109" spans="1:15" x14ac:dyDescent="0.25">
      <c r="B109" s="10">
        <v>0.27100000000000002</v>
      </c>
      <c r="G109" s="3" t="s">
        <v>21</v>
      </c>
      <c r="H109" s="3">
        <v>1.3405130351879215</v>
      </c>
      <c r="I109" s="3">
        <v>0.7426138989633001</v>
      </c>
      <c r="J109" s="3">
        <v>1.8051278558875581</v>
      </c>
      <c r="K109" s="3">
        <v>0.12108940114113005</v>
      </c>
      <c r="L109" s="3">
        <v>-0.47659771501035064</v>
      </c>
      <c r="M109" s="3">
        <v>3.1576237853861935</v>
      </c>
      <c r="N109" s="3">
        <v>-0.47659771501035064</v>
      </c>
      <c r="O109" s="3">
        <v>3.1576237853861935</v>
      </c>
    </row>
    <row r="110" spans="1:15" x14ac:dyDescent="0.25">
      <c r="G110" s="3" t="s">
        <v>22</v>
      </c>
      <c r="H110" s="3">
        <v>8.2470138762259157E-2</v>
      </c>
      <c r="I110" s="3">
        <v>2.5107730928005029E-2</v>
      </c>
      <c r="J110" s="3">
        <v>3.2846512095711686</v>
      </c>
      <c r="K110" s="3">
        <v>1.6725120163913931E-2</v>
      </c>
      <c r="L110" s="3">
        <v>2.1033734399164568E-2</v>
      </c>
      <c r="M110" s="3">
        <v>0.14390654312535375</v>
      </c>
      <c r="N110" s="3">
        <v>2.1033734399164568E-2</v>
      </c>
      <c r="O110" s="3">
        <v>0.14390654312535375</v>
      </c>
    </row>
    <row r="111" spans="1:15" ht="15.75" thickBot="1" x14ac:dyDescent="0.3">
      <c r="G111" s="4" t="s">
        <v>95</v>
      </c>
      <c r="H111" s="4">
        <v>-0.86245796508433092</v>
      </c>
      <c r="I111" s="4">
        <v>0.4088935246572985</v>
      </c>
      <c r="J111" s="4">
        <v>-2.1092482836630233</v>
      </c>
      <c r="K111" s="4">
        <v>7.945532436107601E-2</v>
      </c>
      <c r="L111" s="4">
        <v>-1.8629843764247125</v>
      </c>
      <c r="M111" s="4">
        <v>0.13806844625605064</v>
      </c>
      <c r="N111" s="4">
        <v>-1.8629843764247125</v>
      </c>
      <c r="O111" s="4">
        <v>0.13806844625605064</v>
      </c>
    </row>
    <row r="113" spans="1:13" x14ac:dyDescent="0.25">
      <c r="B113" t="s">
        <v>87</v>
      </c>
    </row>
    <row r="114" spans="1:13" x14ac:dyDescent="0.25">
      <c r="A114" t="s">
        <v>21</v>
      </c>
      <c r="B114" s="6" t="s">
        <v>22</v>
      </c>
      <c r="C114" t="s">
        <v>95</v>
      </c>
      <c r="D114" t="s">
        <v>23</v>
      </c>
      <c r="H114" t="s">
        <v>24</v>
      </c>
    </row>
    <row r="115" spans="1:13" ht="15.75" thickBot="1" x14ac:dyDescent="0.3">
      <c r="A115">
        <v>20.58</v>
      </c>
      <c r="B115">
        <v>7</v>
      </c>
      <c r="C115">
        <v>78</v>
      </c>
      <c r="D115">
        <v>0.81100000000000005</v>
      </c>
    </row>
    <row r="116" spans="1:13" x14ac:dyDescent="0.25">
      <c r="A116">
        <v>21.05</v>
      </c>
      <c r="B116">
        <v>4</v>
      </c>
      <c r="C116">
        <v>77</v>
      </c>
      <c r="D116">
        <v>0.59599999999999997</v>
      </c>
      <c r="H116" s="2" t="s">
        <v>27</v>
      </c>
      <c r="I116" s="2"/>
    </row>
    <row r="117" spans="1:13" x14ac:dyDescent="0.25">
      <c r="A117">
        <v>21.47</v>
      </c>
      <c r="B117">
        <v>1</v>
      </c>
      <c r="C117">
        <v>76</v>
      </c>
      <c r="D117">
        <v>0.56299999999999994</v>
      </c>
      <c r="H117" s="3" t="s">
        <v>28</v>
      </c>
      <c r="I117" s="3">
        <v>0.68274500520971726</v>
      </c>
    </row>
    <row r="118" spans="1:13" x14ac:dyDescent="0.25">
      <c r="A118">
        <v>22.03</v>
      </c>
      <c r="B118">
        <v>15</v>
      </c>
      <c r="C118">
        <v>77</v>
      </c>
      <c r="D118">
        <v>0.67800000000000005</v>
      </c>
      <c r="H118" s="3" t="s">
        <v>30</v>
      </c>
      <c r="I118" s="3">
        <v>0.46614074213881679</v>
      </c>
    </row>
    <row r="119" spans="1:13" x14ac:dyDescent="0.25">
      <c r="A119">
        <v>20.8</v>
      </c>
      <c r="B119">
        <v>45</v>
      </c>
      <c r="C119">
        <v>78</v>
      </c>
      <c r="D119">
        <v>0.83199999999999996</v>
      </c>
      <c r="H119" s="3" t="s">
        <v>31</v>
      </c>
      <c r="I119" s="3">
        <v>0.19921111320822518</v>
      </c>
    </row>
    <row r="120" spans="1:13" x14ac:dyDescent="0.25">
      <c r="A120">
        <v>20.85</v>
      </c>
      <c r="B120">
        <v>1</v>
      </c>
      <c r="C120">
        <v>78</v>
      </c>
      <c r="D120">
        <v>0.76800000000000002</v>
      </c>
      <c r="H120" s="3" t="s">
        <v>32</v>
      </c>
      <c r="I120" s="3">
        <v>0.21045628256755894</v>
      </c>
    </row>
    <row r="121" spans="1:13" ht="15.75" thickBot="1" x14ac:dyDescent="0.3">
      <c r="A121">
        <v>21.63</v>
      </c>
      <c r="B121">
        <v>1</v>
      </c>
      <c r="C121">
        <v>76</v>
      </c>
      <c r="D121">
        <v>1.1719999999999999</v>
      </c>
      <c r="H121" s="4" t="s">
        <v>33</v>
      </c>
      <c r="I121" s="4">
        <v>10</v>
      </c>
    </row>
    <row r="122" spans="1:13" x14ac:dyDescent="0.25">
      <c r="A122">
        <v>21.1</v>
      </c>
      <c r="B122">
        <v>1</v>
      </c>
      <c r="C122">
        <v>76</v>
      </c>
      <c r="D122">
        <v>0.93700000000000006</v>
      </c>
    </row>
    <row r="123" spans="1:13" ht="15.75" thickBot="1" x14ac:dyDescent="0.3">
      <c r="A123">
        <v>20.5</v>
      </c>
      <c r="B123">
        <v>8</v>
      </c>
      <c r="C123">
        <v>76</v>
      </c>
      <c r="D123">
        <v>1.1339999999999999</v>
      </c>
      <c r="H123" t="s">
        <v>34</v>
      </c>
    </row>
    <row r="124" spans="1:13" x14ac:dyDescent="0.25">
      <c r="A124">
        <v>20.57</v>
      </c>
      <c r="B124">
        <v>32</v>
      </c>
      <c r="C124">
        <v>76</v>
      </c>
      <c r="D124">
        <v>1.2030000000000001</v>
      </c>
      <c r="H124" s="5"/>
      <c r="I124" s="5" t="s">
        <v>35</v>
      </c>
      <c r="J124" s="5" t="s">
        <v>36</v>
      </c>
      <c r="K124" s="5" t="s">
        <v>37</v>
      </c>
      <c r="L124" s="5" t="s">
        <v>38</v>
      </c>
      <c r="M124" s="5" t="s">
        <v>39</v>
      </c>
    </row>
    <row r="125" spans="1:13" x14ac:dyDescent="0.25">
      <c r="H125" s="3" t="s">
        <v>40</v>
      </c>
      <c r="I125" s="3">
        <v>3</v>
      </c>
      <c r="J125" s="3">
        <v>0.23204131876706274</v>
      </c>
      <c r="K125" s="3">
        <v>7.7347106255687581E-2</v>
      </c>
      <c r="L125" s="3">
        <v>1.7463057361085421</v>
      </c>
      <c r="M125" s="3">
        <v>0.25681839642813098</v>
      </c>
    </row>
    <row r="126" spans="1:13" x14ac:dyDescent="0.25">
      <c r="H126" s="3" t="s">
        <v>41</v>
      </c>
      <c r="I126" s="3">
        <v>6</v>
      </c>
      <c r="J126" s="3">
        <v>0.26575108123293728</v>
      </c>
      <c r="K126" s="3">
        <v>4.4291846872156211E-2</v>
      </c>
      <c r="L126" s="3"/>
      <c r="M126" s="3"/>
    </row>
    <row r="127" spans="1:13" ht="15.75" thickBot="1" x14ac:dyDescent="0.3">
      <c r="A127" s="6" t="s">
        <v>88</v>
      </c>
      <c r="B127" t="s">
        <v>89</v>
      </c>
      <c r="C127" t="s">
        <v>90</v>
      </c>
      <c r="D127" t="s">
        <v>82</v>
      </c>
      <c r="H127" s="4" t="s">
        <v>42</v>
      </c>
      <c r="I127" s="4">
        <v>9</v>
      </c>
      <c r="J127" s="4">
        <v>0.49779240000000002</v>
      </c>
      <c r="K127" s="4"/>
      <c r="L127" s="4"/>
      <c r="M127" s="4"/>
    </row>
    <row r="128" spans="1:13" ht="15.75" thickBot="1" x14ac:dyDescent="0.3">
      <c r="A128">
        <v>20.77</v>
      </c>
      <c r="B128">
        <v>3</v>
      </c>
      <c r="C128">
        <v>76</v>
      </c>
      <c r="D128">
        <f>I130+I131*A128+I132*B128+I133*C128</f>
        <v>1.015507769443234</v>
      </c>
    </row>
    <row r="129" spans="2:16" x14ac:dyDescent="0.25">
      <c r="H129" s="5"/>
      <c r="I129" s="5" t="s">
        <v>43</v>
      </c>
      <c r="J129" s="5" t="s">
        <v>32</v>
      </c>
      <c r="K129" s="5" t="s">
        <v>44</v>
      </c>
      <c r="L129" s="5" t="s">
        <v>45</v>
      </c>
      <c r="M129" s="5" t="s">
        <v>46</v>
      </c>
      <c r="N129" s="5" t="s">
        <v>47</v>
      </c>
      <c r="O129" s="5" t="s">
        <v>48</v>
      </c>
      <c r="P129" s="5" t="s">
        <v>49</v>
      </c>
    </row>
    <row r="130" spans="2:16" x14ac:dyDescent="0.25">
      <c r="B130" t="s">
        <v>83</v>
      </c>
      <c r="H130" s="3" t="s">
        <v>50</v>
      </c>
      <c r="I130" s="3">
        <v>16.678487700088571</v>
      </c>
      <c r="J130" s="3">
        <v>7.2868904900752112</v>
      </c>
      <c r="K130" s="3">
        <v>2.2888346850834074</v>
      </c>
      <c r="L130" s="3">
        <v>6.2043134403661965E-2</v>
      </c>
      <c r="M130" s="3">
        <v>-1.1518909980720409</v>
      </c>
      <c r="N130" s="3">
        <v>34.508866398249182</v>
      </c>
      <c r="O130" s="3">
        <v>-1.1518909980720409</v>
      </c>
      <c r="P130" s="3">
        <v>34.508866398249182</v>
      </c>
    </row>
    <row r="131" spans="2:16" x14ac:dyDescent="0.25">
      <c r="B131" s="10">
        <v>0.2107</v>
      </c>
      <c r="H131" s="3" t="s">
        <v>21</v>
      </c>
      <c r="I131" s="3">
        <v>-0.1941460045740098</v>
      </c>
      <c r="J131" s="3">
        <v>0.14548088828022704</v>
      </c>
      <c r="K131" s="3">
        <v>-1.3345120920628655</v>
      </c>
      <c r="L131" s="3">
        <v>0.23044584689673148</v>
      </c>
      <c r="M131" s="3">
        <v>-0.55012491422199461</v>
      </c>
      <c r="N131" s="3">
        <v>0.16183290507397505</v>
      </c>
      <c r="O131" s="3">
        <v>-0.55012491422199461</v>
      </c>
      <c r="P131" s="3">
        <v>0.16183290507397505</v>
      </c>
    </row>
    <row r="132" spans="2:16" x14ac:dyDescent="0.25">
      <c r="H132" s="3" t="s">
        <v>22</v>
      </c>
      <c r="I132" s="3">
        <v>3.8062945974902292E-3</v>
      </c>
      <c r="J132" s="3">
        <v>4.9187000178778188E-3</v>
      </c>
      <c r="K132" s="3">
        <v>0.77384158083551136</v>
      </c>
      <c r="L132" s="3">
        <v>0.46840862057691479</v>
      </c>
      <c r="M132" s="3">
        <v>-8.2293307684819794E-3</v>
      </c>
      <c r="N132" s="3">
        <v>1.5841919963462438E-2</v>
      </c>
      <c r="O132" s="3">
        <v>-8.2293307684819794E-3</v>
      </c>
      <c r="P132" s="3">
        <v>1.5841919963462438E-2</v>
      </c>
    </row>
    <row r="133" spans="2:16" ht="15.75" thickBot="1" x14ac:dyDescent="0.3">
      <c r="H133" s="4" t="s">
        <v>95</v>
      </c>
      <c r="I133" s="4">
        <v>-0.15318403025573191</v>
      </c>
      <c r="J133" s="4">
        <v>8.0103797225207218E-2</v>
      </c>
      <c r="K133" s="4">
        <v>-1.9123192103498392</v>
      </c>
      <c r="L133" s="4">
        <v>0.10437175467210459</v>
      </c>
      <c r="M133" s="4">
        <v>-0.349190961007805</v>
      </c>
      <c r="N133" s="4">
        <v>4.282290049634116E-2</v>
      </c>
      <c r="O133" s="4">
        <v>-0.349190961007805</v>
      </c>
      <c r="P133" s="4">
        <v>4.282290049634116E-2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opLeftCell="A58" workbookViewId="0">
      <selection activeCell="G74" sqref="G74"/>
    </sheetView>
  </sheetViews>
  <sheetFormatPr defaultRowHeight="15" x14ac:dyDescent="0.25"/>
  <cols>
    <col min="1" max="1" width="15.85546875" customWidth="1"/>
    <col min="2" max="2" width="11.140625" customWidth="1"/>
    <col min="3" max="3" width="11.7109375" customWidth="1"/>
    <col min="4" max="4" width="14.140625" customWidth="1"/>
    <col min="6" max="6" width="10.5703125" customWidth="1"/>
    <col min="8" max="8" width="10.85546875" customWidth="1"/>
    <col min="9" max="9" width="10.28515625" customWidth="1"/>
    <col min="11" max="11" width="6.5703125" customWidth="1"/>
    <col min="12" max="12" width="17.28515625" customWidth="1"/>
  </cols>
  <sheetData>
    <row r="1" spans="1:16" x14ac:dyDescent="0.25">
      <c r="B1" t="s">
        <v>1</v>
      </c>
    </row>
    <row r="2" spans="1:16" x14ac:dyDescent="0.25">
      <c r="A2" t="s">
        <v>78</v>
      </c>
      <c r="B2" s="6" t="s">
        <v>79</v>
      </c>
      <c r="C2" t="s">
        <v>64</v>
      </c>
      <c r="D2" t="s">
        <v>23</v>
      </c>
      <c r="F2" t="s">
        <v>88</v>
      </c>
      <c r="G2" t="s">
        <v>89</v>
      </c>
      <c r="H2" t="s">
        <v>90</v>
      </c>
      <c r="I2" s="6" t="s">
        <v>82</v>
      </c>
      <c r="K2" t="s">
        <v>91</v>
      </c>
      <c r="L2" t="s">
        <v>92</v>
      </c>
      <c r="M2" t="s">
        <v>93</v>
      </c>
      <c r="O2" t="s">
        <v>94</v>
      </c>
      <c r="P2" t="s">
        <v>93</v>
      </c>
    </row>
    <row r="3" spans="1:16" x14ac:dyDescent="0.25">
      <c r="A3">
        <v>27.15</v>
      </c>
      <c r="B3">
        <v>268</v>
      </c>
      <c r="C3">
        <v>82</v>
      </c>
      <c r="D3">
        <v>0.72199999999999998</v>
      </c>
      <c r="F3">
        <v>27.93</v>
      </c>
      <c r="G3">
        <v>184</v>
      </c>
      <c r="H3">
        <v>80</v>
      </c>
      <c r="I3">
        <v>0.91400000000000003</v>
      </c>
      <c r="K3">
        <f>RANK(L3,$L$3:$L$12,1)</f>
        <v>9</v>
      </c>
      <c r="L3">
        <f>SQRT((Table29[[#This Row],[temperature]]-$F$3)^2+(Table29[[#This Row],[rainfall]]-$G$3)^2+(Table29[[#This Row],[humidity]]-$H$3)^2)</f>
        <v>84.027426474931389</v>
      </c>
      <c r="M3">
        <f>Table29[[#This Row],[production]]</f>
        <v>0.72199999999999998</v>
      </c>
      <c r="O3">
        <v>1</v>
      </c>
      <c r="P3">
        <f>VLOOKUP(O3,$K$3:$M$12,3,FALSE)</f>
        <v>0.91400000000000003</v>
      </c>
    </row>
    <row r="4" spans="1:16" x14ac:dyDescent="0.25">
      <c r="A4">
        <v>27.77</v>
      </c>
      <c r="B4">
        <v>255</v>
      </c>
      <c r="C4">
        <v>82</v>
      </c>
      <c r="D4">
        <v>0.67800000000000005</v>
      </c>
      <c r="K4">
        <f t="shared" ref="K4:K12" si="0">RANK(L4,$L$3:$L$12,1)</f>
        <v>8</v>
      </c>
      <c r="L4">
        <f>SQRT((Table29[[#This Row],[temperature]]-$F$3)^2+(Table29[[#This Row],[rainfall]]-$G$3)^2+(Table29[[#This Row],[humidity]]-$H$3)^2)</f>
        <v>71.02834363829696</v>
      </c>
      <c r="M4">
        <f>Table29[[#This Row],[production]]</f>
        <v>0.67800000000000005</v>
      </c>
      <c r="O4">
        <v>2</v>
      </c>
      <c r="P4">
        <f t="shared" ref="P4:P5" si="1">VLOOKUP(O4,$K$3:$M$12,3,FALSE)</f>
        <v>0.79800000000000004</v>
      </c>
    </row>
    <row r="5" spans="1:16" x14ac:dyDescent="0.25">
      <c r="A5">
        <v>27.97</v>
      </c>
      <c r="B5">
        <v>214</v>
      </c>
      <c r="C5">
        <v>82</v>
      </c>
      <c r="D5">
        <v>0.73899999999999999</v>
      </c>
      <c r="G5" t="s">
        <v>83</v>
      </c>
      <c r="K5">
        <f t="shared" si="0"/>
        <v>5</v>
      </c>
      <c r="L5">
        <f>SQRT((Table29[[#This Row],[temperature]]-$F$3)^2+(Table29[[#This Row],[rainfall]]-$G$3)^2+(Table29[[#This Row],[humidity]]-$H$3)^2)</f>
        <v>30.066619364338255</v>
      </c>
      <c r="M5">
        <f>Table29[[#This Row],[production]]</f>
        <v>0.73899999999999999</v>
      </c>
      <c r="O5">
        <v>3</v>
      </c>
      <c r="P5">
        <f t="shared" si="1"/>
        <v>0.875</v>
      </c>
    </row>
    <row r="6" spans="1:16" x14ac:dyDescent="0.25">
      <c r="A6">
        <v>28</v>
      </c>
      <c r="B6">
        <v>281</v>
      </c>
      <c r="C6">
        <v>79</v>
      </c>
      <c r="D6">
        <v>0.77500000000000002</v>
      </c>
      <c r="G6" s="10">
        <v>0.16600000000000001</v>
      </c>
      <c r="K6">
        <f t="shared" si="0"/>
        <v>10</v>
      </c>
      <c r="L6">
        <f>SQRT((Table29[[#This Row],[temperature]]-$F$3)^2+(Table29[[#This Row],[rainfall]]-$G$3)^2+(Table29[[#This Row],[humidity]]-$H$3)^2)</f>
        <v>97.005179758608762</v>
      </c>
      <c r="M6">
        <f>Table29[[#This Row],[production]]</f>
        <v>0.77500000000000002</v>
      </c>
    </row>
    <row r="7" spans="1:16" x14ac:dyDescent="0.25">
      <c r="A7">
        <v>27.35</v>
      </c>
      <c r="B7">
        <v>225</v>
      </c>
      <c r="C7">
        <v>81</v>
      </c>
      <c r="D7">
        <v>0.65500000000000003</v>
      </c>
      <c r="K7">
        <f t="shared" si="0"/>
        <v>7</v>
      </c>
      <c r="L7">
        <f>SQRT((Table29[[#This Row],[temperature]]-$F$3)^2+(Table29[[#This Row],[rainfall]]-$G$3)^2+(Table29[[#This Row],[humidity]]-$H$3)^2)</f>
        <v>41.016294323110174</v>
      </c>
      <c r="M7">
        <f>Table29[[#This Row],[production]]</f>
        <v>0.65500000000000003</v>
      </c>
    </row>
    <row r="8" spans="1:16" x14ac:dyDescent="0.25">
      <c r="A8">
        <v>27.73</v>
      </c>
      <c r="B8">
        <v>168</v>
      </c>
      <c r="C8">
        <v>82</v>
      </c>
      <c r="D8">
        <v>0.79800000000000004</v>
      </c>
      <c r="K8">
        <f t="shared" si="0"/>
        <v>2</v>
      </c>
      <c r="L8">
        <f>SQRT((Table29[[#This Row],[temperature]]-$F$3)^2+(Table29[[#This Row],[rainfall]]-$G$3)^2+(Table29[[#This Row],[humidity]]-$H$3)^2)</f>
        <v>16.125755796240995</v>
      </c>
      <c r="M8">
        <f>Table29[[#This Row],[production]]</f>
        <v>0.79800000000000004</v>
      </c>
    </row>
    <row r="9" spans="1:16" x14ac:dyDescent="0.25">
      <c r="A9">
        <v>28.43</v>
      </c>
      <c r="B9">
        <v>145</v>
      </c>
      <c r="C9">
        <v>79</v>
      </c>
      <c r="D9">
        <v>0.85199999999999998</v>
      </c>
      <c r="K9">
        <f t="shared" si="0"/>
        <v>6</v>
      </c>
      <c r="L9">
        <f>SQRT((Table29[[#This Row],[temperature]]-$F$3)^2+(Table29[[#This Row],[rainfall]]-$G$3)^2+(Table29[[#This Row],[humidity]]-$H$3)^2)</f>
        <v>39.01602234979881</v>
      </c>
      <c r="M9">
        <f>Table29[[#This Row],[production]]</f>
        <v>0.85199999999999998</v>
      </c>
    </row>
    <row r="10" spans="1:16" x14ac:dyDescent="0.25">
      <c r="A10">
        <v>28.57</v>
      </c>
      <c r="B10">
        <v>203</v>
      </c>
      <c r="C10">
        <v>81</v>
      </c>
      <c r="D10">
        <v>0.875</v>
      </c>
      <c r="K10">
        <f t="shared" si="0"/>
        <v>3</v>
      </c>
      <c r="L10">
        <f>SQRT((Table29[[#This Row],[temperature]]-$F$3)^2+(Table29[[#This Row],[rainfall]]-$G$3)^2+(Table29[[#This Row],[humidity]]-$H$3)^2)</f>
        <v>19.037058596327324</v>
      </c>
      <c r="M10">
        <f>Table29[[#This Row],[production]]</f>
        <v>0.875</v>
      </c>
    </row>
    <row r="11" spans="1:16" x14ac:dyDescent="0.25">
      <c r="A11">
        <v>27.58</v>
      </c>
      <c r="B11">
        <v>200</v>
      </c>
      <c r="C11">
        <v>80</v>
      </c>
      <c r="D11">
        <v>0.91400000000000003</v>
      </c>
      <c r="K11">
        <f t="shared" si="0"/>
        <v>1</v>
      </c>
      <c r="L11">
        <f>SQRT((Table29[[#This Row],[temperature]]-$F$3)^2+(Table29[[#This Row],[rainfall]]-$G$3)^2+(Table29[[#This Row],[humidity]]-$H$3)^2)</f>
        <v>16.003827667155129</v>
      </c>
      <c r="M11">
        <f>Table29[[#This Row],[production]]</f>
        <v>0.91400000000000003</v>
      </c>
    </row>
    <row r="12" spans="1:16" x14ac:dyDescent="0.25">
      <c r="A12">
        <v>28.1</v>
      </c>
      <c r="B12">
        <v>214</v>
      </c>
      <c r="C12">
        <v>81</v>
      </c>
      <c r="D12">
        <v>0.97</v>
      </c>
      <c r="K12">
        <f t="shared" si="0"/>
        <v>4</v>
      </c>
      <c r="L12">
        <f>SQRT((Table29[[#This Row],[temperature]]-$F$3)^2+(Table29[[#This Row],[rainfall]]-$G$3)^2+(Table29[[#This Row],[humidity]]-$H$3)^2)</f>
        <v>30.017143435043916</v>
      </c>
      <c r="M12">
        <f>Table29[[#This Row],[production]]</f>
        <v>0.97</v>
      </c>
    </row>
    <row r="14" spans="1:16" x14ac:dyDescent="0.25">
      <c r="B14" t="s">
        <v>2</v>
      </c>
    </row>
    <row r="15" spans="1:16" x14ac:dyDescent="0.25">
      <c r="A15" t="s">
        <v>78</v>
      </c>
      <c r="B15" t="s">
        <v>79</v>
      </c>
      <c r="C15" t="s">
        <v>64</v>
      </c>
      <c r="D15" t="s">
        <v>23</v>
      </c>
      <c r="F15" t="s">
        <v>88</v>
      </c>
      <c r="G15" t="s">
        <v>89</v>
      </c>
      <c r="H15" t="s">
        <v>90</v>
      </c>
      <c r="I15" s="6" t="s">
        <v>82</v>
      </c>
      <c r="K15" t="s">
        <v>91</v>
      </c>
      <c r="L15" t="s">
        <v>92</v>
      </c>
      <c r="M15" t="s">
        <v>93</v>
      </c>
    </row>
    <row r="16" spans="1:16" x14ac:dyDescent="0.25">
      <c r="A16">
        <v>28.72</v>
      </c>
      <c r="B16">
        <v>161</v>
      </c>
      <c r="C16">
        <v>85</v>
      </c>
      <c r="D16">
        <v>0.82899999999999996</v>
      </c>
      <c r="F16">
        <v>28.7</v>
      </c>
      <c r="G16">
        <v>224</v>
      </c>
      <c r="H16">
        <v>85</v>
      </c>
      <c r="I16">
        <v>0.82899999999999996</v>
      </c>
      <c r="K16">
        <f>RANK(L16,$L$16:$L$25,1)</f>
        <v>1</v>
      </c>
      <c r="L16">
        <f>SQRT((Table110[[#This Row],[temperature]]-$F$16)^2+(Table110[[#This Row],[rainfall]]-$G$16)^2+(Table110[[#This Row],[humidity]]-H16)^2)</f>
        <v>63.000003174603094</v>
      </c>
      <c r="M16">
        <f>Table110[[#This Row],[production]]</f>
        <v>0.82899999999999996</v>
      </c>
    </row>
    <row r="17" spans="1:13" x14ac:dyDescent="0.25">
      <c r="A17">
        <v>28.13</v>
      </c>
      <c r="B17">
        <v>349</v>
      </c>
      <c r="C17">
        <v>84</v>
      </c>
      <c r="D17">
        <v>0.71199999999999997</v>
      </c>
      <c r="K17">
        <f t="shared" ref="K17:K25" si="2">RANK(L17,$L$16:$L$25,1)</f>
        <v>8</v>
      </c>
      <c r="L17">
        <f>SQRT((Table110[[#This Row],[temperature]]-$F$16)^2+(Table110[[#This Row],[rainfall]]-$G$16)^2+(Table110[[#This Row],[humidity]]-H17)^2)</f>
        <v>150.60320348518488</v>
      </c>
      <c r="M17">
        <f>Table110[[#This Row],[production]]</f>
        <v>0.71199999999999997</v>
      </c>
    </row>
    <row r="18" spans="1:13" x14ac:dyDescent="0.25">
      <c r="A18">
        <v>28.45</v>
      </c>
      <c r="B18">
        <v>389</v>
      </c>
      <c r="C18">
        <v>86</v>
      </c>
      <c r="D18">
        <v>0.79800000000000004</v>
      </c>
      <c r="G18" t="s">
        <v>83</v>
      </c>
      <c r="K18">
        <f t="shared" si="2"/>
        <v>10</v>
      </c>
      <c r="L18">
        <f>SQRT((Table110[[#This Row],[temperature]]-$F$16)^2+(Table110[[#This Row],[rainfall]]-$G$16)^2+(Table110[[#This Row],[humidity]]-H18)^2)</f>
        <v>186.06736011455635</v>
      </c>
      <c r="M18">
        <f>Table110[[#This Row],[production]]</f>
        <v>0.79800000000000004</v>
      </c>
    </row>
    <row r="19" spans="1:13" x14ac:dyDescent="0.25">
      <c r="A19">
        <v>28.73</v>
      </c>
      <c r="B19">
        <v>192</v>
      </c>
      <c r="C19">
        <v>85</v>
      </c>
      <c r="D19">
        <v>0.76500000000000001</v>
      </c>
      <c r="G19" s="10">
        <v>0.11899999999999999</v>
      </c>
      <c r="K19">
        <f t="shared" si="2"/>
        <v>3</v>
      </c>
      <c r="L19">
        <f>SQRT((Table110[[#This Row],[temperature]]-$F$16)^2+(Table110[[#This Row],[rainfall]]-$G$16)^2+(Table110[[#This Row],[humidity]]-H19)^2)</f>
        <v>90.824010591913407</v>
      </c>
      <c r="M19">
        <f>Table110[[#This Row],[production]]</f>
        <v>0.76500000000000001</v>
      </c>
    </row>
    <row r="20" spans="1:13" x14ac:dyDescent="0.25">
      <c r="A20">
        <v>28.52</v>
      </c>
      <c r="B20">
        <v>373</v>
      </c>
      <c r="C20">
        <v>85</v>
      </c>
      <c r="D20">
        <v>0.76400000000000001</v>
      </c>
      <c r="K20">
        <f t="shared" si="2"/>
        <v>9</v>
      </c>
      <c r="L20">
        <f>SQRT((Table110[[#This Row],[temperature]]-$F$16)^2+(Table110[[#This Row],[rainfall]]-$G$16)^2+(Table110[[#This Row],[humidity]]-H20)^2)</f>
        <v>171.54017721804999</v>
      </c>
      <c r="M20">
        <f>Table110[[#This Row],[production]]</f>
        <v>0.76400000000000001</v>
      </c>
    </row>
    <row r="21" spans="1:13" x14ac:dyDescent="0.25">
      <c r="A21">
        <v>28.23</v>
      </c>
      <c r="B21">
        <v>336</v>
      </c>
      <c r="C21">
        <v>85</v>
      </c>
      <c r="D21">
        <v>0.85699999999999998</v>
      </c>
      <c r="K21">
        <f t="shared" si="2"/>
        <v>7</v>
      </c>
      <c r="L21">
        <f>SQRT((Table110[[#This Row],[temperature]]-$F$16)^2+(Table110[[#This Row],[rainfall]]-$G$16)^2+(Table110[[#This Row],[humidity]]-H21)^2)</f>
        <v>140.60306148871723</v>
      </c>
      <c r="M21">
        <f>Table110[[#This Row],[production]]</f>
        <v>0.85699999999999998</v>
      </c>
    </row>
    <row r="22" spans="1:13" x14ac:dyDescent="0.25">
      <c r="A22">
        <v>28.7</v>
      </c>
      <c r="B22">
        <v>310</v>
      </c>
      <c r="C22">
        <v>84</v>
      </c>
      <c r="D22">
        <v>0.92700000000000005</v>
      </c>
      <c r="K22">
        <f t="shared" si="2"/>
        <v>6</v>
      </c>
      <c r="L22">
        <f>SQRT((Table110[[#This Row],[temperature]]-$F$16)^2+(Table110[[#This Row],[rainfall]]-$G$16)^2+(Table110[[#This Row],[humidity]]-H22)^2)</f>
        <v>120.21647141718975</v>
      </c>
      <c r="M22">
        <f>Table110[[#This Row],[production]]</f>
        <v>0.92700000000000005</v>
      </c>
    </row>
    <row r="23" spans="1:13" x14ac:dyDescent="0.25">
      <c r="A23">
        <v>29.28</v>
      </c>
      <c r="B23">
        <v>184</v>
      </c>
      <c r="C23">
        <v>84</v>
      </c>
      <c r="D23">
        <v>0.96699999999999997</v>
      </c>
      <c r="K23">
        <f t="shared" si="2"/>
        <v>4</v>
      </c>
      <c r="L23">
        <f>SQRT((Table110[[#This Row],[temperature]]-$F$16)^2+(Table110[[#This Row],[rainfall]]-$G$16)^2+(Table110[[#This Row],[humidity]]-H23)^2)</f>
        <v>93.039434650045038</v>
      </c>
      <c r="M23">
        <f>Table110[[#This Row],[production]]</f>
        <v>0.96699999999999997</v>
      </c>
    </row>
    <row r="24" spans="1:13" x14ac:dyDescent="0.25">
      <c r="A24">
        <v>28.7</v>
      </c>
      <c r="B24">
        <v>270</v>
      </c>
      <c r="C24">
        <v>84</v>
      </c>
      <c r="D24">
        <v>0.97199999999999998</v>
      </c>
      <c r="K24">
        <f t="shared" si="2"/>
        <v>5</v>
      </c>
      <c r="L24">
        <f>SQRT((Table110[[#This Row],[temperature]]-$F$16)^2+(Table110[[#This Row],[rainfall]]-$G$16)^2+(Table110[[#This Row],[humidity]]-H24)^2)</f>
        <v>95.770559150503033</v>
      </c>
      <c r="M24">
        <f>Table110[[#This Row],[production]]</f>
        <v>0.97199999999999998</v>
      </c>
    </row>
    <row r="25" spans="1:13" x14ac:dyDescent="0.25">
      <c r="A25">
        <v>28.65</v>
      </c>
      <c r="B25">
        <v>237</v>
      </c>
      <c r="C25">
        <v>84</v>
      </c>
      <c r="D25">
        <v>0.95199999999999996</v>
      </c>
      <c r="K25">
        <f t="shared" si="2"/>
        <v>2</v>
      </c>
      <c r="L25">
        <f>SQRT((Table110[[#This Row],[temperature]]-$F$16)^2+(Table110[[#This Row],[rainfall]]-$G$16)^2+(Table110[[#This Row],[humidity]]-H25)^2)</f>
        <v>85.000014705881085</v>
      </c>
      <c r="M25">
        <f>Table110[[#This Row],[production]]</f>
        <v>0.95199999999999996</v>
      </c>
    </row>
    <row r="27" spans="1:13" x14ac:dyDescent="0.25">
      <c r="B27" t="s">
        <v>3</v>
      </c>
    </row>
    <row r="28" spans="1:13" x14ac:dyDescent="0.25">
      <c r="A28" t="s">
        <v>78</v>
      </c>
      <c r="B28" t="s">
        <v>79</v>
      </c>
      <c r="C28" t="s">
        <v>64</v>
      </c>
      <c r="D28" t="s">
        <v>23</v>
      </c>
      <c r="F28" t="s">
        <v>88</v>
      </c>
      <c r="G28" t="s">
        <v>89</v>
      </c>
      <c r="H28" t="s">
        <v>90</v>
      </c>
      <c r="I28" s="6" t="s">
        <v>82</v>
      </c>
      <c r="K28" t="s">
        <v>91</v>
      </c>
      <c r="L28" t="s">
        <v>92</v>
      </c>
      <c r="M28" t="s">
        <v>93</v>
      </c>
    </row>
    <row r="29" spans="1:13" x14ac:dyDescent="0.25">
      <c r="A29">
        <v>20.55</v>
      </c>
      <c r="B29">
        <v>14</v>
      </c>
      <c r="C29">
        <v>79</v>
      </c>
      <c r="D29">
        <v>1.3120000000000001</v>
      </c>
      <c r="F29">
        <v>21.08</v>
      </c>
      <c r="G29">
        <v>3</v>
      </c>
      <c r="H29">
        <v>75</v>
      </c>
      <c r="I29">
        <v>1.575</v>
      </c>
      <c r="K29">
        <f>RANK(L29,$L$29:$L$38,1)</f>
        <v>8</v>
      </c>
      <c r="L29">
        <f>SQRT((Table311[[#This Row],[temperature]]-$F$29)^2+(Table311[[#This Row],[rainfall]]-$G$29)^2+(Table311[[#This Row],[humidity]]-$H$29)^2)</f>
        <v>11.716693219505236</v>
      </c>
      <c r="M29">
        <f>Table311[[#This Row],[production]]</f>
        <v>1.3120000000000001</v>
      </c>
    </row>
    <row r="30" spans="1:13" x14ac:dyDescent="0.25">
      <c r="A30">
        <v>20.97</v>
      </c>
      <c r="B30">
        <v>2</v>
      </c>
      <c r="C30">
        <v>78</v>
      </c>
      <c r="D30">
        <v>1.39</v>
      </c>
      <c r="K30">
        <f t="shared" ref="K30:K38" si="3">RANK(L30,$L$29:$L$38,1)</f>
        <v>4</v>
      </c>
      <c r="L30">
        <f>SQRT((Table311[[#This Row],[temperature]]-$F$29)^2+(Table311[[#This Row],[rainfall]]-$G$29)^2+(Table311[[#This Row],[humidity]]-$H$29)^2)</f>
        <v>3.1641902597663121</v>
      </c>
      <c r="M30">
        <f>Table311[[#This Row],[production]]</f>
        <v>1.39</v>
      </c>
    </row>
    <row r="31" spans="1:13" x14ac:dyDescent="0.25">
      <c r="A31">
        <v>21.4</v>
      </c>
      <c r="B31">
        <v>1</v>
      </c>
      <c r="C31">
        <v>78</v>
      </c>
      <c r="D31">
        <v>1.429</v>
      </c>
      <c r="G31" t="s">
        <v>83</v>
      </c>
      <c r="K31">
        <f t="shared" si="3"/>
        <v>6</v>
      </c>
      <c r="L31">
        <f>SQRT((Table311[[#This Row],[temperature]]-$F$29)^2+(Table311[[#This Row],[rainfall]]-$G$29)^2+(Table311[[#This Row],[humidity]]-$H$29)^2)</f>
        <v>3.6197237463651835</v>
      </c>
      <c r="M31">
        <f>Table311[[#This Row],[production]]</f>
        <v>1.429</v>
      </c>
    </row>
    <row r="32" spans="1:13" x14ac:dyDescent="0.25">
      <c r="A32">
        <v>21.88</v>
      </c>
      <c r="B32">
        <v>5</v>
      </c>
      <c r="C32">
        <v>80</v>
      </c>
      <c r="D32">
        <v>1.4179999999999999</v>
      </c>
      <c r="G32" s="10">
        <v>1.67E-2</v>
      </c>
      <c r="K32">
        <f t="shared" si="3"/>
        <v>7</v>
      </c>
      <c r="L32">
        <f>SQRT((Table311[[#This Row],[temperature]]-$F$29)^2+(Table311[[#This Row],[rainfall]]-$G$29)^2+(Table311[[#This Row],[humidity]]-$H$29)^2)</f>
        <v>5.4442630355264798</v>
      </c>
      <c r="M32">
        <f>Table311[[#This Row],[production]]</f>
        <v>1.4179999999999999</v>
      </c>
    </row>
    <row r="33" spans="1:13" x14ac:dyDescent="0.25">
      <c r="A33">
        <v>21.95</v>
      </c>
      <c r="B33">
        <v>31</v>
      </c>
      <c r="C33">
        <v>79</v>
      </c>
      <c r="D33">
        <v>1.54</v>
      </c>
      <c r="K33">
        <f t="shared" si="3"/>
        <v>10</v>
      </c>
      <c r="L33">
        <f>SQRT((Table311[[#This Row],[temperature]]-$F$29)^2+(Table311[[#This Row],[rainfall]]-$G$29)^2+(Table311[[#This Row],[humidity]]-$H$29)^2)</f>
        <v>28.297648312183117</v>
      </c>
      <c r="M33">
        <f>Table311[[#This Row],[production]]</f>
        <v>1.54</v>
      </c>
    </row>
    <row r="34" spans="1:13" x14ac:dyDescent="0.25">
      <c r="A34">
        <v>21.08</v>
      </c>
      <c r="B34">
        <v>1</v>
      </c>
      <c r="C34">
        <v>78</v>
      </c>
      <c r="D34">
        <v>1.5049999999999999</v>
      </c>
      <c r="K34">
        <f t="shared" si="3"/>
        <v>5</v>
      </c>
      <c r="L34">
        <f>SQRT((Table311[[#This Row],[temperature]]-$F$29)^2+(Table311[[#This Row],[rainfall]]-$G$29)^2+(Table311[[#This Row],[humidity]]-$H$29)^2)</f>
        <v>3.6055512754639891</v>
      </c>
      <c r="M34">
        <f>Table311[[#This Row],[production]]</f>
        <v>1.5049999999999999</v>
      </c>
    </row>
    <row r="35" spans="1:13" x14ac:dyDescent="0.25">
      <c r="A35">
        <v>21.6</v>
      </c>
      <c r="B35">
        <v>3</v>
      </c>
      <c r="C35">
        <v>77</v>
      </c>
      <c r="D35">
        <v>1.571</v>
      </c>
      <c r="K35">
        <f t="shared" si="3"/>
        <v>3</v>
      </c>
      <c r="L35">
        <f>SQRT((Table311[[#This Row],[temperature]]-$F$29)^2+(Table311[[#This Row],[rainfall]]-$G$29)^2+(Table311[[#This Row],[humidity]]-$H$29)^2)</f>
        <v>2.0664946164943192</v>
      </c>
      <c r="M35">
        <f>Table311[[#This Row],[production]]</f>
        <v>1.571</v>
      </c>
    </row>
    <row r="36" spans="1:13" x14ac:dyDescent="0.25">
      <c r="A36">
        <v>21.1</v>
      </c>
      <c r="B36">
        <v>4</v>
      </c>
      <c r="C36">
        <v>76</v>
      </c>
      <c r="D36">
        <v>1.575</v>
      </c>
      <c r="K36">
        <f t="shared" si="3"/>
        <v>1</v>
      </c>
      <c r="L36">
        <f>SQRT((Table311[[#This Row],[temperature]]-$F$29)^2+(Table311[[#This Row],[rainfall]]-$G$29)^2+(Table311[[#This Row],[humidity]]-$H$29)^2)</f>
        <v>1.4143549766589716</v>
      </c>
      <c r="M36">
        <f>Table311[[#This Row],[production]]</f>
        <v>1.575</v>
      </c>
    </row>
    <row r="37" spans="1:13" x14ac:dyDescent="0.25">
      <c r="A37">
        <v>20.88</v>
      </c>
      <c r="B37">
        <v>4</v>
      </c>
      <c r="C37">
        <v>76</v>
      </c>
      <c r="D37">
        <v>1.55</v>
      </c>
      <c r="K37">
        <f t="shared" si="3"/>
        <v>2</v>
      </c>
      <c r="L37">
        <f>SQRT((Table311[[#This Row],[temperature]]-$F$29)^2+(Table311[[#This Row],[rainfall]]-$G$29)^2+(Table311[[#This Row],[humidity]]-$H$29)^2)</f>
        <v>1.42828568570857</v>
      </c>
      <c r="M37">
        <f>Table311[[#This Row],[production]]</f>
        <v>1.55</v>
      </c>
    </row>
    <row r="38" spans="1:13" x14ac:dyDescent="0.25">
      <c r="A38">
        <v>20.55</v>
      </c>
      <c r="B38">
        <v>27</v>
      </c>
      <c r="C38">
        <v>77</v>
      </c>
      <c r="D38">
        <v>1.6080000000000001</v>
      </c>
      <c r="K38">
        <f t="shared" si="3"/>
        <v>9</v>
      </c>
      <c r="L38">
        <f>SQRT((Table311[[#This Row],[temperature]]-$F$29)^2+(Table311[[#This Row],[rainfall]]-$G$29)^2+(Table311[[#This Row],[humidity]]-$H$29)^2)</f>
        <v>24.089020320469654</v>
      </c>
      <c r="M38">
        <f>Table311[[#This Row],[production]]</f>
        <v>1.6080000000000001</v>
      </c>
    </row>
    <row r="41" spans="1:13" x14ac:dyDescent="0.25">
      <c r="B41" t="s">
        <v>84</v>
      </c>
    </row>
    <row r="42" spans="1:13" x14ac:dyDescent="0.25">
      <c r="A42" t="s">
        <v>85</v>
      </c>
      <c r="B42" t="s">
        <v>79</v>
      </c>
      <c r="C42" t="s">
        <v>64</v>
      </c>
      <c r="D42" t="s">
        <v>23</v>
      </c>
      <c r="F42" t="s">
        <v>88</v>
      </c>
      <c r="G42" t="s">
        <v>89</v>
      </c>
      <c r="H42" t="s">
        <v>90</v>
      </c>
      <c r="I42" s="6" t="s">
        <v>82</v>
      </c>
      <c r="K42" t="s">
        <v>91</v>
      </c>
      <c r="L42" t="s">
        <v>92</v>
      </c>
      <c r="M42" t="s">
        <v>93</v>
      </c>
    </row>
    <row r="43" spans="1:13" x14ac:dyDescent="0.25">
      <c r="A43">
        <v>27.15</v>
      </c>
      <c r="B43">
        <v>268</v>
      </c>
      <c r="C43">
        <v>82</v>
      </c>
      <c r="D43">
        <v>4.3099999999999996</v>
      </c>
      <c r="F43">
        <v>27.93</v>
      </c>
      <c r="G43">
        <v>184</v>
      </c>
      <c r="H43">
        <v>80</v>
      </c>
      <c r="I43">
        <f>3.7</f>
        <v>3.7</v>
      </c>
      <c r="K43">
        <f>RANK(L43,$L$43:$L$52,1)</f>
        <v>9</v>
      </c>
      <c r="L43">
        <f>SQRT((Table513[[#This Row],[temperaure]]-$F$43)^2+(Table513[[#This Row],[rainfall]]-$G$43)^2+(Table513[[#This Row],[humidity]]-$H$43)^2)</f>
        <v>84.027426474931389</v>
      </c>
      <c r="M43">
        <f>Table513[[#This Row],[production]]</f>
        <v>4.3099999999999996</v>
      </c>
    </row>
    <row r="44" spans="1:13" x14ac:dyDescent="0.25">
      <c r="A44">
        <v>27.77</v>
      </c>
      <c r="B44">
        <v>255</v>
      </c>
      <c r="C44">
        <v>82</v>
      </c>
      <c r="D44">
        <v>4.3099999999999996</v>
      </c>
      <c r="K44">
        <f t="shared" ref="K44:K52" si="4">RANK(L44,$L$43:$L$52,1)</f>
        <v>8</v>
      </c>
      <c r="L44">
        <f>SQRT((Table513[[#This Row],[temperaure]]-$F$43)^2+(Table513[[#This Row],[rainfall]]-$G$43)^2+(Table513[[#This Row],[humidity]]-$H$43)^2)</f>
        <v>71.02834363829696</v>
      </c>
      <c r="M44">
        <f>Table513[[#This Row],[production]]</f>
        <v>4.3099999999999996</v>
      </c>
    </row>
    <row r="45" spans="1:13" x14ac:dyDescent="0.25">
      <c r="A45">
        <v>27.97</v>
      </c>
      <c r="B45">
        <v>214</v>
      </c>
      <c r="C45">
        <v>82</v>
      </c>
      <c r="D45">
        <v>4.09</v>
      </c>
      <c r="G45" t="s">
        <v>83</v>
      </c>
      <c r="K45">
        <f t="shared" si="4"/>
        <v>5</v>
      </c>
      <c r="L45">
        <f>SQRT((Table513[[#This Row],[temperaure]]-$F$43)^2+(Table513[[#This Row],[rainfall]]-$G$43)^2+(Table513[[#This Row],[humidity]]-$H$43)^2)</f>
        <v>30.066619364338255</v>
      </c>
      <c r="M45">
        <f>Table513[[#This Row],[production]]</f>
        <v>4.09</v>
      </c>
    </row>
    <row r="46" spans="1:13" x14ac:dyDescent="0.25">
      <c r="A46">
        <v>28</v>
      </c>
      <c r="B46">
        <v>281</v>
      </c>
      <c r="C46">
        <v>79</v>
      </c>
      <c r="D46">
        <v>4.51</v>
      </c>
      <c r="G46" s="12">
        <v>0.06</v>
      </c>
      <c r="K46">
        <f t="shared" si="4"/>
        <v>10</v>
      </c>
      <c r="L46">
        <f>SQRT((Table513[[#This Row],[temperaure]]-$F$43)^2+(Table513[[#This Row],[rainfall]]-$G$43)^2+(Table513[[#This Row],[humidity]]-$H$43)^2)</f>
        <v>97.005179758608762</v>
      </c>
      <c r="M46">
        <f>Table513[[#This Row],[production]]</f>
        <v>4.51</v>
      </c>
    </row>
    <row r="47" spans="1:13" x14ac:dyDescent="0.25">
      <c r="A47">
        <v>27.35</v>
      </c>
      <c r="B47">
        <v>225</v>
      </c>
      <c r="C47">
        <v>81</v>
      </c>
      <c r="D47">
        <v>4.2</v>
      </c>
      <c r="K47">
        <f t="shared" si="4"/>
        <v>7</v>
      </c>
      <c r="L47">
        <f>SQRT((Table513[[#This Row],[temperaure]]-$F$43)^2+(Table513[[#This Row],[rainfall]]-$G$43)^2+(Table513[[#This Row],[humidity]]-$H$43)^2)</f>
        <v>41.016294323110174</v>
      </c>
      <c r="M47">
        <f>Table513[[#This Row],[production]]</f>
        <v>4.2</v>
      </c>
    </row>
    <row r="48" spans="1:13" x14ac:dyDescent="0.25">
      <c r="A48">
        <v>27.73</v>
      </c>
      <c r="B48">
        <v>168</v>
      </c>
      <c r="C48">
        <v>82</v>
      </c>
      <c r="D48">
        <v>4.24</v>
      </c>
      <c r="K48">
        <f t="shared" si="4"/>
        <v>2</v>
      </c>
      <c r="L48">
        <f>SQRT((Table513[[#This Row],[temperaure]]-$F$43)^2+(Table513[[#This Row],[rainfall]]-$G$43)^2+(Table513[[#This Row],[humidity]]-$H$43)^2)</f>
        <v>16.125755796240995</v>
      </c>
      <c r="M48">
        <f>Table513[[#This Row],[production]]</f>
        <v>4.24</v>
      </c>
    </row>
    <row r="49" spans="1:13" x14ac:dyDescent="0.25">
      <c r="A49">
        <v>28.43</v>
      </c>
      <c r="B49">
        <v>145</v>
      </c>
      <c r="C49">
        <v>79</v>
      </c>
      <c r="D49">
        <v>4.12</v>
      </c>
      <c r="K49">
        <f t="shared" si="4"/>
        <v>6</v>
      </c>
      <c r="L49">
        <f>SQRT((Table513[[#This Row],[temperaure]]-$F$43)^2+(Table513[[#This Row],[rainfall]]-$G$43)^2+(Table513[[#This Row],[humidity]]-$H$43)^2)</f>
        <v>39.01602234979881</v>
      </c>
      <c r="M49">
        <f>Table513[[#This Row],[production]]</f>
        <v>4.12</v>
      </c>
    </row>
    <row r="50" spans="1:13" x14ac:dyDescent="0.25">
      <c r="A50">
        <v>28.57</v>
      </c>
      <c r="B50">
        <v>203</v>
      </c>
      <c r="C50">
        <v>81</v>
      </c>
      <c r="D50">
        <v>4.05</v>
      </c>
      <c r="K50">
        <f t="shared" si="4"/>
        <v>3</v>
      </c>
      <c r="L50">
        <f>SQRT((Table513[[#This Row],[temperaure]]-$F$43)^2+(Table513[[#This Row],[rainfall]]-$G$43)^2+(Table513[[#This Row],[humidity]]-$H$43)^2)</f>
        <v>19.037058596327324</v>
      </c>
      <c r="M50">
        <f>Table513[[#This Row],[production]]</f>
        <v>4.05</v>
      </c>
    </row>
    <row r="51" spans="1:13" x14ac:dyDescent="0.25">
      <c r="A51">
        <v>27.58</v>
      </c>
      <c r="B51">
        <v>200</v>
      </c>
      <c r="C51">
        <v>80</v>
      </c>
      <c r="D51">
        <v>3.7</v>
      </c>
      <c r="K51">
        <f t="shared" si="4"/>
        <v>1</v>
      </c>
      <c r="L51">
        <f>SQRT((Table513[[#This Row],[temperaure]]-$F$43)^2+(Table513[[#This Row],[rainfall]]-$G$43)^2+(Table513[[#This Row],[humidity]]-$H$43)^2)</f>
        <v>16.003827667155129</v>
      </c>
      <c r="M51">
        <f>Table513[[#This Row],[production]]</f>
        <v>3.7</v>
      </c>
    </row>
    <row r="52" spans="1:13" x14ac:dyDescent="0.25">
      <c r="A52">
        <v>28.1</v>
      </c>
      <c r="B52">
        <v>214</v>
      </c>
      <c r="C52">
        <v>81</v>
      </c>
      <c r="D52">
        <v>4.24</v>
      </c>
      <c r="K52">
        <f t="shared" si="4"/>
        <v>4</v>
      </c>
      <c r="L52">
        <f>SQRT((Table513[[#This Row],[temperaure]]-$F$43)^2+(Table513[[#This Row],[rainfall]]-$G$43)^2+(Table513[[#This Row],[humidity]]-$H$43)^2)</f>
        <v>30.017143435043916</v>
      </c>
      <c r="M52">
        <f>Table513[[#This Row],[production]]</f>
        <v>4.24</v>
      </c>
    </row>
    <row r="55" spans="1:13" x14ac:dyDescent="0.25">
      <c r="B55" t="s">
        <v>86</v>
      </c>
    </row>
    <row r="56" spans="1:13" x14ac:dyDescent="0.25">
      <c r="A56" s="7" t="s">
        <v>78</v>
      </c>
      <c r="B56" s="7" t="s">
        <v>79</v>
      </c>
      <c r="C56" s="7" t="s">
        <v>64</v>
      </c>
      <c r="D56" s="11" t="s">
        <v>23</v>
      </c>
      <c r="F56" t="s">
        <v>88</v>
      </c>
      <c r="G56" t="s">
        <v>89</v>
      </c>
      <c r="H56" t="s">
        <v>90</v>
      </c>
      <c r="I56" s="6" t="s">
        <v>82</v>
      </c>
      <c r="K56" t="s">
        <v>91</v>
      </c>
      <c r="L56" t="s">
        <v>92</v>
      </c>
      <c r="M56" t="s">
        <v>93</v>
      </c>
    </row>
    <row r="57" spans="1:13" x14ac:dyDescent="0.25">
      <c r="A57" s="8">
        <v>20.55</v>
      </c>
      <c r="B57" s="8">
        <v>14</v>
      </c>
      <c r="C57" s="8">
        <v>79</v>
      </c>
      <c r="D57">
        <v>6.8259999999999996</v>
      </c>
      <c r="F57">
        <v>21.08</v>
      </c>
      <c r="G57">
        <v>3</v>
      </c>
      <c r="H57">
        <v>75</v>
      </c>
      <c r="I57">
        <v>7.819</v>
      </c>
      <c r="K57">
        <f>RANK(L57,$L$57:$L$66,1)</f>
        <v>7</v>
      </c>
      <c r="L57">
        <f>SQRT((Table615[[#This Row],[temperature]]-$F$57)^2+(Table615[[#This Row],[rainfall]]-$G$57)+(Table615[[#This Row],[humidity]]-$H$57)^2)</f>
        <v>5.2231120991225142</v>
      </c>
      <c r="M57">
        <f>Table615[[#This Row],[production]]</f>
        <v>6.8259999999999996</v>
      </c>
    </row>
    <row r="58" spans="1:13" x14ac:dyDescent="0.25">
      <c r="A58" s="8">
        <v>20.97</v>
      </c>
      <c r="B58" s="8">
        <v>2</v>
      </c>
      <c r="C58" s="8">
        <v>78</v>
      </c>
      <c r="D58">
        <v>6.8259999999999996</v>
      </c>
      <c r="K58">
        <f t="shared" ref="K58:K66" si="5">RANK(L58,$L$57:$L$66,1)</f>
        <v>6</v>
      </c>
      <c r="L58">
        <f>SQRT((Table615[[#This Row],[temperature]]-$F$57)^2+(Table615[[#This Row],[rainfall]]-$G$57)+(Table615[[#This Row],[humidity]]-$H$57)^2)</f>
        <v>2.8305653145617398</v>
      </c>
      <c r="M58">
        <f>Table615[[#This Row],[production]]</f>
        <v>6.8259999999999996</v>
      </c>
    </row>
    <row r="59" spans="1:13" x14ac:dyDescent="0.25">
      <c r="A59" s="8">
        <v>21.4</v>
      </c>
      <c r="B59" s="8">
        <v>1</v>
      </c>
      <c r="C59" s="8">
        <v>78</v>
      </c>
      <c r="D59">
        <v>5.8150000000000004</v>
      </c>
      <c r="G59" t="s">
        <v>83</v>
      </c>
      <c r="K59">
        <f t="shared" si="5"/>
        <v>5</v>
      </c>
      <c r="L59">
        <f>SQRT((Table615[[#This Row],[temperature]]-$F$57)^2+(Table615[[#This Row],[rainfall]]-$G$57)+(Table615[[#This Row],[humidity]]-$H$57)^2)</f>
        <v>2.6650328328183877</v>
      </c>
      <c r="M59">
        <f>Table615[[#This Row],[production]]</f>
        <v>5.8150000000000004</v>
      </c>
    </row>
    <row r="60" spans="1:13" x14ac:dyDescent="0.25">
      <c r="A60" s="8">
        <v>21.88</v>
      </c>
      <c r="B60" s="8">
        <v>5</v>
      </c>
      <c r="C60" s="8">
        <v>80</v>
      </c>
      <c r="D60">
        <v>5.0289999999999999</v>
      </c>
      <c r="G60" s="10">
        <v>3.1899999999999998E-2</v>
      </c>
      <c r="K60">
        <f t="shared" si="5"/>
        <v>8</v>
      </c>
      <c r="L60">
        <f>SQRT((Table615[[#This Row],[temperature]]-$F$57)^2+(Table615[[#This Row],[rainfall]]-$G$57)+(Table615[[#This Row],[humidity]]-$H$57)^2)</f>
        <v>5.2573757712379665</v>
      </c>
      <c r="M60">
        <f>Table615[[#This Row],[production]]</f>
        <v>5.0289999999999999</v>
      </c>
    </row>
    <row r="61" spans="1:13" x14ac:dyDescent="0.25">
      <c r="A61" s="8">
        <v>21.95</v>
      </c>
      <c r="B61" s="8">
        <v>31</v>
      </c>
      <c r="C61" s="8">
        <v>79</v>
      </c>
      <c r="D61">
        <v>6.74</v>
      </c>
      <c r="K61">
        <f t="shared" si="5"/>
        <v>10</v>
      </c>
      <c r="L61">
        <f>SQRT((Table615[[#This Row],[temperature]]-$F$57)^2+(Table615[[#This Row],[rainfall]]-$G$57)+(Table615[[#This Row],[humidity]]-$H$57)^2)</f>
        <v>6.6900597904652539</v>
      </c>
      <c r="M61">
        <f>Table615[[#This Row],[production]]</f>
        <v>6.74</v>
      </c>
    </row>
    <row r="62" spans="1:13" x14ac:dyDescent="0.25">
      <c r="A62" s="8">
        <v>21.08</v>
      </c>
      <c r="B62" s="8">
        <v>1</v>
      </c>
      <c r="C62" s="8">
        <v>78</v>
      </c>
      <c r="D62">
        <v>6.1349999999999998</v>
      </c>
      <c r="K62">
        <f t="shared" si="5"/>
        <v>4</v>
      </c>
      <c r="L62">
        <f>SQRT((Table615[[#This Row],[temperature]]-$F$57)^2+(Table615[[#This Row],[rainfall]]-$G$57)+(Table615[[#This Row],[humidity]]-$H$57)^2)</f>
        <v>2.6457513110645907</v>
      </c>
      <c r="M62">
        <f>Table615[[#This Row],[production]]</f>
        <v>6.1349999999999998</v>
      </c>
    </row>
    <row r="63" spans="1:13" x14ac:dyDescent="0.25">
      <c r="A63" s="8">
        <v>21.6</v>
      </c>
      <c r="B63" s="8">
        <v>3</v>
      </c>
      <c r="C63" s="8">
        <v>77</v>
      </c>
      <c r="D63">
        <v>8.2089999999999996</v>
      </c>
      <c r="K63">
        <f t="shared" si="5"/>
        <v>3</v>
      </c>
      <c r="L63">
        <f>SQRT((Table615[[#This Row],[temperature]]-$F$57)^2+(Table615[[#This Row],[rainfall]]-$G$57)+(Table615[[#This Row],[humidity]]-$H$57)^2)</f>
        <v>2.0664946164943192</v>
      </c>
      <c r="M63">
        <f>Table615[[#This Row],[production]]</f>
        <v>8.2089999999999996</v>
      </c>
    </row>
    <row r="64" spans="1:13" x14ac:dyDescent="0.25">
      <c r="A64" s="8">
        <v>21.1</v>
      </c>
      <c r="B64" s="8">
        <v>4</v>
      </c>
      <c r="C64" s="8">
        <v>76</v>
      </c>
      <c r="D64">
        <v>7.819</v>
      </c>
      <c r="K64">
        <f t="shared" si="5"/>
        <v>1</v>
      </c>
      <c r="L64">
        <f>SQRT((Table615[[#This Row],[temperature]]-$F$57)^2+(Table615[[#This Row],[rainfall]]-$G$57)+(Table615[[#This Row],[humidity]]-$H$57)^2)</f>
        <v>1.4143549766589716</v>
      </c>
      <c r="M64">
        <f>Table615[[#This Row],[production]]</f>
        <v>7.819</v>
      </c>
    </row>
    <row r="65" spans="1:13" x14ac:dyDescent="0.25">
      <c r="A65" s="8">
        <v>20.88</v>
      </c>
      <c r="B65" s="8">
        <v>4</v>
      </c>
      <c r="C65" s="8">
        <v>76</v>
      </c>
      <c r="D65">
        <v>8.3889999999999993</v>
      </c>
      <c r="K65">
        <f t="shared" si="5"/>
        <v>2</v>
      </c>
      <c r="L65">
        <f>SQRT((Table615[[#This Row],[temperature]]-$F$57)^2+(Table615[[#This Row],[rainfall]]-$G$57)+(Table615[[#This Row],[humidity]]-$H$57)^2)</f>
        <v>1.42828568570857</v>
      </c>
      <c r="M65">
        <f>Table615[[#This Row],[production]]</f>
        <v>8.3889999999999993</v>
      </c>
    </row>
    <row r="66" spans="1:13" x14ac:dyDescent="0.25">
      <c r="A66" s="9">
        <v>20.55</v>
      </c>
      <c r="B66" s="9">
        <v>27</v>
      </c>
      <c r="C66" s="9">
        <v>77</v>
      </c>
      <c r="D66">
        <v>7.1929999999999996</v>
      </c>
      <c r="K66">
        <f t="shared" si="5"/>
        <v>9</v>
      </c>
      <c r="L66">
        <f>SQRT((Table615[[#This Row],[temperature]]-$F$57)^2+(Table615[[#This Row],[rainfall]]-$G$57)+(Table615[[#This Row],[humidity]]-$H$57)^2)</f>
        <v>5.317978939409219</v>
      </c>
      <c r="M66">
        <f>Table615[[#This Row],[production]]</f>
        <v>7.1929999999999996</v>
      </c>
    </row>
    <row r="69" spans="1:13" x14ac:dyDescent="0.25">
      <c r="B69" t="s">
        <v>87</v>
      </c>
    </row>
    <row r="70" spans="1:13" x14ac:dyDescent="0.25">
      <c r="A70" s="7" t="s">
        <v>78</v>
      </c>
      <c r="B70" s="7" t="s">
        <v>79</v>
      </c>
      <c r="C70" s="7" t="s">
        <v>64</v>
      </c>
      <c r="D70" s="11" t="s">
        <v>23</v>
      </c>
      <c r="F70" t="s">
        <v>88</v>
      </c>
      <c r="G70" t="s">
        <v>89</v>
      </c>
      <c r="H70" t="s">
        <v>90</v>
      </c>
      <c r="I70" s="6" t="s">
        <v>82</v>
      </c>
      <c r="K70" t="s">
        <v>91</v>
      </c>
      <c r="L70" t="s">
        <v>92</v>
      </c>
      <c r="M70" t="s">
        <v>93</v>
      </c>
    </row>
    <row r="71" spans="1:13" x14ac:dyDescent="0.25">
      <c r="A71" s="8">
        <v>20.55</v>
      </c>
      <c r="B71" s="8">
        <v>14</v>
      </c>
      <c r="C71" s="8">
        <v>79</v>
      </c>
      <c r="D71">
        <v>0.75700000000000001</v>
      </c>
      <c r="F71">
        <v>21.08</v>
      </c>
      <c r="G71">
        <v>3</v>
      </c>
      <c r="H71">
        <v>75</v>
      </c>
      <c r="I71">
        <v>0.89100000000000001</v>
      </c>
      <c r="K71">
        <f>RANK(L71,$L$71:$L$80,1)</f>
        <v>8</v>
      </c>
      <c r="L71">
        <f>SQRT((Table716[[#This Row],[temperature]]-$F$71)^2+(Table716[[#This Row],[rainfall]]-$G$71)^2+(Table716[[#This Row],[humidity]]-$H$71)^2)</f>
        <v>11.716693219505236</v>
      </c>
      <c r="M71">
        <f>Table716[[#This Row],[production]]</f>
        <v>0.75700000000000001</v>
      </c>
    </row>
    <row r="72" spans="1:13" x14ac:dyDescent="0.25">
      <c r="A72" s="8">
        <v>20.97</v>
      </c>
      <c r="B72" s="8">
        <v>2</v>
      </c>
      <c r="C72" s="8">
        <v>78</v>
      </c>
      <c r="D72">
        <v>0.67500000000000004</v>
      </c>
      <c r="K72">
        <f t="shared" ref="K72:K80" si="6">RANK(L72,$L$71:$L$80,1)</f>
        <v>4</v>
      </c>
      <c r="L72">
        <f>SQRT((Table716[[#This Row],[temperature]]-$F$71)^2+(Table716[[#This Row],[rainfall]]-$G$71)^2+(Table716[[#This Row],[humidity]]-$H$71)^2)</f>
        <v>3.1641902597663121</v>
      </c>
      <c r="M72">
        <f>Table716[[#This Row],[production]]</f>
        <v>0.67500000000000004</v>
      </c>
    </row>
    <row r="73" spans="1:13" x14ac:dyDescent="0.25">
      <c r="A73" s="8">
        <v>21.4</v>
      </c>
      <c r="B73" s="8">
        <v>1</v>
      </c>
      <c r="C73" s="8">
        <v>78</v>
      </c>
      <c r="D73">
        <v>0.498</v>
      </c>
      <c r="G73" t="s">
        <v>83</v>
      </c>
      <c r="K73">
        <f t="shared" si="6"/>
        <v>6</v>
      </c>
      <c r="L73">
        <f>SQRT((Table716[[#This Row],[temperature]]-$F$71)^2+(Table716[[#This Row],[rainfall]]-$G$71)^2+(Table716[[#This Row],[humidity]]-$H$71)^2)</f>
        <v>3.6197237463651835</v>
      </c>
      <c r="M73">
        <f>Table716[[#This Row],[production]]</f>
        <v>0.498</v>
      </c>
    </row>
    <row r="74" spans="1:13" x14ac:dyDescent="0.25">
      <c r="A74" s="8">
        <v>21.88</v>
      </c>
      <c r="B74" s="8">
        <v>5</v>
      </c>
      <c r="C74" s="8">
        <v>80</v>
      </c>
      <c r="D74">
        <v>0.61099999999999999</v>
      </c>
      <c r="G74" s="10">
        <v>3.9800000000000002E-2</v>
      </c>
      <c r="K74">
        <f t="shared" si="6"/>
        <v>7</v>
      </c>
      <c r="L74">
        <f>SQRT((Table716[[#This Row],[temperature]]-$F$71)^2+(Table716[[#This Row],[rainfall]]-$G$71)^2+(Table716[[#This Row],[humidity]]-$H$71)^2)</f>
        <v>5.4442630355264798</v>
      </c>
      <c r="M74">
        <f>Table716[[#This Row],[production]]</f>
        <v>0.61099999999999999</v>
      </c>
    </row>
    <row r="75" spans="1:13" x14ac:dyDescent="0.25">
      <c r="A75" s="8">
        <v>21.95</v>
      </c>
      <c r="B75" s="8">
        <v>31</v>
      </c>
      <c r="C75" s="8">
        <v>79</v>
      </c>
      <c r="D75">
        <v>0.65400000000000003</v>
      </c>
      <c r="K75">
        <f t="shared" si="6"/>
        <v>10</v>
      </c>
      <c r="L75">
        <f>SQRT((Table716[[#This Row],[temperature]]-$F$71)^2+(Table716[[#This Row],[rainfall]]-$G$71)^2+(Table716[[#This Row],[humidity]]-$H$71)^2)</f>
        <v>28.297648312183117</v>
      </c>
      <c r="M75">
        <f>Table716[[#This Row],[production]]</f>
        <v>0.65400000000000003</v>
      </c>
    </row>
    <row r="76" spans="1:13" x14ac:dyDescent="0.25">
      <c r="A76" s="8">
        <v>21.08</v>
      </c>
      <c r="B76" s="8">
        <v>1</v>
      </c>
      <c r="C76" s="8">
        <v>78</v>
      </c>
      <c r="D76">
        <v>0.64500000000000002</v>
      </c>
      <c r="K76">
        <f t="shared" si="6"/>
        <v>5</v>
      </c>
      <c r="L76">
        <f>SQRT((Table716[[#This Row],[temperature]]-$F$71)^2+(Table716[[#This Row],[rainfall]]-$G$71)^2+(Table716[[#This Row],[humidity]]-$H$71)^2)</f>
        <v>3.6055512754639891</v>
      </c>
      <c r="M76">
        <f>Table716[[#This Row],[production]]</f>
        <v>0.64500000000000002</v>
      </c>
    </row>
    <row r="77" spans="1:13" x14ac:dyDescent="0.25">
      <c r="A77" s="8">
        <v>21.6</v>
      </c>
      <c r="B77" s="8">
        <v>3</v>
      </c>
      <c r="C77" s="8">
        <v>77</v>
      </c>
      <c r="D77">
        <v>0.66800000000000004</v>
      </c>
      <c r="K77">
        <f t="shared" si="6"/>
        <v>3</v>
      </c>
      <c r="L77">
        <f>SQRT((Table716[[#This Row],[temperature]]-$F$71)^2+(Table716[[#This Row],[rainfall]]-$G$71)^2+(Table716[[#This Row],[humidity]]-$H$71)^2)</f>
        <v>2.0664946164943192</v>
      </c>
      <c r="M77">
        <f>Table716[[#This Row],[production]]</f>
        <v>0.66800000000000004</v>
      </c>
    </row>
    <row r="78" spans="1:13" x14ac:dyDescent="0.25">
      <c r="A78" s="8">
        <v>21.1</v>
      </c>
      <c r="B78" s="8">
        <v>4</v>
      </c>
      <c r="C78" s="8">
        <v>76</v>
      </c>
      <c r="D78">
        <v>0.89100000000000001</v>
      </c>
      <c r="K78">
        <f t="shared" si="6"/>
        <v>1</v>
      </c>
      <c r="L78">
        <f>SQRT((Table716[[#This Row],[temperature]]-$F$71)^2+(Table716[[#This Row],[rainfall]]-$G$71)^2+(Table716[[#This Row],[humidity]]-$H$71)^2)</f>
        <v>1.4143549766589716</v>
      </c>
      <c r="M78">
        <f>Table716[[#This Row],[production]]</f>
        <v>0.89100000000000001</v>
      </c>
    </row>
    <row r="79" spans="1:13" x14ac:dyDescent="0.25">
      <c r="A79" s="8">
        <v>20.88</v>
      </c>
      <c r="B79" s="8">
        <v>4</v>
      </c>
      <c r="C79" s="8">
        <v>76</v>
      </c>
      <c r="D79">
        <v>0.82699999999999996</v>
      </c>
      <c r="K79">
        <f t="shared" si="6"/>
        <v>2</v>
      </c>
      <c r="L79">
        <f>SQRT((Table716[[#This Row],[temperature]]-$F$71)^2+(Table716[[#This Row],[rainfall]]-$G$71)^2+(Table716[[#This Row],[humidity]]-$H$71)^2)</f>
        <v>1.42828568570857</v>
      </c>
      <c r="M79">
        <f>Table716[[#This Row],[production]]</f>
        <v>0.82699999999999996</v>
      </c>
    </row>
    <row r="80" spans="1:13" x14ac:dyDescent="0.25">
      <c r="A80" s="9">
        <v>20.55</v>
      </c>
      <c r="B80" s="9">
        <v>27</v>
      </c>
      <c r="C80" s="9">
        <v>77</v>
      </c>
      <c r="D80">
        <v>0.95</v>
      </c>
      <c r="K80">
        <f t="shared" si="6"/>
        <v>9</v>
      </c>
      <c r="L80">
        <f>SQRT((Table716[[#This Row],[temperature]]-$F$71)^2+(Table716[[#This Row],[rainfall]]-$G$71)^2+(Table716[[#This Row],[humidity]]-$H$71)^2)</f>
        <v>24.089020320469654</v>
      </c>
      <c r="M80">
        <f>Table716[[#This Row],[production]]</f>
        <v>0.95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"/>
  <sheetViews>
    <sheetView topLeftCell="A110" workbookViewId="0">
      <selection activeCell="P114" sqref="P114:R115"/>
    </sheetView>
  </sheetViews>
  <sheetFormatPr defaultRowHeight="15" x14ac:dyDescent="0.25"/>
  <cols>
    <col min="1" max="1" width="12.42578125" customWidth="1"/>
    <col min="3" max="3" width="11" customWidth="1"/>
    <col min="4" max="4" width="11.7109375" customWidth="1"/>
    <col min="15" max="15" width="9.5703125" customWidth="1"/>
    <col min="16" max="16" width="11" customWidth="1"/>
    <col min="17" max="17" width="9.140625" customWidth="1"/>
    <col min="18" max="19" width="11.28515625" customWidth="1"/>
  </cols>
  <sheetData>
    <row r="1" spans="1:18" x14ac:dyDescent="0.25">
      <c r="B1" t="s">
        <v>1</v>
      </c>
    </row>
    <row r="2" spans="1:18" x14ac:dyDescent="0.25">
      <c r="A2" t="s">
        <v>21</v>
      </c>
      <c r="B2" t="s">
        <v>22</v>
      </c>
      <c r="C2" t="s">
        <v>95</v>
      </c>
      <c r="D2" t="s">
        <v>23</v>
      </c>
      <c r="F2" t="s">
        <v>24</v>
      </c>
    </row>
    <row r="3" spans="1:18" ht="15.75" thickBot="1" x14ac:dyDescent="0.3">
      <c r="A3">
        <v>26.42</v>
      </c>
      <c r="B3">
        <v>226</v>
      </c>
      <c r="C3">
        <v>80</v>
      </c>
      <c r="D3">
        <v>0.69899999999999995</v>
      </c>
      <c r="O3" t="s">
        <v>88</v>
      </c>
      <c r="P3" t="s">
        <v>89</v>
      </c>
      <c r="Q3" t="s">
        <v>90</v>
      </c>
      <c r="R3" t="s">
        <v>82</v>
      </c>
    </row>
    <row r="4" spans="1:18" x14ac:dyDescent="0.25">
      <c r="A4">
        <v>27.42</v>
      </c>
      <c r="B4">
        <v>184</v>
      </c>
      <c r="C4">
        <v>82</v>
      </c>
      <c r="D4">
        <v>0.625</v>
      </c>
      <c r="F4" s="2" t="s">
        <v>27</v>
      </c>
      <c r="G4" s="2"/>
      <c r="O4">
        <v>27.55</v>
      </c>
      <c r="P4">
        <v>166</v>
      </c>
      <c r="Q4">
        <v>80</v>
      </c>
      <c r="R4">
        <f>G18+G19*O4+G20*P4+G21*Q4</f>
        <v>0.66989149190247854</v>
      </c>
    </row>
    <row r="5" spans="1:18" x14ac:dyDescent="0.25">
      <c r="A5">
        <v>26.95</v>
      </c>
      <c r="B5">
        <v>242</v>
      </c>
      <c r="C5">
        <v>81</v>
      </c>
      <c r="D5">
        <v>0.65700000000000003</v>
      </c>
      <c r="F5" s="3" t="s">
        <v>28</v>
      </c>
      <c r="G5" s="3">
        <v>0.68980380899544314</v>
      </c>
    </row>
    <row r="6" spans="1:18" x14ac:dyDescent="0.25">
      <c r="A6">
        <v>27.07</v>
      </c>
      <c r="B6">
        <v>226</v>
      </c>
      <c r="C6">
        <v>81</v>
      </c>
      <c r="D6">
        <v>0.69199999999999995</v>
      </c>
      <c r="F6" s="3" t="s">
        <v>30</v>
      </c>
      <c r="G6" s="3">
        <v>0.47582929490462184</v>
      </c>
      <c r="Q6" t="s">
        <v>83</v>
      </c>
    </row>
    <row r="7" spans="1:18" x14ac:dyDescent="0.25">
      <c r="A7">
        <v>26.8</v>
      </c>
      <c r="B7">
        <v>299</v>
      </c>
      <c r="C7">
        <v>81</v>
      </c>
      <c r="D7">
        <v>0.69299999999999995</v>
      </c>
      <c r="F7" s="3" t="s">
        <v>31</v>
      </c>
      <c r="G7" s="3">
        <v>0.21374394235693281</v>
      </c>
      <c r="Q7" s="10">
        <v>0.20349999999999999</v>
      </c>
    </row>
    <row r="8" spans="1:18" x14ac:dyDescent="0.25">
      <c r="A8">
        <v>27.35</v>
      </c>
      <c r="B8">
        <v>269</v>
      </c>
      <c r="C8">
        <v>82</v>
      </c>
      <c r="D8">
        <v>0.72199999999999998</v>
      </c>
      <c r="F8" s="3" t="s">
        <v>32</v>
      </c>
      <c r="G8" s="3">
        <v>6.111975815037287E-2</v>
      </c>
    </row>
    <row r="9" spans="1:18" ht="15.75" thickBot="1" x14ac:dyDescent="0.3">
      <c r="A9">
        <v>27.67</v>
      </c>
      <c r="B9">
        <v>153</v>
      </c>
      <c r="C9">
        <v>80</v>
      </c>
      <c r="D9">
        <v>0.58099999999999996</v>
      </c>
      <c r="F9" s="4" t="s">
        <v>33</v>
      </c>
      <c r="G9" s="4">
        <v>10</v>
      </c>
    </row>
    <row r="10" spans="1:18" x14ac:dyDescent="0.25">
      <c r="A10">
        <v>27.77</v>
      </c>
      <c r="B10">
        <v>215</v>
      </c>
      <c r="C10">
        <v>81</v>
      </c>
      <c r="D10">
        <v>0.747</v>
      </c>
    </row>
    <row r="11" spans="1:18" ht="15.75" thickBot="1" x14ac:dyDescent="0.3">
      <c r="A11">
        <v>27.07</v>
      </c>
      <c r="B11">
        <v>200</v>
      </c>
      <c r="C11">
        <v>79</v>
      </c>
      <c r="D11">
        <v>0.81200000000000006</v>
      </c>
      <c r="F11" t="s">
        <v>34</v>
      </c>
    </row>
    <row r="12" spans="1:18" x14ac:dyDescent="0.25">
      <c r="A12">
        <v>27.32</v>
      </c>
      <c r="B12">
        <v>132</v>
      </c>
      <c r="C12">
        <v>75</v>
      </c>
      <c r="D12">
        <v>0.77600000000000002</v>
      </c>
      <c r="F12" s="5"/>
      <c r="G12" s="5" t="s">
        <v>35</v>
      </c>
      <c r="H12" s="5" t="s">
        <v>36</v>
      </c>
      <c r="I12" s="5" t="s">
        <v>37</v>
      </c>
      <c r="J12" s="5" t="s">
        <v>38</v>
      </c>
      <c r="K12" s="5" t="s">
        <v>39</v>
      </c>
    </row>
    <row r="13" spans="1:18" x14ac:dyDescent="0.25">
      <c r="F13" s="3" t="s">
        <v>40</v>
      </c>
      <c r="G13" s="3">
        <v>3</v>
      </c>
      <c r="H13" s="3">
        <v>2.0346650981839607E-2</v>
      </c>
      <c r="I13" s="3">
        <v>6.782216993946536E-3</v>
      </c>
      <c r="J13" s="3">
        <v>1.8155508893540317</v>
      </c>
      <c r="K13" s="3">
        <v>0.24460702885755531</v>
      </c>
    </row>
    <row r="14" spans="1:18" x14ac:dyDescent="0.25">
      <c r="F14" s="3" t="s">
        <v>41</v>
      </c>
      <c r="G14" s="3">
        <v>6</v>
      </c>
      <c r="H14" s="3">
        <v>2.2413749018160425E-2</v>
      </c>
      <c r="I14" s="3">
        <v>3.7356248363600709E-3</v>
      </c>
      <c r="J14" s="3"/>
      <c r="K14" s="3"/>
    </row>
    <row r="15" spans="1:18" ht="15.75" thickBot="1" x14ac:dyDescent="0.3">
      <c r="F15" s="4" t="s">
        <v>42</v>
      </c>
      <c r="G15" s="4">
        <v>9</v>
      </c>
      <c r="H15" s="4">
        <v>4.2760400000000032E-2</v>
      </c>
      <c r="I15" s="4"/>
      <c r="J15" s="4"/>
      <c r="K15" s="4"/>
    </row>
    <row r="16" spans="1:18" ht="15.75" thickBot="1" x14ac:dyDescent="0.3"/>
    <row r="17" spans="1:19" x14ac:dyDescent="0.25">
      <c r="F17" s="5"/>
      <c r="G17" s="5" t="s">
        <v>43</v>
      </c>
      <c r="H17" s="5" t="s">
        <v>32</v>
      </c>
      <c r="I17" s="5" t="s">
        <v>44</v>
      </c>
      <c r="J17" s="5" t="s">
        <v>45</v>
      </c>
      <c r="K17" s="5" t="s">
        <v>46</v>
      </c>
      <c r="L17" s="5" t="s">
        <v>47</v>
      </c>
      <c r="M17" s="5" t="s">
        <v>48</v>
      </c>
      <c r="N17" s="5" t="s">
        <v>49</v>
      </c>
    </row>
    <row r="18" spans="1:19" x14ac:dyDescent="0.25">
      <c r="F18" s="3" t="s">
        <v>50</v>
      </c>
      <c r="G18" s="3">
        <v>1.9845166523169138</v>
      </c>
      <c r="H18" s="3">
        <v>1.6084884420797247</v>
      </c>
      <c r="I18" s="3">
        <v>1.2337773778162786</v>
      </c>
      <c r="J18" s="3">
        <v>0.26341974024223813</v>
      </c>
      <c r="K18" s="3">
        <v>-1.9513127790376739</v>
      </c>
      <c r="L18" s="3">
        <v>5.9203460836715012</v>
      </c>
      <c r="M18" s="3">
        <v>-1.9513127790376739</v>
      </c>
      <c r="N18" s="3">
        <v>5.9203460836715012</v>
      </c>
    </row>
    <row r="19" spans="1:19" x14ac:dyDescent="0.25">
      <c r="F19" s="3" t="s">
        <v>21</v>
      </c>
      <c r="G19" s="3">
        <v>4.3791471212656564E-2</v>
      </c>
      <c r="H19" s="3">
        <v>6.3895846974657181E-2</v>
      </c>
      <c r="I19" s="3">
        <v>0.6853570816586162</v>
      </c>
      <c r="J19" s="3">
        <v>0.51870616171621076</v>
      </c>
      <c r="K19" s="3">
        <v>-0.11255603398857755</v>
      </c>
      <c r="L19" s="3">
        <v>0.20013897641389067</v>
      </c>
      <c r="M19" s="3">
        <v>-0.11255603398857755</v>
      </c>
      <c r="N19" s="3">
        <v>0.20013897641389067</v>
      </c>
    </row>
    <row r="20" spans="1:19" x14ac:dyDescent="0.25">
      <c r="F20" s="3" t="s">
        <v>22</v>
      </c>
      <c r="G20" s="3">
        <v>1.0965837302513597E-3</v>
      </c>
      <c r="H20" s="3">
        <v>6.7636989426835112E-4</v>
      </c>
      <c r="I20" s="3">
        <v>1.6212781490482602</v>
      </c>
      <c r="J20" s="3">
        <v>0.15608487129369403</v>
      </c>
      <c r="K20" s="3">
        <v>-5.5843377979153874E-4</v>
      </c>
      <c r="L20" s="3">
        <v>2.7516012402942582E-3</v>
      </c>
      <c r="M20" s="3">
        <v>-5.5843377979153874E-4</v>
      </c>
      <c r="N20" s="3">
        <v>2.7516012402942582E-3</v>
      </c>
    </row>
    <row r="21" spans="1:19" ht="15.75" thickBot="1" x14ac:dyDescent="0.3">
      <c r="F21" s="4" t="s">
        <v>95</v>
      </c>
      <c r="G21" s="4">
        <v>-3.3788913644310616E-2</v>
      </c>
      <c r="H21" s="4">
        <v>1.474781756878895E-2</v>
      </c>
      <c r="I21" s="4">
        <v>-2.2911128027389389</v>
      </c>
      <c r="J21" s="4">
        <v>6.1849576384678841E-2</v>
      </c>
      <c r="K21" s="4">
        <v>-6.9875523231904296E-2</v>
      </c>
      <c r="L21" s="4">
        <v>2.2976959432830582E-3</v>
      </c>
      <c r="M21" s="4">
        <v>-6.9875523231904296E-2</v>
      </c>
      <c r="N21" s="4">
        <v>2.2976959432830582E-3</v>
      </c>
    </row>
    <row r="23" spans="1:19" x14ac:dyDescent="0.25">
      <c r="B23" t="s">
        <v>2</v>
      </c>
    </row>
    <row r="24" spans="1:19" x14ac:dyDescent="0.25">
      <c r="A24" t="s">
        <v>21</v>
      </c>
      <c r="B24" t="s">
        <v>22</v>
      </c>
      <c r="C24" t="s">
        <v>95</v>
      </c>
      <c r="D24" t="s">
        <v>23</v>
      </c>
      <c r="G24" t="s">
        <v>24</v>
      </c>
      <c r="P24" t="s">
        <v>88</v>
      </c>
      <c r="Q24" t="s">
        <v>89</v>
      </c>
      <c r="R24" t="s">
        <v>90</v>
      </c>
      <c r="S24" t="s">
        <v>82</v>
      </c>
    </row>
    <row r="25" spans="1:19" ht="15.75" thickBot="1" x14ac:dyDescent="0.3">
      <c r="A25">
        <v>28.72</v>
      </c>
      <c r="B25">
        <v>218</v>
      </c>
      <c r="C25">
        <v>86</v>
      </c>
      <c r="D25">
        <v>0.82199999999999995</v>
      </c>
      <c r="P25">
        <v>28.72</v>
      </c>
      <c r="Q25">
        <v>264</v>
      </c>
      <c r="R25">
        <v>85</v>
      </c>
      <c r="S25">
        <f>H40+H41*P25+H42*Q25+H43*R25</f>
        <v>0.81458897409474607</v>
      </c>
    </row>
    <row r="26" spans="1:19" x14ac:dyDescent="0.25">
      <c r="A26">
        <v>27.85</v>
      </c>
      <c r="B26">
        <v>607</v>
      </c>
      <c r="C26">
        <v>87</v>
      </c>
      <c r="D26">
        <v>0.77200000000000002</v>
      </c>
      <c r="G26" s="2" t="s">
        <v>27</v>
      </c>
      <c r="H26" s="2"/>
    </row>
    <row r="27" spans="1:19" x14ac:dyDescent="0.25">
      <c r="A27">
        <v>28.35</v>
      </c>
      <c r="B27">
        <v>418</v>
      </c>
      <c r="C27">
        <v>87</v>
      </c>
      <c r="D27">
        <v>0.78300000000000003</v>
      </c>
      <c r="G27" s="3" t="s">
        <v>28</v>
      </c>
      <c r="H27" s="3">
        <v>0.40052206537975082</v>
      </c>
      <c r="R27" t="s">
        <v>83</v>
      </c>
    </row>
    <row r="28" spans="1:19" x14ac:dyDescent="0.25">
      <c r="A28">
        <v>28.8</v>
      </c>
      <c r="B28">
        <v>264</v>
      </c>
      <c r="C28">
        <v>87</v>
      </c>
      <c r="D28">
        <v>0.76200000000000001</v>
      </c>
      <c r="G28" s="3" t="s">
        <v>30</v>
      </c>
      <c r="H28" s="3">
        <v>0.16041792485606138</v>
      </c>
      <c r="R28" s="10">
        <v>8.2199999999999995E-2</v>
      </c>
    </row>
    <row r="29" spans="1:19" x14ac:dyDescent="0.25">
      <c r="A29">
        <v>28.55</v>
      </c>
      <c r="B29">
        <v>365</v>
      </c>
      <c r="C29">
        <v>87</v>
      </c>
      <c r="D29">
        <v>0.78600000000000003</v>
      </c>
      <c r="G29" s="3" t="s">
        <v>31</v>
      </c>
      <c r="H29" s="3">
        <v>-0.25937311271590796</v>
      </c>
    </row>
    <row r="30" spans="1:19" x14ac:dyDescent="0.25">
      <c r="A30">
        <v>28.42</v>
      </c>
      <c r="B30">
        <v>282</v>
      </c>
      <c r="C30">
        <v>88</v>
      </c>
      <c r="D30">
        <v>0.85</v>
      </c>
      <c r="G30" s="3" t="s">
        <v>32</v>
      </c>
      <c r="H30" s="3">
        <v>5.6764091475350789E-2</v>
      </c>
    </row>
    <row r="31" spans="1:19" ht="15.75" thickBot="1" x14ac:dyDescent="0.3">
      <c r="A31">
        <v>28.75</v>
      </c>
      <c r="B31">
        <v>262</v>
      </c>
      <c r="C31">
        <v>85</v>
      </c>
      <c r="D31">
        <v>0.72799999999999998</v>
      </c>
      <c r="G31" s="4" t="s">
        <v>33</v>
      </c>
      <c r="H31" s="4">
        <v>10</v>
      </c>
    </row>
    <row r="32" spans="1:19" x14ac:dyDescent="0.25">
      <c r="A32">
        <v>28.97</v>
      </c>
      <c r="B32">
        <v>221</v>
      </c>
      <c r="C32">
        <v>86</v>
      </c>
      <c r="D32">
        <v>0.87</v>
      </c>
    </row>
    <row r="33" spans="1:19" ht="15.75" thickBot="1" x14ac:dyDescent="0.3">
      <c r="A33">
        <v>28.75</v>
      </c>
      <c r="B33">
        <v>333</v>
      </c>
      <c r="C33">
        <v>86</v>
      </c>
      <c r="D33">
        <v>0.85099999999999998</v>
      </c>
      <c r="G33" t="s">
        <v>34</v>
      </c>
    </row>
    <row r="34" spans="1:19" x14ac:dyDescent="0.25">
      <c r="A34">
        <v>28.75</v>
      </c>
      <c r="B34">
        <v>228</v>
      </c>
      <c r="C34">
        <v>85</v>
      </c>
      <c r="D34">
        <v>0.875</v>
      </c>
      <c r="G34" s="5"/>
      <c r="H34" s="5" t="s">
        <v>35</v>
      </c>
      <c r="I34" s="5" t="s">
        <v>36</v>
      </c>
      <c r="J34" s="5" t="s">
        <v>37</v>
      </c>
      <c r="K34" s="5" t="s">
        <v>38</v>
      </c>
      <c r="L34" s="5" t="s">
        <v>39</v>
      </c>
    </row>
    <row r="35" spans="1:19" x14ac:dyDescent="0.25">
      <c r="G35" s="3" t="s">
        <v>40</v>
      </c>
      <c r="H35" s="3">
        <v>3</v>
      </c>
      <c r="I35" s="3">
        <v>3.693927513868038E-3</v>
      </c>
      <c r="J35" s="3">
        <v>1.2313091712893461E-3</v>
      </c>
      <c r="K35" s="3">
        <v>0.38213756487966755</v>
      </c>
      <c r="L35" s="3">
        <v>0.76991379972019436</v>
      </c>
    </row>
    <row r="36" spans="1:19" x14ac:dyDescent="0.25">
      <c r="G36" s="3" t="s">
        <v>41</v>
      </c>
      <c r="H36" s="3">
        <v>6</v>
      </c>
      <c r="I36" s="3">
        <v>1.9332972486131951E-2</v>
      </c>
      <c r="J36" s="3">
        <v>3.2221620810219918E-3</v>
      </c>
      <c r="K36" s="3"/>
      <c r="L36" s="3"/>
    </row>
    <row r="37" spans="1:19" ht="15.75" thickBot="1" x14ac:dyDescent="0.3">
      <c r="G37" s="4" t="s">
        <v>42</v>
      </c>
      <c r="H37" s="4">
        <v>9</v>
      </c>
      <c r="I37" s="4">
        <v>2.3026899999999989E-2</v>
      </c>
      <c r="J37" s="4"/>
      <c r="K37" s="4"/>
      <c r="L37" s="4"/>
    </row>
    <row r="38" spans="1:19" ht="15.75" thickBot="1" x14ac:dyDescent="0.3"/>
    <row r="39" spans="1:19" x14ac:dyDescent="0.25">
      <c r="G39" s="5"/>
      <c r="H39" s="5" t="s">
        <v>43</v>
      </c>
      <c r="I39" s="5" t="s">
        <v>32</v>
      </c>
      <c r="J39" s="5" t="s">
        <v>44</v>
      </c>
      <c r="K39" s="5" t="s">
        <v>45</v>
      </c>
      <c r="L39" s="5" t="s">
        <v>46</v>
      </c>
      <c r="M39" s="5" t="s">
        <v>47</v>
      </c>
      <c r="N39" s="5" t="s">
        <v>48</v>
      </c>
      <c r="O39" s="5" t="s">
        <v>49</v>
      </c>
    </row>
    <row r="40" spans="1:19" x14ac:dyDescent="0.25">
      <c r="G40" s="3" t="s">
        <v>50</v>
      </c>
      <c r="H40" s="3">
        <v>1.1360716596710776</v>
      </c>
      <c r="I40" s="3">
        <v>5.6355060607545084</v>
      </c>
      <c r="J40" s="3">
        <v>0.20159177320075047</v>
      </c>
      <c r="K40" s="3">
        <v>0.84689677327244028</v>
      </c>
      <c r="L40" s="3">
        <v>-12.653514907588432</v>
      </c>
      <c r="M40" s="3">
        <v>14.925658226930588</v>
      </c>
      <c r="N40" s="3">
        <v>-12.653514907588432</v>
      </c>
      <c r="O40" s="3">
        <v>14.925658226930588</v>
      </c>
    </row>
    <row r="41" spans="1:19" x14ac:dyDescent="0.25">
      <c r="G41" s="3" t="s">
        <v>21</v>
      </c>
      <c r="H41" s="3">
        <v>-2.0206223403939925E-2</v>
      </c>
      <c r="I41" s="3">
        <v>0.15558009064595985</v>
      </c>
      <c r="J41" s="3">
        <v>-0.12987666558134023</v>
      </c>
      <c r="K41" s="3">
        <v>0.90090872724974358</v>
      </c>
      <c r="L41" s="3">
        <v>-0.40089699100774767</v>
      </c>
      <c r="M41" s="3">
        <v>0.36048454419986786</v>
      </c>
      <c r="N41" s="3">
        <v>-0.40089699100774767</v>
      </c>
      <c r="O41" s="3">
        <v>0.36048454419986786</v>
      </c>
    </row>
    <row r="42" spans="1:19" x14ac:dyDescent="0.25">
      <c r="G42" s="3" t="s">
        <v>22</v>
      </c>
      <c r="H42" s="3">
        <v>-2.2465361240598853E-4</v>
      </c>
      <c r="I42" s="3">
        <v>3.8653408725164467E-4</v>
      </c>
      <c r="J42" s="3">
        <v>-0.58120000231630964</v>
      </c>
      <c r="K42" s="3">
        <v>0.5822645467509322</v>
      </c>
      <c r="L42" s="3">
        <v>-1.1704684513735417E-3</v>
      </c>
      <c r="M42" s="3">
        <v>7.2116122656156454E-4</v>
      </c>
      <c r="N42" s="3">
        <v>-1.1704684513735417E-3</v>
      </c>
      <c r="O42" s="3">
        <v>7.2116122656156454E-4</v>
      </c>
    </row>
    <row r="43" spans="1:19" ht="15.75" thickBot="1" x14ac:dyDescent="0.3">
      <c r="G43" s="4" t="s">
        <v>95</v>
      </c>
      <c r="H43" s="4">
        <v>3.7429247560000472E-3</v>
      </c>
      <c r="I43" s="4">
        <v>2.3410629013000554E-2</v>
      </c>
      <c r="J43" s="4">
        <v>0.15988142624965351</v>
      </c>
      <c r="K43" s="4">
        <v>0.87822109417338812</v>
      </c>
      <c r="L43" s="4">
        <v>-5.3540820818669274E-2</v>
      </c>
      <c r="M43" s="4">
        <v>6.1026670330669372E-2</v>
      </c>
      <c r="N43" s="4">
        <v>-5.3540820818669274E-2</v>
      </c>
      <c r="O43" s="4">
        <v>6.1026670330669372E-2</v>
      </c>
    </row>
    <row r="45" spans="1:19" x14ac:dyDescent="0.25">
      <c r="B45" t="s">
        <v>3</v>
      </c>
    </row>
    <row r="46" spans="1:19" x14ac:dyDescent="0.25">
      <c r="A46" t="s">
        <v>21</v>
      </c>
      <c r="B46" t="s">
        <v>22</v>
      </c>
      <c r="C46" t="s">
        <v>95</v>
      </c>
      <c r="D46" t="s">
        <v>23</v>
      </c>
      <c r="G46" t="s">
        <v>24</v>
      </c>
    </row>
    <row r="47" spans="1:19" ht="15.75" thickBot="1" x14ac:dyDescent="0.3">
      <c r="A47">
        <v>20.100000000000001</v>
      </c>
      <c r="B47">
        <v>4</v>
      </c>
      <c r="C47">
        <v>72</v>
      </c>
      <c r="D47">
        <v>1.3149999999999999</v>
      </c>
      <c r="P47" t="s">
        <v>88</v>
      </c>
      <c r="Q47" t="s">
        <v>89</v>
      </c>
      <c r="R47" t="s">
        <v>90</v>
      </c>
      <c r="S47" t="s">
        <v>82</v>
      </c>
    </row>
    <row r="48" spans="1:19" x14ac:dyDescent="0.25">
      <c r="A48">
        <v>20.47</v>
      </c>
      <c r="B48">
        <v>12</v>
      </c>
      <c r="C48">
        <v>80</v>
      </c>
      <c r="D48">
        <v>1.3380000000000001</v>
      </c>
      <c r="G48" s="2" t="s">
        <v>27</v>
      </c>
      <c r="H48" s="2"/>
      <c r="P48">
        <v>20.3</v>
      </c>
      <c r="Q48">
        <v>10</v>
      </c>
      <c r="R48">
        <v>78</v>
      </c>
      <c r="S48">
        <f>H62+H63*P48+H64*Q48+H65*R48</f>
        <v>1.3762349686565505</v>
      </c>
    </row>
    <row r="49" spans="1:18" x14ac:dyDescent="0.25">
      <c r="A49">
        <v>20.92</v>
      </c>
      <c r="B49">
        <v>1</v>
      </c>
      <c r="C49">
        <v>80</v>
      </c>
      <c r="D49">
        <v>1.3049999999999999</v>
      </c>
      <c r="G49" s="3" t="s">
        <v>28</v>
      </c>
      <c r="H49" s="3">
        <v>0.49371974965180498</v>
      </c>
    </row>
    <row r="50" spans="1:18" x14ac:dyDescent="0.25">
      <c r="A50">
        <v>21.27</v>
      </c>
      <c r="B50">
        <v>14</v>
      </c>
      <c r="C50">
        <v>85</v>
      </c>
      <c r="D50">
        <v>1.292</v>
      </c>
      <c r="G50" s="3" t="s">
        <v>30</v>
      </c>
      <c r="H50" s="3">
        <v>0.24375919119624098</v>
      </c>
      <c r="R50" t="s">
        <v>83</v>
      </c>
    </row>
    <row r="51" spans="1:18" x14ac:dyDescent="0.25">
      <c r="A51">
        <v>20.37</v>
      </c>
      <c r="B51">
        <v>26</v>
      </c>
      <c r="C51">
        <v>83</v>
      </c>
      <c r="D51">
        <v>1.367</v>
      </c>
      <c r="G51" s="3" t="s">
        <v>31</v>
      </c>
      <c r="H51" s="3">
        <v>-0.13436121320563851</v>
      </c>
      <c r="R51" s="10">
        <v>0.17299999999999999</v>
      </c>
    </row>
    <row r="52" spans="1:18" x14ac:dyDescent="0.25">
      <c r="A52">
        <v>20.37</v>
      </c>
      <c r="B52">
        <v>1</v>
      </c>
      <c r="C52">
        <v>82</v>
      </c>
      <c r="D52">
        <v>1.345</v>
      </c>
      <c r="G52" s="3" t="s">
        <v>32</v>
      </c>
      <c r="H52" s="3">
        <v>7.5925522990380342E-2</v>
      </c>
    </row>
    <row r="53" spans="1:18" ht="15.75" thickBot="1" x14ac:dyDescent="0.3">
      <c r="A53">
        <v>21.125</v>
      </c>
      <c r="B53">
        <v>1</v>
      </c>
      <c r="C53">
        <v>82</v>
      </c>
      <c r="D53">
        <v>1.425</v>
      </c>
      <c r="G53" s="4" t="s">
        <v>33</v>
      </c>
      <c r="H53" s="4">
        <v>10</v>
      </c>
    </row>
    <row r="54" spans="1:18" x14ac:dyDescent="0.25">
      <c r="A54">
        <v>20.8</v>
      </c>
      <c r="B54">
        <v>15</v>
      </c>
      <c r="C54">
        <v>80</v>
      </c>
      <c r="D54">
        <v>1.452</v>
      </c>
    </row>
    <row r="55" spans="1:18" ht="15.75" thickBot="1" x14ac:dyDescent="0.3">
      <c r="A55">
        <v>19.920000000000002</v>
      </c>
      <c r="B55">
        <v>4</v>
      </c>
      <c r="C55">
        <v>80</v>
      </c>
      <c r="D55">
        <v>1.496</v>
      </c>
      <c r="G55" t="s">
        <v>34</v>
      </c>
    </row>
    <row r="56" spans="1:18" x14ac:dyDescent="0.25">
      <c r="A56">
        <v>19.8</v>
      </c>
      <c r="B56">
        <v>9</v>
      </c>
      <c r="C56">
        <v>80</v>
      </c>
      <c r="D56">
        <v>1.446</v>
      </c>
      <c r="G56" s="5"/>
      <c r="H56" s="5" t="s">
        <v>35</v>
      </c>
      <c r="I56" s="5" t="s">
        <v>36</v>
      </c>
      <c r="J56" s="5" t="s">
        <v>37</v>
      </c>
      <c r="K56" s="5" t="s">
        <v>38</v>
      </c>
      <c r="L56" s="5" t="s">
        <v>39</v>
      </c>
    </row>
    <row r="57" spans="1:18" x14ac:dyDescent="0.25">
      <c r="G57" s="3" t="s">
        <v>40</v>
      </c>
      <c r="H57" s="3">
        <v>3</v>
      </c>
      <c r="I57" s="3">
        <v>1.1148789751823353E-2</v>
      </c>
      <c r="J57" s="3">
        <v>3.7162632506077841E-3</v>
      </c>
      <c r="K57" s="3">
        <v>0.64466024144300138</v>
      </c>
      <c r="L57" s="3">
        <v>0.61408086487582714</v>
      </c>
    </row>
    <row r="58" spans="1:18" x14ac:dyDescent="0.25">
      <c r="G58" s="3" t="s">
        <v>41</v>
      </c>
      <c r="H58" s="3">
        <v>6</v>
      </c>
      <c r="I58" s="3">
        <v>3.4588110248176644E-2</v>
      </c>
      <c r="J58" s="3">
        <v>5.7646850413627737E-3</v>
      </c>
      <c r="K58" s="3"/>
      <c r="L58" s="3"/>
    </row>
    <row r="59" spans="1:18" ht="15.75" thickBot="1" x14ac:dyDescent="0.3">
      <c r="G59" s="4" t="s">
        <v>42</v>
      </c>
      <c r="H59" s="4">
        <v>9</v>
      </c>
      <c r="I59" s="4">
        <v>4.5736899999999997E-2</v>
      </c>
      <c r="J59" s="4"/>
      <c r="K59" s="4"/>
      <c r="L59" s="4"/>
    </row>
    <row r="60" spans="1:18" ht="15.75" thickBot="1" x14ac:dyDescent="0.3"/>
    <row r="61" spans="1:18" x14ac:dyDescent="0.25">
      <c r="G61" s="5"/>
      <c r="H61" s="5" t="s">
        <v>43</v>
      </c>
      <c r="I61" s="5" t="s">
        <v>32</v>
      </c>
      <c r="J61" s="5" t="s">
        <v>44</v>
      </c>
      <c r="K61" s="5" t="s">
        <v>45</v>
      </c>
      <c r="L61" s="5" t="s">
        <v>46</v>
      </c>
      <c r="M61" s="5" t="s">
        <v>47</v>
      </c>
      <c r="N61" s="5" t="s">
        <v>48</v>
      </c>
      <c r="O61" s="5" t="s">
        <v>49</v>
      </c>
    </row>
    <row r="62" spans="1:18" x14ac:dyDescent="0.25">
      <c r="G62" s="3" t="s">
        <v>50</v>
      </c>
      <c r="H62" s="3">
        <v>2.4586725441823498</v>
      </c>
      <c r="I62" s="3">
        <v>1.0400015552356516</v>
      </c>
      <c r="J62" s="3">
        <v>2.3641046802331411</v>
      </c>
      <c r="K62" s="3">
        <v>5.5969413904299478E-2</v>
      </c>
      <c r="L62" s="3">
        <v>-8.6119586532965808E-2</v>
      </c>
      <c r="M62" s="3">
        <v>5.0034646748976659</v>
      </c>
      <c r="N62" s="3">
        <v>-8.6119586532965808E-2</v>
      </c>
      <c r="O62" s="3">
        <v>5.0034646748976659</v>
      </c>
    </row>
    <row r="63" spans="1:18" x14ac:dyDescent="0.25">
      <c r="G63" s="3" t="s">
        <v>21</v>
      </c>
      <c r="H63" s="3">
        <v>-8.1493212547416219E-2</v>
      </c>
      <c r="I63" s="3">
        <v>5.883351831886089E-2</v>
      </c>
      <c r="J63" s="3">
        <v>-1.3851493991188195</v>
      </c>
      <c r="K63" s="3">
        <v>0.21530693106840859</v>
      </c>
      <c r="L63" s="3">
        <v>-0.2254536457663916</v>
      </c>
      <c r="M63" s="3">
        <v>6.2467220671559173E-2</v>
      </c>
      <c r="N63" s="3">
        <v>-0.2254536457663916</v>
      </c>
      <c r="O63" s="3">
        <v>6.2467220671559173E-2</v>
      </c>
    </row>
    <row r="64" spans="1:18" x14ac:dyDescent="0.25">
      <c r="G64" s="3" t="s">
        <v>22</v>
      </c>
      <c r="H64" s="3">
        <v>-1.0880083721825804E-3</v>
      </c>
      <c r="I64" s="3">
        <v>3.3467058064098202E-3</v>
      </c>
      <c r="J64" s="3">
        <v>-0.32509830117088834</v>
      </c>
      <c r="K64" s="3">
        <v>0.7561436374501378</v>
      </c>
      <c r="L64" s="3">
        <v>-9.2771024721824517E-3</v>
      </c>
      <c r="M64" s="3">
        <v>7.1010857278172917E-3</v>
      </c>
      <c r="N64" s="3">
        <v>-9.2771024721824517E-3</v>
      </c>
      <c r="O64" s="3">
        <v>7.1010857278172917E-3</v>
      </c>
    </row>
    <row r="65" spans="1:19" ht="15.75" thickBot="1" x14ac:dyDescent="0.3">
      <c r="G65" s="4" t="s">
        <v>95</v>
      </c>
      <c r="H65" s="4">
        <v>7.4712143962637921E-3</v>
      </c>
      <c r="I65" s="4">
        <v>9.220916727855721E-3</v>
      </c>
      <c r="J65" s="4">
        <v>0.81024637970038216</v>
      </c>
      <c r="K65" s="4">
        <v>0.44873320205500677</v>
      </c>
      <c r="L65" s="4">
        <v>-1.5091556023547267E-2</v>
      </c>
      <c r="M65" s="4">
        <v>3.0033984816074853E-2</v>
      </c>
      <c r="N65" s="4">
        <v>-1.5091556023547267E-2</v>
      </c>
      <c r="O65" s="4">
        <v>3.0033984816074853E-2</v>
      </c>
    </row>
    <row r="68" spans="1:19" x14ac:dyDescent="0.25">
      <c r="B68" t="s">
        <v>53</v>
      </c>
    </row>
    <row r="69" spans="1:19" x14ac:dyDescent="0.25">
      <c r="A69" t="s">
        <v>21</v>
      </c>
      <c r="B69" t="s">
        <v>22</v>
      </c>
      <c r="C69" t="s">
        <v>95</v>
      </c>
      <c r="D69" t="s">
        <v>82</v>
      </c>
      <c r="G69" t="s">
        <v>24</v>
      </c>
    </row>
    <row r="70" spans="1:19" ht="15.75" thickBot="1" x14ac:dyDescent="0.3">
      <c r="A70">
        <v>26.42</v>
      </c>
      <c r="B70">
        <v>226</v>
      </c>
      <c r="C70">
        <v>80</v>
      </c>
      <c r="D70">
        <v>3.51</v>
      </c>
      <c r="P70" t="s">
        <v>88</v>
      </c>
      <c r="Q70" t="s">
        <v>89</v>
      </c>
      <c r="R70" t="s">
        <v>90</v>
      </c>
      <c r="S70" t="s">
        <v>82</v>
      </c>
    </row>
    <row r="71" spans="1:19" x14ac:dyDescent="0.25">
      <c r="A71">
        <v>27.42</v>
      </c>
      <c r="B71">
        <v>184</v>
      </c>
      <c r="C71">
        <v>82</v>
      </c>
      <c r="D71">
        <v>3.51</v>
      </c>
      <c r="G71" s="2" t="s">
        <v>27</v>
      </c>
      <c r="H71" s="2"/>
      <c r="P71">
        <v>27.55</v>
      </c>
      <c r="Q71">
        <v>166</v>
      </c>
      <c r="R71">
        <v>80</v>
      </c>
      <c r="S71">
        <f>H85+H86*P71+H87*Q71+H88*R71</f>
        <v>3.531309446689467</v>
      </c>
    </row>
    <row r="72" spans="1:19" x14ac:dyDescent="0.25">
      <c r="A72">
        <v>26.95</v>
      </c>
      <c r="B72">
        <v>242</v>
      </c>
      <c r="C72">
        <v>81</v>
      </c>
      <c r="D72">
        <v>3.34</v>
      </c>
      <c r="G72" s="3" t="s">
        <v>28</v>
      </c>
      <c r="H72" s="3">
        <v>0.39619295174456842</v>
      </c>
    </row>
    <row r="73" spans="1:19" x14ac:dyDescent="0.25">
      <c r="A73">
        <v>27.07</v>
      </c>
      <c r="B73">
        <v>226</v>
      </c>
      <c r="C73">
        <v>81</v>
      </c>
      <c r="D73">
        <v>4.71</v>
      </c>
      <c r="G73" s="3" t="s">
        <v>30</v>
      </c>
      <c r="H73" s="3">
        <v>0.15696885501207394</v>
      </c>
      <c r="R73" t="s">
        <v>83</v>
      </c>
    </row>
    <row r="74" spans="1:19" x14ac:dyDescent="0.25">
      <c r="A74">
        <v>26.8</v>
      </c>
      <c r="B74">
        <v>299</v>
      </c>
      <c r="C74">
        <v>81</v>
      </c>
      <c r="D74">
        <v>3.23</v>
      </c>
      <c r="G74" s="3" t="s">
        <v>31</v>
      </c>
      <c r="H74" s="3">
        <v>-0.26454671748188907</v>
      </c>
      <c r="R74" s="10">
        <v>6.8599999999999994E-2</v>
      </c>
    </row>
    <row r="75" spans="1:19" x14ac:dyDescent="0.25">
      <c r="A75">
        <v>27.35</v>
      </c>
      <c r="B75">
        <v>269</v>
      </c>
      <c r="C75">
        <v>82</v>
      </c>
      <c r="D75">
        <v>3.16</v>
      </c>
      <c r="G75" s="3" t="s">
        <v>32</v>
      </c>
      <c r="H75" s="3">
        <v>0.50761747840049942</v>
      </c>
    </row>
    <row r="76" spans="1:19" ht="15.75" thickBot="1" x14ac:dyDescent="0.3">
      <c r="A76">
        <v>27.67</v>
      </c>
      <c r="B76">
        <v>153</v>
      </c>
      <c r="C76">
        <v>80</v>
      </c>
      <c r="D76">
        <v>3.3679999999999999</v>
      </c>
      <c r="G76" s="4" t="s">
        <v>33</v>
      </c>
      <c r="H76" s="4">
        <v>10</v>
      </c>
    </row>
    <row r="77" spans="1:19" x14ac:dyDescent="0.25">
      <c r="A77">
        <v>27.77</v>
      </c>
      <c r="B77">
        <v>215</v>
      </c>
      <c r="C77">
        <v>81</v>
      </c>
      <c r="D77">
        <v>3.28</v>
      </c>
    </row>
    <row r="78" spans="1:19" ht="15.75" thickBot="1" x14ac:dyDescent="0.3">
      <c r="A78">
        <v>27.07</v>
      </c>
      <c r="B78">
        <v>200</v>
      </c>
      <c r="C78">
        <v>79</v>
      </c>
      <c r="D78">
        <v>3.63</v>
      </c>
      <c r="G78" t="s">
        <v>34</v>
      </c>
    </row>
    <row r="79" spans="1:19" x14ac:dyDescent="0.25">
      <c r="A79">
        <v>27.32</v>
      </c>
      <c r="B79">
        <v>132</v>
      </c>
      <c r="C79">
        <v>75</v>
      </c>
      <c r="D79">
        <v>3.23</v>
      </c>
      <c r="G79" s="5"/>
      <c r="H79" s="5" t="s">
        <v>35</v>
      </c>
      <c r="I79" s="5" t="s">
        <v>36</v>
      </c>
      <c r="J79" s="5" t="s">
        <v>37</v>
      </c>
      <c r="K79" s="5" t="s">
        <v>38</v>
      </c>
      <c r="L79" s="5" t="s">
        <v>39</v>
      </c>
    </row>
    <row r="80" spans="1:19" x14ac:dyDescent="0.25">
      <c r="G80" s="3" t="s">
        <v>40</v>
      </c>
      <c r="H80" s="3">
        <v>3</v>
      </c>
      <c r="I80" s="3">
        <v>0.28786857373391062</v>
      </c>
      <c r="J80" s="3">
        <v>9.5956191244636876E-2</v>
      </c>
      <c r="K80" s="3">
        <v>0.37239159180607034</v>
      </c>
      <c r="L80" s="3">
        <v>0.77629576699385971</v>
      </c>
    </row>
    <row r="81" spans="1:19" x14ac:dyDescent="0.25">
      <c r="G81" s="3" t="s">
        <v>41</v>
      </c>
      <c r="H81" s="3">
        <v>6</v>
      </c>
      <c r="I81" s="3">
        <v>1.5460530262660892</v>
      </c>
      <c r="J81" s="3">
        <v>0.25767550437768155</v>
      </c>
      <c r="K81" s="3"/>
      <c r="L81" s="3"/>
    </row>
    <row r="82" spans="1:19" ht="15.75" thickBot="1" x14ac:dyDescent="0.3">
      <c r="G82" s="4" t="s">
        <v>42</v>
      </c>
      <c r="H82" s="4">
        <v>9</v>
      </c>
      <c r="I82" s="4">
        <v>1.8339215999999998</v>
      </c>
      <c r="J82" s="4"/>
      <c r="K82" s="4"/>
      <c r="L82" s="4"/>
    </row>
    <row r="83" spans="1:19" ht="15.75" thickBot="1" x14ac:dyDescent="0.3"/>
    <row r="84" spans="1:19" x14ac:dyDescent="0.25">
      <c r="G84" s="5"/>
      <c r="H84" s="5" t="s">
        <v>43</v>
      </c>
      <c r="I84" s="5" t="s">
        <v>32</v>
      </c>
      <c r="J84" s="5" t="s">
        <v>44</v>
      </c>
      <c r="K84" s="5" t="s">
        <v>45</v>
      </c>
      <c r="L84" s="5" t="s">
        <v>46</v>
      </c>
      <c r="M84" s="5" t="s">
        <v>47</v>
      </c>
      <c r="N84" s="5" t="s">
        <v>48</v>
      </c>
      <c r="O84" s="5" t="s">
        <v>49</v>
      </c>
    </row>
    <row r="85" spans="1:19" x14ac:dyDescent="0.25">
      <c r="G85" s="3" t="s">
        <v>50</v>
      </c>
      <c r="H85" s="3">
        <v>9.1596159942410864</v>
      </c>
      <c r="I85" s="3">
        <v>13.358967242573694</v>
      </c>
      <c r="J85" s="3">
        <v>0.68565300205619972</v>
      </c>
      <c r="K85" s="3">
        <v>0.51853218769425169</v>
      </c>
      <c r="L85" s="3">
        <v>-23.528599270669922</v>
      </c>
      <c r="M85" s="3">
        <v>41.847831259152095</v>
      </c>
      <c r="N85" s="3">
        <v>-23.528599270669922</v>
      </c>
      <c r="O85" s="3">
        <v>41.847831259152095</v>
      </c>
    </row>
    <row r="86" spans="1:19" x14ac:dyDescent="0.25">
      <c r="G86" s="3" t="s">
        <v>21</v>
      </c>
      <c r="H86" s="3">
        <v>-0.48950550239189483</v>
      </c>
      <c r="I86" s="3">
        <v>0.53067370852058571</v>
      </c>
      <c r="J86" s="3">
        <v>-0.92242275155582931</v>
      </c>
      <c r="K86" s="3">
        <v>0.39189077302934011</v>
      </c>
      <c r="L86" s="3">
        <v>-1.7880172888619672</v>
      </c>
      <c r="M86" s="3">
        <v>0.80900628407817754</v>
      </c>
      <c r="N86" s="3">
        <v>-1.7880172888619672</v>
      </c>
      <c r="O86" s="3">
        <v>0.80900628407817754</v>
      </c>
    </row>
    <row r="87" spans="1:19" x14ac:dyDescent="0.25">
      <c r="G87" s="3" t="s">
        <v>22</v>
      </c>
      <c r="H87" s="3">
        <v>-4.8420127772804897E-3</v>
      </c>
      <c r="I87" s="3">
        <v>5.6174499144744771E-3</v>
      </c>
      <c r="J87" s="3">
        <v>-0.86195922544927028</v>
      </c>
      <c r="K87" s="3">
        <v>0.4218178508068921</v>
      </c>
      <c r="L87" s="3">
        <v>-1.8587417546221383E-2</v>
      </c>
      <c r="M87" s="3">
        <v>8.9033919916604049E-3</v>
      </c>
      <c r="N87" s="3">
        <v>-1.8587417546221383E-2</v>
      </c>
      <c r="O87" s="3">
        <v>8.9033919916604049E-3</v>
      </c>
    </row>
    <row r="88" spans="1:19" ht="15.75" thickBot="1" x14ac:dyDescent="0.3">
      <c r="G88" s="4" t="s">
        <v>95</v>
      </c>
      <c r="H88" s="4">
        <v>0.10826680205467056</v>
      </c>
      <c r="I88" s="4">
        <v>0.12248494092140907</v>
      </c>
      <c r="J88" s="4">
        <v>0.88391929032433947</v>
      </c>
      <c r="K88" s="4">
        <v>0.41075618510614209</v>
      </c>
      <c r="L88" s="4">
        <v>-0.19144305147271679</v>
      </c>
      <c r="M88" s="4">
        <v>0.40797665558205787</v>
      </c>
      <c r="N88" s="4">
        <v>-0.19144305147271679</v>
      </c>
      <c r="O88" s="4">
        <v>0.40797665558205787</v>
      </c>
    </row>
    <row r="90" spans="1:19" x14ac:dyDescent="0.25">
      <c r="B90" t="s">
        <v>5</v>
      </c>
    </row>
    <row r="91" spans="1:19" x14ac:dyDescent="0.25">
      <c r="A91" t="s">
        <v>21</v>
      </c>
      <c r="B91" t="s">
        <v>22</v>
      </c>
      <c r="C91" t="s">
        <v>95</v>
      </c>
      <c r="D91" t="s">
        <v>82</v>
      </c>
      <c r="G91" t="s">
        <v>24</v>
      </c>
    </row>
    <row r="92" spans="1:19" ht="15.75" thickBot="1" x14ac:dyDescent="0.3">
      <c r="A92">
        <v>20.100000000000001</v>
      </c>
      <c r="B92">
        <v>4</v>
      </c>
      <c r="C92">
        <v>72</v>
      </c>
      <c r="D92">
        <v>3.8319999999999999</v>
      </c>
    </row>
    <row r="93" spans="1:19" x14ac:dyDescent="0.25">
      <c r="A93">
        <v>20.47</v>
      </c>
      <c r="B93">
        <v>12</v>
      </c>
      <c r="C93">
        <v>80</v>
      </c>
      <c r="D93">
        <v>3.8319999999999999</v>
      </c>
      <c r="G93" s="2" t="s">
        <v>27</v>
      </c>
      <c r="H93" s="2"/>
      <c r="P93" t="s">
        <v>88</v>
      </c>
      <c r="Q93" t="s">
        <v>89</v>
      </c>
      <c r="R93" t="s">
        <v>90</v>
      </c>
      <c r="S93" t="s">
        <v>82</v>
      </c>
    </row>
    <row r="94" spans="1:19" x14ac:dyDescent="0.25">
      <c r="A94">
        <v>20.92</v>
      </c>
      <c r="B94">
        <v>1</v>
      </c>
      <c r="C94">
        <v>80</v>
      </c>
      <c r="D94">
        <v>2.6280000000000001</v>
      </c>
      <c r="G94" s="3" t="s">
        <v>28</v>
      </c>
      <c r="H94" s="3">
        <v>0.63784483366945877</v>
      </c>
      <c r="P94">
        <v>20.3</v>
      </c>
      <c r="Q94">
        <v>10</v>
      </c>
      <c r="R94">
        <v>78</v>
      </c>
      <c r="S94">
        <f>H107+H108*P94+H109*Q94+H110*R94</f>
        <v>3.6394637110950683</v>
      </c>
    </row>
    <row r="95" spans="1:19" x14ac:dyDescent="0.25">
      <c r="A95">
        <v>21.27</v>
      </c>
      <c r="B95">
        <v>14</v>
      </c>
      <c r="C95">
        <v>85</v>
      </c>
      <c r="D95">
        <v>3.6539999999999999</v>
      </c>
      <c r="G95" s="3" t="s">
        <v>30</v>
      </c>
      <c r="H95" s="3">
        <v>0.40684603183881951</v>
      </c>
    </row>
    <row r="96" spans="1:19" x14ac:dyDescent="0.25">
      <c r="A96">
        <v>20.37</v>
      </c>
      <c r="B96">
        <v>26</v>
      </c>
      <c r="C96">
        <v>83</v>
      </c>
      <c r="D96">
        <v>3.621</v>
      </c>
      <c r="G96" s="3" t="s">
        <v>31</v>
      </c>
      <c r="H96" s="3">
        <v>0.11026904775822925</v>
      </c>
      <c r="R96" t="s">
        <v>83</v>
      </c>
    </row>
    <row r="97" spans="1:18" x14ac:dyDescent="0.25">
      <c r="A97">
        <v>20.37</v>
      </c>
      <c r="B97">
        <v>1</v>
      </c>
      <c r="C97">
        <v>82</v>
      </c>
      <c r="D97">
        <v>2.8140000000000001</v>
      </c>
      <c r="G97" s="3" t="s">
        <v>32</v>
      </c>
      <c r="H97" s="3">
        <v>0.39936942615917809</v>
      </c>
      <c r="R97" s="10">
        <v>0.2026</v>
      </c>
    </row>
    <row r="98" spans="1:18" ht="15.75" thickBot="1" x14ac:dyDescent="0.3">
      <c r="A98">
        <v>21.125</v>
      </c>
      <c r="B98">
        <v>1</v>
      </c>
      <c r="C98">
        <v>82</v>
      </c>
      <c r="D98">
        <v>3.6320000000000001</v>
      </c>
      <c r="G98" s="4" t="s">
        <v>33</v>
      </c>
      <c r="H98" s="4">
        <v>10</v>
      </c>
    </row>
    <row r="99" spans="1:18" x14ac:dyDescent="0.25">
      <c r="A99">
        <v>20.8</v>
      </c>
      <c r="B99">
        <v>15</v>
      </c>
      <c r="C99">
        <v>80</v>
      </c>
      <c r="D99">
        <v>3.81</v>
      </c>
    </row>
    <row r="100" spans="1:18" ht="15.75" thickBot="1" x14ac:dyDescent="0.3">
      <c r="A100">
        <v>19.920000000000002</v>
      </c>
      <c r="B100">
        <v>4</v>
      </c>
      <c r="C100">
        <v>80</v>
      </c>
      <c r="D100">
        <v>3.5569999999999999</v>
      </c>
      <c r="G100" t="s">
        <v>34</v>
      </c>
    </row>
    <row r="101" spans="1:18" x14ac:dyDescent="0.25">
      <c r="A101">
        <v>19.8</v>
      </c>
      <c r="B101">
        <v>9</v>
      </c>
      <c r="C101">
        <v>80</v>
      </c>
      <c r="D101">
        <v>3.39</v>
      </c>
      <c r="G101" s="5"/>
      <c r="H101" s="5" t="s">
        <v>35</v>
      </c>
      <c r="I101" s="5" t="s">
        <v>36</v>
      </c>
      <c r="J101" s="5" t="s">
        <v>37</v>
      </c>
      <c r="K101" s="5" t="s">
        <v>38</v>
      </c>
      <c r="L101" s="5" t="s">
        <v>39</v>
      </c>
    </row>
    <row r="102" spans="1:18" x14ac:dyDescent="0.25">
      <c r="G102" s="3" t="s">
        <v>40</v>
      </c>
      <c r="H102" s="3">
        <v>3</v>
      </c>
      <c r="I102" s="3">
        <v>0.65639236869573248</v>
      </c>
      <c r="J102" s="3">
        <v>0.21879745623191083</v>
      </c>
      <c r="K102" s="3">
        <v>1.3718058166248848</v>
      </c>
      <c r="L102" s="3">
        <v>0.33841491241724331</v>
      </c>
    </row>
    <row r="103" spans="1:18" x14ac:dyDescent="0.25">
      <c r="G103" s="3" t="s">
        <v>41</v>
      </c>
      <c r="H103" s="3">
        <v>6</v>
      </c>
      <c r="I103" s="3">
        <v>0.95697563130426722</v>
      </c>
      <c r="J103" s="3">
        <v>0.1594959385507112</v>
      </c>
      <c r="K103" s="3"/>
      <c r="L103" s="3"/>
    </row>
    <row r="104" spans="1:18" ht="15.75" thickBot="1" x14ac:dyDescent="0.3">
      <c r="G104" s="4" t="s">
        <v>42</v>
      </c>
      <c r="H104" s="4">
        <v>9</v>
      </c>
      <c r="I104" s="4">
        <v>1.6133679999999997</v>
      </c>
      <c r="J104" s="4"/>
      <c r="K104" s="4"/>
      <c r="L104" s="4"/>
    </row>
    <row r="105" spans="1:18" ht="15.75" thickBot="1" x14ac:dyDescent="0.3"/>
    <row r="106" spans="1:18" x14ac:dyDescent="0.25">
      <c r="G106" s="5"/>
      <c r="H106" s="5" t="s">
        <v>43</v>
      </c>
      <c r="I106" s="5" t="s">
        <v>32</v>
      </c>
      <c r="J106" s="5" t="s">
        <v>44</v>
      </c>
      <c r="K106" s="5" t="s">
        <v>45</v>
      </c>
      <c r="L106" s="5" t="s">
        <v>46</v>
      </c>
      <c r="M106" s="5" t="s">
        <v>47</v>
      </c>
      <c r="N106" s="5" t="s">
        <v>48</v>
      </c>
      <c r="O106" s="5" t="s">
        <v>49</v>
      </c>
    </row>
    <row r="107" spans="1:18" x14ac:dyDescent="0.25">
      <c r="G107" s="3" t="s">
        <v>50</v>
      </c>
      <c r="H107" s="3">
        <v>5.0759390668952404</v>
      </c>
      <c r="I107" s="3">
        <v>5.4704242784305679</v>
      </c>
      <c r="J107" s="3">
        <v>0.92788763879051395</v>
      </c>
      <c r="K107" s="3">
        <v>0.38926771471553878</v>
      </c>
      <c r="L107" s="3">
        <v>-8.3097069307876872</v>
      </c>
      <c r="M107" s="3">
        <v>18.461585064578166</v>
      </c>
      <c r="N107" s="3">
        <v>-8.3097069307876872</v>
      </c>
      <c r="O107" s="3">
        <v>18.461585064578166</v>
      </c>
    </row>
    <row r="108" spans="1:18" x14ac:dyDescent="0.25">
      <c r="G108" s="3" t="s">
        <v>21</v>
      </c>
      <c r="H108" s="3">
        <v>0.15565734269831957</v>
      </c>
      <c r="I108" s="3">
        <v>0.30946521702466134</v>
      </c>
      <c r="J108" s="3">
        <v>0.50298816841155758</v>
      </c>
      <c r="K108" s="3">
        <v>0.63289885597233164</v>
      </c>
      <c r="L108" s="3">
        <v>-0.60157676435647434</v>
      </c>
      <c r="M108" s="3">
        <v>0.91289144975311343</v>
      </c>
      <c r="N108" s="3">
        <v>-0.60157676435647434</v>
      </c>
      <c r="O108" s="3">
        <v>0.91289144975311343</v>
      </c>
    </row>
    <row r="109" spans="1:18" x14ac:dyDescent="0.25">
      <c r="G109" s="3" t="s">
        <v>22</v>
      </c>
      <c r="H109" s="3">
        <v>3.3854113843048511E-2</v>
      </c>
      <c r="I109" s="3">
        <v>1.7603724344431859E-2</v>
      </c>
      <c r="J109" s="3">
        <v>1.9231222428086205</v>
      </c>
      <c r="K109" s="3">
        <v>0.10282004926494027</v>
      </c>
      <c r="L109" s="3">
        <v>-9.2206478796310193E-3</v>
      </c>
      <c r="M109" s="3">
        <v>7.6928875565728042E-2</v>
      </c>
      <c r="N109" s="3">
        <v>-9.2206478796310193E-3</v>
      </c>
      <c r="O109" s="3">
        <v>7.6928875565728042E-2</v>
      </c>
    </row>
    <row r="110" spans="1:18" ht="15.75" thickBot="1" x14ac:dyDescent="0.3">
      <c r="G110" s="4" t="s">
        <v>95</v>
      </c>
      <c r="H110" s="4">
        <v>-6.3267442961622386E-2</v>
      </c>
      <c r="I110" s="4">
        <v>4.8502164716493018E-2</v>
      </c>
      <c r="J110" s="4">
        <v>-1.3044251391960755</v>
      </c>
      <c r="K110" s="4">
        <v>0.23988774191047627</v>
      </c>
      <c r="L110" s="4">
        <v>-0.18194796461259455</v>
      </c>
      <c r="M110" s="4">
        <v>5.5413078689349776E-2</v>
      </c>
      <c r="N110" s="4">
        <v>-0.18194796461259455</v>
      </c>
      <c r="O110" s="4">
        <v>5.5413078689349776E-2</v>
      </c>
    </row>
    <row r="112" spans="1:18" x14ac:dyDescent="0.25">
      <c r="A112" t="s">
        <v>96</v>
      </c>
      <c r="B112" t="s">
        <v>87</v>
      </c>
      <c r="C112" t="s">
        <v>97</v>
      </c>
      <c r="D112" t="s">
        <v>98</v>
      </c>
    </row>
    <row r="113" spans="1:19" x14ac:dyDescent="0.25">
      <c r="A113" t="s">
        <v>21</v>
      </c>
      <c r="B113" t="s">
        <v>22</v>
      </c>
      <c r="C113" t="s">
        <v>95</v>
      </c>
      <c r="D113" t="s">
        <v>23</v>
      </c>
      <c r="G113" t="s">
        <v>24</v>
      </c>
    </row>
    <row r="114" spans="1:19" ht="15.75" thickBot="1" x14ac:dyDescent="0.3">
      <c r="A114">
        <v>20.100000000000001</v>
      </c>
      <c r="B114">
        <v>4</v>
      </c>
      <c r="C114">
        <v>72</v>
      </c>
      <c r="D114">
        <v>0.64300000000000002</v>
      </c>
      <c r="P114" t="s">
        <v>88</v>
      </c>
      <c r="Q114" t="s">
        <v>89</v>
      </c>
      <c r="R114" t="s">
        <v>90</v>
      </c>
      <c r="S114" t="s">
        <v>82</v>
      </c>
    </row>
    <row r="115" spans="1:19" x14ac:dyDescent="0.25">
      <c r="A115">
        <v>20.47</v>
      </c>
      <c r="B115">
        <v>12</v>
      </c>
      <c r="C115">
        <v>80</v>
      </c>
      <c r="D115">
        <v>0.58199999999999996</v>
      </c>
      <c r="G115" s="2" t="s">
        <v>27</v>
      </c>
      <c r="H115" s="2"/>
      <c r="P115">
        <v>20.3</v>
      </c>
      <c r="Q115">
        <v>10</v>
      </c>
      <c r="R115">
        <v>78</v>
      </c>
      <c r="S115">
        <f>H129+H130*P115+H131*Q115+H132*R115</f>
        <v>0.68983823078104223</v>
      </c>
    </row>
    <row r="116" spans="1:19" x14ac:dyDescent="0.25">
      <c r="A116">
        <v>20.92</v>
      </c>
      <c r="B116">
        <v>1</v>
      </c>
      <c r="C116">
        <v>80</v>
      </c>
      <c r="D116">
        <v>0.49199999999999999</v>
      </c>
      <c r="G116" s="3" t="s">
        <v>28</v>
      </c>
      <c r="H116" s="3">
        <v>0.49603914062224691</v>
      </c>
    </row>
    <row r="117" spans="1:19" x14ac:dyDescent="0.25">
      <c r="A117">
        <v>21.27</v>
      </c>
      <c r="B117">
        <v>14</v>
      </c>
      <c r="C117">
        <v>85</v>
      </c>
      <c r="D117">
        <v>0.626</v>
      </c>
      <c r="G117" s="3" t="s">
        <v>30</v>
      </c>
      <c r="H117" s="3">
        <v>0.24605482902925724</v>
      </c>
      <c r="Q117" t="s">
        <v>83</v>
      </c>
    </row>
    <row r="118" spans="1:19" x14ac:dyDescent="0.25">
      <c r="A118">
        <v>20.37</v>
      </c>
      <c r="B118">
        <v>26</v>
      </c>
      <c r="C118">
        <v>83</v>
      </c>
      <c r="D118">
        <v>0.61899999999999999</v>
      </c>
      <c r="G118" s="3" t="s">
        <v>31</v>
      </c>
      <c r="H118" s="3">
        <v>-0.13091775645611414</v>
      </c>
      <c r="Q118" s="10">
        <v>0.32700000000000001</v>
      </c>
    </row>
    <row r="119" spans="1:19" x14ac:dyDescent="0.25">
      <c r="A119">
        <v>20.37</v>
      </c>
      <c r="B119">
        <v>1</v>
      </c>
      <c r="C119">
        <v>82</v>
      </c>
      <c r="D119">
        <v>0.66700000000000004</v>
      </c>
      <c r="G119" s="3" t="s">
        <v>32</v>
      </c>
      <c r="H119" s="3">
        <v>0.15422295832452076</v>
      </c>
    </row>
    <row r="120" spans="1:19" ht="15.75" thickBot="1" x14ac:dyDescent="0.3">
      <c r="A120">
        <v>21.125</v>
      </c>
      <c r="B120">
        <v>1</v>
      </c>
      <c r="C120">
        <v>82</v>
      </c>
      <c r="D120">
        <v>0.44600000000000001</v>
      </c>
      <c r="G120" s="4" t="s">
        <v>33</v>
      </c>
      <c r="H120" s="4">
        <v>10</v>
      </c>
    </row>
    <row r="121" spans="1:19" x14ac:dyDescent="0.25">
      <c r="A121">
        <v>20.8</v>
      </c>
      <c r="B121">
        <v>15</v>
      </c>
      <c r="C121">
        <v>80</v>
      </c>
      <c r="D121">
        <v>0.96199999999999997</v>
      </c>
    </row>
    <row r="122" spans="1:19" ht="15.75" thickBot="1" x14ac:dyDescent="0.3">
      <c r="A122">
        <v>19.920000000000002</v>
      </c>
      <c r="B122">
        <v>4</v>
      </c>
      <c r="C122">
        <v>80</v>
      </c>
      <c r="D122">
        <v>0.72399999999999998</v>
      </c>
      <c r="G122" t="s">
        <v>34</v>
      </c>
    </row>
    <row r="123" spans="1:19" x14ac:dyDescent="0.25">
      <c r="A123">
        <v>19.8</v>
      </c>
      <c r="B123">
        <v>9</v>
      </c>
      <c r="C123">
        <v>80</v>
      </c>
      <c r="D123">
        <v>0.76600000000000001</v>
      </c>
      <c r="G123" s="5"/>
      <c r="H123" s="5" t="s">
        <v>35</v>
      </c>
      <c r="I123" s="5" t="s">
        <v>36</v>
      </c>
      <c r="J123" s="5" t="s">
        <v>37</v>
      </c>
      <c r="K123" s="5" t="s">
        <v>38</v>
      </c>
      <c r="L123" s="5" t="s">
        <v>39</v>
      </c>
    </row>
    <row r="124" spans="1:19" x14ac:dyDescent="0.25">
      <c r="G124" s="3" t="s">
        <v>40</v>
      </c>
      <c r="H124" s="3">
        <v>3</v>
      </c>
      <c r="I124" s="3">
        <v>4.6573774753798758E-2</v>
      </c>
      <c r="J124" s="3">
        <v>1.5524591584599587E-2</v>
      </c>
      <c r="K124" s="3">
        <v>0.65271279266222804</v>
      </c>
      <c r="L124" s="3">
        <v>0.60983004130056973</v>
      </c>
    </row>
    <row r="125" spans="1:19" x14ac:dyDescent="0.25">
      <c r="G125" s="3" t="s">
        <v>41</v>
      </c>
      <c r="H125" s="3">
        <v>6</v>
      </c>
      <c r="I125" s="3">
        <v>0.1427083252462012</v>
      </c>
      <c r="J125" s="3">
        <v>2.3784720874366866E-2</v>
      </c>
      <c r="K125" s="3"/>
      <c r="L125" s="3"/>
    </row>
    <row r="126" spans="1:19" ht="15.75" thickBot="1" x14ac:dyDescent="0.3">
      <c r="G126" s="4" t="s">
        <v>42</v>
      </c>
      <c r="H126" s="4">
        <v>9</v>
      </c>
      <c r="I126" s="4">
        <v>0.18928209999999995</v>
      </c>
      <c r="J126" s="4"/>
      <c r="K126" s="4"/>
      <c r="L126" s="4"/>
    </row>
    <row r="127" spans="1:19" ht="15.75" thickBot="1" x14ac:dyDescent="0.3"/>
    <row r="128" spans="1:19" x14ac:dyDescent="0.25">
      <c r="G128" s="5"/>
      <c r="H128" s="5" t="s">
        <v>43</v>
      </c>
      <c r="I128" s="5" t="s">
        <v>32</v>
      </c>
      <c r="J128" s="5" t="s">
        <v>44</v>
      </c>
      <c r="K128" s="5" t="s">
        <v>45</v>
      </c>
      <c r="L128" s="5" t="s">
        <v>46</v>
      </c>
      <c r="M128" s="5" t="s">
        <v>47</v>
      </c>
      <c r="N128" s="5" t="s">
        <v>48</v>
      </c>
      <c r="O128" s="5" t="s">
        <v>49</v>
      </c>
    </row>
    <row r="129" spans="7:15" x14ac:dyDescent="0.25">
      <c r="G129" s="3" t="s">
        <v>50</v>
      </c>
      <c r="H129" s="3">
        <v>2.833421626202568</v>
      </c>
      <c r="I129" s="3">
        <v>2.1124927454351035</v>
      </c>
      <c r="J129" s="3">
        <v>1.3412692811965028</v>
      </c>
      <c r="K129" s="3">
        <v>0.22837164868742071</v>
      </c>
      <c r="L129" s="3">
        <v>-2.3356619080603598</v>
      </c>
      <c r="M129" s="3">
        <v>8.0025051604654962</v>
      </c>
      <c r="N129" s="3">
        <v>-2.3356619080603598</v>
      </c>
      <c r="O129" s="3">
        <v>8.0025051604654962</v>
      </c>
    </row>
    <row r="130" spans="7:15" x14ac:dyDescent="0.25">
      <c r="G130" s="3" t="s">
        <v>21</v>
      </c>
      <c r="H130" s="3">
        <v>-9.5375853781461392E-2</v>
      </c>
      <c r="I130" s="3">
        <v>0.11950499497941172</v>
      </c>
      <c r="J130" s="3">
        <v>-0.79809094003052095</v>
      </c>
      <c r="K130" s="3">
        <v>0.45523610083922161</v>
      </c>
      <c r="L130" s="3">
        <v>-0.38779404226760406</v>
      </c>
      <c r="M130" s="3">
        <v>0.19704233470468124</v>
      </c>
      <c r="N130" s="3">
        <v>-0.38779404226760406</v>
      </c>
      <c r="O130" s="3">
        <v>0.19704233470468124</v>
      </c>
    </row>
    <row r="131" spans="7:15" x14ac:dyDescent="0.25">
      <c r="G131" s="3" t="s">
        <v>22</v>
      </c>
      <c r="H131" s="3">
        <v>6.40478499621021E-3</v>
      </c>
      <c r="I131" s="3">
        <v>6.7979626583773078E-3</v>
      </c>
      <c r="J131" s="3">
        <v>0.94216242690262875</v>
      </c>
      <c r="K131" s="3">
        <v>0.38247987176619336</v>
      </c>
      <c r="L131" s="3">
        <v>-1.0229230396214187E-2</v>
      </c>
      <c r="M131" s="3">
        <v>2.3038800388634609E-2</v>
      </c>
      <c r="N131" s="3">
        <v>-1.0229230396214187E-2</v>
      </c>
      <c r="O131" s="3">
        <v>2.3038800388634609E-2</v>
      </c>
    </row>
    <row r="132" spans="7:15" ht="15.75" thickBot="1" x14ac:dyDescent="0.3">
      <c r="G132" s="4" t="s">
        <v>95</v>
      </c>
      <c r="H132" s="4">
        <v>-3.4807873541020697E-3</v>
      </c>
      <c r="I132" s="4">
        <v>1.8729894773515676E-2</v>
      </c>
      <c r="J132" s="4">
        <v>-0.18584126585825511</v>
      </c>
      <c r="K132" s="4">
        <v>0.85869286349091456</v>
      </c>
      <c r="L132" s="4">
        <v>-4.9311188846115808E-2</v>
      </c>
      <c r="M132" s="4">
        <v>4.2349614137911662E-2</v>
      </c>
      <c r="N132" s="4">
        <v>-4.9311188846115808E-2</v>
      </c>
      <c r="O132" s="4">
        <v>4.2349614137911662E-2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16" workbookViewId="0">
      <selection activeCell="N73" sqref="N73"/>
    </sheetView>
  </sheetViews>
  <sheetFormatPr defaultRowHeight="15" x14ac:dyDescent="0.25"/>
  <sheetData>
    <row r="1" spans="1:14" x14ac:dyDescent="0.25">
      <c r="A1" t="s">
        <v>66</v>
      </c>
      <c r="B1" t="s">
        <v>64</v>
      </c>
      <c r="M1" t="s">
        <v>67</v>
      </c>
      <c r="N1" t="s">
        <v>64</v>
      </c>
    </row>
    <row r="2" spans="1:14" x14ac:dyDescent="0.25">
      <c r="B2">
        <v>82</v>
      </c>
      <c r="N2">
        <v>75</v>
      </c>
    </row>
    <row r="3" spans="1:14" x14ac:dyDescent="0.25">
      <c r="B3">
        <v>81.5</v>
      </c>
      <c r="N3">
        <v>74</v>
      </c>
    </row>
    <row r="4" spans="1:14" x14ac:dyDescent="0.25">
      <c r="B4">
        <v>82</v>
      </c>
      <c r="N4">
        <v>74</v>
      </c>
    </row>
    <row r="5" spans="1:14" x14ac:dyDescent="0.25">
      <c r="B5">
        <v>81</v>
      </c>
      <c r="N5">
        <v>72</v>
      </c>
    </row>
    <row r="6" spans="1:14" x14ac:dyDescent="0.25">
      <c r="B6">
        <v>82</v>
      </c>
      <c r="N6">
        <v>74</v>
      </c>
    </row>
    <row r="7" spans="1:14" x14ac:dyDescent="0.25">
      <c r="B7">
        <v>82</v>
      </c>
      <c r="N7">
        <v>74</v>
      </c>
    </row>
    <row r="8" spans="1:14" x14ac:dyDescent="0.25">
      <c r="B8">
        <v>80</v>
      </c>
      <c r="N8">
        <v>70.5</v>
      </c>
    </row>
    <row r="9" spans="1:14" x14ac:dyDescent="0.25">
      <c r="B9">
        <v>81</v>
      </c>
      <c r="N9">
        <v>71</v>
      </c>
    </row>
    <row r="10" spans="1:14" x14ac:dyDescent="0.25">
      <c r="B10">
        <v>80</v>
      </c>
      <c r="N10">
        <v>71.5</v>
      </c>
    </row>
    <row r="11" spans="1:14" x14ac:dyDescent="0.25">
      <c r="B11">
        <v>81</v>
      </c>
      <c r="N11">
        <v>71</v>
      </c>
    </row>
    <row r="12" spans="1:14" x14ac:dyDescent="0.25">
      <c r="B12">
        <v>80</v>
      </c>
      <c r="N12">
        <v>80</v>
      </c>
    </row>
    <row r="17" spans="1:14" x14ac:dyDescent="0.25">
      <c r="A17" t="s">
        <v>68</v>
      </c>
      <c r="B17" t="s">
        <v>64</v>
      </c>
      <c r="M17" t="s">
        <v>69</v>
      </c>
      <c r="N17" t="s">
        <v>64</v>
      </c>
    </row>
    <row r="18" spans="1:14" x14ac:dyDescent="0.25">
      <c r="B18">
        <v>82</v>
      </c>
      <c r="N18">
        <v>86</v>
      </c>
    </row>
    <row r="19" spans="1:14" x14ac:dyDescent="0.25">
      <c r="B19">
        <v>81</v>
      </c>
      <c r="N19">
        <v>78</v>
      </c>
    </row>
    <row r="20" spans="1:14" x14ac:dyDescent="0.25">
      <c r="B20">
        <v>81</v>
      </c>
      <c r="N20">
        <v>79</v>
      </c>
    </row>
    <row r="21" spans="1:14" x14ac:dyDescent="0.25">
      <c r="B21">
        <v>79</v>
      </c>
      <c r="N21">
        <v>77</v>
      </c>
    </row>
    <row r="22" spans="1:14" x14ac:dyDescent="0.25">
      <c r="B22">
        <v>79</v>
      </c>
      <c r="N22">
        <v>78.5</v>
      </c>
    </row>
    <row r="23" spans="1:14" x14ac:dyDescent="0.25">
      <c r="B23">
        <v>81</v>
      </c>
      <c r="N23">
        <v>79</v>
      </c>
    </row>
    <row r="24" spans="1:14" x14ac:dyDescent="0.25">
      <c r="B24">
        <v>78</v>
      </c>
      <c r="N24">
        <v>77</v>
      </c>
    </row>
    <row r="25" spans="1:14" x14ac:dyDescent="0.25">
      <c r="B25">
        <v>78</v>
      </c>
      <c r="N25">
        <v>78</v>
      </c>
    </row>
    <row r="26" spans="1:14" x14ac:dyDescent="0.25">
      <c r="B26">
        <v>79</v>
      </c>
      <c r="N26">
        <v>77</v>
      </c>
    </row>
    <row r="27" spans="1:14" x14ac:dyDescent="0.25">
      <c r="B27">
        <v>77</v>
      </c>
      <c r="N27">
        <v>78</v>
      </c>
    </row>
    <row r="28" spans="1:14" x14ac:dyDescent="0.25">
      <c r="B28">
        <v>78</v>
      </c>
      <c r="N28">
        <v>76</v>
      </c>
    </row>
    <row r="32" spans="1:14" x14ac:dyDescent="0.25">
      <c r="A32" t="s">
        <v>70</v>
      </c>
      <c r="B32" t="s">
        <v>64</v>
      </c>
      <c r="M32" t="s">
        <v>15</v>
      </c>
      <c r="N32" t="s">
        <v>64</v>
      </c>
    </row>
    <row r="33" spans="1:14" x14ac:dyDescent="0.25">
      <c r="B33">
        <v>82</v>
      </c>
      <c r="N33">
        <v>81</v>
      </c>
    </row>
    <row r="34" spans="1:14" x14ac:dyDescent="0.25">
      <c r="B34">
        <v>83</v>
      </c>
      <c r="N34">
        <v>79</v>
      </c>
    </row>
    <row r="35" spans="1:14" x14ac:dyDescent="0.25">
      <c r="B35">
        <v>82</v>
      </c>
      <c r="N35">
        <v>79.5</v>
      </c>
    </row>
    <row r="36" spans="1:14" x14ac:dyDescent="0.25">
      <c r="B36">
        <v>84</v>
      </c>
      <c r="N36">
        <v>79</v>
      </c>
    </row>
    <row r="37" spans="1:14" x14ac:dyDescent="0.25">
      <c r="B37">
        <v>84</v>
      </c>
      <c r="N37">
        <v>78.5</v>
      </c>
    </row>
    <row r="38" spans="1:14" x14ac:dyDescent="0.25">
      <c r="B38">
        <v>84</v>
      </c>
      <c r="N38">
        <v>80</v>
      </c>
    </row>
    <row r="39" spans="1:14" x14ac:dyDescent="0.25">
      <c r="B39">
        <v>82</v>
      </c>
      <c r="N39">
        <v>77</v>
      </c>
    </row>
    <row r="40" spans="1:14" x14ac:dyDescent="0.25">
      <c r="B40">
        <v>82.5</v>
      </c>
      <c r="N40">
        <v>78</v>
      </c>
    </row>
    <row r="41" spans="1:14" x14ac:dyDescent="0.25">
      <c r="B41">
        <v>82</v>
      </c>
      <c r="N41">
        <v>78</v>
      </c>
    </row>
    <row r="42" spans="1:14" x14ac:dyDescent="0.25">
      <c r="B42">
        <v>81</v>
      </c>
      <c r="N42">
        <v>78</v>
      </c>
    </row>
    <row r="43" spans="1:14" x14ac:dyDescent="0.25">
      <c r="B43">
        <v>81</v>
      </c>
      <c r="N43">
        <v>78.5</v>
      </c>
    </row>
    <row r="46" spans="1:14" x14ac:dyDescent="0.25">
      <c r="A46" t="s">
        <v>71</v>
      </c>
      <c r="B46" t="s">
        <v>64</v>
      </c>
    </row>
    <row r="47" spans="1:14" x14ac:dyDescent="0.25">
      <c r="B47">
        <v>80</v>
      </c>
      <c r="M47" t="s">
        <v>72</v>
      </c>
      <c r="N47" t="s">
        <v>64</v>
      </c>
    </row>
    <row r="48" spans="1:14" x14ac:dyDescent="0.25">
      <c r="B48">
        <v>79</v>
      </c>
      <c r="N48">
        <v>82</v>
      </c>
    </row>
    <row r="49" spans="1:14" x14ac:dyDescent="0.25">
      <c r="B49">
        <v>79</v>
      </c>
      <c r="N49">
        <v>82</v>
      </c>
    </row>
    <row r="50" spans="1:14" x14ac:dyDescent="0.25">
      <c r="B50">
        <v>78</v>
      </c>
      <c r="N50">
        <v>82</v>
      </c>
    </row>
    <row r="51" spans="1:14" x14ac:dyDescent="0.25">
      <c r="B51">
        <v>79</v>
      </c>
      <c r="N51">
        <v>81</v>
      </c>
    </row>
    <row r="52" spans="1:14" x14ac:dyDescent="0.25">
      <c r="B52">
        <v>80</v>
      </c>
      <c r="N52">
        <v>81</v>
      </c>
    </row>
    <row r="53" spans="1:14" x14ac:dyDescent="0.25">
      <c r="B53">
        <v>77</v>
      </c>
      <c r="N53">
        <v>82</v>
      </c>
    </row>
    <row r="54" spans="1:14" x14ac:dyDescent="0.25">
      <c r="B54">
        <v>78</v>
      </c>
      <c r="N54">
        <v>80.5</v>
      </c>
    </row>
    <row r="55" spans="1:14" x14ac:dyDescent="0.25">
      <c r="B55">
        <v>80</v>
      </c>
      <c r="N55">
        <v>80</v>
      </c>
    </row>
    <row r="56" spans="1:14" x14ac:dyDescent="0.25">
      <c r="B56">
        <v>77</v>
      </c>
      <c r="N56">
        <v>80</v>
      </c>
    </row>
    <row r="57" spans="1:14" x14ac:dyDescent="0.25">
      <c r="B57">
        <v>79</v>
      </c>
      <c r="N57">
        <v>78</v>
      </c>
    </row>
    <row r="58" spans="1:14" x14ac:dyDescent="0.25">
      <c r="N58">
        <v>78</v>
      </c>
    </row>
    <row r="61" spans="1:14" x14ac:dyDescent="0.25">
      <c r="A61" t="s">
        <v>73</v>
      </c>
      <c r="B61" t="s">
        <v>64</v>
      </c>
      <c r="M61" t="s">
        <v>74</v>
      </c>
      <c r="N61" t="s">
        <v>64</v>
      </c>
    </row>
    <row r="62" spans="1:14" x14ac:dyDescent="0.25">
      <c r="B62">
        <v>82</v>
      </c>
      <c r="N62">
        <v>82</v>
      </c>
    </row>
    <row r="63" spans="1:14" x14ac:dyDescent="0.25">
      <c r="B63">
        <v>81</v>
      </c>
      <c r="N63">
        <v>81</v>
      </c>
    </row>
    <row r="64" spans="1:14" x14ac:dyDescent="0.25">
      <c r="B64">
        <v>81</v>
      </c>
      <c r="N64">
        <v>82</v>
      </c>
    </row>
    <row r="65" spans="2:14" x14ac:dyDescent="0.25">
      <c r="B65">
        <v>80</v>
      </c>
      <c r="N65">
        <v>79.5</v>
      </c>
    </row>
    <row r="66" spans="2:14" x14ac:dyDescent="0.25">
      <c r="B66">
        <v>81</v>
      </c>
      <c r="N66">
        <v>82</v>
      </c>
    </row>
    <row r="67" spans="2:14" x14ac:dyDescent="0.25">
      <c r="B67">
        <v>81.5</v>
      </c>
      <c r="N67">
        <v>81</v>
      </c>
    </row>
    <row r="68" spans="2:14" x14ac:dyDescent="0.25">
      <c r="B68">
        <v>78.5</v>
      </c>
      <c r="N68">
        <v>79.5</v>
      </c>
    </row>
    <row r="69" spans="2:14" x14ac:dyDescent="0.25">
      <c r="B69">
        <v>78</v>
      </c>
      <c r="N69">
        <v>79</v>
      </c>
    </row>
    <row r="70" spans="2:14" x14ac:dyDescent="0.25">
      <c r="B70">
        <v>79</v>
      </c>
      <c r="N70">
        <v>80</v>
      </c>
    </row>
    <row r="71" spans="2:14" x14ac:dyDescent="0.25">
      <c r="B71">
        <v>78</v>
      </c>
      <c r="N71">
        <v>83</v>
      </c>
    </row>
    <row r="72" spans="2:14" x14ac:dyDescent="0.25">
      <c r="B72">
        <v>78</v>
      </c>
      <c r="N72">
        <v>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"/>
  <sheetViews>
    <sheetView workbookViewId="0">
      <selection activeCell="Q28" sqref="Q28"/>
    </sheetView>
  </sheetViews>
  <sheetFormatPr defaultRowHeight="15" x14ac:dyDescent="0.25"/>
  <cols>
    <col min="1" max="1" width="11.85546875" customWidth="1"/>
    <col min="3" max="3" width="10.85546875" customWidth="1"/>
    <col min="15" max="15" width="12.28515625" customWidth="1"/>
    <col min="17" max="17" width="11" customWidth="1"/>
  </cols>
  <sheetData>
    <row r="1" spans="1:17" x14ac:dyDescent="0.25">
      <c r="A1" t="s">
        <v>13</v>
      </c>
      <c r="B1" t="s">
        <v>1</v>
      </c>
    </row>
    <row r="2" spans="1:17" x14ac:dyDescent="0.25">
      <c r="A2" t="s">
        <v>21</v>
      </c>
      <c r="B2" t="s">
        <v>22</v>
      </c>
      <c r="C2" t="s">
        <v>23</v>
      </c>
      <c r="E2" t="s">
        <v>24</v>
      </c>
      <c r="O2" t="s">
        <v>21</v>
      </c>
      <c r="P2" t="s">
        <v>22</v>
      </c>
      <c r="Q2" t="s">
        <v>25</v>
      </c>
    </row>
    <row r="3" spans="1:17" ht="27" thickBot="1" x14ac:dyDescent="0.45">
      <c r="A3">
        <v>25.625</v>
      </c>
      <c r="B3">
        <v>202</v>
      </c>
      <c r="C3">
        <v>0.72199999999999998</v>
      </c>
      <c r="H3" s="1" t="s">
        <v>26</v>
      </c>
      <c r="O3">
        <v>26.15</v>
      </c>
      <c r="P3">
        <v>136.25</v>
      </c>
      <c r="Q3">
        <f>F18+O3*F19+P3*F20</f>
        <v>0.86303957928152197</v>
      </c>
    </row>
    <row r="4" spans="1:17" x14ac:dyDescent="0.25">
      <c r="A4">
        <v>25.94</v>
      </c>
      <c r="B4">
        <v>218</v>
      </c>
      <c r="C4">
        <v>0.67800000000000005</v>
      </c>
      <c r="E4" s="2" t="s">
        <v>27</v>
      </c>
      <c r="F4" s="2"/>
      <c r="O4">
        <v>26.1</v>
      </c>
      <c r="P4">
        <v>179</v>
      </c>
      <c r="Q4">
        <f>F18+F19*O4+F20*P4</f>
        <v>0.74042697085027576</v>
      </c>
    </row>
    <row r="5" spans="1:17" x14ac:dyDescent="0.25">
      <c r="A5">
        <v>26.2</v>
      </c>
      <c r="B5">
        <v>161</v>
      </c>
      <c r="C5">
        <v>0.73899999999999999</v>
      </c>
      <c r="E5" s="3" t="s">
        <v>28</v>
      </c>
      <c r="F5" s="3">
        <v>0.73688818682062129</v>
      </c>
      <c r="P5" t="s">
        <v>29</v>
      </c>
    </row>
    <row r="6" spans="1:17" x14ac:dyDescent="0.25">
      <c r="A6">
        <v>25.54</v>
      </c>
      <c r="B6">
        <v>208</v>
      </c>
      <c r="C6">
        <v>0.77500000000000002</v>
      </c>
      <c r="E6" s="3" t="s">
        <v>30</v>
      </c>
      <c r="F6" s="3">
        <v>0.54300419987578286</v>
      </c>
      <c r="P6">
        <v>21.3</v>
      </c>
    </row>
    <row r="7" spans="1:17" x14ac:dyDescent="0.25">
      <c r="A7">
        <v>25.67</v>
      </c>
      <c r="B7">
        <v>171</v>
      </c>
      <c r="C7">
        <v>0.65500000000000003</v>
      </c>
      <c r="E7" s="3" t="s">
        <v>31</v>
      </c>
      <c r="F7" s="3">
        <v>0.41243397126886366</v>
      </c>
      <c r="P7">
        <v>26.9</v>
      </c>
    </row>
    <row r="8" spans="1:17" x14ac:dyDescent="0.25">
      <c r="A8">
        <v>26.24</v>
      </c>
      <c r="B8">
        <v>152</v>
      </c>
      <c r="C8">
        <v>0.79800000000000004</v>
      </c>
      <c r="E8" s="3" t="s">
        <v>32</v>
      </c>
      <c r="F8" s="3">
        <v>7.9380684795006637E-2</v>
      </c>
    </row>
    <row r="9" spans="1:17" ht="15.75" thickBot="1" x14ac:dyDescent="0.3">
      <c r="A9">
        <v>26.31</v>
      </c>
      <c r="B9">
        <v>131</v>
      </c>
      <c r="C9">
        <v>0.85199999999999998</v>
      </c>
      <c r="E9" s="4" t="s">
        <v>33</v>
      </c>
      <c r="F9" s="4">
        <v>10</v>
      </c>
    </row>
    <row r="10" spans="1:17" x14ac:dyDescent="0.25">
      <c r="A10">
        <v>25.72</v>
      </c>
      <c r="B10">
        <v>157</v>
      </c>
      <c r="C10">
        <v>0.875</v>
      </c>
    </row>
    <row r="11" spans="1:17" ht="15.75" thickBot="1" x14ac:dyDescent="0.3">
      <c r="A11">
        <v>25.77</v>
      </c>
      <c r="B11">
        <v>160</v>
      </c>
      <c r="C11">
        <v>0.91400000000000003</v>
      </c>
      <c r="E11" t="s">
        <v>34</v>
      </c>
    </row>
    <row r="12" spans="1:17" x14ac:dyDescent="0.25">
      <c r="A12">
        <v>25.9</v>
      </c>
      <c r="B12">
        <v>136</v>
      </c>
      <c r="C12">
        <v>0.97</v>
      </c>
      <c r="E12" s="5"/>
      <c r="F12" s="5" t="s">
        <v>35</v>
      </c>
      <c r="G12" s="5" t="s">
        <v>36</v>
      </c>
      <c r="H12" s="5" t="s">
        <v>37</v>
      </c>
      <c r="I12" s="5" t="s">
        <v>38</v>
      </c>
      <c r="J12" s="5" t="s">
        <v>39</v>
      </c>
    </row>
    <row r="13" spans="1:17" ht="15.75" thickBot="1" x14ac:dyDescent="0.3">
      <c r="E13" s="3" t="s">
        <v>40</v>
      </c>
      <c r="F13" s="3">
        <v>2</v>
      </c>
      <c r="G13" s="3">
        <v>5.2410548170330598E-2</v>
      </c>
      <c r="H13" s="3">
        <v>2.6205274085165299E-2</v>
      </c>
      <c r="I13" s="3">
        <v>4.1587137103856451</v>
      </c>
      <c r="J13" s="3">
        <v>6.4519758175514363E-2</v>
      </c>
    </row>
    <row r="14" spans="1:17" x14ac:dyDescent="0.25">
      <c r="E14" s="3" t="s">
        <v>41</v>
      </c>
      <c r="F14" s="3">
        <v>7</v>
      </c>
      <c r="G14" s="3">
        <v>4.4109051829669385E-2</v>
      </c>
      <c r="H14" s="3">
        <v>6.3012931185241977E-3</v>
      </c>
      <c r="I14" s="3"/>
      <c r="J14" s="3"/>
      <c r="N14" s="2" t="s">
        <v>27</v>
      </c>
      <c r="O14" s="2"/>
    </row>
    <row r="15" spans="1:17" ht="15.75" thickBot="1" x14ac:dyDescent="0.3">
      <c r="E15" s="4" t="s">
        <v>42</v>
      </c>
      <c r="F15" s="4">
        <v>9</v>
      </c>
      <c r="G15" s="4">
        <v>9.6519599999999983E-2</v>
      </c>
      <c r="H15" s="4"/>
      <c r="I15" s="4"/>
      <c r="J15" s="4"/>
      <c r="N15" s="3" t="s">
        <v>28</v>
      </c>
      <c r="O15" s="3">
        <v>0.73688818682062118</v>
      </c>
    </row>
    <row r="16" spans="1:17" ht="15.75" thickBot="1" x14ac:dyDescent="0.3">
      <c r="N16" s="3" t="s">
        <v>30</v>
      </c>
      <c r="O16" s="3">
        <v>0.54300419987578263</v>
      </c>
    </row>
    <row r="17" spans="1:22" x14ac:dyDescent="0.25">
      <c r="E17" s="5"/>
      <c r="F17" s="5" t="s">
        <v>43</v>
      </c>
      <c r="G17" s="5" t="s">
        <v>32</v>
      </c>
      <c r="H17" s="5" t="s">
        <v>44</v>
      </c>
      <c r="I17" s="5" t="s">
        <v>45</v>
      </c>
      <c r="J17" s="5" t="s">
        <v>46</v>
      </c>
      <c r="K17" s="5" t="s">
        <v>47</v>
      </c>
      <c r="L17" s="5" t="s">
        <v>48</v>
      </c>
      <c r="M17" s="5" t="s">
        <v>49</v>
      </c>
      <c r="N17" s="3" t="s">
        <v>31</v>
      </c>
      <c r="O17" s="3">
        <v>0.41243397126886333</v>
      </c>
    </row>
    <row r="18" spans="1:22" x14ac:dyDescent="0.25">
      <c r="E18" s="3" t="s">
        <v>50</v>
      </c>
      <c r="F18" s="3">
        <v>4.8991853412094208</v>
      </c>
      <c r="G18" s="3">
        <v>3.1201472108365671</v>
      </c>
      <c r="H18" s="3">
        <v>1.570177626297274</v>
      </c>
      <c r="I18" s="3">
        <v>0.16036546955079639</v>
      </c>
      <c r="J18" s="3">
        <v>-2.4787904200666042</v>
      </c>
      <c r="K18" s="3">
        <v>12.277161102485445</v>
      </c>
      <c r="L18" s="3">
        <v>-2.4787904200666042</v>
      </c>
      <c r="M18" s="3">
        <v>12.277161102485445</v>
      </c>
      <c r="N18" s="3" t="s">
        <v>32</v>
      </c>
      <c r="O18" s="3">
        <v>7.9380684795006651E-2</v>
      </c>
    </row>
    <row r="19" spans="1:22" ht="15.75" thickBot="1" x14ac:dyDescent="0.3">
      <c r="E19" s="3" t="s">
        <v>21</v>
      </c>
      <c r="F19" s="3">
        <v>-0.13855765935998618</v>
      </c>
      <c r="G19" s="3">
        <v>0.11642358636703735</v>
      </c>
      <c r="H19" s="3">
        <v>-1.1901167425230217</v>
      </c>
      <c r="I19" s="3">
        <v>0.27279305340431992</v>
      </c>
      <c r="J19" s="3">
        <v>-0.41385569506597525</v>
      </c>
      <c r="K19" s="3">
        <v>0.13674037634600289</v>
      </c>
      <c r="L19" s="3">
        <v>-0.41385569506597525</v>
      </c>
      <c r="M19" s="3">
        <v>0.13674037634600289</v>
      </c>
      <c r="N19" s="4" t="s">
        <v>33</v>
      </c>
      <c r="O19" s="4">
        <v>10</v>
      </c>
    </row>
    <row r="20" spans="1:22" ht="15.75" thickBot="1" x14ac:dyDescent="0.3">
      <c r="E20" s="4" t="s">
        <v>22</v>
      </c>
      <c r="F20" s="4">
        <v>-3.0301869333156737E-3</v>
      </c>
      <c r="G20" s="4">
        <v>1.0668215258324554E-3</v>
      </c>
      <c r="H20" s="4">
        <v>-2.840387881141766</v>
      </c>
      <c r="I20" s="4">
        <v>2.5030693941362252E-2</v>
      </c>
      <c r="J20" s="4">
        <v>-5.5528189847338537E-3</v>
      </c>
      <c r="K20" s="4">
        <v>-5.0755488189749406E-4</v>
      </c>
      <c r="L20" s="4">
        <v>-5.5528189847338537E-3</v>
      </c>
      <c r="M20" s="4">
        <v>-5.0755488189749406E-4</v>
      </c>
    </row>
    <row r="21" spans="1:22" ht="15.75" thickBot="1" x14ac:dyDescent="0.3">
      <c r="N21" t="s">
        <v>34</v>
      </c>
    </row>
    <row r="22" spans="1:22" x14ac:dyDescent="0.25">
      <c r="A22" t="s">
        <v>13</v>
      </c>
      <c r="B22" t="s">
        <v>51</v>
      </c>
      <c r="E22" t="s">
        <v>24</v>
      </c>
      <c r="N22" s="5"/>
      <c r="O22" s="5" t="s">
        <v>35</v>
      </c>
      <c r="P22" s="5" t="s">
        <v>36</v>
      </c>
      <c r="Q22" s="5" t="s">
        <v>37</v>
      </c>
      <c r="R22" s="5" t="s">
        <v>38</v>
      </c>
      <c r="S22" s="5" t="s">
        <v>39</v>
      </c>
    </row>
    <row r="23" spans="1:22" ht="15.75" thickBot="1" x14ac:dyDescent="0.3">
      <c r="A23" t="s">
        <v>21</v>
      </c>
      <c r="B23" t="s">
        <v>22</v>
      </c>
      <c r="C23" t="s">
        <v>23</v>
      </c>
      <c r="N23" s="3" t="s">
        <v>40</v>
      </c>
      <c r="O23" s="3">
        <v>2</v>
      </c>
      <c r="P23" s="3">
        <v>5.2410548170330584E-2</v>
      </c>
      <c r="Q23" s="3">
        <v>2.6205274085165292E-2</v>
      </c>
      <c r="R23" s="3">
        <v>4.1587137103856433</v>
      </c>
      <c r="S23" s="3">
        <v>6.4519758174262518E-2</v>
      </c>
    </row>
    <row r="24" spans="1:22" x14ac:dyDescent="0.25">
      <c r="A24">
        <v>25.625</v>
      </c>
      <c r="B24">
        <v>202</v>
      </c>
      <c r="C24">
        <v>0.82899999999999996</v>
      </c>
      <c r="E24" s="2" t="s">
        <v>27</v>
      </c>
      <c r="F24" s="2"/>
      <c r="N24" s="3" t="s">
        <v>41</v>
      </c>
      <c r="O24" s="3">
        <v>7</v>
      </c>
      <c r="P24" s="3">
        <v>4.4109051829669399E-2</v>
      </c>
      <c r="Q24" s="3">
        <v>6.3012931185241995E-3</v>
      </c>
      <c r="R24" s="3"/>
      <c r="S24" s="3"/>
    </row>
    <row r="25" spans="1:22" ht="15.75" thickBot="1" x14ac:dyDescent="0.3">
      <c r="A25">
        <v>25.94</v>
      </c>
      <c r="B25">
        <v>218</v>
      </c>
      <c r="C25">
        <v>0.71199999999999997</v>
      </c>
      <c r="E25" s="3" t="s">
        <v>28</v>
      </c>
      <c r="F25" s="3">
        <v>0.83333288286303908</v>
      </c>
      <c r="N25" s="4" t="s">
        <v>42</v>
      </c>
      <c r="O25" s="4">
        <v>9</v>
      </c>
      <c r="P25" s="4">
        <v>9.6519599999999983E-2</v>
      </c>
      <c r="Q25" s="4"/>
      <c r="R25" s="4"/>
      <c r="S25" s="4"/>
    </row>
    <row r="26" spans="1:22" ht="15.75" thickBot="1" x14ac:dyDescent="0.3">
      <c r="A26">
        <v>26.2</v>
      </c>
      <c r="B26">
        <v>161</v>
      </c>
      <c r="C26">
        <v>0.79800000000000004</v>
      </c>
      <c r="E26" s="3" t="s">
        <v>30</v>
      </c>
      <c r="F26" s="3">
        <v>0.6944436936608237</v>
      </c>
    </row>
    <row r="27" spans="1:22" x14ac:dyDescent="0.25">
      <c r="A27">
        <v>25.54</v>
      </c>
      <c r="B27">
        <v>208</v>
      </c>
      <c r="C27">
        <v>0.76500000000000001</v>
      </c>
      <c r="E27" s="3" t="s">
        <v>31</v>
      </c>
      <c r="F27" s="3">
        <v>0.60714189184963052</v>
      </c>
      <c r="N27" s="5"/>
      <c r="O27" s="5" t="s">
        <v>43</v>
      </c>
      <c r="P27" s="5" t="s">
        <v>32</v>
      </c>
      <c r="Q27" s="5" t="s">
        <v>44</v>
      </c>
      <c r="R27" s="5" t="s">
        <v>45</v>
      </c>
      <c r="S27" s="5" t="s">
        <v>46</v>
      </c>
      <c r="T27" s="5" t="s">
        <v>47</v>
      </c>
      <c r="U27" s="5" t="s">
        <v>48</v>
      </c>
      <c r="V27" s="5" t="s">
        <v>49</v>
      </c>
    </row>
    <row r="28" spans="1:22" x14ac:dyDescent="0.25">
      <c r="A28">
        <v>25.67</v>
      </c>
      <c r="B28">
        <v>171</v>
      </c>
      <c r="C28">
        <v>0.76400000000000001</v>
      </c>
      <c r="E28" s="3" t="s">
        <v>32</v>
      </c>
      <c r="F28" s="3">
        <v>5.9674490873141611E-2</v>
      </c>
      <c r="N28" s="3" t="s">
        <v>50</v>
      </c>
      <c r="O28" s="3">
        <v>4.8991853412094217</v>
      </c>
      <c r="P28" s="3">
        <v>3.1201472108365671</v>
      </c>
      <c r="Q28" s="3">
        <v>1.5701776262972742</v>
      </c>
      <c r="R28" s="3">
        <v>0.16036547028991269</v>
      </c>
      <c r="S28" s="3">
        <v>-2.4787904220743107</v>
      </c>
      <c r="T28" s="3">
        <v>12.277161104493153</v>
      </c>
      <c r="U28" s="3">
        <v>-2.4787904220743107</v>
      </c>
      <c r="V28" s="3">
        <v>12.277161104493153</v>
      </c>
    </row>
    <row r="29" spans="1:22" ht="15.75" thickBot="1" x14ac:dyDescent="0.3">
      <c r="A29">
        <v>26.24</v>
      </c>
      <c r="B29">
        <v>152</v>
      </c>
      <c r="C29">
        <v>0.85699999999999998</v>
      </c>
      <c r="E29" s="4" t="s">
        <v>33</v>
      </c>
      <c r="F29" s="4">
        <v>10</v>
      </c>
      <c r="N29" s="3" t="s">
        <v>21</v>
      </c>
      <c r="O29" s="3">
        <v>-0.13855765935998621</v>
      </c>
      <c r="P29" s="3">
        <v>0.11642358636703737</v>
      </c>
      <c r="Q29" s="3">
        <v>-1.1901167425230219</v>
      </c>
      <c r="R29" s="3">
        <v>0.27279305334859094</v>
      </c>
      <c r="S29" s="3">
        <v>-0.41385569514088988</v>
      </c>
      <c r="T29" s="3">
        <v>0.13674037642091746</v>
      </c>
      <c r="U29" s="3">
        <v>-0.41385569514088988</v>
      </c>
      <c r="V29" s="3">
        <v>0.13674037642091746</v>
      </c>
    </row>
    <row r="30" spans="1:22" ht="15.75" thickBot="1" x14ac:dyDescent="0.3">
      <c r="A30">
        <v>26.31</v>
      </c>
      <c r="B30">
        <v>131</v>
      </c>
      <c r="C30">
        <v>0.92700000000000005</v>
      </c>
      <c r="N30" s="4" t="s">
        <v>22</v>
      </c>
      <c r="O30" s="4">
        <v>-3.030186933315675E-3</v>
      </c>
      <c r="P30" s="4">
        <v>1.0668215258324558E-3</v>
      </c>
      <c r="Q30" s="4">
        <v>-2.840387881141766</v>
      </c>
      <c r="R30" s="4">
        <v>2.5030693980866877E-2</v>
      </c>
      <c r="S30" s="4">
        <v>-5.5528189854203193E-3</v>
      </c>
      <c r="T30" s="4">
        <v>-5.0755488121103113E-4</v>
      </c>
      <c r="U30" s="4">
        <v>-5.5528189854203193E-3</v>
      </c>
      <c r="V30" s="4">
        <v>-5.0755488121103113E-4</v>
      </c>
    </row>
    <row r="31" spans="1:22" ht="15.75" thickBot="1" x14ac:dyDescent="0.3">
      <c r="A31">
        <v>25.72</v>
      </c>
      <c r="B31">
        <v>157</v>
      </c>
      <c r="C31">
        <v>0.96699999999999997</v>
      </c>
      <c r="E31" t="s">
        <v>34</v>
      </c>
    </row>
    <row r="32" spans="1:22" x14ac:dyDescent="0.25">
      <c r="A32">
        <v>25.77</v>
      </c>
      <c r="B32">
        <v>160</v>
      </c>
      <c r="C32">
        <v>0.97199999999999998</v>
      </c>
      <c r="E32" s="5"/>
      <c r="F32" s="5" t="s">
        <v>35</v>
      </c>
      <c r="G32" s="5" t="s">
        <v>36</v>
      </c>
      <c r="H32" s="5" t="s">
        <v>37</v>
      </c>
      <c r="I32" s="5" t="s">
        <v>38</v>
      </c>
      <c r="J32" s="5" t="s">
        <v>39</v>
      </c>
    </row>
    <row r="33" spans="1:17" x14ac:dyDescent="0.25">
      <c r="A33">
        <v>25.9</v>
      </c>
      <c r="B33">
        <v>136</v>
      </c>
      <c r="C33">
        <v>0.95199999999999996</v>
      </c>
      <c r="E33" s="3" t="s">
        <v>40</v>
      </c>
      <c r="F33" s="3">
        <v>2</v>
      </c>
      <c r="G33" s="3">
        <v>5.6652785973219356E-2</v>
      </c>
      <c r="H33" s="3">
        <v>2.8326392986609678E-2</v>
      </c>
      <c r="I33" s="3">
        <v>7.9545173095360679</v>
      </c>
      <c r="J33" s="3">
        <v>1.5769552896860144E-2</v>
      </c>
    </row>
    <row r="34" spans="1:17" x14ac:dyDescent="0.25">
      <c r="E34" s="3" t="s">
        <v>41</v>
      </c>
      <c r="F34" s="3">
        <v>7</v>
      </c>
      <c r="G34" s="3">
        <v>2.4927314026780632E-2</v>
      </c>
      <c r="H34" s="3">
        <v>3.5610448609686616E-3</v>
      </c>
      <c r="I34" s="3"/>
      <c r="J34" s="3"/>
    </row>
    <row r="35" spans="1:17" ht="15.75" thickBot="1" x14ac:dyDescent="0.3">
      <c r="E35" s="4" t="s">
        <v>42</v>
      </c>
      <c r="F35" s="4">
        <v>9</v>
      </c>
      <c r="G35" s="4">
        <v>8.1580099999999989E-2</v>
      </c>
      <c r="H35" s="4"/>
      <c r="I35" s="4"/>
      <c r="J35" s="4"/>
    </row>
    <row r="36" spans="1:17" ht="15.75" thickBot="1" x14ac:dyDescent="0.3"/>
    <row r="37" spans="1:17" x14ac:dyDescent="0.25">
      <c r="E37" s="5"/>
      <c r="F37" s="5" t="s">
        <v>43</v>
      </c>
      <c r="G37" s="5" t="s">
        <v>32</v>
      </c>
      <c r="H37" s="5" t="s">
        <v>44</v>
      </c>
      <c r="I37" s="5" t="s">
        <v>45</v>
      </c>
      <c r="J37" s="5" t="s">
        <v>46</v>
      </c>
      <c r="K37" s="5" t="s">
        <v>47</v>
      </c>
      <c r="L37" s="5" t="s">
        <v>48</v>
      </c>
      <c r="M37" s="5" t="s">
        <v>49</v>
      </c>
    </row>
    <row r="38" spans="1:17" x14ac:dyDescent="0.25">
      <c r="E38" s="3" t="s">
        <v>50</v>
      </c>
      <c r="F38" s="3">
        <v>5.188021611288911</v>
      </c>
      <c r="G38" s="3">
        <v>2.3455730665054335</v>
      </c>
      <c r="H38" s="3">
        <v>2.2118354296326896</v>
      </c>
      <c r="I38" s="3">
        <v>6.2627357145847093E-2</v>
      </c>
      <c r="J38" s="3">
        <v>-0.35837734414339728</v>
      </c>
      <c r="K38" s="3">
        <v>10.734420566721219</v>
      </c>
      <c r="L38" s="3">
        <v>-0.35837734414339728</v>
      </c>
      <c r="M38" s="3">
        <v>10.734420566721219</v>
      </c>
    </row>
    <row r="39" spans="1:17" x14ac:dyDescent="0.25">
      <c r="E39" s="3" t="s">
        <v>21</v>
      </c>
      <c r="F39" s="3">
        <v>-0.14671376086236171</v>
      </c>
      <c r="G39" s="3">
        <v>8.7521520632122485E-2</v>
      </c>
      <c r="H39" s="3">
        <v>-1.6763164054134847</v>
      </c>
      <c r="I39" s="3">
        <v>0.13758060898134389</v>
      </c>
      <c r="J39" s="3">
        <v>-0.35366927102903972</v>
      </c>
      <c r="K39" s="3">
        <v>6.0241749304316305E-2</v>
      </c>
      <c r="L39" s="3">
        <v>-0.35366927102903972</v>
      </c>
      <c r="M39" s="3">
        <v>6.0241749304316305E-2</v>
      </c>
    </row>
    <row r="40" spans="1:17" ht="15.75" thickBot="1" x14ac:dyDescent="0.3">
      <c r="E40" s="4" t="s">
        <v>22</v>
      </c>
      <c r="F40" s="4">
        <v>-3.1549662259497185E-3</v>
      </c>
      <c r="G40" s="4">
        <v>8.0198390289730112E-4</v>
      </c>
      <c r="H40" s="4">
        <v>-3.9339520588279573</v>
      </c>
      <c r="I40" s="4">
        <v>5.6469721313688387E-3</v>
      </c>
      <c r="J40" s="4">
        <v>-5.0513568116116606E-3</v>
      </c>
      <c r="K40" s="4">
        <v>-1.2585756402877764E-3</v>
      </c>
      <c r="L40" s="4">
        <v>-5.0513568116116606E-3</v>
      </c>
      <c r="M40" s="4">
        <v>-1.2585756402877764E-3</v>
      </c>
    </row>
    <row r="42" spans="1:17" x14ac:dyDescent="0.25">
      <c r="A42" t="s">
        <v>13</v>
      </c>
      <c r="B42" t="s">
        <v>3</v>
      </c>
    </row>
    <row r="43" spans="1:17" x14ac:dyDescent="0.25">
      <c r="A43" t="s">
        <v>21</v>
      </c>
      <c r="B43" t="s">
        <v>22</v>
      </c>
      <c r="C43" t="s">
        <v>52</v>
      </c>
      <c r="E43" t="s">
        <v>24</v>
      </c>
      <c r="O43" t="s">
        <v>21</v>
      </c>
      <c r="P43" t="s">
        <v>22</v>
      </c>
      <c r="Q43" t="s">
        <v>25</v>
      </c>
    </row>
    <row r="44" spans="1:17" ht="15.75" thickBot="1" x14ac:dyDescent="0.3">
      <c r="A44">
        <v>25.625</v>
      </c>
      <c r="B44">
        <v>202</v>
      </c>
      <c r="C44">
        <v>1.3120000000000001</v>
      </c>
      <c r="O44">
        <v>26.15</v>
      </c>
      <c r="P44">
        <v>136.25</v>
      </c>
      <c r="Q44">
        <f>F59+F60*O44+F61*P44</f>
        <v>1.568794433858073</v>
      </c>
    </row>
    <row r="45" spans="1:17" x14ac:dyDescent="0.25">
      <c r="A45">
        <v>25.94</v>
      </c>
      <c r="B45">
        <v>218</v>
      </c>
      <c r="C45">
        <v>1.39</v>
      </c>
      <c r="E45" s="2" t="s">
        <v>27</v>
      </c>
      <c r="F45" s="2"/>
      <c r="O45">
        <v>26.1</v>
      </c>
      <c r="P45">
        <v>179</v>
      </c>
      <c r="Q45">
        <f>F59+F60*O45+P45*F61</f>
        <v>1.433435365997527</v>
      </c>
    </row>
    <row r="46" spans="1:17" x14ac:dyDescent="0.25">
      <c r="A46">
        <v>26.2</v>
      </c>
      <c r="B46">
        <v>161</v>
      </c>
      <c r="C46">
        <v>1.429</v>
      </c>
      <c r="E46" s="3" t="s">
        <v>28</v>
      </c>
      <c r="F46" s="3">
        <v>0.877964657742345</v>
      </c>
    </row>
    <row r="47" spans="1:17" x14ac:dyDescent="0.25">
      <c r="A47">
        <v>25.54</v>
      </c>
      <c r="B47">
        <v>208</v>
      </c>
      <c r="C47">
        <v>1.4179999999999999</v>
      </c>
      <c r="E47" s="3" t="s">
        <v>30</v>
      </c>
      <c r="F47" s="3">
        <v>0.77082194024463291</v>
      </c>
      <c r="P47">
        <v>1.3</v>
      </c>
    </row>
    <row r="48" spans="1:17" x14ac:dyDescent="0.25">
      <c r="A48">
        <v>25.67</v>
      </c>
      <c r="B48">
        <v>171</v>
      </c>
      <c r="C48">
        <v>1.54</v>
      </c>
      <c r="E48" s="3" t="s">
        <v>31</v>
      </c>
      <c r="F48" s="3">
        <v>0.70534249460024234</v>
      </c>
      <c r="P48">
        <v>3.3</v>
      </c>
    </row>
    <row r="49" spans="1:17" x14ac:dyDescent="0.25">
      <c r="A49">
        <v>26.24</v>
      </c>
      <c r="B49">
        <v>152</v>
      </c>
      <c r="C49">
        <v>1.5049999999999999</v>
      </c>
      <c r="E49" s="3" t="s">
        <v>32</v>
      </c>
      <c r="F49" s="3">
        <v>5.2636044762276034E-2</v>
      </c>
    </row>
    <row r="50" spans="1:17" ht="15.75" thickBot="1" x14ac:dyDescent="0.3">
      <c r="A50">
        <v>26.31</v>
      </c>
      <c r="B50">
        <v>131</v>
      </c>
      <c r="C50">
        <v>1.571</v>
      </c>
      <c r="E50" s="4" t="s">
        <v>33</v>
      </c>
      <c r="F50" s="4">
        <v>10</v>
      </c>
    </row>
    <row r="51" spans="1:17" x14ac:dyDescent="0.25">
      <c r="A51">
        <v>25.72</v>
      </c>
      <c r="B51">
        <v>157</v>
      </c>
      <c r="C51">
        <v>1.575</v>
      </c>
    </row>
    <row r="52" spans="1:17" ht="15.75" thickBot="1" x14ac:dyDescent="0.3">
      <c r="A52">
        <v>25.77</v>
      </c>
      <c r="B52">
        <v>160</v>
      </c>
      <c r="C52">
        <v>1.55</v>
      </c>
      <c r="E52" t="s">
        <v>34</v>
      </c>
    </row>
    <row r="53" spans="1:17" x14ac:dyDescent="0.25">
      <c r="A53">
        <v>25.9</v>
      </c>
      <c r="B53">
        <v>136</v>
      </c>
      <c r="C53">
        <v>1.6080000000000001</v>
      </c>
      <c r="E53" s="5"/>
      <c r="F53" s="5" t="s">
        <v>35</v>
      </c>
      <c r="G53" s="5" t="s">
        <v>36</v>
      </c>
      <c r="H53" s="5" t="s">
        <v>37</v>
      </c>
      <c r="I53" s="5" t="s">
        <v>38</v>
      </c>
      <c r="J53" s="5" t="s">
        <v>39</v>
      </c>
    </row>
    <row r="54" spans="1:17" x14ac:dyDescent="0.25">
      <c r="E54" s="3" t="s">
        <v>40</v>
      </c>
      <c r="F54" s="3">
        <v>2</v>
      </c>
      <c r="G54" s="3">
        <v>6.5229727542485738E-2</v>
      </c>
      <c r="H54" s="3">
        <v>3.2614863771242869E-2</v>
      </c>
      <c r="I54" s="3">
        <v>11.771968022314296</v>
      </c>
      <c r="J54" s="3">
        <v>5.7624296201751772E-3</v>
      </c>
    </row>
    <row r="55" spans="1:17" x14ac:dyDescent="0.25">
      <c r="E55" s="3" t="s">
        <v>41</v>
      </c>
      <c r="F55" s="3">
        <v>7</v>
      </c>
      <c r="G55" s="3">
        <v>1.9393872457514283E-2</v>
      </c>
      <c r="H55" s="3">
        <v>2.7705532082163259E-3</v>
      </c>
      <c r="I55" s="3"/>
      <c r="J55" s="3"/>
    </row>
    <row r="56" spans="1:17" ht="15.75" thickBot="1" x14ac:dyDescent="0.3">
      <c r="E56" s="4" t="s">
        <v>42</v>
      </c>
      <c r="F56" s="4">
        <v>9</v>
      </c>
      <c r="G56" s="4">
        <v>8.4623600000000021E-2</v>
      </c>
      <c r="H56" s="4"/>
      <c r="I56" s="4"/>
      <c r="J56" s="4"/>
    </row>
    <row r="57" spans="1:17" ht="15.75" thickBot="1" x14ac:dyDescent="0.3"/>
    <row r="58" spans="1:17" x14ac:dyDescent="0.25">
      <c r="E58" s="5"/>
      <c r="F58" s="5" t="s">
        <v>43</v>
      </c>
      <c r="G58" s="5" t="s">
        <v>32</v>
      </c>
      <c r="H58" s="5" t="s">
        <v>44</v>
      </c>
      <c r="I58" s="5" t="s">
        <v>45</v>
      </c>
      <c r="J58" s="5" t="s">
        <v>46</v>
      </c>
      <c r="K58" s="5" t="s">
        <v>47</v>
      </c>
      <c r="L58" s="5" t="s">
        <v>48</v>
      </c>
      <c r="M58" s="5" t="s">
        <v>49</v>
      </c>
    </row>
    <row r="59" spans="1:17" x14ac:dyDescent="0.25">
      <c r="E59" s="3" t="s">
        <v>50</v>
      </c>
      <c r="F59" s="3">
        <v>5.1887497087242629</v>
      </c>
      <c r="G59" s="3">
        <v>2.0689190157353634</v>
      </c>
      <c r="H59" s="3">
        <v>2.5079520605981798</v>
      </c>
      <c r="I59" s="3">
        <v>4.0518101687081996E-2</v>
      </c>
      <c r="J59" s="3">
        <v>0.29653363086622653</v>
      </c>
      <c r="K59" s="3">
        <v>10.080965786582299</v>
      </c>
      <c r="L59" s="3">
        <v>0.29653363086622653</v>
      </c>
      <c r="M59" s="3">
        <v>10.080965786582299</v>
      </c>
    </row>
    <row r="60" spans="1:17" x14ac:dyDescent="0.25">
      <c r="E60" s="3" t="s">
        <v>21</v>
      </c>
      <c r="F60" s="3">
        <v>-0.12119443864458442</v>
      </c>
      <c r="G60" s="3">
        <v>7.7198592065882116E-2</v>
      </c>
      <c r="H60" s="3">
        <v>-1.5699047793663874</v>
      </c>
      <c r="I60" s="3">
        <v>0.16042831942801866</v>
      </c>
      <c r="J60" s="3">
        <v>-0.30374010158271297</v>
      </c>
      <c r="K60" s="3">
        <v>6.1351224293544136E-2</v>
      </c>
      <c r="L60" s="3">
        <v>-0.30374010158271297</v>
      </c>
      <c r="M60" s="3">
        <v>6.1351224293544136E-2</v>
      </c>
    </row>
    <row r="61" spans="1:17" ht="15.75" thickBot="1" x14ac:dyDescent="0.3">
      <c r="E61" s="4" t="s">
        <v>22</v>
      </c>
      <c r="F61" s="4">
        <v>-3.3080418664976682E-3</v>
      </c>
      <c r="G61" s="4">
        <v>7.0739205301752455E-4</v>
      </c>
      <c r="H61" s="4">
        <v>-4.6763910513081726</v>
      </c>
      <c r="I61" s="4">
        <v>2.2704111736580289E-3</v>
      </c>
      <c r="J61" s="4">
        <v>-4.980758269991733E-3</v>
      </c>
      <c r="K61" s="4">
        <v>-1.6353254630036031E-3</v>
      </c>
      <c r="L61" s="4">
        <v>-4.980758269991733E-3</v>
      </c>
      <c r="M61" s="4">
        <v>-1.6353254630036031E-3</v>
      </c>
    </row>
    <row r="63" spans="1:17" x14ac:dyDescent="0.25">
      <c r="A63" t="s">
        <v>13</v>
      </c>
      <c r="B63" t="s">
        <v>53</v>
      </c>
    </row>
    <row r="64" spans="1:17" x14ac:dyDescent="0.25">
      <c r="A64" t="s">
        <v>21</v>
      </c>
      <c r="B64" t="s">
        <v>22</v>
      </c>
      <c r="C64" t="s">
        <v>52</v>
      </c>
      <c r="E64" t="s">
        <v>24</v>
      </c>
      <c r="O64" t="s">
        <v>21</v>
      </c>
      <c r="P64" t="s">
        <v>22</v>
      </c>
      <c r="Q64" t="s">
        <v>25</v>
      </c>
    </row>
    <row r="65" spans="1:17" ht="15.75" thickBot="1" x14ac:dyDescent="0.3">
      <c r="A65">
        <v>25.625</v>
      </c>
      <c r="B65">
        <v>202</v>
      </c>
      <c r="C65">
        <v>4.3099999999999996</v>
      </c>
      <c r="O65">
        <v>26.15</v>
      </c>
      <c r="P65">
        <v>136.25</v>
      </c>
      <c r="Q65">
        <f>F80+F81*O65+P65*F82</f>
        <v>4.0657731260984527</v>
      </c>
    </row>
    <row r="66" spans="1:17" x14ac:dyDescent="0.25">
      <c r="A66">
        <v>25.94</v>
      </c>
      <c r="B66">
        <v>218</v>
      </c>
      <c r="C66">
        <v>4.3099999999999996</v>
      </c>
      <c r="E66" s="2" t="s">
        <v>27</v>
      </c>
      <c r="F66" s="2"/>
      <c r="O66">
        <v>26.1</v>
      </c>
      <c r="P66">
        <v>179</v>
      </c>
      <c r="Q66">
        <f>F80+O66*F81+P66*F82</f>
        <v>4.2402751469824134</v>
      </c>
    </row>
    <row r="67" spans="1:17" x14ac:dyDescent="0.25">
      <c r="A67">
        <v>26.2</v>
      </c>
      <c r="B67">
        <v>161</v>
      </c>
      <c r="C67">
        <v>4.09</v>
      </c>
      <c r="E67" s="3" t="s">
        <v>28</v>
      </c>
      <c r="F67" s="3">
        <v>0.52524747118222503</v>
      </c>
      <c r="P67" t="s">
        <v>29</v>
      </c>
    </row>
    <row r="68" spans="1:17" x14ac:dyDescent="0.25">
      <c r="A68">
        <v>25.54</v>
      </c>
      <c r="B68">
        <v>208</v>
      </c>
      <c r="C68">
        <v>4.51</v>
      </c>
      <c r="E68" s="3" t="s">
        <v>30</v>
      </c>
      <c r="F68" s="3">
        <v>0.27588490598332227</v>
      </c>
      <c r="P68">
        <v>16.399999999999999</v>
      </c>
    </row>
    <row r="69" spans="1:17" x14ac:dyDescent="0.25">
      <c r="A69">
        <v>25.67</v>
      </c>
      <c r="B69">
        <v>171</v>
      </c>
      <c r="C69">
        <v>4.2</v>
      </c>
      <c r="E69" s="3" t="s">
        <v>31</v>
      </c>
      <c r="F69" s="3">
        <v>6.8994879121414346E-2</v>
      </c>
      <c r="P69">
        <v>3.9</v>
      </c>
    </row>
    <row r="70" spans="1:17" x14ac:dyDescent="0.25">
      <c r="A70">
        <v>26.24</v>
      </c>
      <c r="B70">
        <v>152</v>
      </c>
      <c r="C70">
        <v>4.24</v>
      </c>
      <c r="E70" s="3" t="s">
        <v>32</v>
      </c>
      <c r="F70" s="3">
        <v>0.20574434122493049</v>
      </c>
    </row>
    <row r="71" spans="1:17" ht="15.75" thickBot="1" x14ac:dyDescent="0.3">
      <c r="A71">
        <v>26.31</v>
      </c>
      <c r="B71">
        <v>131</v>
      </c>
      <c r="C71">
        <v>4.12</v>
      </c>
      <c r="E71" s="4" t="s">
        <v>33</v>
      </c>
      <c r="F71" s="4">
        <v>10</v>
      </c>
    </row>
    <row r="72" spans="1:17" x14ac:dyDescent="0.25">
      <c r="A72">
        <v>25.72</v>
      </c>
      <c r="B72">
        <v>157</v>
      </c>
      <c r="C72">
        <v>4.05</v>
      </c>
    </row>
    <row r="73" spans="1:17" ht="15.75" thickBot="1" x14ac:dyDescent="0.3">
      <c r="A73">
        <v>25.77</v>
      </c>
      <c r="B73">
        <v>160</v>
      </c>
      <c r="C73">
        <v>3.7</v>
      </c>
      <c r="E73" t="s">
        <v>34</v>
      </c>
    </row>
    <row r="74" spans="1:17" x14ac:dyDescent="0.25">
      <c r="A74">
        <v>25.9</v>
      </c>
      <c r="B74">
        <v>136</v>
      </c>
      <c r="C74">
        <v>4.24</v>
      </c>
      <c r="E74" s="5"/>
      <c r="F74" s="5" t="s">
        <v>35</v>
      </c>
      <c r="G74" s="5" t="s">
        <v>36</v>
      </c>
      <c r="H74" s="5" t="s">
        <v>37</v>
      </c>
      <c r="I74" s="5" t="s">
        <v>38</v>
      </c>
      <c r="J74" s="5" t="s">
        <v>39</v>
      </c>
    </row>
    <row r="75" spans="1:17" x14ac:dyDescent="0.25">
      <c r="E75" s="3" t="s">
        <v>40</v>
      </c>
      <c r="F75" s="3">
        <v>2</v>
      </c>
      <c r="G75" s="3">
        <v>0.11289486237743518</v>
      </c>
      <c r="H75" s="3">
        <v>5.6447431188717589E-2</v>
      </c>
      <c r="I75" s="3">
        <v>1.3334857661721222</v>
      </c>
      <c r="J75" s="3">
        <v>0.32309229495444092</v>
      </c>
    </row>
    <row r="76" spans="1:17" x14ac:dyDescent="0.25">
      <c r="E76" s="3" t="s">
        <v>41</v>
      </c>
      <c r="F76" s="3">
        <v>7</v>
      </c>
      <c r="G76" s="3">
        <v>0.2963151376225644</v>
      </c>
      <c r="H76" s="3">
        <v>4.2330733946080626E-2</v>
      </c>
      <c r="I76" s="3"/>
      <c r="J76" s="3"/>
    </row>
    <row r="77" spans="1:17" ht="15.75" thickBot="1" x14ac:dyDescent="0.3">
      <c r="E77" s="4" t="s">
        <v>42</v>
      </c>
      <c r="F77" s="4">
        <v>9</v>
      </c>
      <c r="G77" s="4">
        <v>0.40920999999999957</v>
      </c>
      <c r="H77" s="4"/>
      <c r="I77" s="4"/>
      <c r="J77" s="4"/>
    </row>
    <row r="78" spans="1:17" ht="15.75" thickBot="1" x14ac:dyDescent="0.3"/>
    <row r="79" spans="1:17" x14ac:dyDescent="0.25">
      <c r="E79" s="5"/>
      <c r="F79" s="5" t="s">
        <v>43</v>
      </c>
      <c r="G79" s="5" t="s">
        <v>32</v>
      </c>
      <c r="H79" s="5" t="s">
        <v>44</v>
      </c>
      <c r="I79" s="5" t="s">
        <v>45</v>
      </c>
      <c r="J79" s="5" t="s">
        <v>46</v>
      </c>
      <c r="K79" s="5" t="s">
        <v>47</v>
      </c>
      <c r="L79" s="5" t="s">
        <v>48</v>
      </c>
      <c r="M79" s="5" t="s">
        <v>49</v>
      </c>
    </row>
    <row r="80" spans="1:17" x14ac:dyDescent="0.25">
      <c r="E80" s="3" t="s">
        <v>50</v>
      </c>
      <c r="F80" s="3">
        <v>0.52439561978199212</v>
      </c>
      <c r="G80" s="3">
        <v>8.0870130319001117</v>
      </c>
      <c r="H80" s="3">
        <v>6.4844166531382599E-2</v>
      </c>
      <c r="I80" s="3">
        <v>0.95011105294733145</v>
      </c>
      <c r="J80" s="3">
        <v>-18.598351513192192</v>
      </c>
      <c r="K80" s="3">
        <v>19.647142752756178</v>
      </c>
      <c r="L80" s="3">
        <v>-18.598351513192192</v>
      </c>
      <c r="M80" s="3">
        <v>19.647142752756178</v>
      </c>
    </row>
    <row r="81" spans="1:17" x14ac:dyDescent="0.25">
      <c r="E81" s="3" t="s">
        <v>21</v>
      </c>
      <c r="F81" s="3">
        <v>0.11346594772018853</v>
      </c>
      <c r="G81" s="3">
        <v>0.30175469186222825</v>
      </c>
      <c r="H81" s="3">
        <v>0.37602049207570742</v>
      </c>
      <c r="I81" s="3">
        <v>0.71803855133209082</v>
      </c>
      <c r="J81" s="3">
        <v>-0.60007051449497562</v>
      </c>
      <c r="K81" s="3">
        <v>0.82700240993535268</v>
      </c>
      <c r="L81" s="3">
        <v>-0.60007051449497562</v>
      </c>
      <c r="M81" s="3">
        <v>0.82700240993535268</v>
      </c>
    </row>
    <row r="82" spans="1:17" ht="15.75" thickBot="1" x14ac:dyDescent="0.3">
      <c r="E82" s="4" t="s">
        <v>22</v>
      </c>
      <c r="F82" s="4">
        <v>4.214627327952517E-3</v>
      </c>
      <c r="G82" s="4">
        <v>2.7650617099587009E-3</v>
      </c>
      <c r="H82" s="4">
        <v>1.5242434961842015</v>
      </c>
      <c r="I82" s="4">
        <v>0.17127190105720458</v>
      </c>
      <c r="J82" s="4">
        <v>-2.3237046467872195E-3</v>
      </c>
      <c r="K82" s="4">
        <v>1.0752959302692254E-2</v>
      </c>
      <c r="L82" s="4">
        <v>-2.3237046467872195E-3</v>
      </c>
      <c r="M82" s="4">
        <v>1.0752959302692254E-2</v>
      </c>
    </row>
    <row r="84" spans="1:17" x14ac:dyDescent="0.25">
      <c r="A84" t="s">
        <v>13</v>
      </c>
      <c r="B84" t="s">
        <v>5</v>
      </c>
    </row>
    <row r="85" spans="1:17" x14ac:dyDescent="0.25">
      <c r="A85" t="s">
        <v>21</v>
      </c>
      <c r="B85" t="s">
        <v>22</v>
      </c>
      <c r="C85" t="s">
        <v>52</v>
      </c>
      <c r="E85" t="s">
        <v>24</v>
      </c>
      <c r="O85" t="s">
        <v>21</v>
      </c>
      <c r="P85" t="s">
        <v>22</v>
      </c>
      <c r="Q85" t="s">
        <v>25</v>
      </c>
    </row>
    <row r="86" spans="1:17" ht="15.75" thickBot="1" x14ac:dyDescent="0.3">
      <c r="A86">
        <v>25.625</v>
      </c>
      <c r="B86">
        <v>202</v>
      </c>
      <c r="C86">
        <v>6.8259999999999996</v>
      </c>
      <c r="O86">
        <v>26.15</v>
      </c>
      <c r="P86">
        <v>136.25</v>
      </c>
      <c r="Q86">
        <f>F101+F102*O86+P86*F103</f>
        <v>7.4028284389136516</v>
      </c>
    </row>
    <row r="87" spans="1:17" x14ac:dyDescent="0.25">
      <c r="A87">
        <v>25.94</v>
      </c>
      <c r="B87">
        <v>218</v>
      </c>
      <c r="C87">
        <v>6.8259999999999996</v>
      </c>
      <c r="E87" s="2" t="s">
        <v>27</v>
      </c>
      <c r="F87" s="2"/>
      <c r="O87">
        <v>26.1</v>
      </c>
      <c r="P87">
        <v>179</v>
      </c>
      <c r="Q87">
        <f>F101+O87*F102+P87*F103</f>
        <v>6.5065521440748704</v>
      </c>
    </row>
    <row r="88" spans="1:17" x14ac:dyDescent="0.25">
      <c r="A88">
        <v>26.2</v>
      </c>
      <c r="B88">
        <v>161</v>
      </c>
      <c r="C88">
        <v>5.8150000000000004</v>
      </c>
      <c r="E88" s="3" t="s">
        <v>28</v>
      </c>
      <c r="F88" s="3">
        <v>0.52775796805086161</v>
      </c>
      <c r="P88" t="s">
        <v>29</v>
      </c>
    </row>
    <row r="89" spans="1:17" x14ac:dyDescent="0.25">
      <c r="A89">
        <v>25.54</v>
      </c>
      <c r="B89">
        <v>208</v>
      </c>
      <c r="C89">
        <v>5.0289999999999999</v>
      </c>
      <c r="E89" s="3" t="s">
        <v>30</v>
      </c>
      <c r="F89" s="3">
        <v>0.27852847284117427</v>
      </c>
      <c r="P89">
        <v>8.3000000000000007</v>
      </c>
    </row>
    <row r="90" spans="1:17" x14ac:dyDescent="0.25">
      <c r="A90">
        <v>25.67</v>
      </c>
      <c r="B90">
        <v>171</v>
      </c>
      <c r="C90">
        <v>6.74</v>
      </c>
      <c r="E90" s="3" t="s">
        <v>31</v>
      </c>
      <c r="F90" s="3">
        <v>7.2393750795795492E-2</v>
      </c>
      <c r="P90">
        <v>18.899999999999999</v>
      </c>
    </row>
    <row r="91" spans="1:17" x14ac:dyDescent="0.25">
      <c r="A91">
        <v>26.24</v>
      </c>
      <c r="B91">
        <v>152</v>
      </c>
      <c r="C91">
        <v>6.1349999999999998</v>
      </c>
      <c r="E91" s="3" t="s">
        <v>32</v>
      </c>
      <c r="F91" s="3">
        <v>1.0233416713787535</v>
      </c>
    </row>
    <row r="92" spans="1:17" ht="15.75" thickBot="1" x14ac:dyDescent="0.3">
      <c r="A92">
        <v>26.31</v>
      </c>
      <c r="B92">
        <v>131</v>
      </c>
      <c r="C92">
        <v>8.2089999999999996</v>
      </c>
      <c r="E92" s="4" t="s">
        <v>33</v>
      </c>
      <c r="F92" s="4">
        <v>10</v>
      </c>
    </row>
    <row r="93" spans="1:17" x14ac:dyDescent="0.25">
      <c r="A93">
        <v>25.72</v>
      </c>
      <c r="B93">
        <v>157</v>
      </c>
      <c r="C93">
        <v>7.819</v>
      </c>
    </row>
    <row r="94" spans="1:17" ht="15.75" thickBot="1" x14ac:dyDescent="0.3">
      <c r="A94">
        <v>25.77</v>
      </c>
      <c r="B94">
        <v>160</v>
      </c>
      <c r="C94">
        <v>8.3889999999999993</v>
      </c>
      <c r="E94" t="s">
        <v>34</v>
      </c>
    </row>
    <row r="95" spans="1:17" x14ac:dyDescent="0.25">
      <c r="A95">
        <v>25.9</v>
      </c>
      <c r="B95">
        <v>136</v>
      </c>
      <c r="C95">
        <v>7.1929999999999996</v>
      </c>
      <c r="E95" s="5"/>
      <c r="F95" s="5" t="s">
        <v>35</v>
      </c>
      <c r="G95" s="5" t="s">
        <v>36</v>
      </c>
      <c r="H95" s="5" t="s">
        <v>37</v>
      </c>
      <c r="I95" s="5" t="s">
        <v>38</v>
      </c>
      <c r="J95" s="5" t="s">
        <v>39</v>
      </c>
    </row>
    <row r="96" spans="1:17" x14ac:dyDescent="0.25">
      <c r="E96" s="3" t="s">
        <v>40</v>
      </c>
      <c r="F96" s="3">
        <v>2</v>
      </c>
      <c r="G96" s="3">
        <v>2.8300216653381707</v>
      </c>
      <c r="H96" s="3">
        <v>1.4150108326690853</v>
      </c>
      <c r="I96" s="3">
        <v>1.3511962956917982</v>
      </c>
      <c r="J96" s="3">
        <v>0.31898274217765654</v>
      </c>
    </row>
    <row r="97" spans="1:17" x14ac:dyDescent="0.25">
      <c r="E97" s="3" t="s">
        <v>41</v>
      </c>
      <c r="F97" s="3">
        <v>7</v>
      </c>
      <c r="G97" s="3">
        <v>7.3305972346618251</v>
      </c>
      <c r="H97" s="3">
        <v>1.0472281763802607</v>
      </c>
      <c r="I97" s="3"/>
      <c r="J97" s="3"/>
    </row>
    <row r="98" spans="1:17" ht="15.75" thickBot="1" x14ac:dyDescent="0.3">
      <c r="E98" s="4" t="s">
        <v>42</v>
      </c>
      <c r="F98" s="4">
        <v>9</v>
      </c>
      <c r="G98" s="4">
        <v>10.160618899999996</v>
      </c>
      <c r="H98" s="4"/>
      <c r="I98" s="4"/>
      <c r="J98" s="4"/>
    </row>
    <row r="99" spans="1:17" ht="15.75" thickBot="1" x14ac:dyDescent="0.3"/>
    <row r="100" spans="1:17" x14ac:dyDescent="0.25">
      <c r="E100" s="5"/>
      <c r="F100" s="5" t="s">
        <v>43</v>
      </c>
      <c r="G100" s="5" t="s">
        <v>32</v>
      </c>
      <c r="H100" s="5" t="s">
        <v>44</v>
      </c>
      <c r="I100" s="5" t="s">
        <v>45</v>
      </c>
      <c r="J100" s="5" t="s">
        <v>46</v>
      </c>
      <c r="K100" s="5" t="s">
        <v>47</v>
      </c>
      <c r="L100" s="5" t="s">
        <v>48</v>
      </c>
      <c r="M100" s="5" t="s">
        <v>49</v>
      </c>
    </row>
    <row r="101" spans="1:17" x14ac:dyDescent="0.25">
      <c r="E101" s="3" t="s">
        <v>50</v>
      </c>
      <c r="F101" s="3">
        <v>33.569481187992466</v>
      </c>
      <c r="G101" s="3">
        <v>40.223596835059034</v>
      </c>
      <c r="H101" s="3">
        <v>0.83457183915321032</v>
      </c>
      <c r="I101" s="3">
        <v>0.43151536477151631</v>
      </c>
      <c r="J101" s="3">
        <v>-61.544211348596406</v>
      </c>
      <c r="K101" s="3">
        <v>128.68317372458134</v>
      </c>
      <c r="L101" s="3">
        <v>-61.544211348596406</v>
      </c>
      <c r="M101" s="3">
        <v>128.68317372458134</v>
      </c>
    </row>
    <row r="102" spans="1:17" x14ac:dyDescent="0.25">
      <c r="E102" s="3" t="s">
        <v>21</v>
      </c>
      <c r="F102" s="3">
        <v>-0.8860003644013742</v>
      </c>
      <c r="G102" s="3">
        <v>1.5008828377888612</v>
      </c>
      <c r="H102" s="3">
        <v>-0.59031947204263624</v>
      </c>
      <c r="I102" s="3">
        <v>0.57353172988510015</v>
      </c>
      <c r="J102" s="3">
        <v>-4.4350243204705491</v>
      </c>
      <c r="K102" s="3">
        <v>2.6630235916678004</v>
      </c>
      <c r="L102" s="3">
        <v>-4.4350243204705491</v>
      </c>
      <c r="M102" s="3">
        <v>2.6630235916678004</v>
      </c>
    </row>
    <row r="103" spans="1:17" ht="15.75" thickBot="1" x14ac:dyDescent="0.3">
      <c r="E103" s="4" t="s">
        <v>22</v>
      </c>
      <c r="F103" s="4">
        <v>-2.2001785100791777E-2</v>
      </c>
      <c r="G103" s="4">
        <v>1.3753004602158468E-2</v>
      </c>
      <c r="H103" s="4">
        <v>-1.5997802470987832</v>
      </c>
      <c r="I103" s="4">
        <v>0.15368035260378801</v>
      </c>
      <c r="J103" s="4">
        <v>-5.4522473306473286E-2</v>
      </c>
      <c r="K103" s="4">
        <v>1.051890310488973E-2</v>
      </c>
      <c r="L103" s="4">
        <v>-5.4522473306473286E-2</v>
      </c>
      <c r="M103" s="4">
        <v>1.051890310488973E-2</v>
      </c>
    </row>
    <row r="105" spans="1:17" x14ac:dyDescent="0.25">
      <c r="A105" t="s">
        <v>13</v>
      </c>
      <c r="B105" t="s">
        <v>6</v>
      </c>
    </row>
    <row r="106" spans="1:17" x14ac:dyDescent="0.25">
      <c r="A106" t="s">
        <v>21</v>
      </c>
      <c r="B106" t="s">
        <v>22</v>
      </c>
      <c r="C106" t="s">
        <v>52</v>
      </c>
      <c r="E106" t="s">
        <v>24</v>
      </c>
      <c r="O106" t="s">
        <v>21</v>
      </c>
      <c r="P106" t="s">
        <v>22</v>
      </c>
      <c r="Q106" t="s">
        <v>25</v>
      </c>
    </row>
    <row r="107" spans="1:17" ht="15.75" thickBot="1" x14ac:dyDescent="0.3">
      <c r="A107">
        <v>25.625</v>
      </c>
      <c r="B107">
        <v>202</v>
      </c>
      <c r="C107">
        <v>0.75700000000000001</v>
      </c>
      <c r="O107">
        <v>26.15</v>
      </c>
      <c r="P107">
        <v>136.25</v>
      </c>
      <c r="Q107">
        <f>F122+F123*O107+F124*P107</f>
        <v>0.73056314455887372</v>
      </c>
    </row>
    <row r="108" spans="1:17" x14ac:dyDescent="0.25">
      <c r="A108">
        <v>25.94</v>
      </c>
      <c r="B108">
        <v>218</v>
      </c>
      <c r="C108">
        <v>0.67500000000000004</v>
      </c>
      <c r="E108" s="2" t="s">
        <v>27</v>
      </c>
      <c r="F108" s="2"/>
      <c r="O108">
        <v>26.1</v>
      </c>
      <c r="P108">
        <v>179</v>
      </c>
      <c r="Q108">
        <f>F122+O108*F123+P108*F124</f>
        <v>0.60961676820909749</v>
      </c>
    </row>
    <row r="109" spans="1:17" x14ac:dyDescent="0.25">
      <c r="A109">
        <v>26.2</v>
      </c>
      <c r="B109">
        <v>161</v>
      </c>
      <c r="C109">
        <v>0.498</v>
      </c>
      <c r="E109" s="3" t="s">
        <v>28</v>
      </c>
      <c r="F109" s="3">
        <v>0.6785450627919497</v>
      </c>
      <c r="P109" t="s">
        <v>29</v>
      </c>
    </row>
    <row r="110" spans="1:17" x14ac:dyDescent="0.25">
      <c r="A110">
        <v>25.54</v>
      </c>
      <c r="B110">
        <v>208</v>
      </c>
      <c r="C110">
        <v>0.61099999999999999</v>
      </c>
      <c r="E110" s="3" t="s">
        <v>30</v>
      </c>
      <c r="F110" s="3">
        <v>0.46042340223933104</v>
      </c>
      <c r="P110">
        <v>21.2</v>
      </c>
    </row>
    <row r="111" spans="1:17" x14ac:dyDescent="0.25">
      <c r="A111">
        <v>25.67</v>
      </c>
      <c r="B111">
        <v>171</v>
      </c>
      <c r="C111">
        <v>0.65400000000000003</v>
      </c>
      <c r="E111" s="3" t="s">
        <v>31</v>
      </c>
      <c r="F111" s="3">
        <v>0.30625866002199703</v>
      </c>
      <c r="P111">
        <v>31.87</v>
      </c>
    </row>
    <row r="112" spans="1:17" x14ac:dyDescent="0.25">
      <c r="A112">
        <v>26.24</v>
      </c>
      <c r="B112">
        <v>152</v>
      </c>
      <c r="C112">
        <v>0.64500000000000002</v>
      </c>
      <c r="E112" s="3" t="s">
        <v>32</v>
      </c>
      <c r="F112" s="3">
        <v>0.11473382169788539</v>
      </c>
    </row>
    <row r="113" spans="1:13" ht="15.75" thickBot="1" x14ac:dyDescent="0.3">
      <c r="A113">
        <v>26.31</v>
      </c>
      <c r="B113">
        <v>131</v>
      </c>
      <c r="C113">
        <v>0.66800000000000004</v>
      </c>
      <c r="E113" s="4" t="s">
        <v>33</v>
      </c>
      <c r="F113" s="4">
        <v>10</v>
      </c>
    </row>
    <row r="114" spans="1:13" x14ac:dyDescent="0.25">
      <c r="A114">
        <v>25.72</v>
      </c>
      <c r="B114">
        <v>157</v>
      </c>
      <c r="C114">
        <v>0.89100000000000001</v>
      </c>
    </row>
    <row r="115" spans="1:13" ht="15.75" thickBot="1" x14ac:dyDescent="0.3">
      <c r="A115">
        <v>25.77</v>
      </c>
      <c r="B115">
        <v>160</v>
      </c>
      <c r="C115">
        <v>0.82699999999999996</v>
      </c>
      <c r="E115" t="s">
        <v>34</v>
      </c>
    </row>
    <row r="116" spans="1:13" x14ac:dyDescent="0.25">
      <c r="A116">
        <v>25.9</v>
      </c>
      <c r="B116">
        <v>136</v>
      </c>
      <c r="C116">
        <v>0.95</v>
      </c>
      <c r="E116" s="5"/>
      <c r="F116" s="5" t="s">
        <v>35</v>
      </c>
      <c r="G116" s="5" t="s">
        <v>36</v>
      </c>
      <c r="H116" s="5" t="s">
        <v>37</v>
      </c>
      <c r="I116" s="5" t="s">
        <v>38</v>
      </c>
      <c r="J116" s="5" t="s">
        <v>39</v>
      </c>
    </row>
    <row r="117" spans="1:13" x14ac:dyDescent="0.25">
      <c r="E117" s="3" t="s">
        <v>40</v>
      </c>
      <c r="F117" s="3">
        <v>2</v>
      </c>
      <c r="G117" s="3">
        <v>7.8629451110184878E-2</v>
      </c>
      <c r="H117" s="3">
        <v>3.9314725555092439E-2</v>
      </c>
      <c r="I117" s="3">
        <v>2.9865674577540458</v>
      </c>
      <c r="J117" s="3">
        <v>0.1153947017320489</v>
      </c>
    </row>
    <row r="118" spans="1:13" x14ac:dyDescent="0.25">
      <c r="E118" s="3" t="s">
        <v>41</v>
      </c>
      <c r="F118" s="3">
        <v>7</v>
      </c>
      <c r="G118" s="3">
        <v>9.2146948889815089E-2</v>
      </c>
      <c r="H118" s="3">
        <v>1.3163849841402156E-2</v>
      </c>
      <c r="I118" s="3"/>
      <c r="J118" s="3"/>
    </row>
    <row r="119" spans="1:13" ht="15.75" thickBot="1" x14ac:dyDescent="0.3">
      <c r="E119" s="4" t="s">
        <v>42</v>
      </c>
      <c r="F119" s="4">
        <v>9</v>
      </c>
      <c r="G119" s="4">
        <v>0.17077639999999997</v>
      </c>
      <c r="H119" s="4"/>
      <c r="I119" s="4"/>
      <c r="J119" s="4"/>
    </row>
    <row r="120" spans="1:13" ht="15.75" thickBot="1" x14ac:dyDescent="0.3"/>
    <row r="121" spans="1:13" x14ac:dyDescent="0.25">
      <c r="E121" s="5"/>
      <c r="F121" s="5" t="s">
        <v>43</v>
      </c>
      <c r="G121" s="5" t="s">
        <v>32</v>
      </c>
      <c r="H121" s="5" t="s">
        <v>44</v>
      </c>
      <c r="I121" s="5" t="s">
        <v>45</v>
      </c>
      <c r="J121" s="5" t="s">
        <v>46</v>
      </c>
      <c r="K121" s="5" t="s">
        <v>47</v>
      </c>
      <c r="L121" s="5" t="s">
        <v>48</v>
      </c>
      <c r="M121" s="5" t="s">
        <v>49</v>
      </c>
    </row>
    <row r="122" spans="1:13" x14ac:dyDescent="0.25">
      <c r="E122" s="3" t="s">
        <v>50</v>
      </c>
      <c r="F122" s="3">
        <v>10.871634068733204</v>
      </c>
      <c r="G122" s="3">
        <v>4.5097420699222273</v>
      </c>
      <c r="H122" s="3">
        <v>2.4106997473850407</v>
      </c>
      <c r="I122" s="3">
        <v>4.6725947751121329E-2</v>
      </c>
      <c r="J122" s="3">
        <v>0.20778860466872551</v>
      </c>
      <c r="K122" s="3">
        <v>21.535479532797684</v>
      </c>
      <c r="L122" s="3">
        <v>0.20778860466872551</v>
      </c>
      <c r="M122" s="3">
        <v>21.535479532797684</v>
      </c>
    </row>
    <row r="123" spans="1:13" x14ac:dyDescent="0.25">
      <c r="E123" s="3" t="s">
        <v>21</v>
      </c>
      <c r="F123" s="3">
        <v>-0.37080338592171042</v>
      </c>
      <c r="G123" s="3">
        <v>0.16827422230179953</v>
      </c>
      <c r="H123" s="3">
        <v>-2.2035661841103336</v>
      </c>
      <c r="I123" s="3">
        <v>6.3396420099637016E-2</v>
      </c>
      <c r="J123" s="3">
        <v>-0.76870869278618237</v>
      </c>
      <c r="K123" s="3">
        <v>2.7101920942761516E-2</v>
      </c>
      <c r="L123" s="3">
        <v>-0.76870869278618237</v>
      </c>
      <c r="M123" s="3">
        <v>2.7101920942761516E-2</v>
      </c>
    </row>
    <row r="124" spans="1:13" ht="15.75" thickBot="1" x14ac:dyDescent="0.3">
      <c r="E124" s="4" t="s">
        <v>22</v>
      </c>
      <c r="F124" s="4">
        <v>-3.2628431730025898E-3</v>
      </c>
      <c r="G124" s="4">
        <v>1.5419432453173602E-3</v>
      </c>
      <c r="H124" s="4">
        <v>-2.1160591888912466</v>
      </c>
      <c r="I124" s="4">
        <v>7.2140076821042995E-2</v>
      </c>
      <c r="J124" s="4">
        <v>-6.9089595644675154E-3</v>
      </c>
      <c r="K124" s="4">
        <v>3.8327321846233541E-4</v>
      </c>
      <c r="L124" s="4">
        <v>-6.9089595644675154E-3</v>
      </c>
      <c r="M124" s="4">
        <v>3.8327321846233541E-4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3"/>
  <sheetViews>
    <sheetView topLeftCell="A61" workbookViewId="0">
      <selection activeCell="I77" sqref="I77"/>
    </sheetView>
  </sheetViews>
  <sheetFormatPr defaultRowHeight="15" x14ac:dyDescent="0.25"/>
  <cols>
    <col min="1" max="1" width="14.7109375" customWidth="1"/>
    <col min="2" max="2" width="9.85546875" customWidth="1"/>
    <col min="3" max="3" width="11.28515625" customWidth="1"/>
    <col min="4" max="4" width="12.85546875" customWidth="1"/>
    <col min="8" max="8" width="9.5703125" customWidth="1"/>
    <col min="10" max="10" width="11.28515625" customWidth="1"/>
    <col min="11" max="11" width="10" customWidth="1"/>
    <col min="14" max="14" width="6.5703125" customWidth="1"/>
    <col min="15" max="15" width="17.7109375" customWidth="1"/>
  </cols>
  <sheetData>
    <row r="2" spans="1:16" x14ac:dyDescent="0.25">
      <c r="B2" t="s">
        <v>1</v>
      </c>
    </row>
    <row r="3" spans="1:16" x14ac:dyDescent="0.25">
      <c r="A3" t="s">
        <v>21</v>
      </c>
      <c r="B3" t="s">
        <v>22</v>
      </c>
      <c r="C3" t="s">
        <v>95</v>
      </c>
      <c r="D3" t="s">
        <v>23</v>
      </c>
      <c r="H3" t="s">
        <v>88</v>
      </c>
      <c r="I3" t="s">
        <v>89</v>
      </c>
      <c r="J3" t="s">
        <v>90</v>
      </c>
      <c r="K3" t="s">
        <v>82</v>
      </c>
      <c r="N3" s="6" t="s">
        <v>91</v>
      </c>
      <c r="O3" t="s">
        <v>92</v>
      </c>
      <c r="P3" s="6" t="s">
        <v>93</v>
      </c>
    </row>
    <row r="4" spans="1:16" x14ac:dyDescent="0.25">
      <c r="A4">
        <v>26.42</v>
      </c>
      <c r="B4">
        <v>226</v>
      </c>
      <c r="C4">
        <v>80</v>
      </c>
      <c r="D4">
        <v>0.69899999999999995</v>
      </c>
      <c r="H4">
        <v>27.55</v>
      </c>
      <c r="I4">
        <v>166</v>
      </c>
      <c r="J4">
        <v>80</v>
      </c>
      <c r="K4">
        <v>0.58099999999999996</v>
      </c>
      <c r="N4">
        <f>RANK(O4,$O$4:$O$13,1)</f>
        <v>7</v>
      </c>
      <c r="O4">
        <f>SQRT((A4-$H$4)^2+(B4-$I$4)^2+(C4-$J$4)^2)</f>
        <v>60.010639889939519</v>
      </c>
      <c r="P4">
        <f>Table37[[#This Row],[production]]</f>
        <v>0.69899999999999995</v>
      </c>
    </row>
    <row r="5" spans="1:16" x14ac:dyDescent="0.25">
      <c r="A5">
        <v>27.42</v>
      </c>
      <c r="B5">
        <v>184</v>
      </c>
      <c r="C5">
        <v>82</v>
      </c>
      <c r="D5">
        <v>0.625</v>
      </c>
      <c r="N5">
        <f t="shared" ref="N5:N13" si="0">RANK(O5,$O$4:$O$13,1)</f>
        <v>2</v>
      </c>
      <c r="O5">
        <f t="shared" ref="O5:O13" si="1">SQRT((A5-$H$4)^2+(B5-$I$4)^2+(C5-$J$4)^2)</f>
        <v>18.111236843462681</v>
      </c>
      <c r="P5">
        <f>Table37[[#This Row],[production]]</f>
        <v>0.625</v>
      </c>
    </row>
    <row r="6" spans="1:16" x14ac:dyDescent="0.25">
      <c r="A6">
        <v>26.95</v>
      </c>
      <c r="B6">
        <v>242</v>
      </c>
      <c r="C6">
        <v>81</v>
      </c>
      <c r="D6">
        <v>0.65700000000000003</v>
      </c>
      <c r="I6" t="s">
        <v>83</v>
      </c>
      <c r="N6">
        <f t="shared" si="0"/>
        <v>8</v>
      </c>
      <c r="O6">
        <f t="shared" si="1"/>
        <v>76.008946841802768</v>
      </c>
      <c r="P6">
        <f>Table37[[#This Row],[production]]</f>
        <v>0.65700000000000003</v>
      </c>
    </row>
    <row r="7" spans="1:16" x14ac:dyDescent="0.25">
      <c r="A7">
        <v>27.07</v>
      </c>
      <c r="B7">
        <v>226</v>
      </c>
      <c r="C7">
        <v>81</v>
      </c>
      <c r="D7">
        <v>0.69199999999999995</v>
      </c>
      <c r="I7" s="10">
        <v>0.3095</v>
      </c>
      <c r="N7">
        <f t="shared" si="0"/>
        <v>6</v>
      </c>
      <c r="O7">
        <f t="shared" si="1"/>
        <v>60.010252457392646</v>
      </c>
      <c r="P7">
        <f>Table37[[#This Row],[production]]</f>
        <v>0.69199999999999995</v>
      </c>
    </row>
    <row r="8" spans="1:16" x14ac:dyDescent="0.25">
      <c r="A8">
        <v>26.8</v>
      </c>
      <c r="B8">
        <v>299</v>
      </c>
      <c r="C8">
        <v>81</v>
      </c>
      <c r="D8">
        <v>0.69299999999999995</v>
      </c>
      <c r="N8">
        <f t="shared" si="0"/>
        <v>10</v>
      </c>
      <c r="O8">
        <f t="shared" si="1"/>
        <v>133.00587393043963</v>
      </c>
      <c r="P8">
        <f>Table37[[#This Row],[production]]</f>
        <v>0.69299999999999995</v>
      </c>
    </row>
    <row r="9" spans="1:16" x14ac:dyDescent="0.25">
      <c r="A9">
        <v>27.35</v>
      </c>
      <c r="B9">
        <v>269</v>
      </c>
      <c r="C9">
        <v>82</v>
      </c>
      <c r="D9">
        <v>0.72199999999999998</v>
      </c>
      <c r="N9">
        <f t="shared" si="0"/>
        <v>9</v>
      </c>
      <c r="O9">
        <f t="shared" si="1"/>
        <v>103.01960978376884</v>
      </c>
      <c r="P9">
        <f>Table37[[#This Row],[production]]</f>
        <v>0.72199999999999998</v>
      </c>
    </row>
    <row r="10" spans="1:16" x14ac:dyDescent="0.25">
      <c r="A10">
        <v>27.67</v>
      </c>
      <c r="B10">
        <v>153</v>
      </c>
      <c r="C10">
        <v>80</v>
      </c>
      <c r="D10">
        <v>0.58099999999999996</v>
      </c>
      <c r="N10">
        <f t="shared" si="0"/>
        <v>1</v>
      </c>
      <c r="O10">
        <f t="shared" si="1"/>
        <v>13.000553834356442</v>
      </c>
      <c r="P10">
        <f>Table37[[#This Row],[production]]</f>
        <v>0.58099999999999996</v>
      </c>
    </row>
    <row r="11" spans="1:16" x14ac:dyDescent="0.25">
      <c r="A11">
        <v>27.77</v>
      </c>
      <c r="B11">
        <v>215</v>
      </c>
      <c r="C11">
        <v>81</v>
      </c>
      <c r="D11">
        <v>0.747</v>
      </c>
      <c r="N11">
        <f t="shared" si="0"/>
        <v>5</v>
      </c>
      <c r="O11">
        <f t="shared" si="1"/>
        <v>49.010696791618869</v>
      </c>
      <c r="P11">
        <f>Table37[[#This Row],[production]]</f>
        <v>0.747</v>
      </c>
    </row>
    <row r="12" spans="1:16" x14ac:dyDescent="0.25">
      <c r="A12">
        <v>27.07</v>
      </c>
      <c r="B12">
        <v>200</v>
      </c>
      <c r="C12">
        <v>79</v>
      </c>
      <c r="D12">
        <v>0.81200000000000006</v>
      </c>
      <c r="N12">
        <f t="shared" si="0"/>
        <v>3</v>
      </c>
      <c r="O12">
        <f t="shared" si="1"/>
        <v>34.018089305544486</v>
      </c>
      <c r="P12">
        <f>Table37[[#This Row],[production]]</f>
        <v>0.81200000000000006</v>
      </c>
    </row>
    <row r="13" spans="1:16" x14ac:dyDescent="0.25">
      <c r="A13">
        <v>27.32</v>
      </c>
      <c r="B13">
        <v>132</v>
      </c>
      <c r="C13">
        <v>75</v>
      </c>
      <c r="D13">
        <v>0.77600000000000002</v>
      </c>
      <c r="N13">
        <f t="shared" si="0"/>
        <v>4</v>
      </c>
      <c r="O13">
        <f t="shared" si="1"/>
        <v>34.36645020947028</v>
      </c>
      <c r="P13">
        <f>Table37[[#This Row],[production]]</f>
        <v>0.77600000000000002</v>
      </c>
    </row>
    <row r="16" spans="1:16" x14ac:dyDescent="0.25">
      <c r="B16" t="s">
        <v>2</v>
      </c>
    </row>
    <row r="17" spans="1:16" x14ac:dyDescent="0.25">
      <c r="A17" t="s">
        <v>21</v>
      </c>
      <c r="B17" t="s">
        <v>22</v>
      </c>
      <c r="C17" t="s">
        <v>95</v>
      </c>
      <c r="D17" t="s">
        <v>23</v>
      </c>
      <c r="H17" t="s">
        <v>88</v>
      </c>
      <c r="I17" t="s">
        <v>89</v>
      </c>
      <c r="J17" t="s">
        <v>90</v>
      </c>
      <c r="K17" t="s">
        <v>82</v>
      </c>
      <c r="N17" t="s">
        <v>91</v>
      </c>
      <c r="O17" t="s">
        <v>92</v>
      </c>
      <c r="P17" s="6" t="s">
        <v>93</v>
      </c>
    </row>
    <row r="18" spans="1:16" x14ac:dyDescent="0.25">
      <c r="A18">
        <v>28.72</v>
      </c>
      <c r="B18">
        <v>218</v>
      </c>
      <c r="C18">
        <v>86</v>
      </c>
      <c r="D18">
        <v>0.82199999999999995</v>
      </c>
      <c r="H18">
        <v>28.72</v>
      </c>
      <c r="I18">
        <v>264</v>
      </c>
      <c r="J18">
        <v>85</v>
      </c>
      <c r="K18">
        <v>0.72799999999999998</v>
      </c>
      <c r="N18">
        <f>RANK(O18,$O$18:$O$27,1)</f>
        <v>6</v>
      </c>
      <c r="O18">
        <f>SQRT((A18-$H$18)^2+(B18-$I$18)^2+(C18-$J$18)^2)</f>
        <v>46.010868281309364</v>
      </c>
      <c r="P18">
        <f>D18</f>
        <v>0.82199999999999995</v>
      </c>
    </row>
    <row r="19" spans="1:16" x14ac:dyDescent="0.25">
      <c r="A19">
        <v>27.85</v>
      </c>
      <c r="B19">
        <v>607</v>
      </c>
      <c r="C19">
        <v>87</v>
      </c>
      <c r="D19">
        <v>0.77200000000000002</v>
      </c>
      <c r="N19">
        <f t="shared" ref="N19:N27" si="2">RANK(O19,$O$18:$O$27,1)</f>
        <v>10</v>
      </c>
      <c r="O19">
        <f t="shared" ref="O19:O27" si="3">SQRT((A19-$H$18)^2+(B19-$I$18)^2+(C19-$J$18)^2)</f>
        <v>343.00693418646802</v>
      </c>
      <c r="P19">
        <f t="shared" ref="P19:P27" si="4">D19</f>
        <v>0.77200000000000002</v>
      </c>
    </row>
    <row r="20" spans="1:16" x14ac:dyDescent="0.25">
      <c r="A20">
        <v>28.35</v>
      </c>
      <c r="B20">
        <v>418</v>
      </c>
      <c r="C20">
        <v>87</v>
      </c>
      <c r="D20">
        <v>0.78300000000000003</v>
      </c>
      <c r="I20" t="s">
        <v>83</v>
      </c>
      <c r="N20">
        <f t="shared" si="2"/>
        <v>9</v>
      </c>
      <c r="O20">
        <f t="shared" si="3"/>
        <v>154.013430907827</v>
      </c>
      <c r="P20">
        <f t="shared" si="4"/>
        <v>0.78300000000000003</v>
      </c>
    </row>
    <row r="21" spans="1:16" x14ac:dyDescent="0.25">
      <c r="A21">
        <v>28.8</v>
      </c>
      <c r="B21">
        <v>264</v>
      </c>
      <c r="C21">
        <v>87</v>
      </c>
      <c r="D21">
        <v>0.76200000000000001</v>
      </c>
      <c r="I21" s="12">
        <v>0.18</v>
      </c>
      <c r="N21">
        <f t="shared" si="2"/>
        <v>2</v>
      </c>
      <c r="O21">
        <f t="shared" si="3"/>
        <v>2.0015993605114888</v>
      </c>
      <c r="P21">
        <f t="shared" si="4"/>
        <v>0.76200000000000001</v>
      </c>
    </row>
    <row r="22" spans="1:16" x14ac:dyDescent="0.25">
      <c r="A22">
        <v>28.55</v>
      </c>
      <c r="B22">
        <v>365</v>
      </c>
      <c r="C22">
        <v>87</v>
      </c>
      <c r="D22">
        <v>0.78600000000000003</v>
      </c>
      <c r="N22">
        <f t="shared" si="2"/>
        <v>8</v>
      </c>
      <c r="O22">
        <f t="shared" si="3"/>
        <v>101.01994308056206</v>
      </c>
      <c r="P22">
        <f t="shared" si="4"/>
        <v>0.78600000000000003</v>
      </c>
    </row>
    <row r="23" spans="1:16" x14ac:dyDescent="0.25">
      <c r="A23">
        <v>28.42</v>
      </c>
      <c r="B23">
        <v>282</v>
      </c>
      <c r="C23">
        <v>88</v>
      </c>
      <c r="D23">
        <v>0.85</v>
      </c>
      <c r="N23">
        <f t="shared" si="2"/>
        <v>3</v>
      </c>
      <c r="O23">
        <f t="shared" si="3"/>
        <v>18.250753409106157</v>
      </c>
      <c r="P23">
        <f t="shared" si="4"/>
        <v>0.85</v>
      </c>
    </row>
    <row r="24" spans="1:16" x14ac:dyDescent="0.25">
      <c r="A24">
        <v>28.75</v>
      </c>
      <c r="B24">
        <v>262</v>
      </c>
      <c r="C24">
        <v>85</v>
      </c>
      <c r="D24">
        <v>0.72799999999999998</v>
      </c>
      <c r="N24">
        <f t="shared" si="2"/>
        <v>1</v>
      </c>
      <c r="O24">
        <f t="shared" si="3"/>
        <v>2.0002249873451734</v>
      </c>
      <c r="P24">
        <f t="shared" si="4"/>
        <v>0.72799999999999998</v>
      </c>
    </row>
    <row r="25" spans="1:16" x14ac:dyDescent="0.25">
      <c r="A25">
        <v>28.97</v>
      </c>
      <c r="B25">
        <v>221</v>
      </c>
      <c r="C25">
        <v>86</v>
      </c>
      <c r="D25">
        <v>0.87</v>
      </c>
      <c r="N25">
        <f t="shared" si="2"/>
        <v>5</v>
      </c>
      <c r="O25">
        <f t="shared" si="3"/>
        <v>43.012352876819001</v>
      </c>
      <c r="P25">
        <f t="shared" si="4"/>
        <v>0.87</v>
      </c>
    </row>
    <row r="26" spans="1:16" x14ac:dyDescent="0.25">
      <c r="A26">
        <v>28.75</v>
      </c>
      <c r="B26">
        <v>333</v>
      </c>
      <c r="C26">
        <v>86</v>
      </c>
      <c r="D26">
        <v>0.85099999999999998</v>
      </c>
      <c r="N26">
        <f t="shared" si="2"/>
        <v>7</v>
      </c>
      <c r="O26">
        <f t="shared" si="3"/>
        <v>69.007252517398484</v>
      </c>
      <c r="P26">
        <f t="shared" si="4"/>
        <v>0.85099999999999998</v>
      </c>
    </row>
    <row r="27" spans="1:16" x14ac:dyDescent="0.25">
      <c r="A27">
        <v>28.75</v>
      </c>
      <c r="B27">
        <v>228</v>
      </c>
      <c r="C27">
        <v>85</v>
      </c>
      <c r="D27">
        <v>0.875</v>
      </c>
      <c r="N27">
        <f t="shared" si="2"/>
        <v>4</v>
      </c>
      <c r="O27">
        <f t="shared" si="3"/>
        <v>36.00001249999783</v>
      </c>
      <c r="P27">
        <f t="shared" si="4"/>
        <v>0.875</v>
      </c>
    </row>
    <row r="30" spans="1:16" x14ac:dyDescent="0.25">
      <c r="B30" t="s">
        <v>3</v>
      </c>
      <c r="H30" t="s">
        <v>88</v>
      </c>
      <c r="I30" t="s">
        <v>89</v>
      </c>
      <c r="J30" t="s">
        <v>90</v>
      </c>
      <c r="K30" t="s">
        <v>82</v>
      </c>
      <c r="N30" t="s">
        <v>91</v>
      </c>
      <c r="O30" t="s">
        <v>92</v>
      </c>
      <c r="P30" s="6" t="s">
        <v>93</v>
      </c>
    </row>
    <row r="31" spans="1:16" x14ac:dyDescent="0.25">
      <c r="A31" t="s">
        <v>21</v>
      </c>
      <c r="B31" t="s">
        <v>22</v>
      </c>
      <c r="C31" t="s">
        <v>95</v>
      </c>
      <c r="D31" t="s">
        <v>23</v>
      </c>
      <c r="H31">
        <v>20.3</v>
      </c>
      <c r="I31">
        <v>10</v>
      </c>
      <c r="J31">
        <v>78</v>
      </c>
      <c r="K31">
        <v>1.446</v>
      </c>
      <c r="N31">
        <f>RANK(O31,$O$31:$O$41,1)</f>
        <v>6</v>
      </c>
      <c r="O31">
        <f>SQRT((A32-$H$31)^2+(B32-$I$31)^2+(C32-$J$31)^2)</f>
        <v>8.4876380695691775</v>
      </c>
      <c r="P31">
        <f>D32</f>
        <v>1.3149999999999999</v>
      </c>
    </row>
    <row r="32" spans="1:16" x14ac:dyDescent="0.25">
      <c r="A32">
        <v>20.100000000000001</v>
      </c>
      <c r="B32">
        <v>4</v>
      </c>
      <c r="C32">
        <v>72</v>
      </c>
      <c r="D32">
        <v>1.3149999999999999</v>
      </c>
      <c r="N32">
        <f t="shared" ref="N32:N40" si="5">RANK(O32,$O$31:$O$41,1)</f>
        <v>2</v>
      </c>
      <c r="O32">
        <f t="shared" ref="O32:O40" si="6">SQRT((A33-$H$31)^2+(B33-$I$31)^2+(C33-$J$31)^2)</f>
        <v>2.8335313656284096</v>
      </c>
      <c r="P32">
        <f t="shared" ref="P32:P40" si="7">D33</f>
        <v>1.3380000000000001</v>
      </c>
    </row>
    <row r="33" spans="1:16" x14ac:dyDescent="0.25">
      <c r="A33">
        <v>20.47</v>
      </c>
      <c r="B33">
        <v>12</v>
      </c>
      <c r="C33">
        <v>80</v>
      </c>
      <c r="D33">
        <v>1.3380000000000001</v>
      </c>
      <c r="I33" t="s">
        <v>83</v>
      </c>
      <c r="N33">
        <f t="shared" si="5"/>
        <v>7</v>
      </c>
      <c r="O33">
        <f t="shared" si="6"/>
        <v>9.2403679580414977</v>
      </c>
      <c r="P33">
        <f t="shared" si="7"/>
        <v>1.3049999999999999</v>
      </c>
    </row>
    <row r="34" spans="1:16" x14ac:dyDescent="0.25">
      <c r="A34">
        <v>20.92</v>
      </c>
      <c r="B34">
        <v>1</v>
      </c>
      <c r="C34">
        <v>80</v>
      </c>
      <c r="D34">
        <v>1.3049999999999999</v>
      </c>
      <c r="I34" s="10">
        <v>0.13100000000000001</v>
      </c>
      <c r="N34">
        <f t="shared" si="5"/>
        <v>5</v>
      </c>
      <c r="O34">
        <f t="shared" si="6"/>
        <v>8.1204002364415508</v>
      </c>
      <c r="P34">
        <f t="shared" si="7"/>
        <v>1.292</v>
      </c>
    </row>
    <row r="35" spans="1:16" x14ac:dyDescent="0.25">
      <c r="A35">
        <v>21.27</v>
      </c>
      <c r="B35">
        <v>14</v>
      </c>
      <c r="C35">
        <v>85</v>
      </c>
      <c r="D35">
        <v>1.292</v>
      </c>
      <c r="N35">
        <f t="shared" si="5"/>
        <v>10</v>
      </c>
      <c r="O35">
        <f t="shared" si="6"/>
        <v>16.763200768349702</v>
      </c>
      <c r="P35">
        <f t="shared" si="7"/>
        <v>1.367</v>
      </c>
    </row>
    <row r="36" spans="1:16" x14ac:dyDescent="0.25">
      <c r="A36">
        <v>20.37</v>
      </c>
      <c r="B36">
        <v>26</v>
      </c>
      <c r="C36">
        <v>83</v>
      </c>
      <c r="D36">
        <v>1.367</v>
      </c>
      <c r="N36">
        <f t="shared" si="5"/>
        <v>8</v>
      </c>
      <c r="O36">
        <f t="shared" si="6"/>
        <v>9.8491065584650883</v>
      </c>
      <c r="P36">
        <f t="shared" si="7"/>
        <v>1.345</v>
      </c>
    </row>
    <row r="37" spans="1:16" x14ac:dyDescent="0.25">
      <c r="A37">
        <v>20.37</v>
      </c>
      <c r="B37">
        <v>1</v>
      </c>
      <c r="C37">
        <v>82</v>
      </c>
      <c r="D37">
        <v>1.345</v>
      </c>
      <c r="N37">
        <f t="shared" si="5"/>
        <v>9</v>
      </c>
      <c r="O37">
        <f t="shared" si="6"/>
        <v>9.8833508993660644</v>
      </c>
      <c r="P37">
        <f t="shared" si="7"/>
        <v>1.425</v>
      </c>
    </row>
    <row r="38" spans="1:16" x14ac:dyDescent="0.25">
      <c r="A38">
        <v>21.125</v>
      </c>
      <c r="B38">
        <v>1</v>
      </c>
      <c r="C38">
        <v>82</v>
      </c>
      <c r="D38">
        <v>1.425</v>
      </c>
      <c r="N38">
        <f t="shared" si="5"/>
        <v>3</v>
      </c>
      <c r="O38">
        <f t="shared" si="6"/>
        <v>5.4083269131959844</v>
      </c>
      <c r="P38">
        <f t="shared" si="7"/>
        <v>1.452</v>
      </c>
    </row>
    <row r="39" spans="1:16" x14ac:dyDescent="0.25">
      <c r="A39">
        <v>20.8</v>
      </c>
      <c r="B39">
        <v>15</v>
      </c>
      <c r="C39">
        <v>80</v>
      </c>
      <c r="D39">
        <v>1.452</v>
      </c>
      <c r="N39">
        <f t="shared" si="5"/>
        <v>4</v>
      </c>
      <c r="O39">
        <f t="shared" si="6"/>
        <v>6.3359608584649569</v>
      </c>
      <c r="P39">
        <f t="shared" si="7"/>
        <v>1.496</v>
      </c>
    </row>
    <row r="40" spans="1:16" x14ac:dyDescent="0.25">
      <c r="A40">
        <v>19.920000000000002</v>
      </c>
      <c r="B40">
        <v>4</v>
      </c>
      <c r="C40">
        <v>80</v>
      </c>
      <c r="D40">
        <v>1.496</v>
      </c>
      <c r="N40">
        <f t="shared" si="5"/>
        <v>1</v>
      </c>
      <c r="O40">
        <f t="shared" si="6"/>
        <v>2.2912878474779199</v>
      </c>
      <c r="P40">
        <f t="shared" si="7"/>
        <v>1.446</v>
      </c>
    </row>
    <row r="41" spans="1:16" x14ac:dyDescent="0.25">
      <c r="A41">
        <v>19.8</v>
      </c>
      <c r="B41">
        <v>9</v>
      </c>
      <c r="C41">
        <v>80</v>
      </c>
      <c r="D41">
        <v>1.446</v>
      </c>
    </row>
    <row r="44" spans="1:16" x14ac:dyDescent="0.25">
      <c r="A44" t="s">
        <v>96</v>
      </c>
      <c r="B44" t="s">
        <v>53</v>
      </c>
      <c r="C44" t="s">
        <v>97</v>
      </c>
      <c r="D44" t="s">
        <v>98</v>
      </c>
    </row>
    <row r="45" spans="1:16" x14ac:dyDescent="0.25">
      <c r="A45" t="s">
        <v>21</v>
      </c>
      <c r="B45" t="s">
        <v>22</v>
      </c>
      <c r="C45" t="s">
        <v>95</v>
      </c>
      <c r="D45" t="s">
        <v>82</v>
      </c>
      <c r="H45" t="s">
        <v>88</v>
      </c>
      <c r="I45" t="s">
        <v>89</v>
      </c>
      <c r="J45" t="s">
        <v>90</v>
      </c>
      <c r="K45" t="s">
        <v>82</v>
      </c>
      <c r="N45" t="s">
        <v>91</v>
      </c>
      <c r="O45" t="s">
        <v>92</v>
      </c>
      <c r="P45" s="6" t="s">
        <v>93</v>
      </c>
    </row>
    <row r="46" spans="1:16" x14ac:dyDescent="0.25">
      <c r="A46">
        <v>26.42</v>
      </c>
      <c r="B46">
        <v>226</v>
      </c>
      <c r="C46">
        <v>80</v>
      </c>
      <c r="D46">
        <v>3.51</v>
      </c>
      <c r="H46">
        <v>27.55</v>
      </c>
      <c r="I46">
        <v>166</v>
      </c>
      <c r="J46">
        <v>80</v>
      </c>
      <c r="K46">
        <v>3.3679999999999999</v>
      </c>
      <c r="N46">
        <f>RANK(O46,$O$46:$O$55,1)</f>
        <v>7</v>
      </c>
      <c r="O46">
        <f>SQRT((A46-$H$46)^2+(B46-$I$46)^2+(C46-$J$46)^2)</f>
        <v>60.010639889939519</v>
      </c>
      <c r="P46">
        <f>D46</f>
        <v>3.51</v>
      </c>
    </row>
    <row r="47" spans="1:16" x14ac:dyDescent="0.25">
      <c r="A47">
        <v>27.42</v>
      </c>
      <c r="B47">
        <v>184</v>
      </c>
      <c r="C47">
        <v>82</v>
      </c>
      <c r="D47">
        <v>3.51</v>
      </c>
      <c r="N47">
        <f t="shared" ref="N47:N55" si="8">RANK(O47,$O$46:$O$55,1)</f>
        <v>2</v>
      </c>
      <c r="O47">
        <f t="shared" ref="O47:O55" si="9">SQRT((A47-$H$46)^2+(B47-$I$46)^2+(C47-$J$46)^2)</f>
        <v>18.111236843462681</v>
      </c>
      <c r="P47">
        <f t="shared" ref="P47:P55" si="10">D47</f>
        <v>3.51</v>
      </c>
    </row>
    <row r="48" spans="1:16" x14ac:dyDescent="0.25">
      <c r="A48">
        <v>26.95</v>
      </c>
      <c r="B48">
        <v>242</v>
      </c>
      <c r="C48">
        <v>81</v>
      </c>
      <c r="D48">
        <v>3.34</v>
      </c>
      <c r="J48" t="s">
        <v>83</v>
      </c>
      <c r="N48">
        <f t="shared" si="8"/>
        <v>8</v>
      </c>
      <c r="O48">
        <f t="shared" si="9"/>
        <v>76.008946841802768</v>
      </c>
      <c r="P48">
        <f t="shared" si="10"/>
        <v>3.34</v>
      </c>
    </row>
    <row r="49" spans="1:16" x14ac:dyDescent="0.25">
      <c r="A49">
        <v>27.07</v>
      </c>
      <c r="B49">
        <v>226</v>
      </c>
      <c r="C49">
        <v>81</v>
      </c>
      <c r="D49">
        <v>4.71</v>
      </c>
      <c r="J49" s="10">
        <v>0.1113</v>
      </c>
      <c r="N49">
        <f t="shared" si="8"/>
        <v>6</v>
      </c>
      <c r="O49">
        <f t="shared" si="9"/>
        <v>60.010252457392646</v>
      </c>
      <c r="P49">
        <f t="shared" si="10"/>
        <v>4.71</v>
      </c>
    </row>
    <row r="50" spans="1:16" x14ac:dyDescent="0.25">
      <c r="A50">
        <v>26.8</v>
      </c>
      <c r="B50">
        <v>299</v>
      </c>
      <c r="C50">
        <v>81</v>
      </c>
      <c r="D50">
        <v>3.23</v>
      </c>
      <c r="N50">
        <f t="shared" si="8"/>
        <v>10</v>
      </c>
      <c r="O50">
        <f t="shared" si="9"/>
        <v>133.00587393043963</v>
      </c>
      <c r="P50">
        <f t="shared" si="10"/>
        <v>3.23</v>
      </c>
    </row>
    <row r="51" spans="1:16" x14ac:dyDescent="0.25">
      <c r="A51">
        <v>27.35</v>
      </c>
      <c r="B51">
        <v>269</v>
      </c>
      <c r="C51">
        <v>82</v>
      </c>
      <c r="D51">
        <v>3.16</v>
      </c>
      <c r="N51">
        <f t="shared" si="8"/>
        <v>9</v>
      </c>
      <c r="O51">
        <f t="shared" si="9"/>
        <v>103.01960978376884</v>
      </c>
      <c r="P51">
        <f t="shared" si="10"/>
        <v>3.16</v>
      </c>
    </row>
    <row r="52" spans="1:16" x14ac:dyDescent="0.25">
      <c r="A52">
        <v>27.67</v>
      </c>
      <c r="B52">
        <v>153</v>
      </c>
      <c r="C52">
        <v>80</v>
      </c>
      <c r="D52">
        <v>3.3679999999999999</v>
      </c>
      <c r="N52">
        <f t="shared" si="8"/>
        <v>1</v>
      </c>
      <c r="O52">
        <f t="shared" si="9"/>
        <v>13.000553834356442</v>
      </c>
      <c r="P52">
        <f t="shared" si="10"/>
        <v>3.3679999999999999</v>
      </c>
    </row>
    <row r="53" spans="1:16" x14ac:dyDescent="0.25">
      <c r="A53">
        <v>27.77</v>
      </c>
      <c r="B53">
        <v>215</v>
      </c>
      <c r="C53">
        <v>81</v>
      </c>
      <c r="D53">
        <v>3.28</v>
      </c>
      <c r="N53">
        <f t="shared" si="8"/>
        <v>5</v>
      </c>
      <c r="O53">
        <f t="shared" si="9"/>
        <v>49.010696791618869</v>
      </c>
      <c r="P53">
        <f t="shared" si="10"/>
        <v>3.28</v>
      </c>
    </row>
    <row r="54" spans="1:16" x14ac:dyDescent="0.25">
      <c r="A54">
        <v>27.07</v>
      </c>
      <c r="B54">
        <v>200</v>
      </c>
      <c r="C54">
        <v>79</v>
      </c>
      <c r="D54">
        <v>3.63</v>
      </c>
      <c r="N54">
        <f t="shared" si="8"/>
        <v>3</v>
      </c>
      <c r="O54">
        <f t="shared" si="9"/>
        <v>34.018089305544486</v>
      </c>
      <c r="P54">
        <f t="shared" si="10"/>
        <v>3.63</v>
      </c>
    </row>
    <row r="55" spans="1:16" x14ac:dyDescent="0.25">
      <c r="A55">
        <v>27.32</v>
      </c>
      <c r="B55">
        <v>132</v>
      </c>
      <c r="C55">
        <v>75</v>
      </c>
      <c r="D55">
        <v>3.23</v>
      </c>
      <c r="N55">
        <f t="shared" si="8"/>
        <v>4</v>
      </c>
      <c r="O55">
        <f t="shared" si="9"/>
        <v>34.36645020947028</v>
      </c>
      <c r="P55">
        <f t="shared" si="10"/>
        <v>3.23</v>
      </c>
    </row>
    <row r="58" spans="1:16" x14ac:dyDescent="0.25">
      <c r="A58" t="s">
        <v>96</v>
      </c>
      <c r="B58" t="s">
        <v>5</v>
      </c>
      <c r="C58" t="s">
        <v>97</v>
      </c>
      <c r="D58" t="s">
        <v>98</v>
      </c>
    </row>
    <row r="59" spans="1:16" x14ac:dyDescent="0.25">
      <c r="A59" t="s">
        <v>21</v>
      </c>
      <c r="B59" t="s">
        <v>22</v>
      </c>
      <c r="C59" t="s">
        <v>95</v>
      </c>
      <c r="D59" t="s">
        <v>82</v>
      </c>
      <c r="H59" t="s">
        <v>88</v>
      </c>
      <c r="I59" t="s">
        <v>89</v>
      </c>
      <c r="J59" t="s">
        <v>90</v>
      </c>
      <c r="K59" t="s">
        <v>82</v>
      </c>
      <c r="N59" t="s">
        <v>91</v>
      </c>
      <c r="O59" t="s">
        <v>92</v>
      </c>
      <c r="P59" s="6" t="s">
        <v>93</v>
      </c>
    </row>
    <row r="60" spans="1:16" x14ac:dyDescent="0.25">
      <c r="A60">
        <v>20.100000000000001</v>
      </c>
      <c r="B60">
        <v>4</v>
      </c>
      <c r="C60">
        <v>72</v>
      </c>
      <c r="D60">
        <v>3.8319999999999999</v>
      </c>
      <c r="H60">
        <v>20.3</v>
      </c>
      <c r="I60">
        <v>10</v>
      </c>
      <c r="J60">
        <v>78</v>
      </c>
      <c r="K60">
        <v>3.39</v>
      </c>
      <c r="N60">
        <f>RANK(O60,$O$60:$O$69,1)</f>
        <v>6</v>
      </c>
      <c r="O60">
        <f>SQRT((A60-$H$60)^2+(B60-$I$60)^2+(C60-$J$60)^2)</f>
        <v>8.4876380695691775</v>
      </c>
      <c r="P60">
        <f>D60</f>
        <v>3.8319999999999999</v>
      </c>
    </row>
    <row r="61" spans="1:16" x14ac:dyDescent="0.25">
      <c r="A61">
        <v>20.47</v>
      </c>
      <c r="B61">
        <v>12</v>
      </c>
      <c r="C61">
        <v>80</v>
      </c>
      <c r="D61">
        <v>3.8319999999999999</v>
      </c>
      <c r="N61">
        <f t="shared" ref="N61:N69" si="11">RANK(O61,$O$60:$O$69,1)</f>
        <v>2</v>
      </c>
      <c r="O61">
        <f t="shared" ref="O61:O69" si="12">SQRT((A61-$H$60)^2+(B61-$I$60)^2+(C61-$J$60)^2)</f>
        <v>2.8335313656284096</v>
      </c>
      <c r="P61">
        <f t="shared" ref="P61:P69" si="13">D61</f>
        <v>3.8319999999999999</v>
      </c>
    </row>
    <row r="62" spans="1:16" x14ac:dyDescent="0.25">
      <c r="A62">
        <v>20.92</v>
      </c>
      <c r="B62">
        <v>1</v>
      </c>
      <c r="C62">
        <v>80</v>
      </c>
      <c r="D62">
        <v>2.6280000000000001</v>
      </c>
      <c r="I62" t="s">
        <v>83</v>
      </c>
      <c r="N62">
        <f t="shared" si="11"/>
        <v>7</v>
      </c>
      <c r="O62">
        <f t="shared" si="12"/>
        <v>9.2403679580414977</v>
      </c>
      <c r="P62">
        <f t="shared" si="13"/>
        <v>2.6280000000000001</v>
      </c>
    </row>
    <row r="63" spans="1:16" x14ac:dyDescent="0.25">
      <c r="A63">
        <v>21.27</v>
      </c>
      <c r="B63">
        <v>14</v>
      </c>
      <c r="C63">
        <v>85</v>
      </c>
      <c r="D63">
        <v>3.6539999999999999</v>
      </c>
      <c r="I63" s="10">
        <v>0.25719999999999998</v>
      </c>
      <c r="N63">
        <f t="shared" si="11"/>
        <v>5</v>
      </c>
      <c r="O63">
        <f t="shared" si="12"/>
        <v>8.1204002364415508</v>
      </c>
      <c r="P63">
        <f t="shared" si="13"/>
        <v>3.6539999999999999</v>
      </c>
    </row>
    <row r="64" spans="1:16" x14ac:dyDescent="0.25">
      <c r="A64">
        <v>20.37</v>
      </c>
      <c r="B64">
        <v>26</v>
      </c>
      <c r="C64">
        <v>83</v>
      </c>
      <c r="D64">
        <v>3.621</v>
      </c>
      <c r="N64">
        <f t="shared" si="11"/>
        <v>10</v>
      </c>
      <c r="O64">
        <f t="shared" si="12"/>
        <v>16.763200768349702</v>
      </c>
      <c r="P64">
        <f t="shared" si="13"/>
        <v>3.621</v>
      </c>
    </row>
    <row r="65" spans="1:16" x14ac:dyDescent="0.25">
      <c r="A65">
        <v>20.37</v>
      </c>
      <c r="B65">
        <v>1</v>
      </c>
      <c r="C65">
        <v>82</v>
      </c>
      <c r="D65">
        <v>2.8140000000000001</v>
      </c>
      <c r="N65">
        <f t="shared" si="11"/>
        <v>8</v>
      </c>
      <c r="O65">
        <f t="shared" si="12"/>
        <v>9.8491065584650883</v>
      </c>
      <c r="P65">
        <f t="shared" si="13"/>
        <v>2.8140000000000001</v>
      </c>
    </row>
    <row r="66" spans="1:16" x14ac:dyDescent="0.25">
      <c r="A66">
        <v>21.125</v>
      </c>
      <c r="B66">
        <v>1</v>
      </c>
      <c r="C66">
        <v>82</v>
      </c>
      <c r="D66">
        <v>3.6320000000000001</v>
      </c>
      <c r="N66">
        <f t="shared" si="11"/>
        <v>9</v>
      </c>
      <c r="O66">
        <f t="shared" si="12"/>
        <v>9.8833508993660644</v>
      </c>
      <c r="P66">
        <f t="shared" si="13"/>
        <v>3.6320000000000001</v>
      </c>
    </row>
    <row r="67" spans="1:16" x14ac:dyDescent="0.25">
      <c r="A67">
        <v>20.8</v>
      </c>
      <c r="B67">
        <v>15</v>
      </c>
      <c r="C67">
        <v>80</v>
      </c>
      <c r="D67">
        <v>3.81</v>
      </c>
      <c r="N67">
        <f t="shared" si="11"/>
        <v>3</v>
      </c>
      <c r="O67">
        <f t="shared" si="12"/>
        <v>5.4083269131959844</v>
      </c>
      <c r="P67">
        <f t="shared" si="13"/>
        <v>3.81</v>
      </c>
    </row>
    <row r="68" spans="1:16" x14ac:dyDescent="0.25">
      <c r="A68">
        <v>19.920000000000002</v>
      </c>
      <c r="B68">
        <v>4</v>
      </c>
      <c r="C68">
        <v>80</v>
      </c>
      <c r="D68">
        <v>3.5569999999999999</v>
      </c>
      <c r="N68">
        <f t="shared" si="11"/>
        <v>4</v>
      </c>
      <c r="O68">
        <f t="shared" si="12"/>
        <v>6.3359608584649569</v>
      </c>
      <c r="P68">
        <f t="shared" si="13"/>
        <v>3.5569999999999999</v>
      </c>
    </row>
    <row r="69" spans="1:16" x14ac:dyDescent="0.25">
      <c r="A69">
        <v>19.8</v>
      </c>
      <c r="B69">
        <v>9</v>
      </c>
      <c r="C69">
        <v>80</v>
      </c>
      <c r="D69">
        <v>3.39</v>
      </c>
      <c r="N69">
        <f t="shared" si="11"/>
        <v>1</v>
      </c>
      <c r="O69">
        <f t="shared" si="12"/>
        <v>2.2912878474779199</v>
      </c>
      <c r="P69">
        <f t="shared" si="13"/>
        <v>3.39</v>
      </c>
    </row>
    <row r="72" spans="1:16" x14ac:dyDescent="0.25">
      <c r="B72" t="s">
        <v>6</v>
      </c>
    </row>
    <row r="73" spans="1:16" x14ac:dyDescent="0.25">
      <c r="A73" s="13" t="s">
        <v>21</v>
      </c>
      <c r="B73" s="8" t="s">
        <v>22</v>
      </c>
      <c r="C73" s="8" t="s">
        <v>95</v>
      </c>
      <c r="D73" s="14" t="s">
        <v>23</v>
      </c>
      <c r="H73" t="s">
        <v>88</v>
      </c>
      <c r="I73" t="s">
        <v>89</v>
      </c>
      <c r="J73" t="s">
        <v>90</v>
      </c>
      <c r="K73" t="s">
        <v>82</v>
      </c>
      <c r="N73" t="s">
        <v>91</v>
      </c>
      <c r="O73" t="s">
        <v>92</v>
      </c>
      <c r="P73" s="6" t="s">
        <v>93</v>
      </c>
    </row>
    <row r="74" spans="1:16" x14ac:dyDescent="0.25">
      <c r="A74" s="13">
        <v>20.100000000000001</v>
      </c>
      <c r="B74" s="8">
        <v>4</v>
      </c>
      <c r="C74" s="8">
        <v>72</v>
      </c>
      <c r="D74" s="14">
        <v>0.64300000000000002</v>
      </c>
      <c r="H74">
        <v>20.3</v>
      </c>
      <c r="I74">
        <v>10</v>
      </c>
      <c r="J74">
        <v>78</v>
      </c>
      <c r="K74">
        <v>0.76600000000000001</v>
      </c>
      <c r="N74">
        <f>RANK(O74,$O$74:$O$83,1)</f>
        <v>6</v>
      </c>
      <c r="O74">
        <f>SQRT((A74-$H$74)^2+(B74-$I$74)^2+(C74-$J$74)^2)</f>
        <v>8.4876380695691775</v>
      </c>
      <c r="P74">
        <f>D74</f>
        <v>0.64300000000000002</v>
      </c>
    </row>
    <row r="75" spans="1:16" x14ac:dyDescent="0.25">
      <c r="A75" s="13">
        <v>20.47</v>
      </c>
      <c r="B75" s="8">
        <v>12</v>
      </c>
      <c r="C75" s="8">
        <v>80</v>
      </c>
      <c r="D75" s="14">
        <v>0.58199999999999996</v>
      </c>
      <c r="N75">
        <f t="shared" ref="N75:N83" si="14">RANK(O75,$O$74:$O$83,1)</f>
        <v>2</v>
      </c>
      <c r="O75">
        <f t="shared" ref="O75:O83" si="15">SQRT((A75-$H$74)^2+(B75-$I$74)^2+(C75-$J$74)^2)</f>
        <v>2.8335313656284096</v>
      </c>
      <c r="P75">
        <f t="shared" ref="P75:P83" si="16">D75</f>
        <v>0.58199999999999996</v>
      </c>
    </row>
    <row r="76" spans="1:16" x14ac:dyDescent="0.25">
      <c r="A76" s="13">
        <v>20.92</v>
      </c>
      <c r="B76" s="8">
        <v>1</v>
      </c>
      <c r="C76" s="8">
        <v>80</v>
      </c>
      <c r="D76" s="14">
        <v>0.49199999999999999</v>
      </c>
      <c r="I76" t="s">
        <v>83</v>
      </c>
      <c r="N76">
        <f t="shared" si="14"/>
        <v>7</v>
      </c>
      <c r="O76">
        <f t="shared" si="15"/>
        <v>9.2403679580414977</v>
      </c>
      <c r="P76">
        <f t="shared" si="16"/>
        <v>0.49199999999999999</v>
      </c>
    </row>
    <row r="77" spans="1:16" x14ac:dyDescent="0.25">
      <c r="A77" s="13">
        <v>21.27</v>
      </c>
      <c r="B77" s="8">
        <v>14</v>
      </c>
      <c r="C77" s="8">
        <v>85</v>
      </c>
      <c r="D77" s="14">
        <v>0.626</v>
      </c>
      <c r="I77" s="10">
        <v>0.25259999999999999</v>
      </c>
      <c r="N77">
        <f t="shared" si="14"/>
        <v>5</v>
      </c>
      <c r="O77">
        <f t="shared" si="15"/>
        <v>8.1204002364415508</v>
      </c>
      <c r="P77">
        <f t="shared" si="16"/>
        <v>0.626</v>
      </c>
    </row>
    <row r="78" spans="1:16" x14ac:dyDescent="0.25">
      <c r="A78" s="13">
        <v>20.37</v>
      </c>
      <c r="B78" s="8">
        <v>26</v>
      </c>
      <c r="C78" s="8">
        <v>83</v>
      </c>
      <c r="D78" s="14">
        <v>0.61899999999999999</v>
      </c>
      <c r="N78">
        <f t="shared" si="14"/>
        <v>10</v>
      </c>
      <c r="O78">
        <f t="shared" si="15"/>
        <v>16.763200768349702</v>
      </c>
      <c r="P78">
        <f t="shared" si="16"/>
        <v>0.61899999999999999</v>
      </c>
    </row>
    <row r="79" spans="1:16" x14ac:dyDescent="0.25">
      <c r="A79" s="13">
        <v>20.37</v>
      </c>
      <c r="B79" s="8">
        <v>1</v>
      </c>
      <c r="C79" s="8">
        <v>82</v>
      </c>
      <c r="D79" s="14">
        <v>0.66700000000000004</v>
      </c>
      <c r="N79">
        <f t="shared" si="14"/>
        <v>8</v>
      </c>
      <c r="O79">
        <f t="shared" si="15"/>
        <v>9.8491065584650883</v>
      </c>
      <c r="P79">
        <f t="shared" si="16"/>
        <v>0.66700000000000004</v>
      </c>
    </row>
    <row r="80" spans="1:16" x14ac:dyDescent="0.25">
      <c r="A80" s="13">
        <v>21.125</v>
      </c>
      <c r="B80" s="8">
        <v>1</v>
      </c>
      <c r="C80" s="8">
        <v>82</v>
      </c>
      <c r="D80" s="14">
        <v>0.44600000000000001</v>
      </c>
      <c r="N80">
        <f t="shared" si="14"/>
        <v>9</v>
      </c>
      <c r="O80">
        <f t="shared" si="15"/>
        <v>9.8833508993660644</v>
      </c>
      <c r="P80">
        <f t="shared" si="16"/>
        <v>0.44600000000000001</v>
      </c>
    </row>
    <row r="81" spans="1:16" x14ac:dyDescent="0.25">
      <c r="A81" s="13">
        <v>20.8</v>
      </c>
      <c r="B81" s="8">
        <v>15</v>
      </c>
      <c r="C81" s="8">
        <v>80</v>
      </c>
      <c r="D81" s="14">
        <v>0.96199999999999997</v>
      </c>
      <c r="N81">
        <f t="shared" si="14"/>
        <v>3</v>
      </c>
      <c r="O81">
        <f t="shared" si="15"/>
        <v>5.4083269131959844</v>
      </c>
      <c r="P81">
        <f t="shared" si="16"/>
        <v>0.96199999999999997</v>
      </c>
    </row>
    <row r="82" spans="1:16" x14ac:dyDescent="0.25">
      <c r="A82" s="13">
        <v>19.920000000000002</v>
      </c>
      <c r="B82" s="8">
        <v>4</v>
      </c>
      <c r="C82" s="8">
        <v>80</v>
      </c>
      <c r="D82" s="14">
        <v>0.72399999999999998</v>
      </c>
      <c r="N82">
        <f t="shared" si="14"/>
        <v>4</v>
      </c>
      <c r="O82">
        <f t="shared" si="15"/>
        <v>6.3359608584649569</v>
      </c>
      <c r="P82">
        <f t="shared" si="16"/>
        <v>0.72399999999999998</v>
      </c>
    </row>
    <row r="83" spans="1:16" x14ac:dyDescent="0.25">
      <c r="A83" s="15">
        <v>19.8</v>
      </c>
      <c r="B83" s="9">
        <v>9</v>
      </c>
      <c r="C83" s="9">
        <v>80</v>
      </c>
      <c r="D83" s="16">
        <v>0.76600000000000001</v>
      </c>
      <c r="N83">
        <f t="shared" si="14"/>
        <v>1</v>
      </c>
      <c r="O83">
        <f t="shared" si="15"/>
        <v>2.2912878474779199</v>
      </c>
      <c r="P83">
        <f t="shared" si="16"/>
        <v>0.76600000000000001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"/>
  <sheetViews>
    <sheetView topLeftCell="A8" workbookViewId="0">
      <selection activeCell="Q115" sqref="Q115"/>
    </sheetView>
  </sheetViews>
  <sheetFormatPr defaultRowHeight="15" x14ac:dyDescent="0.25"/>
  <cols>
    <col min="1" max="1" width="11.85546875" customWidth="1"/>
    <col min="3" max="3" width="10.85546875" customWidth="1"/>
    <col min="16" max="16" width="12.5703125" customWidth="1"/>
    <col min="18" max="18" width="10.140625" customWidth="1"/>
  </cols>
  <sheetData>
    <row r="1" spans="1:18" x14ac:dyDescent="0.25">
      <c r="A1" t="s">
        <v>20</v>
      </c>
      <c r="C1" t="s">
        <v>1</v>
      </c>
    </row>
    <row r="2" spans="1:18" x14ac:dyDescent="0.25">
      <c r="A2" t="s">
        <v>21</v>
      </c>
      <c r="B2" t="s">
        <v>22</v>
      </c>
      <c r="C2" t="s">
        <v>52</v>
      </c>
      <c r="E2" t="s">
        <v>24</v>
      </c>
      <c r="P2" t="s">
        <v>21</v>
      </c>
      <c r="Q2" t="s">
        <v>22</v>
      </c>
      <c r="R2" t="s">
        <v>25</v>
      </c>
    </row>
    <row r="3" spans="1:18" ht="15.75" thickBot="1" x14ac:dyDescent="0.3">
      <c r="A3">
        <v>25.57</v>
      </c>
      <c r="B3">
        <v>355.3</v>
      </c>
      <c r="C3">
        <v>0.73299999999999998</v>
      </c>
      <c r="P3">
        <v>26.1</v>
      </c>
      <c r="Q3">
        <v>281</v>
      </c>
      <c r="R3">
        <f>F18+P3*F19+Q3*F20</f>
        <v>0.75826487362685302</v>
      </c>
    </row>
    <row r="4" spans="1:18" x14ac:dyDescent="0.25">
      <c r="A4">
        <v>25.7</v>
      </c>
      <c r="B4">
        <v>346</v>
      </c>
      <c r="C4">
        <v>0.53700000000000003</v>
      </c>
      <c r="E4" s="2" t="s">
        <v>27</v>
      </c>
      <c r="F4" s="2"/>
      <c r="P4">
        <v>25.9</v>
      </c>
      <c r="Q4">
        <v>376</v>
      </c>
      <c r="R4">
        <f>F18+P4*F19+Q4*F20</f>
        <v>0.79690168614189827</v>
      </c>
    </row>
    <row r="5" spans="1:18" x14ac:dyDescent="0.25">
      <c r="A5">
        <v>26.27</v>
      </c>
      <c r="B5">
        <v>293</v>
      </c>
      <c r="C5">
        <v>0.78200000000000003</v>
      </c>
      <c r="E5" s="3" t="s">
        <v>28</v>
      </c>
      <c r="F5" s="3">
        <v>0.32464909357932786</v>
      </c>
      <c r="Q5" t="s">
        <v>29</v>
      </c>
    </row>
    <row r="6" spans="1:18" x14ac:dyDescent="0.25">
      <c r="A6">
        <v>25.96</v>
      </c>
      <c r="B6">
        <v>361</v>
      </c>
      <c r="C6">
        <v>0.76300000000000001</v>
      </c>
      <c r="E6" s="3" t="s">
        <v>30</v>
      </c>
      <c r="F6" s="3">
        <v>0.10539703396187917</v>
      </c>
      <c r="Q6">
        <v>31.6</v>
      </c>
    </row>
    <row r="7" spans="1:18" x14ac:dyDescent="0.25">
      <c r="A7">
        <v>25.63</v>
      </c>
      <c r="B7">
        <v>245</v>
      </c>
      <c r="C7">
        <v>0.69699999999999995</v>
      </c>
      <c r="E7" s="3" t="s">
        <v>31</v>
      </c>
      <c r="F7" s="3">
        <v>-0.15020381347758391</v>
      </c>
      <c r="Q7">
        <v>24.32</v>
      </c>
    </row>
    <row r="8" spans="1:18" x14ac:dyDescent="0.25">
      <c r="A8">
        <v>26.27</v>
      </c>
      <c r="B8">
        <v>273</v>
      </c>
      <c r="C8">
        <v>0.71299999999999997</v>
      </c>
      <c r="E8" s="3" t="s">
        <v>32</v>
      </c>
      <c r="F8" s="3">
        <v>0.116100948276831</v>
      </c>
    </row>
    <row r="9" spans="1:18" ht="15.75" thickBot="1" x14ac:dyDescent="0.3">
      <c r="A9">
        <v>25.99</v>
      </c>
      <c r="B9">
        <v>411</v>
      </c>
      <c r="C9">
        <v>0.82699999999999996</v>
      </c>
      <c r="E9" s="4" t="s">
        <v>33</v>
      </c>
      <c r="F9" s="4">
        <v>10</v>
      </c>
    </row>
    <row r="10" spans="1:18" x14ac:dyDescent="0.25">
      <c r="A10">
        <v>25.97</v>
      </c>
      <c r="B10">
        <v>258</v>
      </c>
      <c r="C10">
        <v>0.78900000000000003</v>
      </c>
    </row>
    <row r="11" spans="1:18" ht="15.75" thickBot="1" x14ac:dyDescent="0.3">
      <c r="A11">
        <v>25.57</v>
      </c>
      <c r="B11">
        <v>384</v>
      </c>
      <c r="C11">
        <v>0.91400000000000003</v>
      </c>
      <c r="E11" t="s">
        <v>34</v>
      </c>
    </row>
    <row r="12" spans="1:18" x14ac:dyDescent="0.25">
      <c r="A12">
        <v>26.01</v>
      </c>
      <c r="B12">
        <v>318</v>
      </c>
      <c r="C12">
        <v>0.9</v>
      </c>
      <c r="E12" s="5"/>
      <c r="F12" s="5" t="s">
        <v>35</v>
      </c>
      <c r="G12" s="5" t="s">
        <v>36</v>
      </c>
      <c r="H12" s="5" t="s">
        <v>37</v>
      </c>
      <c r="I12" s="5" t="s">
        <v>38</v>
      </c>
      <c r="J12" s="5" t="s">
        <v>39</v>
      </c>
    </row>
    <row r="13" spans="1:18" x14ac:dyDescent="0.25">
      <c r="E13" s="3" t="s">
        <v>40</v>
      </c>
      <c r="F13" s="3">
        <v>2</v>
      </c>
      <c r="G13" s="3">
        <v>1.1116488664544302E-2</v>
      </c>
      <c r="H13" s="3">
        <v>5.5582443322721511E-3</v>
      </c>
      <c r="I13" s="3">
        <v>0.4123500959316716</v>
      </c>
      <c r="J13" s="3">
        <v>0.67718318869849081</v>
      </c>
    </row>
    <row r="14" spans="1:18" x14ac:dyDescent="0.25">
      <c r="E14" s="3" t="s">
        <v>41</v>
      </c>
      <c r="F14" s="3">
        <v>7</v>
      </c>
      <c r="G14" s="3">
        <v>9.4356011335455708E-2</v>
      </c>
      <c r="H14" s="3">
        <v>1.3479430190779388E-2</v>
      </c>
      <c r="I14" s="3"/>
      <c r="J14" s="3"/>
    </row>
    <row r="15" spans="1:18" ht="15.75" thickBot="1" x14ac:dyDescent="0.3">
      <c r="E15" s="4" t="s">
        <v>42</v>
      </c>
      <c r="F15" s="4">
        <v>9</v>
      </c>
      <c r="G15" s="4">
        <v>0.10547250000000001</v>
      </c>
      <c r="H15" s="4"/>
      <c r="I15" s="4"/>
      <c r="J15" s="4"/>
    </row>
    <row r="16" spans="1:18" ht="15.75" thickBot="1" x14ac:dyDescent="0.3"/>
    <row r="17" spans="1:18" x14ac:dyDescent="0.25">
      <c r="E17" s="5"/>
      <c r="F17" s="5" t="s">
        <v>43</v>
      </c>
      <c r="G17" s="5" t="s">
        <v>32</v>
      </c>
      <c r="H17" s="5" t="s">
        <v>44</v>
      </c>
      <c r="I17" s="5" t="s">
        <v>45</v>
      </c>
      <c r="J17" s="5" t="s">
        <v>46</v>
      </c>
      <c r="K17" s="5" t="s">
        <v>47</v>
      </c>
      <c r="L17" s="5" t="s">
        <v>48</v>
      </c>
      <c r="M17" s="5" t="s">
        <v>49</v>
      </c>
    </row>
    <row r="18" spans="1:18" x14ac:dyDescent="0.25">
      <c r="E18" s="3" t="s">
        <v>50</v>
      </c>
      <c r="F18" s="3">
        <v>-1.7854815631012559</v>
      </c>
      <c r="G18" s="3">
        <v>4.0232558449747993</v>
      </c>
      <c r="H18" s="3">
        <v>-0.44379021168424843</v>
      </c>
      <c r="I18" s="3">
        <v>0.6705880825120405</v>
      </c>
      <c r="J18" s="3">
        <v>-11.298969901902261</v>
      </c>
      <c r="K18" s="3">
        <v>7.7280067756997486</v>
      </c>
      <c r="L18" s="3">
        <v>-11.298969901902261</v>
      </c>
      <c r="M18" s="3">
        <v>7.7280067756997486</v>
      </c>
    </row>
    <row r="19" spans="1:18" x14ac:dyDescent="0.25">
      <c r="E19" s="3" t="s">
        <v>21</v>
      </c>
      <c r="F19" s="3">
        <v>9.1019823785322626E-2</v>
      </c>
      <c r="G19" s="3">
        <v>0.15250033954516917</v>
      </c>
      <c r="H19" s="3">
        <v>0.59684997460850508</v>
      </c>
      <c r="I19" s="3">
        <v>0.56940014754710599</v>
      </c>
      <c r="J19" s="3">
        <v>-0.26958617738118984</v>
      </c>
      <c r="K19" s="3">
        <v>0.45162582495183512</v>
      </c>
      <c r="L19" s="3">
        <v>-0.26958617738118984</v>
      </c>
      <c r="M19" s="3">
        <v>0.45162582495183512</v>
      </c>
    </row>
    <row r="20" spans="1:18" ht="15.75" thickBot="1" x14ac:dyDescent="0.3">
      <c r="E20" s="4" t="s">
        <v>22</v>
      </c>
      <c r="F20" s="4">
        <v>5.9832397128536767E-4</v>
      </c>
      <c r="G20" s="4">
        <v>7.2249184042136381E-4</v>
      </c>
      <c r="H20" s="4">
        <v>0.82813941668381985</v>
      </c>
      <c r="I20" s="4">
        <v>0.43491382431638292</v>
      </c>
      <c r="J20" s="4">
        <v>-1.1100977556879948E-3</v>
      </c>
      <c r="K20" s="4">
        <v>2.3067456982587302E-3</v>
      </c>
      <c r="L20" s="4">
        <v>-1.1100977556879948E-3</v>
      </c>
      <c r="M20" s="4">
        <v>2.3067456982587302E-3</v>
      </c>
    </row>
    <row r="23" spans="1:18" x14ac:dyDescent="0.25">
      <c r="A23" t="s">
        <v>20</v>
      </c>
      <c r="C23" t="s">
        <v>51</v>
      </c>
    </row>
    <row r="24" spans="1:18" x14ac:dyDescent="0.25">
      <c r="A24" t="s">
        <v>21</v>
      </c>
      <c r="B24" t="s">
        <v>22</v>
      </c>
      <c r="C24" t="s">
        <v>52</v>
      </c>
      <c r="E24" t="s">
        <v>24</v>
      </c>
    </row>
    <row r="25" spans="1:18" ht="15.75" thickBot="1" x14ac:dyDescent="0.3">
      <c r="A25">
        <v>25.57</v>
      </c>
      <c r="B25">
        <v>355.3</v>
      </c>
      <c r="C25">
        <v>0.84299999999999997</v>
      </c>
      <c r="P25" t="s">
        <v>21</v>
      </c>
      <c r="Q25" t="s">
        <v>22</v>
      </c>
      <c r="R25" t="s">
        <v>25</v>
      </c>
    </row>
    <row r="26" spans="1:18" x14ac:dyDescent="0.25">
      <c r="A26">
        <v>25.7</v>
      </c>
      <c r="B26">
        <v>346</v>
      </c>
      <c r="C26">
        <v>0.78400000000000003</v>
      </c>
      <c r="E26" s="2" t="s">
        <v>27</v>
      </c>
      <c r="F26" s="2"/>
      <c r="P26">
        <v>26.1</v>
      </c>
      <c r="Q26">
        <v>281</v>
      </c>
      <c r="R26">
        <f>F40+P26*F41+F42*Q26</f>
        <v>0.86871546200532368</v>
      </c>
    </row>
    <row r="27" spans="1:18" x14ac:dyDescent="0.25">
      <c r="A27">
        <v>26.27</v>
      </c>
      <c r="B27">
        <v>293</v>
      </c>
      <c r="C27">
        <v>0.82599999999999996</v>
      </c>
      <c r="E27" s="3" t="s">
        <v>28</v>
      </c>
      <c r="F27" s="3">
        <v>0.38720487366968581</v>
      </c>
      <c r="P27">
        <v>25.9</v>
      </c>
      <c r="Q27">
        <v>376</v>
      </c>
      <c r="R27">
        <f>F40+F41*P27+Q27*F42</f>
        <v>0.90334957608013744</v>
      </c>
    </row>
    <row r="28" spans="1:18" x14ac:dyDescent="0.25">
      <c r="A28">
        <v>25.96</v>
      </c>
      <c r="B28">
        <v>361</v>
      </c>
      <c r="C28">
        <v>0.82499999999999996</v>
      </c>
      <c r="E28" s="3" t="s">
        <v>30</v>
      </c>
      <c r="F28" s="3">
        <v>0.14992761419355735</v>
      </c>
      <c r="Q28" t="s">
        <v>29</v>
      </c>
    </row>
    <row r="29" spans="1:18" x14ac:dyDescent="0.25">
      <c r="A29">
        <v>25.63</v>
      </c>
      <c r="B29">
        <v>245</v>
      </c>
      <c r="C29">
        <v>0.77</v>
      </c>
      <c r="E29" s="3" t="s">
        <v>31</v>
      </c>
      <c r="F29" s="3">
        <v>-9.2950210322569116E-2</v>
      </c>
      <c r="Q29">
        <v>14.6</v>
      </c>
    </row>
    <row r="30" spans="1:18" x14ac:dyDescent="0.25">
      <c r="A30">
        <v>26.27</v>
      </c>
      <c r="B30">
        <v>273</v>
      </c>
      <c r="C30">
        <v>0.89200000000000002</v>
      </c>
      <c r="E30" s="3" t="s">
        <v>32</v>
      </c>
      <c r="F30" s="3">
        <v>8.4599857427376551E-2</v>
      </c>
      <c r="Q30">
        <v>4.75</v>
      </c>
    </row>
    <row r="31" spans="1:18" ht="15.75" thickBot="1" x14ac:dyDescent="0.3">
      <c r="A31">
        <v>25.99</v>
      </c>
      <c r="B31">
        <v>411</v>
      </c>
      <c r="C31">
        <v>0.98799999999999999</v>
      </c>
      <c r="E31" s="4" t="s">
        <v>33</v>
      </c>
      <c r="F31" s="4">
        <v>10</v>
      </c>
    </row>
    <row r="32" spans="1:18" x14ac:dyDescent="0.25">
      <c r="A32">
        <v>25.97</v>
      </c>
      <c r="B32">
        <v>258</v>
      </c>
      <c r="C32">
        <v>0.98699999999999999</v>
      </c>
    </row>
    <row r="33" spans="1:18" ht="15.75" thickBot="1" x14ac:dyDescent="0.3">
      <c r="A33">
        <v>25.57</v>
      </c>
      <c r="B33">
        <v>384</v>
      </c>
      <c r="C33">
        <v>0.96499999999999997</v>
      </c>
      <c r="E33" t="s">
        <v>34</v>
      </c>
    </row>
    <row r="34" spans="1:18" x14ac:dyDescent="0.25">
      <c r="A34">
        <v>26.01</v>
      </c>
      <c r="B34">
        <v>318</v>
      </c>
      <c r="C34">
        <v>0.873</v>
      </c>
      <c r="E34" s="5"/>
      <c r="F34" s="5" t="s">
        <v>35</v>
      </c>
      <c r="G34" s="5" t="s">
        <v>36</v>
      </c>
      <c r="H34" s="5" t="s">
        <v>37</v>
      </c>
      <c r="I34" s="5" t="s">
        <v>38</v>
      </c>
      <c r="J34" s="5" t="s">
        <v>39</v>
      </c>
    </row>
    <row r="35" spans="1:18" x14ac:dyDescent="0.25">
      <c r="E35" s="3" t="s">
        <v>40</v>
      </c>
      <c r="F35" s="3">
        <v>2</v>
      </c>
      <c r="G35" s="3">
        <v>8.836148862872914E-3</v>
      </c>
      <c r="H35" s="3">
        <v>4.418074431436457E-3</v>
      </c>
      <c r="I35" s="3">
        <v>0.61729643079705099</v>
      </c>
      <c r="J35" s="3">
        <v>0.56636405164005699</v>
      </c>
    </row>
    <row r="36" spans="1:18" x14ac:dyDescent="0.25">
      <c r="E36" s="3" t="s">
        <v>41</v>
      </c>
      <c r="F36" s="3">
        <v>7</v>
      </c>
      <c r="G36" s="3">
        <v>5.0099951137127077E-2</v>
      </c>
      <c r="H36" s="3">
        <v>7.1571358767324395E-3</v>
      </c>
      <c r="I36" s="3"/>
      <c r="J36" s="3"/>
    </row>
    <row r="37" spans="1:18" ht="15.75" thickBot="1" x14ac:dyDescent="0.3">
      <c r="E37" s="4" t="s">
        <v>42</v>
      </c>
      <c r="F37" s="4">
        <v>9</v>
      </c>
      <c r="G37" s="4">
        <v>5.8936099999999991E-2</v>
      </c>
      <c r="H37" s="4"/>
      <c r="I37" s="4"/>
      <c r="J37" s="4"/>
    </row>
    <row r="38" spans="1:18" ht="15.75" thickBot="1" x14ac:dyDescent="0.3"/>
    <row r="39" spans="1:18" x14ac:dyDescent="0.25">
      <c r="E39" s="5"/>
      <c r="F39" s="5" t="s">
        <v>43</v>
      </c>
      <c r="G39" s="5" t="s">
        <v>32</v>
      </c>
      <c r="H39" s="5" t="s">
        <v>44</v>
      </c>
      <c r="I39" s="5" t="s">
        <v>45</v>
      </c>
      <c r="J39" s="5" t="s">
        <v>46</v>
      </c>
      <c r="K39" s="5" t="s">
        <v>47</v>
      </c>
      <c r="L39" s="5" t="s">
        <v>48</v>
      </c>
      <c r="M39" s="5" t="s">
        <v>49</v>
      </c>
    </row>
    <row r="40" spans="1:18" x14ac:dyDescent="0.25">
      <c r="E40" s="3" t="s">
        <v>50</v>
      </c>
      <c r="F40" s="3">
        <v>-1.3884493875590009</v>
      </c>
      <c r="G40" s="3">
        <v>2.9316459161656203</v>
      </c>
      <c r="H40" s="3">
        <v>-0.47360746395151015</v>
      </c>
      <c r="I40" s="3">
        <v>0.6501946808262532</v>
      </c>
      <c r="J40" s="3">
        <v>-8.3206904161207618</v>
      </c>
      <c r="K40" s="3">
        <v>5.5437916410027599</v>
      </c>
      <c r="L40" s="3">
        <v>-8.3206904161207618</v>
      </c>
      <c r="M40" s="3">
        <v>5.5437916410027599</v>
      </c>
    </row>
    <row r="41" spans="1:18" x14ac:dyDescent="0.25">
      <c r="E41" s="3" t="s">
        <v>21</v>
      </c>
      <c r="F41" s="3">
        <v>8.0726613816140741E-2</v>
      </c>
      <c r="G41" s="3">
        <v>0.11112318352805772</v>
      </c>
      <c r="H41" s="3">
        <v>0.72646059312868683</v>
      </c>
      <c r="I41" s="3">
        <v>0.49112856501928748</v>
      </c>
      <c r="J41" s="3">
        <v>-0.18203796079699647</v>
      </c>
      <c r="K41" s="3">
        <v>0.34349118842927795</v>
      </c>
      <c r="L41" s="3">
        <v>-0.18203796079699647</v>
      </c>
      <c r="M41" s="3">
        <v>0.34349118842927795</v>
      </c>
    </row>
    <row r="42" spans="1:18" ht="15.75" thickBot="1" x14ac:dyDescent="0.3">
      <c r="E42" s="4" t="s">
        <v>22</v>
      </c>
      <c r="F42" s="4">
        <v>5.34520387768865E-4</v>
      </c>
      <c r="G42" s="4">
        <v>5.2646173523362917E-4</v>
      </c>
      <c r="H42" s="4">
        <v>1.0153071951785055</v>
      </c>
      <c r="I42" s="4">
        <v>0.34376057132358928</v>
      </c>
      <c r="J42" s="4">
        <v>-7.103637985614342E-4</v>
      </c>
      <c r="K42" s="4">
        <v>1.7794045740991641E-3</v>
      </c>
      <c r="L42" s="4">
        <v>-7.103637985614342E-4</v>
      </c>
      <c r="M42" s="4">
        <v>1.7794045740991641E-3</v>
      </c>
    </row>
    <row r="44" spans="1:18" x14ac:dyDescent="0.25">
      <c r="A44" t="s">
        <v>20</v>
      </c>
      <c r="C44" t="s">
        <v>3</v>
      </c>
    </row>
    <row r="45" spans="1:18" x14ac:dyDescent="0.25">
      <c r="A45" t="s">
        <v>21</v>
      </c>
      <c r="B45" t="s">
        <v>22</v>
      </c>
      <c r="C45" t="s">
        <v>52</v>
      </c>
      <c r="E45" t="s">
        <v>24</v>
      </c>
    </row>
    <row r="46" spans="1:18" ht="15.75" thickBot="1" x14ac:dyDescent="0.3">
      <c r="A46">
        <v>25.57</v>
      </c>
      <c r="B46">
        <v>355.3</v>
      </c>
      <c r="C46">
        <v>0.99</v>
      </c>
      <c r="P46" t="s">
        <v>21</v>
      </c>
      <c r="Q46" t="s">
        <v>22</v>
      </c>
      <c r="R46" t="s">
        <v>25</v>
      </c>
    </row>
    <row r="47" spans="1:18" x14ac:dyDescent="0.25">
      <c r="A47">
        <v>25.7</v>
      </c>
      <c r="B47">
        <v>346</v>
      </c>
      <c r="C47">
        <v>1.0940000000000001</v>
      </c>
      <c r="E47" s="2" t="s">
        <v>27</v>
      </c>
      <c r="F47" s="2"/>
      <c r="P47">
        <v>26.1</v>
      </c>
      <c r="Q47">
        <v>281</v>
      </c>
      <c r="R47">
        <f>F61+F62*P47+Q47*F63</f>
        <v>1.0521411441120341</v>
      </c>
    </row>
    <row r="48" spans="1:18" x14ac:dyDescent="0.25">
      <c r="A48">
        <v>26.27</v>
      </c>
      <c r="B48">
        <v>293</v>
      </c>
      <c r="C48">
        <v>1.0840000000000001</v>
      </c>
      <c r="E48" s="3" t="s">
        <v>28</v>
      </c>
      <c r="F48" s="3">
        <v>7.5904660749811503E-2</v>
      </c>
      <c r="P48">
        <v>25.9</v>
      </c>
      <c r="Q48">
        <v>376</v>
      </c>
      <c r="R48">
        <f>F61+F62*P48+Q48*F63</f>
        <v>1.0692818950292757</v>
      </c>
    </row>
    <row r="49" spans="1:17" x14ac:dyDescent="0.25">
      <c r="A49">
        <v>25.96</v>
      </c>
      <c r="B49">
        <v>361</v>
      </c>
      <c r="C49">
        <v>0.80800000000000005</v>
      </c>
      <c r="E49" s="3" t="s">
        <v>30</v>
      </c>
      <c r="F49" s="3">
        <v>5.7615175235439754E-3</v>
      </c>
      <c r="Q49" t="s">
        <v>29</v>
      </c>
    </row>
    <row r="50" spans="1:17" x14ac:dyDescent="0.25">
      <c r="A50">
        <v>25.63</v>
      </c>
      <c r="B50">
        <v>245</v>
      </c>
      <c r="C50">
        <v>0.96899999999999997</v>
      </c>
      <c r="E50" s="3" t="s">
        <v>31</v>
      </c>
      <c r="F50" s="3">
        <v>-0.27830662032687203</v>
      </c>
      <c r="Q50">
        <v>10.3</v>
      </c>
    </row>
    <row r="51" spans="1:17" x14ac:dyDescent="0.25">
      <c r="A51">
        <v>26.27</v>
      </c>
      <c r="B51">
        <v>273</v>
      </c>
      <c r="C51">
        <v>0.90900000000000003</v>
      </c>
      <c r="E51" s="3" t="s">
        <v>32</v>
      </c>
      <c r="F51" s="3">
        <v>0.15563945704885787</v>
      </c>
      <c r="Q51">
        <v>8.31</v>
      </c>
    </row>
    <row r="52" spans="1:17" ht="15.75" thickBot="1" x14ac:dyDescent="0.3">
      <c r="A52">
        <v>25.99</v>
      </c>
      <c r="B52">
        <v>411</v>
      </c>
      <c r="C52">
        <v>1.165</v>
      </c>
      <c r="E52" s="4" t="s">
        <v>33</v>
      </c>
      <c r="F52" s="4">
        <v>10</v>
      </c>
    </row>
    <row r="53" spans="1:17" x14ac:dyDescent="0.25">
      <c r="A53">
        <v>25.97</v>
      </c>
      <c r="B53">
        <v>258</v>
      </c>
      <c r="C53">
        <v>1.2150000000000001</v>
      </c>
    </row>
    <row r="54" spans="1:17" ht="15.75" thickBot="1" x14ac:dyDescent="0.3">
      <c r="A54">
        <v>25.57</v>
      </c>
      <c r="B54">
        <v>384</v>
      </c>
      <c r="C54">
        <v>1.1259999999999999</v>
      </c>
      <c r="E54" t="s">
        <v>34</v>
      </c>
    </row>
    <row r="55" spans="1:17" x14ac:dyDescent="0.25">
      <c r="A55">
        <v>26.01</v>
      </c>
      <c r="B55">
        <v>318</v>
      </c>
      <c r="C55">
        <v>1.2330000000000001</v>
      </c>
      <c r="E55" s="5"/>
      <c r="F55" s="5" t="s">
        <v>35</v>
      </c>
      <c r="G55" s="5" t="s">
        <v>36</v>
      </c>
      <c r="H55" s="5" t="s">
        <v>37</v>
      </c>
      <c r="I55" s="5" t="s">
        <v>38</v>
      </c>
      <c r="J55" s="5" t="s">
        <v>39</v>
      </c>
    </row>
    <row r="56" spans="1:17" x14ac:dyDescent="0.25">
      <c r="E56" s="3" t="s">
        <v>40</v>
      </c>
      <c r="F56" s="3">
        <v>2</v>
      </c>
      <c r="G56" s="3">
        <v>9.8261586675713053E-4</v>
      </c>
      <c r="H56" s="3">
        <v>4.9130793337856526E-4</v>
      </c>
      <c r="I56" s="3">
        <v>2.0282167395267198E-2</v>
      </c>
      <c r="J56" s="3">
        <v>0.97997949909369308</v>
      </c>
    </row>
    <row r="57" spans="1:17" x14ac:dyDescent="0.25">
      <c r="E57" s="3" t="s">
        <v>41</v>
      </c>
      <c r="F57" s="3">
        <v>7</v>
      </c>
      <c r="G57" s="3">
        <v>0.16956548413324291</v>
      </c>
      <c r="H57" s="3">
        <v>2.4223640590463273E-2</v>
      </c>
      <c r="I57" s="3"/>
      <c r="J57" s="3"/>
    </row>
    <row r="58" spans="1:17" ht="15.75" thickBot="1" x14ac:dyDescent="0.3">
      <c r="E58" s="4" t="s">
        <v>42</v>
      </c>
      <c r="F58" s="4">
        <v>9</v>
      </c>
      <c r="G58" s="4">
        <v>0.17054810000000004</v>
      </c>
      <c r="H58" s="4"/>
      <c r="I58" s="4"/>
      <c r="J58" s="4"/>
    </row>
    <row r="59" spans="1:17" ht="15.75" thickBot="1" x14ac:dyDescent="0.3"/>
    <row r="60" spans="1:17" x14ac:dyDescent="0.25">
      <c r="E60" s="5"/>
      <c r="F60" s="5" t="s">
        <v>43</v>
      </c>
      <c r="G60" s="5" t="s">
        <v>32</v>
      </c>
      <c r="H60" s="5" t="s">
        <v>44</v>
      </c>
      <c r="I60" s="5" t="s">
        <v>45</v>
      </c>
      <c r="J60" s="5" t="s">
        <v>46</v>
      </c>
      <c r="K60" s="5" t="s">
        <v>47</v>
      </c>
      <c r="L60" s="5" t="s">
        <v>48</v>
      </c>
      <c r="M60" s="5" t="s">
        <v>49</v>
      </c>
    </row>
    <row r="61" spans="1:17" x14ac:dyDescent="0.25">
      <c r="E61" s="3" t="s">
        <v>50</v>
      </c>
      <c r="F61" s="3">
        <v>0.84367605458196626</v>
      </c>
      <c r="G61" s="3">
        <v>5.3933870874806722</v>
      </c>
      <c r="H61" s="3">
        <v>0.15642787007450995</v>
      </c>
      <c r="I61" s="3">
        <v>0.88011167504754151</v>
      </c>
      <c r="J61" s="3">
        <v>-11.909657847231749</v>
      </c>
      <c r="K61" s="3">
        <v>13.597009956395681</v>
      </c>
      <c r="L61" s="3">
        <v>-11.909657847231749</v>
      </c>
      <c r="M61" s="3">
        <v>13.597009956395681</v>
      </c>
    </row>
    <row r="62" spans="1:17" x14ac:dyDescent="0.25">
      <c r="E62" s="3" t="s">
        <v>21</v>
      </c>
      <c r="F62" s="3">
        <v>5.9106489322915019E-3</v>
      </c>
      <c r="G62" s="3">
        <v>0.20443476473579458</v>
      </c>
      <c r="H62" s="3">
        <v>2.8912151707319686E-2</v>
      </c>
      <c r="I62" s="3">
        <v>0.97774168146754437</v>
      </c>
      <c r="J62" s="3">
        <v>-0.47750075349908705</v>
      </c>
      <c r="K62" s="3">
        <v>0.48932205136367007</v>
      </c>
      <c r="L62" s="3">
        <v>-0.47750075349908705</v>
      </c>
      <c r="M62" s="3">
        <v>0.48932205136367007</v>
      </c>
    </row>
    <row r="63" spans="1:17" ht="15.75" thickBot="1" x14ac:dyDescent="0.3">
      <c r="E63" s="4" t="s">
        <v>22</v>
      </c>
      <c r="F63" s="4">
        <v>1.92872428459999E-4</v>
      </c>
      <c r="G63" s="4">
        <v>9.6853849545905217E-4</v>
      </c>
      <c r="H63" s="4">
        <v>0.19913759686813939</v>
      </c>
      <c r="I63" s="4">
        <v>0.84781588710683087</v>
      </c>
      <c r="J63" s="4">
        <v>-2.0973571858804428E-3</v>
      </c>
      <c r="K63" s="4">
        <v>2.4831020428004408E-3</v>
      </c>
      <c r="L63" s="4">
        <v>-2.0973571858804428E-3</v>
      </c>
      <c r="M63" s="4">
        <v>2.4831020428004408E-3</v>
      </c>
    </row>
    <row r="65" spans="1:18" x14ac:dyDescent="0.25">
      <c r="A65" t="s">
        <v>20</v>
      </c>
      <c r="C65" t="s">
        <v>53</v>
      </c>
    </row>
    <row r="66" spans="1:18" x14ac:dyDescent="0.25">
      <c r="A66" t="s">
        <v>21</v>
      </c>
      <c r="B66" t="s">
        <v>22</v>
      </c>
      <c r="C66" t="s">
        <v>52</v>
      </c>
      <c r="E66" t="s">
        <v>24</v>
      </c>
    </row>
    <row r="67" spans="1:18" ht="15.75" thickBot="1" x14ac:dyDescent="0.3">
      <c r="A67">
        <v>25.57</v>
      </c>
      <c r="B67">
        <v>355.3</v>
      </c>
      <c r="C67">
        <v>2.99</v>
      </c>
      <c r="P67" t="s">
        <v>21</v>
      </c>
      <c r="Q67" t="s">
        <v>22</v>
      </c>
      <c r="R67" t="s">
        <v>25</v>
      </c>
    </row>
    <row r="68" spans="1:18" x14ac:dyDescent="0.25">
      <c r="A68">
        <v>25.7</v>
      </c>
      <c r="B68">
        <v>346</v>
      </c>
      <c r="C68">
        <v>2.99</v>
      </c>
      <c r="E68" s="2" t="s">
        <v>27</v>
      </c>
      <c r="F68" s="2"/>
      <c r="P68">
        <v>26.1</v>
      </c>
      <c r="Q68">
        <v>281</v>
      </c>
      <c r="R68">
        <f>F82+F83*P68+Q68*F84</f>
        <v>1.8370147393892</v>
      </c>
    </row>
    <row r="69" spans="1:18" x14ac:dyDescent="0.25">
      <c r="A69">
        <v>26.27</v>
      </c>
      <c r="B69">
        <v>293</v>
      </c>
      <c r="C69">
        <v>3.032</v>
      </c>
      <c r="E69" s="3" t="s">
        <v>28</v>
      </c>
      <c r="F69" s="3">
        <v>0.26203271225450286</v>
      </c>
      <c r="P69">
        <v>25.9</v>
      </c>
      <c r="Q69">
        <v>376</v>
      </c>
      <c r="R69">
        <f>F82+F83*P69+Q69*F84</f>
        <v>1.5691904237527656</v>
      </c>
    </row>
    <row r="70" spans="1:18" x14ac:dyDescent="0.25">
      <c r="A70">
        <v>25.96</v>
      </c>
      <c r="B70">
        <v>361</v>
      </c>
      <c r="C70">
        <v>3.1059999999999999</v>
      </c>
      <c r="E70" s="3" t="s">
        <v>30</v>
      </c>
      <c r="F70" s="3">
        <v>6.8661142291451108E-2</v>
      </c>
      <c r="Q70" t="s">
        <v>29</v>
      </c>
    </row>
    <row r="71" spans="1:18" x14ac:dyDescent="0.25">
      <c r="A71">
        <v>25.63</v>
      </c>
      <c r="B71">
        <v>245</v>
      </c>
      <c r="C71">
        <v>3.306</v>
      </c>
      <c r="E71" s="3" t="s">
        <v>31</v>
      </c>
      <c r="F71" s="3">
        <v>-0.19743567419670571</v>
      </c>
      <c r="Q71">
        <v>0</v>
      </c>
    </row>
    <row r="72" spans="1:18" x14ac:dyDescent="0.25">
      <c r="A72">
        <v>26.27</v>
      </c>
      <c r="B72">
        <v>273</v>
      </c>
      <c r="C72">
        <v>0</v>
      </c>
      <c r="E72" s="3" t="s">
        <v>32</v>
      </c>
      <c r="F72" s="3">
        <v>1.7755326115387995</v>
      </c>
      <c r="Q72">
        <v>0</v>
      </c>
    </row>
    <row r="73" spans="1:18" ht="15.75" thickBot="1" x14ac:dyDescent="0.3">
      <c r="A73">
        <v>25.99</v>
      </c>
      <c r="B73">
        <v>411</v>
      </c>
      <c r="C73">
        <v>0</v>
      </c>
      <c r="E73" s="4" t="s">
        <v>33</v>
      </c>
      <c r="F73" s="4">
        <v>10</v>
      </c>
    </row>
    <row r="74" spans="1:18" x14ac:dyDescent="0.25">
      <c r="A74">
        <v>25.97</v>
      </c>
      <c r="B74">
        <v>258</v>
      </c>
      <c r="C74">
        <v>0</v>
      </c>
    </row>
    <row r="75" spans="1:18" ht="15.75" thickBot="1" x14ac:dyDescent="0.3">
      <c r="A75">
        <v>25.57</v>
      </c>
      <c r="B75">
        <v>384</v>
      </c>
      <c r="C75">
        <v>0</v>
      </c>
      <c r="E75" t="s">
        <v>34</v>
      </c>
    </row>
    <row r="76" spans="1:18" x14ac:dyDescent="0.25">
      <c r="A76">
        <v>26.01</v>
      </c>
      <c r="B76">
        <v>318</v>
      </c>
      <c r="C76">
        <v>3.3730000000000002</v>
      </c>
      <c r="E76" s="5"/>
      <c r="F76" s="5" t="s">
        <v>35</v>
      </c>
      <c r="G76" s="5" t="s">
        <v>36</v>
      </c>
      <c r="H76" s="5" t="s">
        <v>37</v>
      </c>
      <c r="I76" s="5" t="s">
        <v>38</v>
      </c>
      <c r="J76" s="5" t="s">
        <v>39</v>
      </c>
    </row>
    <row r="77" spans="1:18" x14ac:dyDescent="0.25">
      <c r="E77" s="3" t="s">
        <v>40</v>
      </c>
      <c r="F77" s="3">
        <v>2</v>
      </c>
      <c r="G77" s="3">
        <v>1.6268917175354716</v>
      </c>
      <c r="H77" s="3">
        <v>0.81344585876773579</v>
      </c>
      <c r="I77" s="3">
        <v>0.25803067920020384</v>
      </c>
      <c r="J77" s="3">
        <v>0.77960933557853007</v>
      </c>
    </row>
    <row r="78" spans="1:18" x14ac:dyDescent="0.25">
      <c r="E78" s="3" t="s">
        <v>41</v>
      </c>
      <c r="F78" s="3">
        <v>7</v>
      </c>
      <c r="G78" s="3">
        <v>22.067612382464528</v>
      </c>
      <c r="H78" s="3">
        <v>3.1525160546377897</v>
      </c>
      <c r="I78" s="3"/>
      <c r="J78" s="3"/>
    </row>
    <row r="79" spans="1:18" ht="15.75" thickBot="1" x14ac:dyDescent="0.3">
      <c r="E79" s="4" t="s">
        <v>42</v>
      </c>
      <c r="F79" s="4">
        <v>9</v>
      </c>
      <c r="G79" s="4">
        <v>23.6945041</v>
      </c>
      <c r="H79" s="4"/>
      <c r="I79" s="4"/>
      <c r="J79" s="4"/>
    </row>
    <row r="80" spans="1:18" ht="15.75" thickBot="1" x14ac:dyDescent="0.3"/>
    <row r="81" spans="1:18" x14ac:dyDescent="0.25">
      <c r="E81" s="5"/>
      <c r="F81" s="5" t="s">
        <v>43</v>
      </c>
      <c r="G81" s="5" t="s">
        <v>32</v>
      </c>
      <c r="H81" s="5" t="s">
        <v>44</v>
      </c>
      <c r="I81" s="5" t="s">
        <v>45</v>
      </c>
      <c r="J81" s="5" t="s">
        <v>46</v>
      </c>
      <c r="K81" s="5" t="s">
        <v>47</v>
      </c>
      <c r="L81" s="5" t="s">
        <v>48</v>
      </c>
      <c r="M81" s="5" t="s">
        <v>49</v>
      </c>
    </row>
    <row r="82" spans="1:18" x14ac:dyDescent="0.25">
      <c r="E82" s="3" t="s">
        <v>50</v>
      </c>
      <c r="F82" s="3">
        <v>41.098804099816185</v>
      </c>
      <c r="G82" s="3">
        <v>61.527679690299152</v>
      </c>
      <c r="H82" s="3">
        <v>0.66797259878298454</v>
      </c>
      <c r="I82" s="3">
        <v>0.52555497409008711</v>
      </c>
      <c r="J82" s="3">
        <v>-104.39103940050708</v>
      </c>
      <c r="K82" s="3">
        <v>186.58864760013947</v>
      </c>
      <c r="L82" s="3">
        <v>-104.39103940050708</v>
      </c>
      <c r="M82" s="3">
        <v>186.58864760013947</v>
      </c>
    </row>
    <row r="83" spans="1:18" x14ac:dyDescent="0.25">
      <c r="E83" s="3" t="s">
        <v>21</v>
      </c>
      <c r="F83" s="3">
        <v>-1.441263302656751</v>
      </c>
      <c r="G83" s="3">
        <v>2.3321887560088292</v>
      </c>
      <c r="H83" s="3">
        <v>-0.61798741587419548</v>
      </c>
      <c r="I83" s="3">
        <v>0.55614767014871047</v>
      </c>
      <c r="J83" s="3">
        <v>-6.9560133929065531</v>
      </c>
      <c r="K83" s="3">
        <v>4.0734867875930512</v>
      </c>
      <c r="L83" s="3">
        <v>-6.9560133929065531</v>
      </c>
      <c r="M83" s="3">
        <v>4.0734867875930512</v>
      </c>
    </row>
    <row r="84" spans="1:18" ht="15.75" thickBot="1" x14ac:dyDescent="0.3">
      <c r="E84" s="4" t="s">
        <v>22</v>
      </c>
      <c r="F84" s="4">
        <v>-5.8534418543977921E-3</v>
      </c>
      <c r="G84" s="4">
        <v>1.1049072753308542E-2</v>
      </c>
      <c r="H84" s="4">
        <v>-0.52976769952438163</v>
      </c>
      <c r="I84" s="4">
        <v>0.6126538371213216</v>
      </c>
      <c r="J84" s="4">
        <v>-3.1980347237374536E-2</v>
      </c>
      <c r="K84" s="4">
        <v>2.027346352857895E-2</v>
      </c>
      <c r="L84" s="4">
        <v>-3.1980347237374536E-2</v>
      </c>
      <c r="M84" s="4">
        <v>2.027346352857895E-2</v>
      </c>
    </row>
    <row r="86" spans="1:18" x14ac:dyDescent="0.25">
      <c r="A86" t="s">
        <v>20</v>
      </c>
      <c r="C86" t="s">
        <v>5</v>
      </c>
    </row>
    <row r="87" spans="1:18" x14ac:dyDescent="0.25">
      <c r="A87" t="s">
        <v>21</v>
      </c>
      <c r="B87" t="s">
        <v>22</v>
      </c>
      <c r="C87" t="s">
        <v>52</v>
      </c>
      <c r="E87" t="s">
        <v>24</v>
      </c>
    </row>
    <row r="88" spans="1:18" ht="15.75" thickBot="1" x14ac:dyDescent="0.3">
      <c r="A88">
        <v>25.57</v>
      </c>
      <c r="B88">
        <v>355.3</v>
      </c>
      <c r="C88">
        <v>3.883</v>
      </c>
      <c r="P88" t="s">
        <v>21</v>
      </c>
      <c r="Q88" t="s">
        <v>22</v>
      </c>
      <c r="R88" t="s">
        <v>25</v>
      </c>
    </row>
    <row r="89" spans="1:18" x14ac:dyDescent="0.25">
      <c r="A89">
        <v>25.7</v>
      </c>
      <c r="B89">
        <v>346</v>
      </c>
      <c r="C89">
        <v>3.883</v>
      </c>
      <c r="E89" s="2" t="s">
        <v>27</v>
      </c>
      <c r="F89" s="2"/>
      <c r="P89">
        <v>26.1</v>
      </c>
      <c r="Q89">
        <v>281</v>
      </c>
      <c r="R89">
        <f>F103+F104*P89+Q89*F105</f>
        <v>4.5620015294406402</v>
      </c>
    </row>
    <row r="90" spans="1:18" x14ac:dyDescent="0.25">
      <c r="A90">
        <v>26.27</v>
      </c>
      <c r="B90">
        <v>293</v>
      </c>
      <c r="C90">
        <v>4.1500000000000004</v>
      </c>
      <c r="E90" s="3" t="s">
        <v>28</v>
      </c>
      <c r="F90" s="3">
        <v>0.5996396180539636</v>
      </c>
      <c r="P90">
        <v>25.9</v>
      </c>
      <c r="Q90">
        <v>376</v>
      </c>
      <c r="R90">
        <f>F103+F104*P90+Q90*F105</f>
        <v>4.5063344569976245</v>
      </c>
    </row>
    <row r="91" spans="1:18" x14ac:dyDescent="0.25">
      <c r="A91">
        <v>25.96</v>
      </c>
      <c r="B91">
        <v>361</v>
      </c>
      <c r="C91">
        <v>4.4039999999999999</v>
      </c>
      <c r="E91" s="3" t="s">
        <v>30</v>
      </c>
      <c r="F91" s="3">
        <v>0.35956767153990338</v>
      </c>
      <c r="Q91" t="s">
        <v>29</v>
      </c>
    </row>
    <row r="92" spans="1:18" x14ac:dyDescent="0.25">
      <c r="A92">
        <v>25.63</v>
      </c>
      <c r="B92">
        <v>245</v>
      </c>
      <c r="C92">
        <v>4.4189999999999996</v>
      </c>
      <c r="E92" s="3" t="s">
        <v>31</v>
      </c>
      <c r="F92" s="3">
        <v>0.17658700626559007</v>
      </c>
      <c r="Q92">
        <v>9.1</v>
      </c>
    </row>
    <row r="93" spans="1:18" x14ac:dyDescent="0.25">
      <c r="A93">
        <v>26.27</v>
      </c>
      <c r="B93">
        <v>273</v>
      </c>
      <c r="C93">
        <v>5.3150000000000004</v>
      </c>
      <c r="E93" s="3" t="s">
        <v>32</v>
      </c>
      <c r="F93" s="3">
        <v>0.48604704075109961</v>
      </c>
      <c r="Q93">
        <v>11.9</v>
      </c>
    </row>
    <row r="94" spans="1:18" ht="15.75" thickBot="1" x14ac:dyDescent="0.3">
      <c r="A94">
        <v>25.99</v>
      </c>
      <c r="B94">
        <v>411</v>
      </c>
      <c r="C94">
        <v>5.3330000000000002</v>
      </c>
      <c r="E94" s="4" t="s">
        <v>33</v>
      </c>
      <c r="F94" s="4">
        <v>10</v>
      </c>
    </row>
    <row r="95" spans="1:18" x14ac:dyDescent="0.25">
      <c r="A95">
        <v>25.97</v>
      </c>
      <c r="B95">
        <v>258</v>
      </c>
      <c r="C95">
        <v>4.0780000000000003</v>
      </c>
    </row>
    <row r="96" spans="1:18" ht="15.75" thickBot="1" x14ac:dyDescent="0.3">
      <c r="A96">
        <v>25.57</v>
      </c>
      <c r="B96">
        <v>384</v>
      </c>
      <c r="C96">
        <v>3.988</v>
      </c>
      <c r="E96" t="s">
        <v>34</v>
      </c>
    </row>
    <row r="97" spans="1:18" x14ac:dyDescent="0.25">
      <c r="A97">
        <v>26.01</v>
      </c>
      <c r="B97">
        <v>318</v>
      </c>
      <c r="C97">
        <v>4.4649999999999999</v>
      </c>
      <c r="E97" s="5"/>
      <c r="F97" s="5" t="s">
        <v>35</v>
      </c>
      <c r="G97" s="5" t="s">
        <v>36</v>
      </c>
      <c r="H97" s="5" t="s">
        <v>37</v>
      </c>
      <c r="I97" s="5" t="s">
        <v>38</v>
      </c>
      <c r="J97" s="5" t="s">
        <v>39</v>
      </c>
    </row>
    <row r="98" spans="1:18" x14ac:dyDescent="0.25">
      <c r="E98" s="3" t="s">
        <v>40</v>
      </c>
      <c r="F98" s="3">
        <v>2</v>
      </c>
      <c r="G98" s="3">
        <v>0.92845751923969333</v>
      </c>
      <c r="H98" s="3">
        <v>0.46422875961984666</v>
      </c>
      <c r="I98" s="3">
        <v>1.9650582808891954</v>
      </c>
      <c r="J98" s="3">
        <v>0.21021144768350633</v>
      </c>
    </row>
    <row r="99" spans="1:18" x14ac:dyDescent="0.25">
      <c r="E99" s="3" t="s">
        <v>41</v>
      </c>
      <c r="F99" s="3">
        <v>7</v>
      </c>
      <c r="G99" s="3">
        <v>1.6536920807603077</v>
      </c>
      <c r="H99" s="3">
        <v>0.23624172582290109</v>
      </c>
      <c r="I99" s="3"/>
      <c r="J99" s="3"/>
    </row>
    <row r="100" spans="1:18" ht="15.75" thickBot="1" x14ac:dyDescent="0.3">
      <c r="E100" s="4" t="s">
        <v>42</v>
      </c>
      <c r="F100" s="4">
        <v>9</v>
      </c>
      <c r="G100" s="4">
        <v>2.582149600000001</v>
      </c>
      <c r="H100" s="4"/>
      <c r="I100" s="4"/>
      <c r="J100" s="4"/>
    </row>
    <row r="101" spans="1:18" ht="15.75" thickBot="1" x14ac:dyDescent="0.3"/>
    <row r="102" spans="1:18" x14ac:dyDescent="0.25">
      <c r="E102" s="5"/>
      <c r="F102" s="5" t="s">
        <v>43</v>
      </c>
      <c r="G102" s="5" t="s">
        <v>32</v>
      </c>
      <c r="H102" s="5" t="s">
        <v>44</v>
      </c>
      <c r="I102" s="5" t="s">
        <v>45</v>
      </c>
      <c r="J102" s="5" t="s">
        <v>46</v>
      </c>
      <c r="K102" s="5" t="s">
        <v>47</v>
      </c>
      <c r="L102" s="5" t="s">
        <v>48</v>
      </c>
      <c r="M102" s="5" t="s">
        <v>49</v>
      </c>
    </row>
    <row r="103" spans="1:18" x14ac:dyDescent="0.25">
      <c r="E103" s="3" t="s">
        <v>50</v>
      </c>
      <c r="F103" s="3">
        <v>-28.997146494297706</v>
      </c>
      <c r="G103" s="3">
        <v>16.84302864582892</v>
      </c>
      <c r="H103" s="3">
        <v>-1.7216111843091049</v>
      </c>
      <c r="I103" s="3">
        <v>0.12881438442900975</v>
      </c>
      <c r="J103" s="3">
        <v>-68.824580489658842</v>
      </c>
      <c r="K103" s="3">
        <v>10.830287501063429</v>
      </c>
      <c r="L103" s="3">
        <v>-68.824580489658842</v>
      </c>
      <c r="M103" s="3">
        <v>10.830287501063429</v>
      </c>
    </row>
    <row r="104" spans="1:18" x14ac:dyDescent="0.25">
      <c r="E104" s="3" t="s">
        <v>21</v>
      </c>
      <c r="F104" s="3">
        <v>1.2634623613249316</v>
      </c>
      <c r="G104" s="3">
        <v>0.63843008906981658</v>
      </c>
      <c r="H104" s="3">
        <v>1.97901443393086</v>
      </c>
      <c r="I104" s="3">
        <v>8.8310006318934264E-2</v>
      </c>
      <c r="J104" s="3">
        <v>-0.24618490982529051</v>
      </c>
      <c r="K104" s="3">
        <v>2.7731096324751539</v>
      </c>
      <c r="L104" s="3">
        <v>-0.24618490982529051</v>
      </c>
      <c r="M104" s="3">
        <v>2.7731096324751539</v>
      </c>
    </row>
    <row r="105" spans="1:18" ht="15.75" thickBot="1" x14ac:dyDescent="0.3">
      <c r="E105" s="4" t="s">
        <v>22</v>
      </c>
      <c r="F105" s="4">
        <v>2.0739515770734078E-3</v>
      </c>
      <c r="G105" s="4">
        <v>3.0246524788609137E-3</v>
      </c>
      <c r="H105" s="4">
        <v>0.68568260042041573</v>
      </c>
      <c r="I105" s="4">
        <v>0.51497273157164525</v>
      </c>
      <c r="J105" s="4">
        <v>-5.0782150251350812E-3</v>
      </c>
      <c r="K105" s="4">
        <v>9.2261181792818968E-3</v>
      </c>
      <c r="L105" s="4">
        <v>-5.0782150251350812E-3</v>
      </c>
      <c r="M105" s="4">
        <v>9.2261181792818968E-3</v>
      </c>
    </row>
    <row r="107" spans="1:18" x14ac:dyDescent="0.25">
      <c r="A107" t="s">
        <v>20</v>
      </c>
    </row>
    <row r="108" spans="1:18" x14ac:dyDescent="0.25">
      <c r="A108" t="s">
        <v>21</v>
      </c>
      <c r="B108" t="s">
        <v>22</v>
      </c>
      <c r="C108" t="s">
        <v>52</v>
      </c>
      <c r="E108" t="s">
        <v>24</v>
      </c>
    </row>
    <row r="109" spans="1:18" ht="15.75" thickBot="1" x14ac:dyDescent="0.3">
      <c r="A109">
        <v>25.57</v>
      </c>
      <c r="B109">
        <v>355.3</v>
      </c>
      <c r="C109">
        <v>0.84599999999999997</v>
      </c>
      <c r="P109" t="s">
        <v>21</v>
      </c>
      <c r="Q109" t="s">
        <v>22</v>
      </c>
      <c r="R109" t="s">
        <v>25</v>
      </c>
    </row>
    <row r="110" spans="1:18" x14ac:dyDescent="0.25">
      <c r="A110">
        <v>25.7</v>
      </c>
      <c r="B110">
        <v>346</v>
      </c>
      <c r="C110">
        <v>0.76200000000000001</v>
      </c>
      <c r="E110" s="2" t="s">
        <v>27</v>
      </c>
      <c r="F110" s="2"/>
      <c r="P110">
        <v>26.1</v>
      </c>
      <c r="Q110">
        <v>281</v>
      </c>
      <c r="R110">
        <f>F124+F125*P110+Q110*F126</f>
        <v>0.74269407848226132</v>
      </c>
    </row>
    <row r="111" spans="1:18" x14ac:dyDescent="0.25">
      <c r="A111">
        <v>26.27</v>
      </c>
      <c r="B111">
        <v>293</v>
      </c>
      <c r="C111">
        <v>0.60299999999999998</v>
      </c>
      <c r="E111" s="3" t="s">
        <v>28</v>
      </c>
      <c r="F111" s="3">
        <v>0.22792790689323228</v>
      </c>
      <c r="P111">
        <v>25.9</v>
      </c>
      <c r="Q111">
        <v>376</v>
      </c>
      <c r="R111">
        <f>F124+F125*P111+Q111*F126</f>
        <v>0.75914992363546419</v>
      </c>
    </row>
    <row r="112" spans="1:18" x14ac:dyDescent="0.25">
      <c r="A112">
        <v>25.96</v>
      </c>
      <c r="B112">
        <v>361</v>
      </c>
      <c r="C112">
        <v>0.49</v>
      </c>
      <c r="E112" s="3" t="s">
        <v>30</v>
      </c>
      <c r="F112" s="3">
        <v>5.1951130740729969E-2</v>
      </c>
      <c r="Q112" t="s">
        <v>29</v>
      </c>
    </row>
    <row r="113" spans="1:17" x14ac:dyDescent="0.25">
      <c r="A113">
        <v>25.63</v>
      </c>
      <c r="B113">
        <v>245</v>
      </c>
      <c r="C113">
        <v>0.78300000000000003</v>
      </c>
      <c r="E113" s="3" t="s">
        <v>31</v>
      </c>
      <c r="F113" s="3">
        <v>-0.2189199747619186</v>
      </c>
      <c r="Q113">
        <v>16.7</v>
      </c>
    </row>
    <row r="114" spans="1:17" x14ac:dyDescent="0.25">
      <c r="A114">
        <v>26.27</v>
      </c>
      <c r="B114">
        <v>273</v>
      </c>
      <c r="C114">
        <v>0.84</v>
      </c>
      <c r="E114" s="3" t="s">
        <v>32</v>
      </c>
      <c r="F114" s="3">
        <v>0.1465802868844609</v>
      </c>
      <c r="Q114">
        <v>4.9000000000000004</v>
      </c>
    </row>
    <row r="115" spans="1:17" ht="15.75" thickBot="1" x14ac:dyDescent="0.3">
      <c r="A115">
        <v>25.99</v>
      </c>
      <c r="B115">
        <v>411</v>
      </c>
      <c r="C115">
        <v>0.83</v>
      </c>
      <c r="E115" s="4" t="s">
        <v>33</v>
      </c>
      <c r="F115" s="4">
        <v>10</v>
      </c>
    </row>
    <row r="116" spans="1:17" x14ac:dyDescent="0.25">
      <c r="A116">
        <v>25.97</v>
      </c>
      <c r="B116">
        <v>258</v>
      </c>
      <c r="C116">
        <v>0.71799999999999997</v>
      </c>
    </row>
    <row r="117" spans="1:17" ht="15.75" thickBot="1" x14ac:dyDescent="0.3">
      <c r="A117">
        <v>25.57</v>
      </c>
      <c r="B117">
        <v>384</v>
      </c>
      <c r="C117">
        <v>0.81100000000000005</v>
      </c>
      <c r="E117" t="s">
        <v>34</v>
      </c>
    </row>
    <row r="118" spans="1:17" x14ac:dyDescent="0.25">
      <c r="A118">
        <v>26.01</v>
      </c>
      <c r="B118">
        <v>318</v>
      </c>
      <c r="C118">
        <v>0.95399999999999996</v>
      </c>
      <c r="E118" s="5"/>
      <c r="F118" s="5" t="s">
        <v>35</v>
      </c>
      <c r="G118" s="5" t="s">
        <v>36</v>
      </c>
      <c r="H118" s="5" t="s">
        <v>37</v>
      </c>
      <c r="I118" s="5" t="s">
        <v>38</v>
      </c>
      <c r="J118" s="5" t="s">
        <v>39</v>
      </c>
    </row>
    <row r="119" spans="1:17" x14ac:dyDescent="0.25">
      <c r="E119" s="3" t="s">
        <v>40</v>
      </c>
      <c r="F119" s="3">
        <v>2</v>
      </c>
      <c r="G119" s="3">
        <v>8.2416364780839579E-3</v>
      </c>
      <c r="H119" s="3">
        <v>4.120818239041979E-3</v>
      </c>
      <c r="I119" s="3">
        <v>0.19179281099150677</v>
      </c>
      <c r="J119" s="3">
        <v>0.82967410595922364</v>
      </c>
    </row>
    <row r="120" spans="1:17" x14ac:dyDescent="0.25">
      <c r="E120" s="3" t="s">
        <v>41</v>
      </c>
      <c r="F120" s="3">
        <v>7</v>
      </c>
      <c r="G120" s="3">
        <v>0.15040046352191605</v>
      </c>
      <c r="H120" s="3">
        <v>2.1485780503130863E-2</v>
      </c>
      <c r="I120" s="3"/>
      <c r="J120" s="3"/>
    </row>
    <row r="121" spans="1:17" ht="15.75" thickBot="1" x14ac:dyDescent="0.3">
      <c r="E121" s="4" t="s">
        <v>42</v>
      </c>
      <c r="F121" s="4">
        <v>9</v>
      </c>
      <c r="G121" s="4">
        <v>0.15864210000000001</v>
      </c>
      <c r="H121" s="4"/>
      <c r="I121" s="4"/>
      <c r="J121" s="4"/>
    </row>
    <row r="122" spans="1:17" ht="15.75" thickBot="1" x14ac:dyDescent="0.3"/>
    <row r="123" spans="1:17" x14ac:dyDescent="0.25">
      <c r="E123" s="5"/>
      <c r="F123" s="5" t="s">
        <v>43</v>
      </c>
      <c r="G123" s="5" t="s">
        <v>32</v>
      </c>
      <c r="H123" s="5" t="s">
        <v>44</v>
      </c>
      <c r="I123" s="5" t="s">
        <v>45</v>
      </c>
      <c r="J123" s="5" t="s">
        <v>46</v>
      </c>
      <c r="K123" s="5" t="s">
        <v>47</v>
      </c>
      <c r="L123" s="5" t="s">
        <v>48</v>
      </c>
      <c r="M123" s="5" t="s">
        <v>49</v>
      </c>
    </row>
    <row r="124" spans="1:17" x14ac:dyDescent="0.25">
      <c r="E124" s="3" t="s">
        <v>50</v>
      </c>
      <c r="F124" s="3">
        <v>3.8352219335353155</v>
      </c>
      <c r="G124" s="3">
        <v>5.0794589081205324</v>
      </c>
      <c r="H124" s="3">
        <v>0.75504537056180243</v>
      </c>
      <c r="I124" s="3">
        <v>0.47485391472759519</v>
      </c>
      <c r="J124" s="3">
        <v>-8.1757897823070458</v>
      </c>
      <c r="K124" s="3">
        <v>15.846233649377677</v>
      </c>
      <c r="L124" s="3">
        <v>-8.1757897823070458</v>
      </c>
      <c r="M124" s="3">
        <v>15.846233649377677</v>
      </c>
    </row>
    <row r="125" spans="1:17" x14ac:dyDescent="0.25">
      <c r="E125" s="3" t="s">
        <v>21</v>
      </c>
      <c r="F125" s="3">
        <v>-0.11768515152348069</v>
      </c>
      <c r="G125" s="3">
        <v>0.19253540864462906</v>
      </c>
      <c r="H125" s="3">
        <v>-0.61123900456511493</v>
      </c>
      <c r="I125" s="3">
        <v>0.56035860723016695</v>
      </c>
      <c r="J125" s="3">
        <v>-0.57295904797100772</v>
      </c>
      <c r="K125" s="3">
        <v>0.33758874492404639</v>
      </c>
      <c r="L125" s="3">
        <v>-0.57295904797100772</v>
      </c>
      <c r="M125" s="3">
        <v>0.33758874492404639</v>
      </c>
    </row>
    <row r="126" spans="1:17" ht="15.75" thickBot="1" x14ac:dyDescent="0.3">
      <c r="E126" s="4" t="s">
        <v>22</v>
      </c>
      <c r="F126" s="4">
        <v>-7.4538791068355553E-5</v>
      </c>
      <c r="G126" s="4">
        <v>9.1216361978483154E-4</v>
      </c>
      <c r="H126" s="4">
        <v>-8.1716469996839333E-2</v>
      </c>
      <c r="I126" s="4">
        <v>0.93715963054967277</v>
      </c>
      <c r="J126" s="4">
        <v>-2.2314630072452824E-3</v>
      </c>
      <c r="K126" s="4">
        <v>2.0823854251085711E-3</v>
      </c>
      <c r="L126" s="4">
        <v>-2.2314630072452824E-3</v>
      </c>
      <c r="M126" s="4">
        <v>2.0823854251085711E-3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"/>
  <sheetViews>
    <sheetView topLeftCell="A110" workbookViewId="0">
      <selection activeCell="P115" sqref="P115:R116"/>
    </sheetView>
  </sheetViews>
  <sheetFormatPr defaultRowHeight="15" x14ac:dyDescent="0.25"/>
  <cols>
    <col min="1" max="1" width="12" customWidth="1"/>
    <col min="4" max="4" width="9.85546875" customWidth="1"/>
    <col min="16" max="16" width="9.85546875" customWidth="1"/>
    <col min="17" max="17" width="8.7109375" customWidth="1"/>
    <col min="18" max="18" width="10.7109375" customWidth="1"/>
    <col min="19" max="19" width="10.28515625" customWidth="1"/>
  </cols>
  <sheetData>
    <row r="1" spans="1:19" x14ac:dyDescent="0.25">
      <c r="B1" t="s">
        <v>1</v>
      </c>
    </row>
    <row r="2" spans="1:19" x14ac:dyDescent="0.25">
      <c r="A2" t="s">
        <v>21</v>
      </c>
      <c r="B2" t="s">
        <v>22</v>
      </c>
      <c r="C2" t="s">
        <v>95</v>
      </c>
      <c r="D2" t="s">
        <v>25</v>
      </c>
      <c r="G2" t="s">
        <v>24</v>
      </c>
    </row>
    <row r="3" spans="1:19" ht="15.75" thickBot="1" x14ac:dyDescent="0.3">
      <c r="A3">
        <v>29.02</v>
      </c>
      <c r="B3">
        <v>161</v>
      </c>
      <c r="C3">
        <v>78</v>
      </c>
      <c r="D3">
        <v>0.69099999999999995</v>
      </c>
    </row>
    <row r="4" spans="1:19" x14ac:dyDescent="0.25">
      <c r="A4">
        <v>29.42</v>
      </c>
      <c r="B4">
        <v>130</v>
      </c>
      <c r="C4">
        <v>77</v>
      </c>
      <c r="D4">
        <v>0.80600000000000005</v>
      </c>
      <c r="G4" s="2" t="s">
        <v>27</v>
      </c>
      <c r="H4" s="2"/>
      <c r="P4" t="s">
        <v>88</v>
      </c>
      <c r="Q4" t="s">
        <v>99</v>
      </c>
      <c r="R4" t="s">
        <v>90</v>
      </c>
      <c r="S4" t="s">
        <v>82</v>
      </c>
    </row>
    <row r="5" spans="1:19" x14ac:dyDescent="0.25">
      <c r="A5">
        <v>30</v>
      </c>
      <c r="B5">
        <v>90</v>
      </c>
      <c r="C5">
        <v>76</v>
      </c>
      <c r="D5">
        <v>0.81399999999999995</v>
      </c>
      <c r="G5" s="3" t="s">
        <v>28</v>
      </c>
      <c r="H5" s="3">
        <v>0.29325798510643453</v>
      </c>
      <c r="P5">
        <v>29.12</v>
      </c>
      <c r="Q5">
        <v>138</v>
      </c>
      <c r="R5">
        <v>73</v>
      </c>
      <c r="S5">
        <f>H18+H19*P5+H20*Q5+H21*R5</f>
        <v>0.96465081819281928</v>
      </c>
    </row>
    <row r="6" spans="1:19" x14ac:dyDescent="0.25">
      <c r="A6">
        <v>29.45</v>
      </c>
      <c r="B6">
        <v>142</v>
      </c>
      <c r="C6">
        <v>76</v>
      </c>
      <c r="D6">
        <v>1.0429999999999999</v>
      </c>
      <c r="G6" s="3" t="s">
        <v>30</v>
      </c>
      <c r="H6" s="3">
        <v>8.6000245828685762E-2</v>
      </c>
    </row>
    <row r="7" spans="1:19" x14ac:dyDescent="0.25">
      <c r="A7">
        <v>29.05</v>
      </c>
      <c r="B7">
        <v>132</v>
      </c>
      <c r="C7">
        <v>76</v>
      </c>
      <c r="D7">
        <v>0.93</v>
      </c>
      <c r="G7" s="3" t="s">
        <v>31</v>
      </c>
      <c r="H7" s="3">
        <v>-0.37099963125697138</v>
      </c>
      <c r="R7" t="s">
        <v>83</v>
      </c>
    </row>
    <row r="8" spans="1:19" x14ac:dyDescent="0.25">
      <c r="A8">
        <v>29.17</v>
      </c>
      <c r="B8">
        <v>131</v>
      </c>
      <c r="C8">
        <v>78</v>
      </c>
      <c r="D8">
        <v>0.93600000000000005</v>
      </c>
      <c r="G8" s="3" t="s">
        <v>32</v>
      </c>
      <c r="H8" s="3">
        <v>0.13252153363340352</v>
      </c>
      <c r="R8" s="10">
        <v>0.22639999999999999</v>
      </c>
    </row>
    <row r="9" spans="1:19" ht="15.75" thickBot="1" x14ac:dyDescent="0.3">
      <c r="A9">
        <v>30</v>
      </c>
      <c r="B9">
        <v>97</v>
      </c>
      <c r="C9">
        <v>74</v>
      </c>
      <c r="D9">
        <v>0.88600000000000001</v>
      </c>
      <c r="G9" s="4" t="s">
        <v>33</v>
      </c>
      <c r="H9" s="4">
        <v>10</v>
      </c>
    </row>
    <row r="10" spans="1:19" x14ac:dyDescent="0.25">
      <c r="A10">
        <v>30.47</v>
      </c>
      <c r="B10">
        <v>130</v>
      </c>
      <c r="C10">
        <v>74</v>
      </c>
      <c r="D10">
        <v>0.95799999999999996</v>
      </c>
    </row>
    <row r="11" spans="1:19" ht="15.75" thickBot="1" x14ac:dyDescent="0.3">
      <c r="A11">
        <v>28.85</v>
      </c>
      <c r="B11">
        <v>128</v>
      </c>
      <c r="C11">
        <v>75</v>
      </c>
      <c r="D11">
        <v>0.996</v>
      </c>
      <c r="G11" t="s">
        <v>34</v>
      </c>
    </row>
    <row r="12" spans="1:19" x14ac:dyDescent="0.25">
      <c r="A12">
        <v>29.95</v>
      </c>
      <c r="B12">
        <v>86</v>
      </c>
      <c r="C12">
        <v>72</v>
      </c>
      <c r="D12">
        <v>0.746</v>
      </c>
      <c r="G12" s="5"/>
      <c r="H12" s="5" t="s">
        <v>35</v>
      </c>
      <c r="I12" s="5" t="s">
        <v>36</v>
      </c>
      <c r="J12" s="5" t="s">
        <v>37</v>
      </c>
      <c r="K12" s="5" t="s">
        <v>38</v>
      </c>
      <c r="L12" s="5" t="s">
        <v>39</v>
      </c>
    </row>
    <row r="13" spans="1:19" x14ac:dyDescent="0.25">
      <c r="G13" s="3" t="s">
        <v>40</v>
      </c>
      <c r="H13" s="3">
        <v>3</v>
      </c>
      <c r="I13" s="3">
        <v>9.9146587407041992E-3</v>
      </c>
      <c r="J13" s="3">
        <v>3.3048862469013999E-3</v>
      </c>
      <c r="K13" s="3">
        <v>0.18818439597209438</v>
      </c>
      <c r="L13" s="3">
        <v>0.90069860316824968</v>
      </c>
    </row>
    <row r="14" spans="1:19" x14ac:dyDescent="0.25">
      <c r="G14" s="3" t="s">
        <v>41</v>
      </c>
      <c r="H14" s="3">
        <v>6</v>
      </c>
      <c r="I14" s="3">
        <v>0.10537174125929581</v>
      </c>
      <c r="J14" s="3">
        <v>1.7561956876549302E-2</v>
      </c>
      <c r="K14" s="3"/>
      <c r="L14" s="3"/>
    </row>
    <row r="15" spans="1:19" ht="15.75" thickBot="1" x14ac:dyDescent="0.3">
      <c r="G15" s="4" t="s">
        <v>42</v>
      </c>
      <c r="H15" s="4">
        <v>9</v>
      </c>
      <c r="I15" s="4">
        <v>0.11528640000000001</v>
      </c>
      <c r="J15" s="4"/>
      <c r="K15" s="4"/>
      <c r="L15" s="4"/>
    </row>
    <row r="16" spans="1:19" ht="15.75" thickBot="1" x14ac:dyDescent="0.3"/>
    <row r="17" spans="1:19" x14ac:dyDescent="0.25">
      <c r="G17" s="5"/>
      <c r="H17" s="5" t="s">
        <v>43</v>
      </c>
      <c r="I17" s="5" t="s">
        <v>32</v>
      </c>
      <c r="J17" s="5" t="s">
        <v>44</v>
      </c>
      <c r="K17" s="5" t="s">
        <v>45</v>
      </c>
      <c r="L17" s="5" t="s">
        <v>46</v>
      </c>
      <c r="M17" s="5" t="s">
        <v>47</v>
      </c>
      <c r="N17" s="5" t="s">
        <v>48</v>
      </c>
      <c r="O17" s="5" t="s">
        <v>49</v>
      </c>
    </row>
    <row r="18" spans="1:19" x14ac:dyDescent="0.25">
      <c r="G18" s="3" t="s">
        <v>50</v>
      </c>
      <c r="H18" s="3">
        <v>2.5814239558259069</v>
      </c>
      <c r="I18" s="3">
        <v>4.779834972438274</v>
      </c>
      <c r="J18" s="3">
        <v>0.54006549822557559</v>
      </c>
      <c r="K18" s="3">
        <v>0.60859765498327012</v>
      </c>
      <c r="L18" s="3">
        <v>-9.1144108847504963</v>
      </c>
      <c r="M18" s="3">
        <v>14.277258796402309</v>
      </c>
      <c r="N18" s="3">
        <v>-9.1144108847504963</v>
      </c>
      <c r="O18" s="3">
        <v>14.277258796402309</v>
      </c>
    </row>
    <row r="19" spans="1:19" x14ac:dyDescent="0.25">
      <c r="G19" s="3" t="s">
        <v>21</v>
      </c>
      <c r="H19" s="3">
        <v>-1.3761672679909919E-2</v>
      </c>
      <c r="I19" s="3">
        <v>0.10920864268119335</v>
      </c>
      <c r="J19" s="3">
        <v>-0.12601267026167148</v>
      </c>
      <c r="K19" s="3">
        <v>0.90383840916081737</v>
      </c>
      <c r="L19" s="3">
        <v>-0.28098559470397827</v>
      </c>
      <c r="M19" s="3">
        <v>0.25346224934415845</v>
      </c>
      <c r="N19" s="3">
        <v>-0.28098559470397827</v>
      </c>
      <c r="O19" s="3">
        <v>0.25346224934415845</v>
      </c>
    </row>
    <row r="20" spans="1:19" x14ac:dyDescent="0.25">
      <c r="G20" s="3" t="s">
        <v>22</v>
      </c>
      <c r="H20" s="3">
        <v>1.730771601285039E-3</v>
      </c>
      <c r="I20" s="3">
        <v>2.6244268321751097E-3</v>
      </c>
      <c r="J20" s="3">
        <v>0.65948556083409104</v>
      </c>
      <c r="K20" s="3">
        <v>0.534063163453252</v>
      </c>
      <c r="L20" s="3">
        <v>-4.6909695168270869E-3</v>
      </c>
      <c r="M20" s="3">
        <v>8.152512719397164E-3</v>
      </c>
      <c r="N20" s="3">
        <v>-4.6909695168270869E-3</v>
      </c>
      <c r="O20" s="3">
        <v>8.152512719397164E-3</v>
      </c>
    </row>
    <row r="21" spans="1:19" ht="15.75" thickBot="1" x14ac:dyDescent="0.3">
      <c r="G21" s="4" t="s">
        <v>95</v>
      </c>
      <c r="H21" s="4">
        <v>-1.9929859043444471E-2</v>
      </c>
      <c r="I21" s="4">
        <v>3.3960668066903406E-2</v>
      </c>
      <c r="J21" s="4">
        <v>-0.58685120693686377</v>
      </c>
      <c r="K21" s="4">
        <v>0.57869984665677576</v>
      </c>
      <c r="L21" s="4">
        <v>-0.10302862020915093</v>
      </c>
      <c r="M21" s="4">
        <v>6.3168902122262005E-2</v>
      </c>
      <c r="N21" s="4">
        <v>-0.10302862020915093</v>
      </c>
      <c r="O21" s="4">
        <v>6.3168902122262005E-2</v>
      </c>
    </row>
    <row r="24" spans="1:19" x14ac:dyDescent="0.25">
      <c r="B24" t="s">
        <v>2</v>
      </c>
    </row>
    <row r="25" spans="1:19" x14ac:dyDescent="0.25">
      <c r="A25" t="s">
        <v>21</v>
      </c>
      <c r="B25" t="s">
        <v>22</v>
      </c>
      <c r="C25" t="s">
        <v>95</v>
      </c>
      <c r="D25" t="s">
        <v>25</v>
      </c>
      <c r="G25" t="s">
        <v>24</v>
      </c>
      <c r="P25" t="s">
        <v>88</v>
      </c>
      <c r="Q25" t="s">
        <v>99</v>
      </c>
      <c r="R25" t="s">
        <v>90</v>
      </c>
      <c r="S25" t="s">
        <v>82</v>
      </c>
    </row>
    <row r="26" spans="1:19" ht="15.75" thickBot="1" x14ac:dyDescent="0.3">
      <c r="A26">
        <v>29.42</v>
      </c>
      <c r="B26">
        <v>304</v>
      </c>
      <c r="C26">
        <v>86</v>
      </c>
      <c r="D26">
        <v>1.1160000000000001</v>
      </c>
      <c r="P26">
        <v>29.17</v>
      </c>
      <c r="Q26">
        <v>276</v>
      </c>
      <c r="R26">
        <v>84</v>
      </c>
      <c r="S26">
        <f>H41+H42*P26+H43*Q26+H44*R26</f>
        <v>0.98523588541417917</v>
      </c>
    </row>
    <row r="27" spans="1:19" x14ac:dyDescent="0.25">
      <c r="A27">
        <v>28.67</v>
      </c>
      <c r="B27">
        <v>479</v>
      </c>
      <c r="C27">
        <v>86</v>
      </c>
      <c r="D27">
        <v>0.95299999999999996</v>
      </c>
      <c r="G27" s="2" t="s">
        <v>27</v>
      </c>
      <c r="H27" s="2"/>
    </row>
    <row r="28" spans="1:19" x14ac:dyDescent="0.25">
      <c r="A28">
        <v>29.02</v>
      </c>
      <c r="B28">
        <v>316</v>
      </c>
      <c r="C28">
        <v>86</v>
      </c>
      <c r="D28">
        <v>0.99299999999999999</v>
      </c>
      <c r="G28" s="3" t="s">
        <v>28</v>
      </c>
      <c r="H28" s="3">
        <v>0.49707731932014615</v>
      </c>
      <c r="Q28" t="s">
        <v>29</v>
      </c>
    </row>
    <row r="29" spans="1:19" x14ac:dyDescent="0.25">
      <c r="A29">
        <v>29.22</v>
      </c>
      <c r="B29">
        <v>296</v>
      </c>
      <c r="C29">
        <v>86</v>
      </c>
      <c r="D29">
        <v>1.0069999999999999</v>
      </c>
      <c r="G29" s="3" t="s">
        <v>30</v>
      </c>
      <c r="H29" s="3">
        <v>0.24708586138250255</v>
      </c>
      <c r="Q29" s="12">
        <v>6.0199999999999997E-2</v>
      </c>
    </row>
    <row r="30" spans="1:19" x14ac:dyDescent="0.25">
      <c r="A30">
        <v>29.1</v>
      </c>
      <c r="B30">
        <v>352</v>
      </c>
      <c r="C30">
        <v>85</v>
      </c>
      <c r="D30">
        <v>1.044</v>
      </c>
      <c r="G30" s="3" t="s">
        <v>31</v>
      </c>
      <c r="H30" s="3">
        <v>-0.12937120792624621</v>
      </c>
    </row>
    <row r="31" spans="1:19" x14ac:dyDescent="0.25">
      <c r="A31">
        <v>29</v>
      </c>
      <c r="B31">
        <v>314</v>
      </c>
      <c r="C31">
        <v>86</v>
      </c>
      <c r="D31">
        <v>0.99199999999999999</v>
      </c>
      <c r="G31" s="3" t="s">
        <v>32</v>
      </c>
      <c r="H31" s="3">
        <v>6.0663362357016609E-2</v>
      </c>
    </row>
    <row r="32" spans="1:19" ht="15.75" thickBot="1" x14ac:dyDescent="0.3">
      <c r="A32">
        <v>29.2</v>
      </c>
      <c r="B32">
        <v>298</v>
      </c>
      <c r="C32">
        <v>84</v>
      </c>
      <c r="D32">
        <v>0.91900000000000004</v>
      </c>
      <c r="G32" s="4" t="s">
        <v>33</v>
      </c>
      <c r="H32" s="4">
        <v>10</v>
      </c>
    </row>
    <row r="33" spans="1:19" x14ac:dyDescent="0.25">
      <c r="A33">
        <v>29.7</v>
      </c>
      <c r="B33">
        <v>202</v>
      </c>
      <c r="C33">
        <v>82</v>
      </c>
      <c r="D33">
        <v>0.96199999999999997</v>
      </c>
    </row>
    <row r="34" spans="1:19" ht="15.75" thickBot="1" x14ac:dyDescent="0.3">
      <c r="A34">
        <v>29.12</v>
      </c>
      <c r="B34">
        <v>212</v>
      </c>
      <c r="C34">
        <v>83</v>
      </c>
      <c r="D34">
        <v>1.0509999999999999</v>
      </c>
      <c r="G34" t="s">
        <v>34</v>
      </c>
    </row>
    <row r="35" spans="1:19" x14ac:dyDescent="0.25">
      <c r="A35">
        <v>29.25</v>
      </c>
      <c r="B35">
        <v>216</v>
      </c>
      <c r="C35">
        <v>84</v>
      </c>
      <c r="D35">
        <v>0.96899999999999997</v>
      </c>
      <c r="G35" s="5"/>
      <c r="H35" s="5" t="s">
        <v>35</v>
      </c>
      <c r="I35" s="5" t="s">
        <v>36</v>
      </c>
      <c r="J35" s="5" t="s">
        <v>37</v>
      </c>
      <c r="K35" s="5" t="s">
        <v>38</v>
      </c>
      <c r="L35" s="5" t="s">
        <v>39</v>
      </c>
    </row>
    <row r="36" spans="1:19" x14ac:dyDescent="0.25">
      <c r="G36" s="3" t="s">
        <v>40</v>
      </c>
      <c r="H36" s="3">
        <v>3</v>
      </c>
      <c r="I36" s="3">
        <v>7.2461388052478294E-3</v>
      </c>
      <c r="J36" s="3">
        <v>2.4153796017492763E-3</v>
      </c>
      <c r="K36" s="3">
        <v>0.65634538842955481</v>
      </c>
      <c r="L36" s="3">
        <v>0.60792283693191063</v>
      </c>
    </row>
    <row r="37" spans="1:19" x14ac:dyDescent="0.25">
      <c r="G37" s="3" t="s">
        <v>41</v>
      </c>
      <c r="H37" s="3">
        <v>6</v>
      </c>
      <c r="I37" s="3">
        <v>2.2080261194752197E-2</v>
      </c>
      <c r="J37" s="3">
        <v>3.6800435324586996E-3</v>
      </c>
      <c r="K37" s="3"/>
      <c r="L37" s="3"/>
    </row>
    <row r="38" spans="1:19" ht="15.75" thickBot="1" x14ac:dyDescent="0.3">
      <c r="G38" s="4" t="s">
        <v>42</v>
      </c>
      <c r="H38" s="4">
        <v>9</v>
      </c>
      <c r="I38" s="4">
        <v>2.9326400000000027E-2</v>
      </c>
      <c r="J38" s="4"/>
      <c r="K38" s="4"/>
      <c r="L38" s="4"/>
    </row>
    <row r="39" spans="1:19" ht="15.75" thickBot="1" x14ac:dyDescent="0.3"/>
    <row r="40" spans="1:19" x14ac:dyDescent="0.25">
      <c r="G40" s="5"/>
      <c r="H40" s="5" t="s">
        <v>43</v>
      </c>
      <c r="I40" s="5" t="s">
        <v>32</v>
      </c>
      <c r="J40" s="5" t="s">
        <v>44</v>
      </c>
      <c r="K40" s="5" t="s">
        <v>45</v>
      </c>
      <c r="L40" s="5" t="s">
        <v>46</v>
      </c>
      <c r="M40" s="5" t="s">
        <v>47</v>
      </c>
      <c r="N40" s="5" t="s">
        <v>48</v>
      </c>
      <c r="O40" s="5" t="s">
        <v>49</v>
      </c>
    </row>
    <row r="41" spans="1:19" x14ac:dyDescent="0.25">
      <c r="G41" s="3" t="s">
        <v>50</v>
      </c>
      <c r="H41" s="3">
        <v>-3.1077944918958145</v>
      </c>
      <c r="I41" s="3">
        <v>3.965848763073232</v>
      </c>
      <c r="J41" s="3">
        <v>-0.78363918484060135</v>
      </c>
      <c r="K41" s="3">
        <v>0.46305448777714575</v>
      </c>
      <c r="L41" s="3">
        <v>-12.811876830108325</v>
      </c>
      <c r="M41" s="3">
        <v>6.5962878463166952</v>
      </c>
      <c r="N41" s="3">
        <v>-12.811876830108325</v>
      </c>
      <c r="O41" s="3">
        <v>6.5962878463166952</v>
      </c>
    </row>
    <row r="42" spans="1:19" x14ac:dyDescent="0.25">
      <c r="G42" s="3" t="s">
        <v>21</v>
      </c>
      <c r="H42" s="3">
        <v>6.9512178515201653E-2</v>
      </c>
      <c r="I42" s="3">
        <v>0.11589700922089906</v>
      </c>
      <c r="J42" s="3">
        <v>0.59977542977586096</v>
      </c>
      <c r="K42" s="3">
        <v>0.57059646813126708</v>
      </c>
      <c r="L42" s="3">
        <v>-0.2140775868596741</v>
      </c>
      <c r="M42" s="3">
        <v>0.35310194389007737</v>
      </c>
      <c r="N42" s="3">
        <v>-0.2140775868596741</v>
      </c>
      <c r="O42" s="3">
        <v>0.35310194389007737</v>
      </c>
    </row>
    <row r="43" spans="1:19" x14ac:dyDescent="0.25">
      <c r="G43" s="3" t="s">
        <v>22</v>
      </c>
      <c r="H43" s="3">
        <v>-2.1241630186063869E-4</v>
      </c>
      <c r="I43" s="3">
        <v>4.406070420321998E-4</v>
      </c>
      <c r="J43" s="3">
        <v>-0.4820991985986352</v>
      </c>
      <c r="K43" s="3">
        <v>0.64681718777166108</v>
      </c>
      <c r="L43" s="3">
        <v>-1.2905428947071582E-3</v>
      </c>
      <c r="M43" s="3">
        <v>8.6571029098588079E-4</v>
      </c>
      <c r="N43" s="3">
        <v>-1.2905428947071582E-3</v>
      </c>
      <c r="O43" s="3">
        <v>8.6571029098588079E-4</v>
      </c>
    </row>
    <row r="44" spans="1:19" ht="15.75" thickBot="1" x14ac:dyDescent="0.3">
      <c r="G44" s="4" t="s">
        <v>95</v>
      </c>
      <c r="H44" s="4">
        <v>2.5285559873036878E-2</v>
      </c>
      <c r="I44" s="4">
        <v>1.9456709686735373E-2</v>
      </c>
      <c r="J44" s="4">
        <v>1.2995804676201408</v>
      </c>
      <c r="K44" s="4">
        <v>0.2414399424174152</v>
      </c>
      <c r="L44" s="4">
        <v>-2.2323293643723034E-2</v>
      </c>
      <c r="M44" s="4">
        <v>7.2894413389796797E-2</v>
      </c>
      <c r="N44" s="4">
        <v>-2.2323293643723034E-2</v>
      </c>
      <c r="O44" s="4">
        <v>7.2894413389796797E-2</v>
      </c>
    </row>
    <row r="46" spans="1:19" x14ac:dyDescent="0.25">
      <c r="B46" t="s">
        <v>3</v>
      </c>
    </row>
    <row r="47" spans="1:19" x14ac:dyDescent="0.25">
      <c r="A47" t="s">
        <v>21</v>
      </c>
      <c r="B47" t="s">
        <v>22</v>
      </c>
      <c r="C47" t="s">
        <v>95</v>
      </c>
      <c r="D47" t="s">
        <v>23</v>
      </c>
      <c r="G47" t="s">
        <v>24</v>
      </c>
    </row>
    <row r="48" spans="1:19" ht="15.75" thickBot="1" x14ac:dyDescent="0.3">
      <c r="A48">
        <v>20.7</v>
      </c>
      <c r="B48">
        <v>7</v>
      </c>
      <c r="C48">
        <v>80</v>
      </c>
      <c r="D48">
        <v>1.452</v>
      </c>
      <c r="P48" t="s">
        <v>88</v>
      </c>
      <c r="Q48" t="s">
        <v>99</v>
      </c>
      <c r="R48" t="s">
        <v>90</v>
      </c>
      <c r="S48" t="s">
        <v>82</v>
      </c>
    </row>
    <row r="49" spans="1:19" x14ac:dyDescent="0.25">
      <c r="A49">
        <v>20.87</v>
      </c>
      <c r="B49">
        <v>12</v>
      </c>
      <c r="C49">
        <v>80</v>
      </c>
      <c r="D49">
        <v>1.5109999999999999</v>
      </c>
      <c r="G49" s="2" t="s">
        <v>27</v>
      </c>
      <c r="H49" s="2"/>
      <c r="P49">
        <v>20.5</v>
      </c>
      <c r="Q49">
        <v>5</v>
      </c>
      <c r="R49">
        <v>75</v>
      </c>
      <c r="S49">
        <f>H63+H64*P49+H65*Q49+H66*R49</f>
        <v>1.7759388553551672</v>
      </c>
    </row>
    <row r="50" spans="1:19" x14ac:dyDescent="0.25">
      <c r="A50">
        <v>21.27</v>
      </c>
      <c r="B50">
        <v>1</v>
      </c>
      <c r="C50">
        <v>79</v>
      </c>
      <c r="D50">
        <v>1.47</v>
      </c>
      <c r="G50" s="3" t="s">
        <v>28</v>
      </c>
      <c r="H50" s="3">
        <v>0.74827189926049165</v>
      </c>
    </row>
    <row r="51" spans="1:19" x14ac:dyDescent="0.25">
      <c r="A51">
        <v>21.92</v>
      </c>
      <c r="B51">
        <v>20</v>
      </c>
      <c r="C51">
        <v>78</v>
      </c>
      <c r="D51">
        <v>1.7450000000000001</v>
      </c>
      <c r="G51" s="3" t="s">
        <v>30</v>
      </c>
      <c r="H51" s="3">
        <v>0.5599108352229033</v>
      </c>
      <c r="Q51" t="s">
        <v>29</v>
      </c>
    </row>
    <row r="52" spans="1:19" x14ac:dyDescent="0.25">
      <c r="A52">
        <v>20.82</v>
      </c>
      <c r="B52">
        <v>54</v>
      </c>
      <c r="C52">
        <v>80</v>
      </c>
      <c r="D52">
        <v>1.5640000000000001</v>
      </c>
      <c r="G52" s="3" t="s">
        <v>31</v>
      </c>
      <c r="H52" s="3">
        <v>0.33986625283435501</v>
      </c>
      <c r="Q52" s="10">
        <v>6.4699999999999994E-2</v>
      </c>
    </row>
    <row r="53" spans="1:19" x14ac:dyDescent="0.25">
      <c r="A53">
        <v>20.8</v>
      </c>
      <c r="B53">
        <v>1</v>
      </c>
      <c r="C53">
        <v>80</v>
      </c>
      <c r="D53">
        <v>1.597</v>
      </c>
      <c r="G53" s="3" t="s">
        <v>32</v>
      </c>
      <c r="H53" s="3">
        <v>7.9146883523213959E-2</v>
      </c>
    </row>
    <row r="54" spans="1:19" ht="15.75" thickBot="1" x14ac:dyDescent="0.3">
      <c r="A54">
        <v>22.35</v>
      </c>
      <c r="B54">
        <v>2</v>
      </c>
      <c r="C54">
        <v>78</v>
      </c>
      <c r="D54">
        <v>1.6220000000000001</v>
      </c>
      <c r="G54" s="4" t="s">
        <v>33</v>
      </c>
      <c r="H54" s="4">
        <v>10</v>
      </c>
    </row>
    <row r="55" spans="1:19" x14ac:dyDescent="0.25">
      <c r="A55">
        <v>20.92</v>
      </c>
      <c r="B55">
        <v>18</v>
      </c>
      <c r="C55">
        <v>77</v>
      </c>
      <c r="D55">
        <v>1.623</v>
      </c>
    </row>
    <row r="56" spans="1:19" ht="15.75" thickBot="1" x14ac:dyDescent="0.3">
      <c r="A56">
        <v>20.420000000000002</v>
      </c>
      <c r="B56">
        <v>9</v>
      </c>
      <c r="C56">
        <v>77</v>
      </c>
      <c r="D56">
        <v>1.6859999999999999</v>
      </c>
      <c r="G56" t="s">
        <v>34</v>
      </c>
    </row>
    <row r="57" spans="1:19" x14ac:dyDescent="0.25">
      <c r="A57">
        <v>20.36</v>
      </c>
      <c r="B57">
        <v>21</v>
      </c>
      <c r="C57">
        <v>78</v>
      </c>
      <c r="D57">
        <v>1.69</v>
      </c>
      <c r="G57" s="5"/>
      <c r="H57" s="5" t="s">
        <v>35</v>
      </c>
      <c r="I57" s="5" t="s">
        <v>36</v>
      </c>
      <c r="J57" s="5" t="s">
        <v>37</v>
      </c>
      <c r="K57" s="5" t="s">
        <v>38</v>
      </c>
      <c r="L57" s="5" t="s">
        <v>39</v>
      </c>
    </row>
    <row r="58" spans="1:19" x14ac:dyDescent="0.25">
      <c r="G58" s="3" t="s">
        <v>40</v>
      </c>
      <c r="H58" s="3">
        <v>3</v>
      </c>
      <c r="I58" s="3">
        <v>4.7818624971376851E-2</v>
      </c>
      <c r="J58" s="3">
        <v>1.5939541657125616E-2</v>
      </c>
      <c r="K58" s="3">
        <v>2.544533608349552</v>
      </c>
      <c r="L58" s="3">
        <v>0.15231502360948029</v>
      </c>
    </row>
    <row r="59" spans="1:19" x14ac:dyDescent="0.25">
      <c r="G59" s="3" t="s">
        <v>41</v>
      </c>
      <c r="H59" s="3">
        <v>6</v>
      </c>
      <c r="I59" s="3">
        <v>3.7585375028623184E-2</v>
      </c>
      <c r="J59" s="3">
        <v>6.2642291714371974E-3</v>
      </c>
      <c r="K59" s="3"/>
      <c r="L59" s="3"/>
    </row>
    <row r="60" spans="1:19" ht="15.75" thickBot="1" x14ac:dyDescent="0.3">
      <c r="G60" s="4" t="s">
        <v>42</v>
      </c>
      <c r="H60" s="4">
        <v>9</v>
      </c>
      <c r="I60" s="4">
        <v>8.5404000000000035E-2</v>
      </c>
      <c r="J60" s="4"/>
      <c r="K60" s="4"/>
      <c r="L60" s="4"/>
    </row>
    <row r="61" spans="1:19" ht="15.75" thickBot="1" x14ac:dyDescent="0.3"/>
    <row r="62" spans="1:19" x14ac:dyDescent="0.25">
      <c r="G62" s="5"/>
      <c r="H62" s="5" t="s">
        <v>43</v>
      </c>
      <c r="I62" s="5" t="s">
        <v>32</v>
      </c>
      <c r="J62" s="5" t="s">
        <v>44</v>
      </c>
      <c r="K62" s="5" t="s">
        <v>45</v>
      </c>
      <c r="L62" s="5" t="s">
        <v>46</v>
      </c>
      <c r="M62" s="5" t="s">
        <v>47</v>
      </c>
      <c r="N62" s="5" t="s">
        <v>48</v>
      </c>
      <c r="O62" s="5" t="s">
        <v>49</v>
      </c>
    </row>
    <row r="63" spans="1:19" x14ac:dyDescent="0.25">
      <c r="G63" s="3" t="s">
        <v>50</v>
      </c>
      <c r="H63" s="3">
        <v>5.5877501730359018</v>
      </c>
      <c r="I63" s="3">
        <v>1.9970609600373708</v>
      </c>
      <c r="J63" s="3">
        <v>2.7979867840044998</v>
      </c>
      <c r="K63" s="3">
        <v>3.1246740059708646E-2</v>
      </c>
      <c r="L63" s="3">
        <v>0.70111804246150822</v>
      </c>
      <c r="M63" s="3">
        <v>10.474382303610295</v>
      </c>
      <c r="N63" s="3">
        <v>0.70111804246150822</v>
      </c>
      <c r="O63" s="3">
        <v>10.474382303610295</v>
      </c>
    </row>
    <row r="64" spans="1:19" x14ac:dyDescent="0.25">
      <c r="G64" s="3" t="s">
        <v>21</v>
      </c>
      <c r="H64" s="3">
        <v>1.6478174781094271E-2</v>
      </c>
      <c r="I64" s="3">
        <v>4.2585999926615825E-2</v>
      </c>
      <c r="J64" s="3">
        <v>0.38693877822499068</v>
      </c>
      <c r="K64" s="3">
        <v>0.71215321272367094</v>
      </c>
      <c r="L64" s="3">
        <v>-8.7726013132200797E-2</v>
      </c>
      <c r="M64" s="3">
        <v>0.12068236269438934</v>
      </c>
      <c r="N64" s="3">
        <v>-8.7726013132200797E-2</v>
      </c>
      <c r="O64" s="3">
        <v>0.12068236269438934</v>
      </c>
    </row>
    <row r="65" spans="1:19" x14ac:dyDescent="0.25">
      <c r="G65" s="3" t="s">
        <v>22</v>
      </c>
      <c r="H65" s="3">
        <v>1.7104951195490725E-3</v>
      </c>
      <c r="I65" s="3">
        <v>1.7080785621200489E-3</v>
      </c>
      <c r="J65" s="3">
        <v>1.0014147811948557</v>
      </c>
      <c r="K65" s="3">
        <v>0.35528673529824312</v>
      </c>
      <c r="L65" s="3">
        <v>-2.4690225567891343E-3</v>
      </c>
      <c r="M65" s="3">
        <v>5.8900127958872789E-3</v>
      </c>
      <c r="N65" s="3">
        <v>-2.4690225567891343E-3</v>
      </c>
      <c r="O65" s="3">
        <v>5.8900127958872789E-3</v>
      </c>
    </row>
    <row r="66" spans="1:19" ht="15.75" thickBot="1" x14ac:dyDescent="0.3">
      <c r="G66" s="4" t="s">
        <v>95</v>
      </c>
      <c r="H66" s="4">
        <v>-5.5442218350545504E-2</v>
      </c>
      <c r="I66" s="4">
        <v>2.1367098407844162E-2</v>
      </c>
      <c r="J66" s="4">
        <v>-2.5947471805620497</v>
      </c>
      <c r="K66" s="4">
        <v>4.0950014421243713E-2</v>
      </c>
      <c r="L66" s="4">
        <v>-0.10772562466928021</v>
      </c>
      <c r="M66" s="4">
        <v>-3.1588120318108079E-3</v>
      </c>
      <c r="N66" s="4">
        <v>-0.10772562466928021</v>
      </c>
      <c r="O66" s="4">
        <v>-3.1588120318108079E-3</v>
      </c>
    </row>
    <row r="68" spans="1:19" x14ac:dyDescent="0.25">
      <c r="B68" t="s">
        <v>53</v>
      </c>
    </row>
    <row r="69" spans="1:19" x14ac:dyDescent="0.25">
      <c r="A69" t="s">
        <v>21</v>
      </c>
      <c r="B69" t="s">
        <v>22</v>
      </c>
      <c r="C69" t="s">
        <v>95</v>
      </c>
      <c r="D69" t="s">
        <v>23</v>
      </c>
      <c r="G69" t="s">
        <v>24</v>
      </c>
    </row>
    <row r="70" spans="1:19" ht="15.75" thickBot="1" x14ac:dyDescent="0.3">
      <c r="A70">
        <v>29.02</v>
      </c>
      <c r="B70">
        <v>161</v>
      </c>
      <c r="C70">
        <v>78</v>
      </c>
      <c r="D70">
        <v>5.83</v>
      </c>
    </row>
    <row r="71" spans="1:19" x14ac:dyDescent="0.25">
      <c r="A71">
        <v>29.42</v>
      </c>
      <c r="B71">
        <v>130</v>
      </c>
      <c r="C71">
        <v>77</v>
      </c>
      <c r="D71">
        <v>5.83</v>
      </c>
      <c r="G71" s="2" t="s">
        <v>27</v>
      </c>
      <c r="H71" s="2"/>
      <c r="P71" t="s">
        <v>88</v>
      </c>
      <c r="Q71" t="s">
        <v>99</v>
      </c>
      <c r="R71" t="s">
        <v>90</v>
      </c>
      <c r="S71" t="s">
        <v>82</v>
      </c>
    </row>
    <row r="72" spans="1:19" x14ac:dyDescent="0.25">
      <c r="A72">
        <v>30</v>
      </c>
      <c r="B72">
        <v>90</v>
      </c>
      <c r="C72">
        <v>76</v>
      </c>
      <c r="D72">
        <v>5.41</v>
      </c>
      <c r="G72" s="3" t="s">
        <v>28</v>
      </c>
      <c r="H72" s="3">
        <v>0.87057583709537112</v>
      </c>
      <c r="P72">
        <v>29.12</v>
      </c>
      <c r="Q72">
        <v>138</v>
      </c>
      <c r="R72">
        <v>73</v>
      </c>
      <c r="S72">
        <f>H85+H86*P72+H87*Q72+H88*R72</f>
        <v>4.2372875672553185</v>
      </c>
    </row>
    <row r="73" spans="1:19" x14ac:dyDescent="0.25">
      <c r="A73">
        <v>29.45</v>
      </c>
      <c r="B73">
        <v>142</v>
      </c>
      <c r="C73">
        <v>76</v>
      </c>
      <c r="D73">
        <v>5.6</v>
      </c>
      <c r="G73" s="3" t="s">
        <v>30</v>
      </c>
      <c r="H73" s="3">
        <v>0.75790228813430616</v>
      </c>
    </row>
    <row r="74" spans="1:19" x14ac:dyDescent="0.25">
      <c r="A74">
        <v>29.05</v>
      </c>
      <c r="B74">
        <v>132</v>
      </c>
      <c r="C74">
        <v>76</v>
      </c>
      <c r="D74">
        <v>5.35</v>
      </c>
      <c r="G74" s="3" t="s">
        <v>31</v>
      </c>
      <c r="H74" s="3">
        <v>0.63685343220145929</v>
      </c>
      <c r="Q74" t="s">
        <v>29</v>
      </c>
    </row>
    <row r="75" spans="1:19" x14ac:dyDescent="0.25">
      <c r="A75">
        <v>29.17</v>
      </c>
      <c r="B75">
        <v>131</v>
      </c>
      <c r="C75">
        <v>78</v>
      </c>
      <c r="D75">
        <v>5.84</v>
      </c>
      <c r="G75" s="3" t="s">
        <v>32</v>
      </c>
      <c r="H75" s="3">
        <v>0.3599023985647129</v>
      </c>
      <c r="Q75" s="10">
        <v>0.17380000000000001</v>
      </c>
    </row>
    <row r="76" spans="1:19" ht="15.75" thickBot="1" x14ac:dyDescent="0.3">
      <c r="A76">
        <v>30</v>
      </c>
      <c r="B76">
        <v>97</v>
      </c>
      <c r="C76">
        <v>74</v>
      </c>
      <c r="D76">
        <v>5.76</v>
      </c>
      <c r="G76" s="4" t="s">
        <v>33</v>
      </c>
      <c r="H76" s="4">
        <v>10</v>
      </c>
    </row>
    <row r="77" spans="1:19" x14ac:dyDescent="0.25">
      <c r="A77">
        <v>30.47</v>
      </c>
      <c r="B77">
        <v>130</v>
      </c>
      <c r="C77">
        <v>74</v>
      </c>
      <c r="D77">
        <v>5.48</v>
      </c>
    </row>
    <row r="78" spans="1:19" ht="15.75" thickBot="1" x14ac:dyDescent="0.3">
      <c r="A78">
        <v>28.85</v>
      </c>
      <c r="B78">
        <v>128</v>
      </c>
      <c r="C78">
        <v>75</v>
      </c>
      <c r="D78">
        <v>4.2</v>
      </c>
      <c r="G78" t="s">
        <v>34</v>
      </c>
    </row>
    <row r="79" spans="1:19" x14ac:dyDescent="0.25">
      <c r="A79">
        <v>29.95</v>
      </c>
      <c r="B79">
        <v>86</v>
      </c>
      <c r="C79">
        <v>72</v>
      </c>
      <c r="D79">
        <v>4.3810000000000002</v>
      </c>
      <c r="G79" s="5"/>
      <c r="H79" s="5" t="s">
        <v>35</v>
      </c>
      <c r="I79" s="5" t="s">
        <v>36</v>
      </c>
      <c r="J79" s="5" t="s">
        <v>37</v>
      </c>
      <c r="K79" s="5" t="s">
        <v>38</v>
      </c>
      <c r="L79" s="5" t="s">
        <v>39</v>
      </c>
    </row>
    <row r="80" spans="1:19" x14ac:dyDescent="0.25">
      <c r="G80" s="3" t="s">
        <v>40</v>
      </c>
      <c r="H80" s="3">
        <v>3</v>
      </c>
      <c r="I80" s="3">
        <v>2.433006481044198</v>
      </c>
      <c r="J80" s="3">
        <v>0.81100216034806605</v>
      </c>
      <c r="K80" s="3">
        <v>6.2611272307667267</v>
      </c>
      <c r="L80" s="3">
        <v>2.8069566896971633E-2</v>
      </c>
    </row>
    <row r="81" spans="1:19" x14ac:dyDescent="0.25">
      <c r="G81" s="3" t="s">
        <v>41</v>
      </c>
      <c r="H81" s="3">
        <v>6</v>
      </c>
      <c r="I81" s="3">
        <v>0.77717841895580086</v>
      </c>
      <c r="J81" s="3">
        <v>0.12952973649263347</v>
      </c>
      <c r="K81" s="3"/>
      <c r="L81" s="3"/>
    </row>
    <row r="82" spans="1:19" ht="15.75" thickBot="1" x14ac:dyDescent="0.3">
      <c r="G82" s="4" t="s">
        <v>42</v>
      </c>
      <c r="H82" s="4">
        <v>9</v>
      </c>
      <c r="I82" s="4">
        <v>3.2101848999999989</v>
      </c>
      <c r="J82" s="4"/>
      <c r="K82" s="4"/>
      <c r="L82" s="4"/>
    </row>
    <row r="83" spans="1:19" ht="15.75" thickBot="1" x14ac:dyDescent="0.3"/>
    <row r="84" spans="1:19" x14ac:dyDescent="0.25">
      <c r="G84" s="5"/>
      <c r="H84" s="5" t="s">
        <v>43</v>
      </c>
      <c r="I84" s="5" t="s">
        <v>32</v>
      </c>
      <c r="J84" s="5" t="s">
        <v>44</v>
      </c>
      <c r="K84" s="5" t="s">
        <v>45</v>
      </c>
      <c r="L84" s="5" t="s">
        <v>46</v>
      </c>
      <c r="M84" s="5" t="s">
        <v>47</v>
      </c>
      <c r="N84" s="5" t="s">
        <v>48</v>
      </c>
      <c r="O84" s="5" t="s">
        <v>49</v>
      </c>
    </row>
    <row r="85" spans="1:19" x14ac:dyDescent="0.25">
      <c r="G85" s="3" t="s">
        <v>50</v>
      </c>
      <c r="H85" s="3">
        <v>-45.065483511444903</v>
      </c>
      <c r="I85" s="3">
        <v>12.981090877523766</v>
      </c>
      <c r="J85" s="3">
        <v>-3.4716252999564134</v>
      </c>
      <c r="K85" s="3">
        <v>1.3277437279469241E-2</v>
      </c>
      <c r="L85" s="3">
        <v>-76.829068620447657</v>
      </c>
      <c r="M85" s="3">
        <v>-13.301898402442145</v>
      </c>
      <c r="N85" s="3">
        <v>-76.829068620447657</v>
      </c>
      <c r="O85" s="3">
        <v>-13.301898402442145</v>
      </c>
    </row>
    <row r="86" spans="1:19" x14ac:dyDescent="0.25">
      <c r="G86" s="3" t="s">
        <v>21</v>
      </c>
      <c r="H86" s="3">
        <v>0.8789440937063594</v>
      </c>
      <c r="I86" s="3">
        <v>0.29658917586697053</v>
      </c>
      <c r="J86" s="3">
        <v>2.9635069828057148</v>
      </c>
      <c r="K86" s="3">
        <v>2.5168297572713796E-2</v>
      </c>
      <c r="L86" s="3">
        <v>0.15321652435614952</v>
      </c>
      <c r="M86" s="3">
        <v>1.6046716630565694</v>
      </c>
      <c r="N86" s="3">
        <v>0.15321652435614952</v>
      </c>
      <c r="O86" s="3">
        <v>1.6046716630565694</v>
      </c>
    </row>
    <row r="87" spans="1:19" x14ac:dyDescent="0.25">
      <c r="G87" s="3" t="s">
        <v>22</v>
      </c>
      <c r="H87" s="3">
        <v>4.0058155905119842E-3</v>
      </c>
      <c r="I87" s="3">
        <v>7.127426659355624E-3</v>
      </c>
      <c r="J87" s="3">
        <v>0.56202831428000155</v>
      </c>
      <c r="K87" s="3">
        <v>0.59445390448402247</v>
      </c>
      <c r="L87" s="3">
        <v>-1.3434369170431894E-2</v>
      </c>
      <c r="M87" s="3">
        <v>2.1446000351455864E-2</v>
      </c>
      <c r="N87" s="3">
        <v>-1.3434369170431894E-2</v>
      </c>
      <c r="O87" s="3">
        <v>2.1446000351455864E-2</v>
      </c>
    </row>
    <row r="88" spans="1:19" ht="15.75" thickBot="1" x14ac:dyDescent="0.3">
      <c r="G88" s="4" t="s">
        <v>95</v>
      </c>
      <c r="H88" s="4">
        <v>0.31719337696548466</v>
      </c>
      <c r="I88" s="4">
        <v>9.2230489332774876E-2</v>
      </c>
      <c r="J88" s="4">
        <v>3.439137960344393</v>
      </c>
      <c r="K88" s="4">
        <v>1.3815529164229939E-2</v>
      </c>
      <c r="L88" s="4">
        <v>9.1513499580218122E-2</v>
      </c>
      <c r="M88" s="4">
        <v>0.54287325435075118</v>
      </c>
      <c r="N88" s="4">
        <v>9.1513499580218122E-2</v>
      </c>
      <c r="O88" s="4">
        <v>0.54287325435075118</v>
      </c>
    </row>
    <row r="90" spans="1:19" x14ac:dyDescent="0.25">
      <c r="B90" t="s">
        <v>5</v>
      </c>
    </row>
    <row r="91" spans="1:19" x14ac:dyDescent="0.25">
      <c r="A91" t="s">
        <v>21</v>
      </c>
      <c r="B91" t="s">
        <v>22</v>
      </c>
      <c r="C91" t="s">
        <v>95</v>
      </c>
      <c r="D91" t="s">
        <v>82</v>
      </c>
      <c r="G91" t="s">
        <v>24</v>
      </c>
    </row>
    <row r="92" spans="1:19" ht="15.75" thickBot="1" x14ac:dyDescent="0.3">
      <c r="A92">
        <v>20.7</v>
      </c>
      <c r="B92">
        <v>7</v>
      </c>
      <c r="C92">
        <v>80</v>
      </c>
      <c r="D92">
        <v>8.891</v>
      </c>
      <c r="P92" t="s">
        <v>88</v>
      </c>
      <c r="Q92" t="s">
        <v>99</v>
      </c>
      <c r="R92" t="s">
        <v>90</v>
      </c>
      <c r="S92" t="s">
        <v>82</v>
      </c>
    </row>
    <row r="93" spans="1:19" x14ac:dyDescent="0.25">
      <c r="A93">
        <v>20.87</v>
      </c>
      <c r="B93">
        <v>12</v>
      </c>
      <c r="C93">
        <v>80</v>
      </c>
      <c r="D93">
        <v>8.891</v>
      </c>
      <c r="G93" s="2" t="s">
        <v>27</v>
      </c>
      <c r="H93" s="2"/>
      <c r="P93">
        <v>20.5</v>
      </c>
      <c r="Q93">
        <v>5</v>
      </c>
      <c r="R93">
        <v>75</v>
      </c>
      <c r="S93">
        <f>H107+H108*P93+H109*Q93+H110*R93</f>
        <v>8.5535839274647856</v>
      </c>
    </row>
    <row r="94" spans="1:19" x14ac:dyDescent="0.25">
      <c r="A94">
        <v>21.27</v>
      </c>
      <c r="B94">
        <v>1</v>
      </c>
      <c r="C94">
        <v>79</v>
      </c>
      <c r="D94">
        <v>8.1560000000000006</v>
      </c>
      <c r="G94" s="3" t="s">
        <v>28</v>
      </c>
      <c r="H94" s="3">
        <v>0.38319944348960283</v>
      </c>
    </row>
    <row r="95" spans="1:19" x14ac:dyDescent="0.25">
      <c r="A95">
        <v>21.92</v>
      </c>
      <c r="B95">
        <v>20</v>
      </c>
      <c r="C95">
        <v>78</v>
      </c>
      <c r="D95">
        <v>7.88</v>
      </c>
      <c r="G95" s="3" t="s">
        <v>30</v>
      </c>
      <c r="H95" s="3">
        <v>0.14684181349074132</v>
      </c>
      <c r="Q95" s="10">
        <v>6.8099999999999994E-2</v>
      </c>
    </row>
    <row r="96" spans="1:19" x14ac:dyDescent="0.25">
      <c r="A96">
        <v>20.82</v>
      </c>
      <c r="B96">
        <v>54</v>
      </c>
      <c r="C96">
        <v>80</v>
      </c>
      <c r="D96">
        <v>7.859</v>
      </c>
      <c r="G96" s="3" t="s">
        <v>31</v>
      </c>
      <c r="H96" s="3">
        <v>-0.27973727976388801</v>
      </c>
    </row>
    <row r="97" spans="1:15" x14ac:dyDescent="0.25">
      <c r="A97">
        <v>20.8</v>
      </c>
      <c r="B97">
        <v>1</v>
      </c>
      <c r="C97">
        <v>80</v>
      </c>
      <c r="D97">
        <v>6.2530000000000001</v>
      </c>
      <c r="G97" s="3" t="s">
        <v>32</v>
      </c>
      <c r="H97" s="3">
        <v>1.1380162514151466</v>
      </c>
    </row>
    <row r="98" spans="1:15" ht="15.75" thickBot="1" x14ac:dyDescent="0.3">
      <c r="A98">
        <v>22.35</v>
      </c>
      <c r="B98">
        <v>2</v>
      </c>
      <c r="C98">
        <v>78</v>
      </c>
      <c r="D98">
        <v>10.087999999999999</v>
      </c>
      <c r="G98" s="4" t="s">
        <v>33</v>
      </c>
      <c r="H98" s="4">
        <v>10</v>
      </c>
    </row>
    <row r="99" spans="1:15" x14ac:dyDescent="0.25">
      <c r="A99">
        <v>20.92</v>
      </c>
      <c r="B99">
        <v>18</v>
      </c>
      <c r="C99">
        <v>77</v>
      </c>
      <c r="D99">
        <v>8.2240000000000002</v>
      </c>
    </row>
    <row r="100" spans="1:15" ht="15.75" thickBot="1" x14ac:dyDescent="0.3">
      <c r="A100">
        <v>20.420000000000002</v>
      </c>
      <c r="B100">
        <v>9</v>
      </c>
      <c r="C100">
        <v>77</v>
      </c>
      <c r="D100">
        <v>7.9359999999999999</v>
      </c>
      <c r="G100" t="s">
        <v>34</v>
      </c>
    </row>
    <row r="101" spans="1:15" x14ac:dyDescent="0.25">
      <c r="A101">
        <v>20.36</v>
      </c>
      <c r="B101">
        <v>21</v>
      </c>
      <c r="C101">
        <v>78</v>
      </c>
      <c r="D101">
        <v>9.0039999999999996</v>
      </c>
      <c r="G101" s="5"/>
      <c r="H101" s="5" t="s">
        <v>35</v>
      </c>
      <c r="I101" s="5" t="s">
        <v>36</v>
      </c>
      <c r="J101" s="5" t="s">
        <v>37</v>
      </c>
      <c r="K101" s="5" t="s">
        <v>38</v>
      </c>
      <c r="L101" s="5" t="s">
        <v>39</v>
      </c>
    </row>
    <row r="102" spans="1:15" x14ac:dyDescent="0.25">
      <c r="G102" s="3" t="s">
        <v>40</v>
      </c>
      <c r="H102" s="3">
        <v>3</v>
      </c>
      <c r="I102" s="3">
        <v>1.3374216690901051</v>
      </c>
      <c r="J102" s="3">
        <v>0.445807223030035</v>
      </c>
      <c r="K102" s="3">
        <v>0.3442311538767559</v>
      </c>
      <c r="L102" s="3">
        <v>0.79492449994300818</v>
      </c>
    </row>
    <row r="103" spans="1:15" x14ac:dyDescent="0.25">
      <c r="G103" s="3" t="s">
        <v>41</v>
      </c>
      <c r="H103" s="3">
        <v>6</v>
      </c>
      <c r="I103" s="3">
        <v>7.7704859309098921</v>
      </c>
      <c r="J103" s="3">
        <v>1.2950809884849821</v>
      </c>
      <c r="K103" s="3"/>
      <c r="L103" s="3"/>
    </row>
    <row r="104" spans="1:15" ht="15.75" thickBot="1" x14ac:dyDescent="0.3">
      <c r="G104" s="4" t="s">
        <v>42</v>
      </c>
      <c r="H104" s="4">
        <v>9</v>
      </c>
      <c r="I104" s="4">
        <v>9.1079075999999972</v>
      </c>
      <c r="J104" s="4"/>
      <c r="K104" s="4"/>
      <c r="L104" s="4"/>
    </row>
    <row r="105" spans="1:15" ht="15.75" thickBot="1" x14ac:dyDescent="0.3"/>
    <row r="106" spans="1:15" x14ac:dyDescent="0.25">
      <c r="G106" s="5"/>
      <c r="H106" s="5" t="s">
        <v>43</v>
      </c>
      <c r="I106" s="5" t="s">
        <v>32</v>
      </c>
      <c r="J106" s="5" t="s">
        <v>44</v>
      </c>
      <c r="K106" s="5" t="s">
        <v>45</v>
      </c>
      <c r="L106" s="5" t="s">
        <v>46</v>
      </c>
      <c r="M106" s="5" t="s">
        <v>47</v>
      </c>
      <c r="N106" s="5" t="s">
        <v>48</v>
      </c>
      <c r="O106" s="5" t="s">
        <v>49</v>
      </c>
    </row>
    <row r="107" spans="1:15" x14ac:dyDescent="0.25">
      <c r="G107" s="3" t="s">
        <v>50</v>
      </c>
      <c r="H107" s="3">
        <v>8.5376510096951321</v>
      </c>
      <c r="I107" s="3">
        <v>28.714811328265096</v>
      </c>
      <c r="J107" s="3">
        <v>0.29732568715474</v>
      </c>
      <c r="K107" s="3">
        <v>0.77624326628326135</v>
      </c>
      <c r="L107" s="3">
        <v>-61.724961132828561</v>
      </c>
      <c r="M107" s="3">
        <v>78.800263152218832</v>
      </c>
      <c r="N107" s="3">
        <v>-61.724961132828561</v>
      </c>
      <c r="O107" s="3">
        <v>78.800263152218832</v>
      </c>
    </row>
    <row r="108" spans="1:15" x14ac:dyDescent="0.25">
      <c r="G108" s="3" t="s">
        <v>21</v>
      </c>
      <c r="H108" s="3">
        <v>0.50510004389333518</v>
      </c>
      <c r="I108" s="3">
        <v>0.61232429935208477</v>
      </c>
      <c r="J108" s="3">
        <v>0.82488975927918229</v>
      </c>
      <c r="K108" s="3">
        <v>0.44098829527771982</v>
      </c>
      <c r="L108" s="3">
        <v>-0.99320354093532115</v>
      </c>
      <c r="M108" s="3">
        <v>2.0034036287219914</v>
      </c>
      <c r="N108" s="3">
        <v>-0.99320354093532115</v>
      </c>
      <c r="O108" s="3">
        <v>2.0034036287219914</v>
      </c>
    </row>
    <row r="109" spans="1:15" x14ac:dyDescent="0.25">
      <c r="G109" s="3" t="s">
        <v>22</v>
      </c>
      <c r="H109" s="3">
        <v>4.163211260323879E-5</v>
      </c>
      <c r="I109" s="3">
        <v>2.4559667745051573E-2</v>
      </c>
      <c r="J109" s="3">
        <v>1.695141523713287E-3</v>
      </c>
      <c r="K109" s="3">
        <v>0.9987024282953445</v>
      </c>
      <c r="L109" s="3">
        <v>-6.0053709952946309E-2</v>
      </c>
      <c r="M109" s="3">
        <v>6.0136974178152787E-2</v>
      </c>
      <c r="N109" s="3">
        <v>-6.0053709952946309E-2</v>
      </c>
      <c r="O109" s="3">
        <v>6.0136974178152787E-2</v>
      </c>
    </row>
    <row r="110" spans="1:15" ht="15.75" thickBot="1" x14ac:dyDescent="0.3">
      <c r="G110" s="4" t="s">
        <v>95</v>
      </c>
      <c r="H110" s="4">
        <v>-0.13785101523475646</v>
      </c>
      <c r="I110" s="4">
        <v>0.30722757676973339</v>
      </c>
      <c r="J110" s="4">
        <v>-0.44869349517434626</v>
      </c>
      <c r="K110" s="4">
        <v>0.66940251190369238</v>
      </c>
      <c r="L110" s="4">
        <v>-0.88960981383116811</v>
      </c>
      <c r="M110" s="4">
        <v>0.61390778336165508</v>
      </c>
      <c r="N110" s="4">
        <v>-0.88960981383116811</v>
      </c>
      <c r="O110" s="4">
        <v>0.61390778336165508</v>
      </c>
    </row>
    <row r="112" spans="1:15" x14ac:dyDescent="0.25">
      <c r="B112" t="s">
        <v>87</v>
      </c>
    </row>
    <row r="113" spans="1:19" x14ac:dyDescent="0.25">
      <c r="A113" t="s">
        <v>21</v>
      </c>
      <c r="B113" t="s">
        <v>22</v>
      </c>
      <c r="C113" t="s">
        <v>95</v>
      </c>
      <c r="D113" t="s">
        <v>82</v>
      </c>
      <c r="G113" t="s">
        <v>24</v>
      </c>
    </row>
    <row r="114" spans="1:19" ht="15.75" thickBot="1" x14ac:dyDescent="0.3">
      <c r="A114">
        <v>20.7</v>
      </c>
      <c r="B114">
        <v>7</v>
      </c>
      <c r="C114">
        <v>80</v>
      </c>
      <c r="D114">
        <v>0.94399999999999995</v>
      </c>
    </row>
    <row r="115" spans="1:19" x14ac:dyDescent="0.25">
      <c r="A115">
        <v>20.87</v>
      </c>
      <c r="B115">
        <v>12</v>
      </c>
      <c r="C115">
        <v>80</v>
      </c>
      <c r="D115">
        <v>0.67900000000000005</v>
      </c>
      <c r="G115" s="2" t="s">
        <v>27</v>
      </c>
      <c r="H115" s="2"/>
      <c r="P115" t="s">
        <v>88</v>
      </c>
      <c r="Q115" t="s">
        <v>99</v>
      </c>
      <c r="R115" t="s">
        <v>90</v>
      </c>
      <c r="S115" t="s">
        <v>82</v>
      </c>
    </row>
    <row r="116" spans="1:19" x14ac:dyDescent="0.25">
      <c r="A116">
        <v>21.27</v>
      </c>
      <c r="B116">
        <v>1</v>
      </c>
      <c r="C116">
        <v>79</v>
      </c>
      <c r="D116">
        <v>0.81</v>
      </c>
      <c r="G116" s="3" t="s">
        <v>28</v>
      </c>
      <c r="H116" s="3">
        <v>0.65476082728262097</v>
      </c>
      <c r="P116">
        <v>20.5</v>
      </c>
      <c r="Q116">
        <v>5</v>
      </c>
      <c r="R116">
        <v>75</v>
      </c>
      <c r="S116">
        <f>H129+H130*P116+H131*Q116+H132*R116</f>
        <v>1.2298029249663083</v>
      </c>
    </row>
    <row r="117" spans="1:19" x14ac:dyDescent="0.25">
      <c r="A117">
        <v>21.92</v>
      </c>
      <c r="B117">
        <v>20</v>
      </c>
      <c r="C117">
        <v>78</v>
      </c>
      <c r="D117">
        <v>0.92400000000000004</v>
      </c>
      <c r="G117" s="3" t="s">
        <v>30</v>
      </c>
      <c r="H117" s="3">
        <v>0.42871174094382214</v>
      </c>
    </row>
    <row r="118" spans="1:19" x14ac:dyDescent="0.25">
      <c r="A118">
        <v>20.82</v>
      </c>
      <c r="B118">
        <v>54</v>
      </c>
      <c r="C118">
        <v>80</v>
      </c>
      <c r="D118">
        <v>0.95899999999999996</v>
      </c>
      <c r="G118" s="3" t="s">
        <v>31</v>
      </c>
      <c r="H118" s="3">
        <v>0.14306761141573321</v>
      </c>
      <c r="Q118" t="s">
        <v>29</v>
      </c>
    </row>
    <row r="119" spans="1:19" x14ac:dyDescent="0.25">
      <c r="A119">
        <v>20.8</v>
      </c>
      <c r="B119">
        <v>1</v>
      </c>
      <c r="C119">
        <v>80</v>
      </c>
      <c r="D119">
        <v>1.0960000000000001</v>
      </c>
      <c r="G119" s="3" t="s">
        <v>32</v>
      </c>
      <c r="H119" s="3">
        <v>0.1421802904681008</v>
      </c>
      <c r="Q119" s="10">
        <v>7.3000000000000001E-3</v>
      </c>
    </row>
    <row r="120" spans="1:19" ht="15.75" thickBot="1" x14ac:dyDescent="0.3">
      <c r="A120">
        <v>22.35</v>
      </c>
      <c r="B120">
        <v>2</v>
      </c>
      <c r="C120">
        <v>78</v>
      </c>
      <c r="D120">
        <v>0.84299999999999997</v>
      </c>
      <c r="G120" s="4" t="s">
        <v>33</v>
      </c>
      <c r="H120" s="4">
        <v>10</v>
      </c>
    </row>
    <row r="121" spans="1:19" x14ac:dyDescent="0.25">
      <c r="A121">
        <v>20.92</v>
      </c>
      <c r="B121">
        <v>18</v>
      </c>
      <c r="C121">
        <v>77</v>
      </c>
      <c r="D121">
        <v>1.1639999999999999</v>
      </c>
    </row>
    <row r="122" spans="1:19" ht="15.75" thickBot="1" x14ac:dyDescent="0.3">
      <c r="A122">
        <v>20.420000000000002</v>
      </c>
      <c r="B122">
        <v>9</v>
      </c>
      <c r="C122">
        <v>77</v>
      </c>
      <c r="D122">
        <v>1.0129999999999999</v>
      </c>
      <c r="G122" t="s">
        <v>34</v>
      </c>
    </row>
    <row r="123" spans="1:19" x14ac:dyDescent="0.25">
      <c r="A123">
        <v>20.36</v>
      </c>
      <c r="B123">
        <v>21</v>
      </c>
      <c r="C123">
        <v>78</v>
      </c>
      <c r="D123">
        <v>1.141</v>
      </c>
      <c r="G123" s="5"/>
      <c r="H123" s="5" t="s">
        <v>35</v>
      </c>
      <c r="I123" s="5" t="s">
        <v>36</v>
      </c>
      <c r="J123" s="5" t="s">
        <v>37</v>
      </c>
      <c r="K123" s="5" t="s">
        <v>38</v>
      </c>
      <c r="L123" s="5" t="s">
        <v>39</v>
      </c>
    </row>
    <row r="124" spans="1:19" x14ac:dyDescent="0.25">
      <c r="G124" s="3" t="s">
        <v>40</v>
      </c>
      <c r="H124" s="3">
        <v>3</v>
      </c>
      <c r="I124" s="3">
        <v>9.102069001443884E-2</v>
      </c>
      <c r="J124" s="3">
        <v>3.0340230004812948E-2</v>
      </c>
      <c r="K124" s="3">
        <v>1.5008596243587937</v>
      </c>
      <c r="L124" s="3">
        <v>0.30697730151194125</v>
      </c>
    </row>
    <row r="125" spans="1:19" x14ac:dyDescent="0.25">
      <c r="G125" s="3" t="s">
        <v>41</v>
      </c>
      <c r="H125" s="3">
        <v>6</v>
      </c>
      <c r="I125" s="3">
        <v>0.12129140998556111</v>
      </c>
      <c r="J125" s="3">
        <v>2.0215234997593517E-2</v>
      </c>
      <c r="K125" s="3"/>
      <c r="L125" s="3"/>
    </row>
    <row r="126" spans="1:19" ht="15.75" thickBot="1" x14ac:dyDescent="0.3">
      <c r="G126" s="4" t="s">
        <v>42</v>
      </c>
      <c r="H126" s="4">
        <v>9</v>
      </c>
      <c r="I126" s="4">
        <v>0.21231209999999995</v>
      </c>
      <c r="J126" s="4"/>
      <c r="K126" s="4"/>
      <c r="L126" s="4"/>
    </row>
    <row r="127" spans="1:19" ht="15.75" thickBot="1" x14ac:dyDescent="0.3"/>
    <row r="128" spans="1:19" x14ac:dyDescent="0.25">
      <c r="G128" s="5"/>
      <c r="H128" s="5" t="s">
        <v>43</v>
      </c>
      <c r="I128" s="5" t="s">
        <v>32</v>
      </c>
      <c r="J128" s="5" t="s">
        <v>44</v>
      </c>
      <c r="K128" s="5" t="s">
        <v>45</v>
      </c>
      <c r="L128" s="5" t="s">
        <v>46</v>
      </c>
      <c r="M128" s="5" t="s">
        <v>47</v>
      </c>
      <c r="N128" s="5" t="s">
        <v>48</v>
      </c>
      <c r="O128" s="5" t="s">
        <v>49</v>
      </c>
    </row>
    <row r="129" spans="7:15" x14ac:dyDescent="0.25">
      <c r="G129" s="3" t="s">
        <v>50</v>
      </c>
      <c r="H129" s="3">
        <v>8.0766722007337837</v>
      </c>
      <c r="I129" s="3">
        <v>3.5875412238731625</v>
      </c>
      <c r="J129" s="3">
        <v>2.2513113290483919</v>
      </c>
      <c r="K129" s="3">
        <v>6.532336743559608E-2</v>
      </c>
      <c r="L129" s="3">
        <v>-0.70172493643258704</v>
      </c>
      <c r="M129" s="3">
        <v>16.855069337900154</v>
      </c>
      <c r="N129" s="3">
        <v>-0.70172493643258704</v>
      </c>
      <c r="O129" s="3">
        <v>16.855069337900154</v>
      </c>
    </row>
    <row r="130" spans="7:15" x14ac:dyDescent="0.25">
      <c r="G130" s="3" t="s">
        <v>21</v>
      </c>
      <c r="H130" s="3">
        <v>-0.11339208967967644</v>
      </c>
      <c r="I130" s="3">
        <v>7.6501936272258222E-2</v>
      </c>
      <c r="J130" s="3">
        <v>-1.4822120224007407</v>
      </c>
      <c r="K130" s="3">
        <v>0.18879835052730809</v>
      </c>
      <c r="L130" s="3">
        <v>-0.3005855841798023</v>
      </c>
      <c r="M130" s="3">
        <v>7.3801404820449432E-2</v>
      </c>
      <c r="N130" s="3">
        <v>-0.3005855841798023</v>
      </c>
      <c r="O130" s="3">
        <v>7.3801404820449432E-2</v>
      </c>
    </row>
    <row r="131" spans="7:15" x14ac:dyDescent="0.25">
      <c r="G131" s="3" t="s">
        <v>22</v>
      </c>
      <c r="H131" s="3">
        <v>1.3152734839597645E-3</v>
      </c>
      <c r="I131" s="3">
        <v>3.0684102177356682E-3</v>
      </c>
      <c r="J131" s="3">
        <v>0.42864981884018427</v>
      </c>
      <c r="K131" s="3">
        <v>0.68314014525155375</v>
      </c>
      <c r="L131" s="3">
        <v>-6.1928558419919594E-3</v>
      </c>
      <c r="M131" s="3">
        <v>8.8234028099114879E-3</v>
      </c>
      <c r="N131" s="3">
        <v>-6.1928558419919594E-3</v>
      </c>
      <c r="O131" s="3">
        <v>8.8234028099114879E-3</v>
      </c>
    </row>
    <row r="132" spans="7:15" ht="15.75" thickBot="1" x14ac:dyDescent="0.3">
      <c r="G132" s="4" t="s">
        <v>95</v>
      </c>
      <c r="H132" s="4">
        <v>-6.0385437396718769E-2</v>
      </c>
      <c r="I132" s="4">
        <v>3.8384079357928619E-2</v>
      </c>
      <c r="J132" s="4">
        <v>-1.573189676731052</v>
      </c>
      <c r="K132" s="4">
        <v>0.16673774515554574</v>
      </c>
      <c r="L132" s="4">
        <v>-0.15430789607292331</v>
      </c>
      <c r="M132" s="4">
        <v>3.3537021279485768E-2</v>
      </c>
      <c r="N132" s="4">
        <v>-0.15430789607292331</v>
      </c>
      <c r="O132" s="4">
        <v>3.3537021279485768E-2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topLeftCell="A103" workbookViewId="0">
      <selection activeCell="N111" sqref="N111:R111"/>
    </sheetView>
  </sheetViews>
  <sheetFormatPr defaultRowHeight="15" x14ac:dyDescent="0.25"/>
  <cols>
    <col min="1" max="1" width="12.7109375" customWidth="1"/>
    <col min="3" max="3" width="10.7109375" customWidth="1"/>
    <col min="15" max="15" width="14.28515625" customWidth="1"/>
    <col min="16" max="16" width="12.42578125" customWidth="1"/>
    <col min="17" max="17" width="10" customWidth="1"/>
    <col min="18" max="18" width="10.140625" customWidth="1"/>
  </cols>
  <sheetData>
    <row r="1" spans="1:18" x14ac:dyDescent="0.25">
      <c r="A1" t="s">
        <v>10</v>
      </c>
      <c r="C1" t="s">
        <v>1</v>
      </c>
    </row>
    <row r="2" spans="1:18" x14ac:dyDescent="0.25">
      <c r="A2" t="s">
        <v>21</v>
      </c>
      <c r="B2" t="s">
        <v>22</v>
      </c>
      <c r="C2" t="s">
        <v>52</v>
      </c>
      <c r="E2" t="s">
        <v>24</v>
      </c>
      <c r="P2" t="s">
        <v>21</v>
      </c>
      <c r="Q2" t="s">
        <v>22</v>
      </c>
      <c r="R2" t="s">
        <v>25</v>
      </c>
    </row>
    <row r="3" spans="1:18" ht="15.75" thickBot="1" x14ac:dyDescent="0.3">
      <c r="A3">
        <v>26.225000000000001</v>
      </c>
      <c r="B3">
        <v>195.58</v>
      </c>
      <c r="C3">
        <v>0.43099999999999999</v>
      </c>
      <c r="P3">
        <v>26.65</v>
      </c>
      <c r="Q3">
        <v>116.58</v>
      </c>
      <c r="R3">
        <f>F18+F19*P3+Q3*F20</f>
        <v>0.63310429701930393</v>
      </c>
    </row>
    <row r="4" spans="1:18" x14ac:dyDescent="0.25">
      <c r="A4">
        <v>26.6</v>
      </c>
      <c r="B4">
        <v>219</v>
      </c>
      <c r="C4">
        <v>0.39700000000000002</v>
      </c>
      <c r="E4" s="2" t="s">
        <v>27</v>
      </c>
      <c r="F4" s="2"/>
    </row>
    <row r="5" spans="1:18" x14ac:dyDescent="0.25">
      <c r="A5">
        <v>26.87</v>
      </c>
      <c r="B5">
        <v>159</v>
      </c>
      <c r="C5">
        <v>0.48799999999999999</v>
      </c>
      <c r="E5" s="3" t="s">
        <v>28</v>
      </c>
      <c r="F5" s="3">
        <v>0.86417971027970963</v>
      </c>
    </row>
    <row r="6" spans="1:18" x14ac:dyDescent="0.25">
      <c r="A6">
        <v>26.16</v>
      </c>
      <c r="B6">
        <v>190</v>
      </c>
      <c r="C6">
        <v>0.35499999999999998</v>
      </c>
      <c r="E6" s="3" t="s">
        <v>30</v>
      </c>
      <c r="F6" s="3">
        <v>0.74680657165912279</v>
      </c>
    </row>
    <row r="7" spans="1:18" x14ac:dyDescent="0.25">
      <c r="A7">
        <v>26.38</v>
      </c>
      <c r="B7">
        <v>198</v>
      </c>
      <c r="C7">
        <v>0.41</v>
      </c>
      <c r="E7" s="3" t="s">
        <v>31</v>
      </c>
      <c r="F7" s="3">
        <v>0.67446559213315782</v>
      </c>
      <c r="Q7" t="s">
        <v>54</v>
      </c>
    </row>
    <row r="8" spans="1:18" x14ac:dyDescent="0.25">
      <c r="A8">
        <v>27.07</v>
      </c>
      <c r="B8">
        <v>160</v>
      </c>
      <c r="C8">
        <v>0.53700000000000003</v>
      </c>
      <c r="E8" s="3" t="s">
        <v>32</v>
      </c>
      <c r="F8" s="3">
        <v>6.180297190281326E-2</v>
      </c>
      <c r="Q8">
        <v>21.3</v>
      </c>
    </row>
    <row r="9" spans="1:18" ht="15.75" thickBot="1" x14ac:dyDescent="0.3">
      <c r="A9">
        <v>27.12</v>
      </c>
      <c r="B9">
        <v>126</v>
      </c>
      <c r="C9">
        <v>0.60799999999999998</v>
      </c>
      <c r="E9" s="4" t="s">
        <v>33</v>
      </c>
      <c r="F9" s="4">
        <v>10</v>
      </c>
    </row>
    <row r="10" spans="1:18" x14ac:dyDescent="0.25">
      <c r="A10">
        <v>26.26</v>
      </c>
      <c r="B10">
        <v>148</v>
      </c>
      <c r="C10">
        <v>0.66800000000000004</v>
      </c>
    </row>
    <row r="11" spans="1:18" ht="15.75" thickBot="1" x14ac:dyDescent="0.3">
      <c r="A11">
        <v>26.55</v>
      </c>
      <c r="B11">
        <v>110</v>
      </c>
      <c r="C11">
        <v>0.59699999999999998</v>
      </c>
      <c r="E11" t="s">
        <v>34</v>
      </c>
    </row>
    <row r="12" spans="1:18" x14ac:dyDescent="0.25">
      <c r="A12">
        <v>26.57</v>
      </c>
      <c r="B12">
        <v>132</v>
      </c>
      <c r="C12">
        <v>0.60599999999999998</v>
      </c>
      <c r="E12" s="5"/>
      <c r="F12" s="5" t="s">
        <v>35</v>
      </c>
      <c r="G12" s="5" t="s">
        <v>36</v>
      </c>
      <c r="H12" s="5" t="s">
        <v>37</v>
      </c>
      <c r="I12" s="5" t="s">
        <v>38</v>
      </c>
      <c r="J12" s="5" t="s">
        <v>39</v>
      </c>
    </row>
    <row r="13" spans="1:18" x14ac:dyDescent="0.25">
      <c r="E13" s="3" t="s">
        <v>40</v>
      </c>
      <c r="F13" s="3">
        <v>2</v>
      </c>
      <c r="G13" s="3">
        <v>7.8862848647860542E-2</v>
      </c>
      <c r="H13" s="3">
        <v>3.9431424323930271E-2</v>
      </c>
      <c r="I13" s="3">
        <v>10.323423549871562</v>
      </c>
      <c r="J13" s="3">
        <v>8.1673939242000969E-3</v>
      </c>
    </row>
    <row r="14" spans="1:18" x14ac:dyDescent="0.25">
      <c r="E14" s="3" t="s">
        <v>41</v>
      </c>
      <c r="F14" s="3">
        <v>7</v>
      </c>
      <c r="G14" s="3">
        <v>2.6737251352139474E-2</v>
      </c>
      <c r="H14" s="3">
        <v>3.819607336019925E-3</v>
      </c>
      <c r="I14" s="3"/>
      <c r="J14" s="3"/>
    </row>
    <row r="15" spans="1:18" ht="15.75" thickBot="1" x14ac:dyDescent="0.3">
      <c r="E15" s="4" t="s">
        <v>42</v>
      </c>
      <c r="F15" s="4">
        <v>9</v>
      </c>
      <c r="G15" s="4">
        <v>0.10560010000000002</v>
      </c>
      <c r="H15" s="4"/>
      <c r="I15" s="4"/>
      <c r="J15" s="4"/>
    </row>
    <row r="16" spans="1:18" ht="15.75" thickBot="1" x14ac:dyDescent="0.3"/>
    <row r="17" spans="1:18" x14ac:dyDescent="0.25">
      <c r="E17" s="5"/>
      <c r="F17" s="5" t="s">
        <v>43</v>
      </c>
      <c r="G17" s="5" t="s">
        <v>32</v>
      </c>
      <c r="H17" s="5" t="s">
        <v>44</v>
      </c>
      <c r="I17" s="5" t="s">
        <v>45</v>
      </c>
      <c r="J17" s="5" t="s">
        <v>46</v>
      </c>
      <c r="K17" s="5" t="s">
        <v>47</v>
      </c>
      <c r="L17" s="5" t="s">
        <v>48</v>
      </c>
      <c r="M17" s="5" t="s">
        <v>49</v>
      </c>
    </row>
    <row r="18" spans="1:18" x14ac:dyDescent="0.25">
      <c r="E18" s="3" t="s">
        <v>50</v>
      </c>
      <c r="F18" s="3">
        <v>0.94868631550890381</v>
      </c>
      <c r="G18" s="3">
        <v>1.7866851778490769</v>
      </c>
      <c r="H18" s="3">
        <v>0.53097564544134834</v>
      </c>
      <c r="I18" s="3">
        <v>0.61185935081019549</v>
      </c>
      <c r="J18" s="3">
        <v>-3.2761527848447205</v>
      </c>
      <c r="K18" s="3">
        <v>5.1735254158625281</v>
      </c>
      <c r="L18" s="3">
        <v>-3.2761527848447205</v>
      </c>
      <c r="M18" s="3">
        <v>5.1735254158625281</v>
      </c>
    </row>
    <row r="19" spans="1:18" x14ac:dyDescent="0.25">
      <c r="E19" s="3" t="s">
        <v>21</v>
      </c>
      <c r="F19" s="3">
        <v>-3.9675762988369232E-4</v>
      </c>
      <c r="G19" s="3">
        <v>6.5555199388884031E-2</v>
      </c>
      <c r="H19" s="3">
        <v>-6.0522679144038903E-3</v>
      </c>
      <c r="I19" s="3">
        <v>0.99533988970415066</v>
      </c>
      <c r="J19" s="3">
        <v>-0.15541017188065687</v>
      </c>
      <c r="K19" s="3">
        <v>0.15461665662088947</v>
      </c>
      <c r="L19" s="3">
        <v>-0.15541017188065687</v>
      </c>
      <c r="M19" s="3">
        <v>0.15461665662088947</v>
      </c>
    </row>
    <row r="20" spans="1:18" ht="15.75" thickBot="1" x14ac:dyDescent="0.3">
      <c r="E20" s="4" t="s">
        <v>22</v>
      </c>
      <c r="F20" s="4">
        <v>-2.6163014895625282E-3</v>
      </c>
      <c r="G20" s="4">
        <v>6.290289696680633E-4</v>
      </c>
      <c r="H20" s="4">
        <v>-4.1592702653156701</v>
      </c>
      <c r="I20" s="4">
        <v>4.2456257238757287E-3</v>
      </c>
      <c r="J20" s="4">
        <v>-4.1037186457892946E-3</v>
      </c>
      <c r="K20" s="4">
        <v>-1.1288843333357621E-3</v>
      </c>
      <c r="L20" s="4">
        <v>-4.1037186457892946E-3</v>
      </c>
      <c r="M20" s="4">
        <v>-1.1288843333357621E-3</v>
      </c>
    </row>
    <row r="22" spans="1:18" x14ac:dyDescent="0.25">
      <c r="A22" t="s">
        <v>10</v>
      </c>
      <c r="C22" t="s">
        <v>51</v>
      </c>
    </row>
    <row r="23" spans="1:18" x14ac:dyDescent="0.25">
      <c r="A23" t="s">
        <v>21</v>
      </c>
      <c r="B23" t="s">
        <v>22</v>
      </c>
      <c r="C23" t="s">
        <v>52</v>
      </c>
      <c r="E23" t="s">
        <v>24</v>
      </c>
    </row>
    <row r="24" spans="1:18" ht="15.75" thickBot="1" x14ac:dyDescent="0.3">
      <c r="A24">
        <v>26.225000000000001</v>
      </c>
      <c r="B24">
        <v>195.58</v>
      </c>
      <c r="C24">
        <v>0.86399999999999999</v>
      </c>
      <c r="P24" t="s">
        <v>21</v>
      </c>
      <c r="Q24" t="s">
        <v>22</v>
      </c>
      <c r="R24" t="s">
        <v>25</v>
      </c>
    </row>
    <row r="25" spans="1:18" x14ac:dyDescent="0.25">
      <c r="A25">
        <v>26.6</v>
      </c>
      <c r="B25">
        <v>219</v>
      </c>
      <c r="C25">
        <v>0.65900000000000003</v>
      </c>
      <c r="E25" s="2" t="s">
        <v>27</v>
      </c>
      <c r="F25" s="2"/>
      <c r="P25">
        <v>26.65</v>
      </c>
      <c r="Q25">
        <v>116.58</v>
      </c>
      <c r="R25">
        <f>F39+F40*P25+Q25*F41</f>
        <v>0.59924239325913331</v>
      </c>
    </row>
    <row r="26" spans="1:18" x14ac:dyDescent="0.25">
      <c r="A26">
        <v>26.87</v>
      </c>
      <c r="B26">
        <v>159</v>
      </c>
      <c r="C26">
        <v>0.72099999999999997</v>
      </c>
      <c r="E26" s="3" t="s">
        <v>28</v>
      </c>
      <c r="F26" s="3">
        <v>0.32513139883332026</v>
      </c>
    </row>
    <row r="27" spans="1:18" x14ac:dyDescent="0.25">
      <c r="A27">
        <v>26.16</v>
      </c>
      <c r="B27">
        <v>190</v>
      </c>
      <c r="C27">
        <v>0.56699999999999995</v>
      </c>
      <c r="E27" s="3" t="s">
        <v>30</v>
      </c>
      <c r="F27" s="3">
        <v>0.10571042650731156</v>
      </c>
    </row>
    <row r="28" spans="1:18" x14ac:dyDescent="0.25">
      <c r="A28">
        <v>26.38</v>
      </c>
      <c r="B28">
        <v>198</v>
      </c>
      <c r="C28">
        <v>0.52900000000000003</v>
      </c>
      <c r="E28" s="3" t="s">
        <v>31</v>
      </c>
      <c r="F28" s="3">
        <v>-0.14980088020488513</v>
      </c>
    </row>
    <row r="29" spans="1:18" x14ac:dyDescent="0.25">
      <c r="A29">
        <v>27.07</v>
      </c>
      <c r="B29">
        <v>160</v>
      </c>
      <c r="C29">
        <v>0.72199999999999998</v>
      </c>
      <c r="E29" s="3" t="s">
        <v>32</v>
      </c>
      <c r="F29" s="3">
        <v>0.10890065606781826</v>
      </c>
      <c r="Q29" t="s">
        <v>54</v>
      </c>
    </row>
    <row r="30" spans="1:18" ht="15.75" thickBot="1" x14ac:dyDescent="0.3">
      <c r="A30">
        <v>27.12</v>
      </c>
      <c r="B30">
        <v>126</v>
      </c>
      <c r="C30">
        <v>0.57399999999999995</v>
      </c>
      <c r="E30" s="4" t="s">
        <v>33</v>
      </c>
      <c r="F30" s="4">
        <v>10</v>
      </c>
      <c r="Q30">
        <v>7.1</v>
      </c>
    </row>
    <row r="31" spans="1:18" x14ac:dyDescent="0.25">
      <c r="A31">
        <v>26.26</v>
      </c>
      <c r="B31">
        <v>148</v>
      </c>
      <c r="C31">
        <v>0.58199999999999996</v>
      </c>
    </row>
    <row r="32" spans="1:18" ht="15.75" thickBot="1" x14ac:dyDescent="0.3">
      <c r="A32">
        <v>26.55</v>
      </c>
      <c r="B32">
        <v>110</v>
      </c>
      <c r="C32">
        <v>0.60599999999999998</v>
      </c>
      <c r="E32" t="s">
        <v>34</v>
      </c>
    </row>
    <row r="33" spans="1:18" x14ac:dyDescent="0.25">
      <c r="A33">
        <v>26.57</v>
      </c>
      <c r="B33">
        <v>132</v>
      </c>
      <c r="C33">
        <v>0.59</v>
      </c>
      <c r="E33" s="5"/>
      <c r="F33" s="5" t="s">
        <v>35</v>
      </c>
      <c r="G33" s="5" t="s">
        <v>36</v>
      </c>
      <c r="H33" s="5" t="s">
        <v>37</v>
      </c>
      <c r="I33" s="5" t="s">
        <v>38</v>
      </c>
      <c r="J33" s="5" t="s">
        <v>39</v>
      </c>
    </row>
    <row r="34" spans="1:18" x14ac:dyDescent="0.25">
      <c r="E34" s="3" t="s">
        <v>40</v>
      </c>
      <c r="F34" s="3">
        <v>2</v>
      </c>
      <c r="G34" s="3">
        <v>9.8129297559913231E-3</v>
      </c>
      <c r="H34" s="3">
        <v>4.9064648779956616E-3</v>
      </c>
      <c r="I34" s="3">
        <v>0.41372112986914461</v>
      </c>
      <c r="J34" s="3">
        <v>0.67635325699015092</v>
      </c>
    </row>
    <row r="35" spans="1:18" x14ac:dyDescent="0.25">
      <c r="E35" s="3" t="s">
        <v>41</v>
      </c>
      <c r="F35" s="3">
        <v>7</v>
      </c>
      <c r="G35" s="3">
        <v>8.3015470244008696E-2</v>
      </c>
      <c r="H35" s="3">
        <v>1.1859352892001242E-2</v>
      </c>
      <c r="I35" s="3"/>
      <c r="J35" s="3"/>
    </row>
    <row r="36" spans="1:18" ht="15.75" thickBot="1" x14ac:dyDescent="0.3">
      <c r="E36" s="4" t="s">
        <v>42</v>
      </c>
      <c r="F36" s="4">
        <v>9</v>
      </c>
      <c r="G36" s="4">
        <v>9.2828400000000019E-2</v>
      </c>
      <c r="H36" s="4"/>
      <c r="I36" s="4"/>
      <c r="J36" s="4"/>
    </row>
    <row r="37" spans="1:18" ht="15.75" thickBot="1" x14ac:dyDescent="0.3"/>
    <row r="38" spans="1:18" x14ac:dyDescent="0.25">
      <c r="E38" s="5"/>
      <c r="F38" s="5" t="s">
        <v>43</v>
      </c>
      <c r="G38" s="5" t="s">
        <v>32</v>
      </c>
      <c r="H38" s="5" t="s">
        <v>44</v>
      </c>
      <c r="I38" s="5" t="s">
        <v>45</v>
      </c>
      <c r="J38" s="5" t="s">
        <v>46</v>
      </c>
      <c r="K38" s="5" t="s">
        <v>47</v>
      </c>
      <c r="L38" s="5" t="s">
        <v>48</v>
      </c>
      <c r="M38" s="5" t="s">
        <v>49</v>
      </c>
    </row>
    <row r="39" spans="1:18" x14ac:dyDescent="0.25">
      <c r="E39" s="3" t="s">
        <v>50</v>
      </c>
      <c r="F39" s="3">
        <v>-1.1679678035595931</v>
      </c>
      <c r="G39" s="3">
        <v>3.1482497048908775</v>
      </c>
      <c r="H39" s="3">
        <v>-0.37098956977431891</v>
      </c>
      <c r="I39" s="3">
        <v>0.72161826083643699</v>
      </c>
      <c r="J39" s="3">
        <v>-8.6123954037886001</v>
      </c>
      <c r="K39" s="3">
        <v>6.2764597966694131</v>
      </c>
      <c r="L39" s="3">
        <v>-8.6123954037886001</v>
      </c>
      <c r="M39" s="3">
        <v>6.2764597966694131</v>
      </c>
    </row>
    <row r="40" spans="1:18" x14ac:dyDescent="0.25">
      <c r="E40" s="3" t="s">
        <v>21</v>
      </c>
      <c r="F40" s="3">
        <v>6.2003284546205947E-2</v>
      </c>
      <c r="G40" s="3">
        <v>0.11551231279512539</v>
      </c>
      <c r="H40" s="3">
        <v>0.5367677526825736</v>
      </c>
      <c r="I40" s="3">
        <v>0.60805757347978973</v>
      </c>
      <c r="J40" s="3">
        <v>-0.21113993157239089</v>
      </c>
      <c r="K40" s="3">
        <v>0.33514650066480278</v>
      </c>
      <c r="L40" s="3">
        <v>-0.21113993157239089</v>
      </c>
      <c r="M40" s="3">
        <v>0.33514650066480278</v>
      </c>
    </row>
    <row r="41" spans="1:18" ht="15.75" thickBot="1" x14ac:dyDescent="0.3">
      <c r="E41" s="4" t="s">
        <v>22</v>
      </c>
      <c r="F41" s="4">
        <v>9.8492591921717199E-4</v>
      </c>
      <c r="G41" s="4">
        <v>1.1083879200863749E-3</v>
      </c>
      <c r="H41" s="4">
        <v>0.88861119953420131</v>
      </c>
      <c r="I41" s="4">
        <v>0.4037123275370097</v>
      </c>
      <c r="J41" s="4">
        <v>-1.6359950360783462E-3</v>
      </c>
      <c r="K41" s="4">
        <v>3.6058468745126899E-3</v>
      </c>
      <c r="L41" s="4">
        <v>-1.6359950360783462E-3</v>
      </c>
      <c r="M41" s="4">
        <v>3.6058468745126899E-3</v>
      </c>
    </row>
    <row r="43" spans="1:18" x14ac:dyDescent="0.25">
      <c r="A43" t="s">
        <v>10</v>
      </c>
      <c r="C43" t="s">
        <v>3</v>
      </c>
    </row>
    <row r="44" spans="1:18" x14ac:dyDescent="0.25">
      <c r="A44" t="s">
        <v>21</v>
      </c>
      <c r="B44" t="s">
        <v>22</v>
      </c>
      <c r="C44" t="s">
        <v>52</v>
      </c>
      <c r="E44" t="s">
        <v>24</v>
      </c>
    </row>
    <row r="45" spans="1:18" ht="15.75" thickBot="1" x14ac:dyDescent="0.3">
      <c r="A45">
        <v>26.225000000000001</v>
      </c>
      <c r="B45">
        <v>195.58</v>
      </c>
      <c r="C45">
        <v>1.4490000000000001</v>
      </c>
      <c r="P45" t="s">
        <v>21</v>
      </c>
      <c r="Q45" t="s">
        <v>22</v>
      </c>
      <c r="R45" t="s">
        <v>25</v>
      </c>
    </row>
    <row r="46" spans="1:18" x14ac:dyDescent="0.25">
      <c r="A46">
        <v>26.6</v>
      </c>
      <c r="B46">
        <v>219</v>
      </c>
      <c r="C46">
        <v>1.5429999999999999</v>
      </c>
      <c r="E46" s="2" t="s">
        <v>27</v>
      </c>
      <c r="F46" s="2"/>
      <c r="P46">
        <v>26.65</v>
      </c>
      <c r="Q46">
        <v>116.58</v>
      </c>
      <c r="R46">
        <f>F60+F61*P46+Q46*F62</f>
        <v>1.6834485568918622</v>
      </c>
    </row>
    <row r="47" spans="1:18" x14ac:dyDescent="0.25">
      <c r="A47">
        <v>26.87</v>
      </c>
      <c r="B47">
        <v>159</v>
      </c>
      <c r="C47">
        <v>1.4430000000000001</v>
      </c>
      <c r="E47" s="3" t="s">
        <v>28</v>
      </c>
      <c r="F47" s="3">
        <v>0.33246320074024405</v>
      </c>
    </row>
    <row r="48" spans="1:18" x14ac:dyDescent="0.25">
      <c r="A48">
        <v>26.16</v>
      </c>
      <c r="B48">
        <v>190</v>
      </c>
      <c r="C48">
        <v>1.532</v>
      </c>
      <c r="E48" s="3" t="s">
        <v>30</v>
      </c>
      <c r="F48" s="3">
        <v>0.1105317798464478</v>
      </c>
    </row>
    <row r="49" spans="1:17" x14ac:dyDescent="0.25">
      <c r="A49">
        <v>26.38</v>
      </c>
      <c r="B49">
        <v>198</v>
      </c>
      <c r="C49">
        <v>1.794</v>
      </c>
      <c r="E49" s="3" t="s">
        <v>31</v>
      </c>
      <c r="F49" s="3">
        <v>-0.1436019973402814</v>
      </c>
    </row>
    <row r="50" spans="1:17" x14ac:dyDescent="0.25">
      <c r="A50">
        <v>27.07</v>
      </c>
      <c r="B50">
        <v>160</v>
      </c>
      <c r="C50">
        <v>1.73</v>
      </c>
      <c r="E50" s="3" t="s">
        <v>32</v>
      </c>
      <c r="F50" s="3">
        <v>0.13994377601231672</v>
      </c>
      <c r="Q50" t="s">
        <v>54</v>
      </c>
    </row>
    <row r="51" spans="1:17" ht="15.75" thickBot="1" x14ac:dyDescent="0.3">
      <c r="A51">
        <v>27.12</v>
      </c>
      <c r="B51">
        <v>126</v>
      </c>
      <c r="C51">
        <v>1.6279999999999999</v>
      </c>
      <c r="E51" s="4" t="s">
        <v>33</v>
      </c>
      <c r="F51" s="4">
        <v>10</v>
      </c>
      <c r="Q51">
        <v>2.2999999999999998</v>
      </c>
    </row>
    <row r="52" spans="1:17" x14ac:dyDescent="0.25">
      <c r="A52">
        <v>26.26</v>
      </c>
      <c r="B52">
        <v>148</v>
      </c>
      <c r="C52">
        <v>1.7969999999999999</v>
      </c>
    </row>
    <row r="53" spans="1:17" ht="15.75" thickBot="1" x14ac:dyDescent="0.3">
      <c r="A53">
        <v>26.55</v>
      </c>
      <c r="B53">
        <v>110</v>
      </c>
      <c r="C53">
        <v>1.6990000000000001</v>
      </c>
      <c r="E53" t="s">
        <v>34</v>
      </c>
    </row>
    <row r="54" spans="1:17" x14ac:dyDescent="0.25">
      <c r="A54">
        <v>26.57</v>
      </c>
      <c r="B54">
        <v>132</v>
      </c>
      <c r="C54">
        <v>1.627</v>
      </c>
      <c r="E54" s="5"/>
      <c r="F54" s="5" t="s">
        <v>35</v>
      </c>
      <c r="G54" s="5" t="s">
        <v>36</v>
      </c>
      <c r="H54" s="5" t="s">
        <v>37</v>
      </c>
      <c r="I54" s="5" t="s">
        <v>38</v>
      </c>
      <c r="J54" s="5" t="s">
        <v>39</v>
      </c>
    </row>
    <row r="55" spans="1:17" x14ac:dyDescent="0.25">
      <c r="E55" s="3" t="s">
        <v>40</v>
      </c>
      <c r="F55" s="3">
        <v>2</v>
      </c>
      <c r="G55" s="3">
        <v>1.7035776887901671E-2</v>
      </c>
      <c r="H55" s="3">
        <v>8.5178884439508357E-3</v>
      </c>
      <c r="I55" s="3">
        <v>0.43493541500086647</v>
      </c>
      <c r="J55" s="3">
        <v>0.66367663010301747</v>
      </c>
    </row>
    <row r="56" spans="1:17" x14ac:dyDescent="0.25">
      <c r="E56" s="3" t="s">
        <v>41</v>
      </c>
      <c r="F56" s="3">
        <v>7</v>
      </c>
      <c r="G56" s="3">
        <v>0.1370898231120983</v>
      </c>
      <c r="H56" s="3">
        <v>1.9584260444585472E-2</v>
      </c>
      <c r="I56" s="3"/>
      <c r="J56" s="3"/>
    </row>
    <row r="57" spans="1:17" ht="15.75" thickBot="1" x14ac:dyDescent="0.3">
      <c r="E57" s="4" t="s">
        <v>42</v>
      </c>
      <c r="F57" s="4">
        <v>9</v>
      </c>
      <c r="G57" s="4">
        <v>0.15412559999999997</v>
      </c>
      <c r="H57" s="4"/>
      <c r="I57" s="4"/>
      <c r="J57" s="4"/>
    </row>
    <row r="58" spans="1:17" ht="15.75" thickBot="1" x14ac:dyDescent="0.3"/>
    <row r="59" spans="1:17" x14ac:dyDescent="0.25">
      <c r="E59" s="5"/>
      <c r="F59" s="5" t="s">
        <v>43</v>
      </c>
      <c r="G59" s="5" t="s">
        <v>32</v>
      </c>
      <c r="H59" s="5" t="s">
        <v>44</v>
      </c>
      <c r="I59" s="5" t="s">
        <v>45</v>
      </c>
      <c r="J59" s="5" t="s">
        <v>46</v>
      </c>
      <c r="K59" s="5" t="s">
        <v>47</v>
      </c>
      <c r="L59" s="5" t="s">
        <v>48</v>
      </c>
      <c r="M59" s="5" t="s">
        <v>49</v>
      </c>
    </row>
    <row r="60" spans="1:17" x14ac:dyDescent="0.25">
      <c r="E60" s="3" t="s">
        <v>50</v>
      </c>
      <c r="F60" s="3">
        <v>3.0959167310003881</v>
      </c>
      <c r="G60" s="3">
        <v>4.0456868437754832</v>
      </c>
      <c r="H60" s="3">
        <v>0.76523884584977953</v>
      </c>
      <c r="I60" s="3">
        <v>0.46913888076682186</v>
      </c>
      <c r="J60" s="3">
        <v>-6.4706124915377288</v>
      </c>
      <c r="K60" s="3">
        <v>12.662445953538505</v>
      </c>
      <c r="L60" s="3">
        <v>-6.4706124915377288</v>
      </c>
      <c r="M60" s="3">
        <v>12.662445953538505</v>
      </c>
    </row>
    <row r="61" spans="1:17" x14ac:dyDescent="0.25">
      <c r="E61" s="3" t="s">
        <v>21</v>
      </c>
      <c r="F61" s="3">
        <v>-4.7202793657962268E-2</v>
      </c>
      <c r="G61" s="3">
        <v>0.14844014546981921</v>
      </c>
      <c r="H61" s="3">
        <v>-0.3179921005100303</v>
      </c>
      <c r="I61" s="3">
        <v>0.75976736778236287</v>
      </c>
      <c r="J61" s="3">
        <v>-0.39820796145034149</v>
      </c>
      <c r="K61" s="3">
        <v>0.30380237413441696</v>
      </c>
      <c r="L61" s="3">
        <v>-0.39820796145034149</v>
      </c>
      <c r="M61" s="3">
        <v>0.30380237413441696</v>
      </c>
    </row>
    <row r="62" spans="1:17" ht="15.75" thickBot="1" x14ac:dyDescent="0.3">
      <c r="E62" s="4" t="s">
        <v>22</v>
      </c>
      <c r="F62" s="4">
        <v>-1.3253879149410833E-3</v>
      </c>
      <c r="G62" s="4">
        <v>1.4243439518557969E-3</v>
      </c>
      <c r="H62" s="4">
        <v>-0.93052518193672085</v>
      </c>
      <c r="I62" s="4">
        <v>0.38306884682376829</v>
      </c>
      <c r="J62" s="4">
        <v>-4.6934261651922901E-3</v>
      </c>
      <c r="K62" s="4">
        <v>2.0426503353101234E-3</v>
      </c>
      <c r="L62" s="4">
        <v>-4.6934261651922901E-3</v>
      </c>
      <c r="M62" s="4">
        <v>2.0426503353101234E-3</v>
      </c>
    </row>
    <row r="64" spans="1:17" x14ac:dyDescent="0.25">
      <c r="A64" t="s">
        <v>10</v>
      </c>
      <c r="C64" t="s">
        <v>53</v>
      </c>
    </row>
    <row r="65" spans="1:18" x14ac:dyDescent="0.25">
      <c r="A65" t="s">
        <v>21</v>
      </c>
      <c r="B65" t="s">
        <v>22</v>
      </c>
      <c r="C65" t="s">
        <v>52</v>
      </c>
      <c r="E65" t="s">
        <v>24</v>
      </c>
    </row>
    <row r="66" spans="1:18" ht="15.75" thickBot="1" x14ac:dyDescent="0.3">
      <c r="A66">
        <v>26.225000000000001</v>
      </c>
      <c r="B66">
        <v>195.58</v>
      </c>
      <c r="C66">
        <v>3.1</v>
      </c>
      <c r="P66" t="s">
        <v>21</v>
      </c>
      <c r="Q66" t="s">
        <v>22</v>
      </c>
      <c r="R66" t="s">
        <v>25</v>
      </c>
    </row>
    <row r="67" spans="1:18" x14ac:dyDescent="0.25">
      <c r="A67">
        <v>26.6</v>
      </c>
      <c r="B67">
        <v>219</v>
      </c>
      <c r="C67">
        <v>3.1</v>
      </c>
      <c r="E67" s="2" t="s">
        <v>27</v>
      </c>
      <c r="F67" s="2"/>
      <c r="P67">
        <v>26.65</v>
      </c>
      <c r="Q67">
        <v>116.58</v>
      </c>
      <c r="R67">
        <f>F81+F82*P67+Q67*F83</f>
        <v>4.1740455510639629</v>
      </c>
    </row>
    <row r="68" spans="1:18" x14ac:dyDescent="0.25">
      <c r="A68">
        <v>26.87</v>
      </c>
      <c r="B68">
        <v>159</v>
      </c>
      <c r="C68">
        <v>4.42</v>
      </c>
      <c r="E68" s="3" t="s">
        <v>28</v>
      </c>
      <c r="F68" s="3">
        <v>0.70629636042983734</v>
      </c>
    </row>
    <row r="69" spans="1:18" x14ac:dyDescent="0.25">
      <c r="A69">
        <v>26.16</v>
      </c>
      <c r="B69">
        <v>190</v>
      </c>
      <c r="C69">
        <v>3.9</v>
      </c>
      <c r="E69" s="3" t="s">
        <v>30</v>
      </c>
      <c r="F69" s="3">
        <v>0.49885454875643476</v>
      </c>
    </row>
    <row r="70" spans="1:18" x14ac:dyDescent="0.25">
      <c r="A70">
        <v>26.38</v>
      </c>
      <c r="B70">
        <v>198</v>
      </c>
      <c r="C70">
        <v>3.44</v>
      </c>
      <c r="E70" s="3" t="s">
        <v>31</v>
      </c>
      <c r="F70" s="3">
        <v>0.35567013411541609</v>
      </c>
    </row>
    <row r="71" spans="1:18" x14ac:dyDescent="0.25">
      <c r="A71">
        <v>27.07</v>
      </c>
      <c r="B71">
        <v>160</v>
      </c>
      <c r="C71">
        <v>4.0199999999999996</v>
      </c>
      <c r="E71" s="3" t="s">
        <v>32</v>
      </c>
      <c r="F71" s="3">
        <v>0.38199751393033293</v>
      </c>
      <c r="Q71" t="s">
        <v>54</v>
      </c>
    </row>
    <row r="72" spans="1:18" ht="15.75" thickBot="1" x14ac:dyDescent="0.3">
      <c r="A72">
        <v>27.12</v>
      </c>
      <c r="B72">
        <v>126</v>
      </c>
      <c r="C72">
        <v>4.37</v>
      </c>
      <c r="E72" s="4" t="s">
        <v>33</v>
      </c>
      <c r="F72" s="4">
        <v>10</v>
      </c>
      <c r="Q72">
        <v>9.1999999999999993</v>
      </c>
    </row>
    <row r="73" spans="1:18" x14ac:dyDescent="0.25">
      <c r="A73">
        <v>26.26</v>
      </c>
      <c r="B73">
        <v>148</v>
      </c>
      <c r="C73">
        <v>4.18</v>
      </c>
    </row>
    <row r="74" spans="1:18" ht="15.75" thickBot="1" x14ac:dyDescent="0.3">
      <c r="A74">
        <v>26.55</v>
      </c>
      <c r="B74">
        <v>110</v>
      </c>
      <c r="C74">
        <v>3.85</v>
      </c>
      <c r="E74" t="s">
        <v>34</v>
      </c>
    </row>
    <row r="75" spans="1:18" x14ac:dyDescent="0.25">
      <c r="A75">
        <v>26.57</v>
      </c>
      <c r="B75">
        <v>132</v>
      </c>
      <c r="C75">
        <v>3.68</v>
      </c>
      <c r="E75" s="5"/>
      <c r="F75" s="5" t="s">
        <v>35</v>
      </c>
      <c r="G75" s="5" t="s">
        <v>36</v>
      </c>
      <c r="H75" s="5" t="s">
        <v>37</v>
      </c>
      <c r="I75" s="5" t="s">
        <v>38</v>
      </c>
      <c r="J75" s="5" t="s">
        <v>39</v>
      </c>
    </row>
    <row r="76" spans="1:18" x14ac:dyDescent="0.25">
      <c r="E76" s="3" t="s">
        <v>40</v>
      </c>
      <c r="F76" s="3">
        <v>2</v>
      </c>
      <c r="G76" s="3">
        <v>1.0167852954573153</v>
      </c>
      <c r="H76" s="3">
        <v>0.50839264772865767</v>
      </c>
      <c r="I76" s="3">
        <v>3.4840003362595429</v>
      </c>
      <c r="J76" s="3">
        <v>8.9099091261533439E-2</v>
      </c>
    </row>
    <row r="77" spans="1:18" x14ac:dyDescent="0.25">
      <c r="E77" s="3" t="s">
        <v>41</v>
      </c>
      <c r="F77" s="3">
        <v>7</v>
      </c>
      <c r="G77" s="3">
        <v>1.0214547045426843</v>
      </c>
      <c r="H77" s="3">
        <v>0.14592210064895489</v>
      </c>
      <c r="I77" s="3"/>
      <c r="J77" s="3"/>
    </row>
    <row r="78" spans="1:18" ht="15.75" thickBot="1" x14ac:dyDescent="0.3">
      <c r="E78" s="4" t="s">
        <v>42</v>
      </c>
      <c r="F78" s="4">
        <v>9</v>
      </c>
      <c r="G78" s="4">
        <v>2.0382399999999996</v>
      </c>
      <c r="H78" s="4"/>
      <c r="I78" s="4"/>
      <c r="J78" s="4"/>
    </row>
    <row r="79" spans="1:18" ht="15.75" thickBot="1" x14ac:dyDescent="0.3"/>
    <row r="80" spans="1:18" x14ac:dyDescent="0.25">
      <c r="E80" s="5"/>
      <c r="F80" s="5" t="s">
        <v>43</v>
      </c>
      <c r="G80" s="5" t="s">
        <v>32</v>
      </c>
      <c r="H80" s="5" t="s">
        <v>44</v>
      </c>
      <c r="I80" s="5" t="s">
        <v>45</v>
      </c>
      <c r="J80" s="5" t="s">
        <v>46</v>
      </c>
      <c r="K80" s="5" t="s">
        <v>47</v>
      </c>
      <c r="L80" s="5" t="s">
        <v>48</v>
      </c>
      <c r="M80" s="5" t="s">
        <v>49</v>
      </c>
    </row>
    <row r="81" spans="1:18" x14ac:dyDescent="0.25">
      <c r="E81" s="3" t="s">
        <v>50</v>
      </c>
      <c r="F81" s="3">
        <v>-5.3971783042157018</v>
      </c>
      <c r="G81" s="3">
        <v>11.043308680815304</v>
      </c>
      <c r="H81" s="3">
        <v>-0.48872837482047449</v>
      </c>
      <c r="I81" s="3">
        <v>0.63997284032994806</v>
      </c>
      <c r="J81" s="3">
        <v>-31.510453821590705</v>
      </c>
      <c r="K81" s="3">
        <v>20.716097213159301</v>
      </c>
      <c r="L81" s="3">
        <v>-31.510453821590705</v>
      </c>
      <c r="M81" s="3">
        <v>20.716097213159301</v>
      </c>
    </row>
    <row r="82" spans="1:18" x14ac:dyDescent="0.25">
      <c r="E82" s="3" t="s">
        <v>21</v>
      </c>
      <c r="F82" s="3">
        <v>0.39075352338705505</v>
      </c>
      <c r="G82" s="3">
        <v>0.40518962795413854</v>
      </c>
      <c r="H82" s="3">
        <v>0.96437197901640892</v>
      </c>
      <c r="I82" s="3">
        <v>0.36698461902209289</v>
      </c>
      <c r="J82" s="3">
        <v>-0.56736769710643309</v>
      </c>
      <c r="K82" s="3">
        <v>1.3488747438805433</v>
      </c>
      <c r="L82" s="3">
        <v>-0.56736769710643309</v>
      </c>
      <c r="M82" s="3">
        <v>1.3488747438805433</v>
      </c>
    </row>
    <row r="83" spans="1:18" ht="15.75" thickBot="1" x14ac:dyDescent="0.3">
      <c r="E83" s="4" t="s">
        <v>22</v>
      </c>
      <c r="F83" s="4">
        <v>-7.2255750813634539E-3</v>
      </c>
      <c r="G83" s="4">
        <v>3.8879603230281092E-3</v>
      </c>
      <c r="H83" s="4">
        <v>-1.8584487703145767</v>
      </c>
      <c r="I83" s="4">
        <v>0.10545133820313853</v>
      </c>
      <c r="J83" s="4">
        <v>-1.6419140347924469E-2</v>
      </c>
      <c r="K83" s="4">
        <v>1.9679901851975619E-3</v>
      </c>
      <c r="L83" s="4">
        <v>-1.6419140347924469E-2</v>
      </c>
      <c r="M83" s="4">
        <v>1.9679901851975619E-3</v>
      </c>
    </row>
    <row r="85" spans="1:18" x14ac:dyDescent="0.25">
      <c r="A85" t="s">
        <v>10</v>
      </c>
      <c r="C85" t="s">
        <v>5</v>
      </c>
    </row>
    <row r="86" spans="1:18" x14ac:dyDescent="0.25">
      <c r="A86" t="s">
        <v>21</v>
      </c>
      <c r="B86" t="s">
        <v>22</v>
      </c>
      <c r="C86" t="s">
        <v>52</v>
      </c>
      <c r="E86" t="s">
        <v>24</v>
      </c>
    </row>
    <row r="87" spans="1:18" ht="15.75" thickBot="1" x14ac:dyDescent="0.3">
      <c r="A87">
        <v>26.225000000000001</v>
      </c>
      <c r="B87">
        <v>195.58</v>
      </c>
      <c r="C87">
        <v>5.3979999999999997</v>
      </c>
    </row>
    <row r="88" spans="1:18" x14ac:dyDescent="0.25">
      <c r="A88">
        <v>26.6</v>
      </c>
      <c r="B88">
        <v>219</v>
      </c>
      <c r="C88">
        <v>5.3979999999999997</v>
      </c>
      <c r="E88" s="2" t="s">
        <v>27</v>
      </c>
      <c r="F88" s="2"/>
      <c r="P88" t="s">
        <v>21</v>
      </c>
      <c r="Q88" t="s">
        <v>22</v>
      </c>
      <c r="R88" t="s">
        <v>25</v>
      </c>
    </row>
    <row r="89" spans="1:18" x14ac:dyDescent="0.25">
      <c r="A89">
        <v>26.87</v>
      </c>
      <c r="B89">
        <v>159</v>
      </c>
      <c r="C89">
        <v>6.5469999999999997</v>
      </c>
      <c r="E89" s="3" t="s">
        <v>28</v>
      </c>
      <c r="F89" s="3">
        <v>0.59046356372124065</v>
      </c>
      <c r="P89">
        <v>26.65</v>
      </c>
      <c r="Q89">
        <v>116.58</v>
      </c>
      <c r="R89">
        <f>F102+F103*P89+Q89*F104</f>
        <v>8.0327439890335963</v>
      </c>
    </row>
    <row r="90" spans="1:18" x14ac:dyDescent="0.25">
      <c r="A90">
        <v>26.16</v>
      </c>
      <c r="B90">
        <v>190</v>
      </c>
      <c r="C90">
        <v>8.0500000000000007</v>
      </c>
      <c r="E90" s="3" t="s">
        <v>30</v>
      </c>
      <c r="F90" s="3">
        <v>0.34864722008238763</v>
      </c>
    </row>
    <row r="91" spans="1:18" x14ac:dyDescent="0.25">
      <c r="A91">
        <v>26.38</v>
      </c>
      <c r="B91">
        <v>198</v>
      </c>
      <c r="C91">
        <v>8.5259999999999998</v>
      </c>
      <c r="E91" s="3" t="s">
        <v>31</v>
      </c>
      <c r="F91" s="3">
        <v>0.16254642582021267</v>
      </c>
    </row>
    <row r="92" spans="1:18" x14ac:dyDescent="0.25">
      <c r="A92">
        <v>27.07</v>
      </c>
      <c r="B92">
        <v>160</v>
      </c>
      <c r="C92">
        <v>6.6230000000000002</v>
      </c>
      <c r="E92" s="3" t="s">
        <v>32</v>
      </c>
      <c r="F92" s="3">
        <v>1.0255953493495598</v>
      </c>
    </row>
    <row r="93" spans="1:18" ht="15.75" thickBot="1" x14ac:dyDescent="0.3">
      <c r="A93">
        <v>27.12</v>
      </c>
      <c r="B93">
        <v>126</v>
      </c>
      <c r="C93">
        <v>7.7549999999999999</v>
      </c>
      <c r="E93" s="4" t="s">
        <v>33</v>
      </c>
      <c r="F93" s="4">
        <v>10</v>
      </c>
      <c r="Q93" t="s">
        <v>54</v>
      </c>
    </row>
    <row r="94" spans="1:18" x14ac:dyDescent="0.25">
      <c r="A94">
        <v>26.26</v>
      </c>
      <c r="B94">
        <v>148</v>
      </c>
      <c r="C94">
        <v>7.73</v>
      </c>
      <c r="Q94">
        <v>1.6</v>
      </c>
    </row>
    <row r="95" spans="1:18" ht="15.75" thickBot="1" x14ac:dyDescent="0.3">
      <c r="A95">
        <v>26.55</v>
      </c>
      <c r="B95">
        <v>110</v>
      </c>
      <c r="C95">
        <v>8.0190000000000001</v>
      </c>
      <c r="E95" t="s">
        <v>34</v>
      </c>
    </row>
    <row r="96" spans="1:18" x14ac:dyDescent="0.25">
      <c r="A96">
        <v>26.57</v>
      </c>
      <c r="B96">
        <v>132</v>
      </c>
      <c r="C96">
        <v>7.76</v>
      </c>
      <c r="E96" s="5"/>
      <c r="F96" s="5" t="s">
        <v>35</v>
      </c>
      <c r="G96" s="5" t="s">
        <v>36</v>
      </c>
      <c r="H96" s="5" t="s">
        <v>37</v>
      </c>
      <c r="I96" s="5" t="s">
        <v>38</v>
      </c>
      <c r="J96" s="5" t="s">
        <v>39</v>
      </c>
    </row>
    <row r="97" spans="1:18" x14ac:dyDescent="0.25">
      <c r="E97" s="3" t="s">
        <v>40</v>
      </c>
      <c r="F97" s="3">
        <v>2</v>
      </c>
      <c r="G97" s="3">
        <v>3.9411236557478819</v>
      </c>
      <c r="H97" s="3">
        <v>1.970561827873941</v>
      </c>
      <c r="I97" s="3">
        <v>1.8734321982055626</v>
      </c>
      <c r="J97" s="3">
        <v>0.22302674629200742</v>
      </c>
    </row>
    <row r="98" spans="1:18" x14ac:dyDescent="0.25">
      <c r="E98" s="3" t="s">
        <v>41</v>
      </c>
      <c r="F98" s="3">
        <v>7</v>
      </c>
      <c r="G98" s="3">
        <v>7.3629207442521203</v>
      </c>
      <c r="H98" s="3">
        <v>1.0518458206074457</v>
      </c>
      <c r="I98" s="3"/>
      <c r="J98" s="3"/>
    </row>
    <row r="99" spans="1:18" ht="15.75" thickBot="1" x14ac:dyDescent="0.3">
      <c r="E99" s="4" t="s">
        <v>42</v>
      </c>
      <c r="F99" s="4">
        <v>9</v>
      </c>
      <c r="G99" s="4">
        <v>11.304044400000002</v>
      </c>
      <c r="H99" s="4"/>
      <c r="I99" s="4"/>
      <c r="J99" s="4"/>
    </row>
    <row r="100" spans="1:18" ht="15.75" thickBot="1" x14ac:dyDescent="0.3"/>
    <row r="101" spans="1:18" x14ac:dyDescent="0.25">
      <c r="E101" s="5"/>
      <c r="F101" s="5" t="s">
        <v>43</v>
      </c>
      <c r="G101" s="5" t="s">
        <v>32</v>
      </c>
      <c r="H101" s="5" t="s">
        <v>44</v>
      </c>
      <c r="I101" s="5" t="s">
        <v>45</v>
      </c>
      <c r="J101" s="5" t="s">
        <v>46</v>
      </c>
      <c r="K101" s="5" t="s">
        <v>47</v>
      </c>
      <c r="L101" s="5" t="s">
        <v>48</v>
      </c>
      <c r="M101" s="5" t="s">
        <v>49</v>
      </c>
    </row>
    <row r="102" spans="1:18" x14ac:dyDescent="0.25">
      <c r="E102" s="3" t="s">
        <v>50</v>
      </c>
      <c r="F102" s="3">
        <v>42.393863898904314</v>
      </c>
      <c r="G102" s="3">
        <v>29.649318677349772</v>
      </c>
      <c r="H102" s="3">
        <v>1.4298427684036659</v>
      </c>
      <c r="I102" s="3">
        <v>0.19583921432569962</v>
      </c>
      <c r="J102" s="3">
        <v>-27.715634069681549</v>
      </c>
      <c r="K102" s="3">
        <v>112.50336186749017</v>
      </c>
      <c r="L102" s="3">
        <v>-27.715634069681549</v>
      </c>
      <c r="M102" s="3">
        <v>112.50336186749017</v>
      </c>
    </row>
    <row r="103" spans="1:18" x14ac:dyDescent="0.25">
      <c r="E103" s="3" t="s">
        <v>21</v>
      </c>
      <c r="F103" s="3">
        <v>-1.2025847693848382</v>
      </c>
      <c r="G103" s="3">
        <v>1.087862048521685</v>
      </c>
      <c r="H103" s="3">
        <v>-1.1054570485467821</v>
      </c>
      <c r="I103" s="3">
        <v>0.30550220506459169</v>
      </c>
      <c r="J103" s="3">
        <v>-3.7749697510066196</v>
      </c>
      <c r="K103" s="3">
        <v>1.369800212236943</v>
      </c>
      <c r="L103" s="3">
        <v>-3.7749697510066196</v>
      </c>
      <c r="M103" s="3">
        <v>1.369800212236943</v>
      </c>
    </row>
    <row r="104" spans="1:18" ht="15.75" thickBot="1" x14ac:dyDescent="0.3">
      <c r="E104" s="4" t="s">
        <v>22</v>
      </c>
      <c r="F104" s="4">
        <v>-1.9833897802065365E-2</v>
      </c>
      <c r="G104" s="4">
        <v>1.0438481613994115E-2</v>
      </c>
      <c r="H104" s="4">
        <v>-1.900074985568351</v>
      </c>
      <c r="I104" s="4">
        <v>9.9195080559183885E-2</v>
      </c>
      <c r="J104" s="4">
        <v>-4.4516984569604443E-2</v>
      </c>
      <c r="K104" s="4">
        <v>4.8491889654737105E-3</v>
      </c>
      <c r="L104" s="4">
        <v>-4.4516984569604443E-2</v>
      </c>
      <c r="M104" s="4">
        <v>4.8491889654737105E-3</v>
      </c>
    </row>
    <row r="106" spans="1:18" x14ac:dyDescent="0.25">
      <c r="A106" t="s">
        <v>10</v>
      </c>
      <c r="C106" t="s">
        <v>6</v>
      </c>
    </row>
    <row r="107" spans="1:18" x14ac:dyDescent="0.25">
      <c r="A107" t="s">
        <v>21</v>
      </c>
      <c r="B107" t="s">
        <v>22</v>
      </c>
      <c r="C107" t="s">
        <v>52</v>
      </c>
      <c r="E107" t="s">
        <v>24</v>
      </c>
    </row>
    <row r="108" spans="1:18" ht="15.75" thickBot="1" x14ac:dyDescent="0.3">
      <c r="A108">
        <v>26.225000000000001</v>
      </c>
      <c r="B108">
        <v>195.58</v>
      </c>
      <c r="C108">
        <v>0.70899999999999996</v>
      </c>
      <c r="P108" t="s">
        <v>21</v>
      </c>
      <c r="Q108" t="s">
        <v>22</v>
      </c>
      <c r="R108" t="s">
        <v>25</v>
      </c>
    </row>
    <row r="109" spans="1:18" x14ac:dyDescent="0.25">
      <c r="A109">
        <v>26.6</v>
      </c>
      <c r="B109">
        <v>219</v>
      </c>
      <c r="C109">
        <v>0.70899999999999996</v>
      </c>
      <c r="E109" s="2" t="s">
        <v>27</v>
      </c>
      <c r="F109" s="2"/>
      <c r="P109">
        <v>26.65</v>
      </c>
      <c r="Q109">
        <v>116.58</v>
      </c>
      <c r="R109">
        <f>F123+F124*P109+Q109*F125</f>
        <v>0.87848142779717286</v>
      </c>
    </row>
    <row r="110" spans="1:18" x14ac:dyDescent="0.25">
      <c r="A110">
        <v>26.87</v>
      </c>
      <c r="B110">
        <v>159</v>
      </c>
      <c r="C110">
        <v>0.59599999999999997</v>
      </c>
      <c r="E110" s="3" t="s">
        <v>28</v>
      </c>
      <c r="F110" s="3">
        <v>0.49585758131927943</v>
      </c>
    </row>
    <row r="111" spans="1:18" x14ac:dyDescent="0.25">
      <c r="A111">
        <v>26.16</v>
      </c>
      <c r="B111">
        <v>190</v>
      </c>
      <c r="C111">
        <v>0.56599999999999995</v>
      </c>
      <c r="E111" s="3" t="s">
        <v>30</v>
      </c>
      <c r="F111" s="3">
        <v>0.24587474095180581</v>
      </c>
      <c r="N111" t="s">
        <v>55</v>
      </c>
      <c r="O111" t="s">
        <v>58</v>
      </c>
      <c r="P111" t="s">
        <v>56</v>
      </c>
      <c r="Q111" t="s">
        <v>57</v>
      </c>
      <c r="R111" t="s">
        <v>54</v>
      </c>
    </row>
    <row r="112" spans="1:18" x14ac:dyDescent="0.25">
      <c r="A112">
        <v>26.38</v>
      </c>
      <c r="B112">
        <v>198</v>
      </c>
      <c r="C112">
        <v>0.59599999999999997</v>
      </c>
      <c r="E112" s="3" t="s">
        <v>31</v>
      </c>
      <c r="F112" s="3">
        <v>3.0410381223750328E-2</v>
      </c>
      <c r="N112">
        <v>0.95599999999999996</v>
      </c>
      <c r="O112">
        <v>0.878</v>
      </c>
      <c r="P112">
        <f>N112-O112</f>
        <v>7.7999999999999958E-2</v>
      </c>
      <c r="Q112">
        <f>P112/N112</f>
        <v>8.1589958158995779E-2</v>
      </c>
      <c r="R112">
        <f>Q112*100</f>
        <v>8.1589958158995781</v>
      </c>
    </row>
    <row r="113" spans="1:13" x14ac:dyDescent="0.25">
      <c r="A113">
        <v>27.07</v>
      </c>
      <c r="B113">
        <v>160</v>
      </c>
      <c r="C113">
        <v>0.82199999999999995</v>
      </c>
      <c r="E113" s="3" t="s">
        <v>32</v>
      </c>
      <c r="F113" s="3">
        <v>0.27114582670669291</v>
      </c>
    </row>
    <row r="114" spans="1:13" ht="15.75" thickBot="1" x14ac:dyDescent="0.3">
      <c r="A114">
        <v>27.12</v>
      </c>
      <c r="B114">
        <v>126</v>
      </c>
      <c r="C114">
        <v>0.45200000000000001</v>
      </c>
      <c r="E114" s="4" t="s">
        <v>33</v>
      </c>
      <c r="F114" s="4">
        <v>10</v>
      </c>
    </row>
    <row r="115" spans="1:13" x14ac:dyDescent="0.25">
      <c r="A115">
        <v>26.26</v>
      </c>
      <c r="B115">
        <v>148</v>
      </c>
      <c r="C115">
        <v>1.448</v>
      </c>
    </row>
    <row r="116" spans="1:13" ht="15.75" thickBot="1" x14ac:dyDescent="0.3">
      <c r="A116">
        <v>26.55</v>
      </c>
      <c r="B116">
        <v>110</v>
      </c>
      <c r="C116">
        <v>0.79</v>
      </c>
      <c r="E116" t="s">
        <v>34</v>
      </c>
    </row>
    <row r="117" spans="1:13" x14ac:dyDescent="0.25">
      <c r="A117">
        <v>26.57</v>
      </c>
      <c r="B117">
        <v>132</v>
      </c>
      <c r="C117">
        <v>0.874</v>
      </c>
      <c r="E117" s="5"/>
      <c r="F117" s="5" t="s">
        <v>35</v>
      </c>
      <c r="G117" s="5" t="s">
        <v>36</v>
      </c>
      <c r="H117" s="5" t="s">
        <v>37</v>
      </c>
      <c r="I117" s="5" t="s">
        <v>38</v>
      </c>
      <c r="J117" s="5" t="s">
        <v>39</v>
      </c>
    </row>
    <row r="118" spans="1:13" x14ac:dyDescent="0.25">
      <c r="E118" s="3" t="s">
        <v>40</v>
      </c>
      <c r="F118" s="3">
        <v>2</v>
      </c>
      <c r="G118" s="3">
        <v>0.16779318461680826</v>
      </c>
      <c r="H118" s="3">
        <v>8.3896592308404128E-2</v>
      </c>
      <c r="I118" s="3">
        <v>1.14113880022725</v>
      </c>
      <c r="J118" s="3">
        <v>0.37243647391174639</v>
      </c>
    </row>
    <row r="119" spans="1:13" x14ac:dyDescent="0.25">
      <c r="E119" s="3" t="s">
        <v>41</v>
      </c>
      <c r="F119" s="3">
        <v>7</v>
      </c>
      <c r="G119" s="3">
        <v>0.51464041538319172</v>
      </c>
      <c r="H119" s="3">
        <v>7.3520059340455954E-2</v>
      </c>
      <c r="I119" s="3"/>
      <c r="J119" s="3"/>
    </row>
    <row r="120" spans="1:13" ht="15.75" thickBot="1" x14ac:dyDescent="0.3">
      <c r="E120" s="4" t="s">
        <v>42</v>
      </c>
      <c r="F120" s="4">
        <v>9</v>
      </c>
      <c r="G120" s="4">
        <v>0.68243359999999997</v>
      </c>
      <c r="H120" s="4"/>
      <c r="I120" s="4"/>
      <c r="J120" s="4"/>
    </row>
    <row r="121" spans="1:13" ht="15.75" thickBot="1" x14ac:dyDescent="0.3"/>
    <row r="122" spans="1:13" x14ac:dyDescent="0.25">
      <c r="E122" s="5"/>
      <c r="F122" s="5" t="s">
        <v>43</v>
      </c>
      <c r="G122" s="5" t="s">
        <v>32</v>
      </c>
      <c r="H122" s="5" t="s">
        <v>44</v>
      </c>
      <c r="I122" s="5" t="s">
        <v>45</v>
      </c>
      <c r="J122" s="5" t="s">
        <v>46</v>
      </c>
      <c r="K122" s="5" t="s">
        <v>47</v>
      </c>
      <c r="L122" s="5" t="s">
        <v>48</v>
      </c>
      <c r="M122" s="5" t="s">
        <v>49</v>
      </c>
    </row>
    <row r="123" spans="1:13" x14ac:dyDescent="0.25">
      <c r="E123" s="3" t="s">
        <v>50</v>
      </c>
      <c r="F123" s="3">
        <v>11.685988067208864</v>
      </c>
      <c r="G123" s="3">
        <v>7.8386558881714627</v>
      </c>
      <c r="H123" s="3">
        <v>1.4908152920506472</v>
      </c>
      <c r="I123" s="3">
        <v>0.17963172416019868</v>
      </c>
      <c r="J123" s="3">
        <v>-6.8494877408080512</v>
      </c>
      <c r="K123" s="3">
        <v>30.22146387522578</v>
      </c>
      <c r="L123" s="3">
        <v>-6.8494877408080512</v>
      </c>
      <c r="M123" s="3">
        <v>30.22146387522578</v>
      </c>
    </row>
    <row r="124" spans="1:13" x14ac:dyDescent="0.25">
      <c r="E124" s="3" t="s">
        <v>21</v>
      </c>
      <c r="F124" s="3">
        <v>-0.39167262696013261</v>
      </c>
      <c r="G124" s="3">
        <v>0.28760783156468139</v>
      </c>
      <c r="H124" s="3">
        <v>-1.3618287959312667</v>
      </c>
      <c r="I124" s="3">
        <v>0.2154541165341276</v>
      </c>
      <c r="J124" s="3">
        <v>-1.0717570802409253</v>
      </c>
      <c r="K124" s="3">
        <v>0.28841182632066009</v>
      </c>
      <c r="L124" s="3">
        <v>-1.0717570802409253</v>
      </c>
      <c r="M124" s="3">
        <v>0.28841182632066009</v>
      </c>
    </row>
    <row r="125" spans="1:13" ht="15.75" thickBot="1" x14ac:dyDescent="0.3">
      <c r="E125" s="4" t="s">
        <v>22</v>
      </c>
      <c r="F125" s="4">
        <v>-3.1689065956781361E-3</v>
      </c>
      <c r="G125" s="4">
        <v>2.7597148608211595E-3</v>
      </c>
      <c r="H125" s="4">
        <v>-1.1482731932440371</v>
      </c>
      <c r="I125" s="4">
        <v>0.28857782754422878</v>
      </c>
      <c r="J125" s="4">
        <v>-9.6945952812810751E-3</v>
      </c>
      <c r="K125" s="4">
        <v>3.3567820899248028E-3</v>
      </c>
      <c r="L125" s="4">
        <v>-9.6945952812810751E-3</v>
      </c>
      <c r="M125" s="4">
        <v>3.3567820899248028E-3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4"/>
  <sheetViews>
    <sheetView workbookViewId="0">
      <selection activeCell="C84" sqref="C84"/>
    </sheetView>
  </sheetViews>
  <sheetFormatPr defaultRowHeight="15" x14ac:dyDescent="0.25"/>
  <cols>
    <col min="1" max="1" width="12" customWidth="1"/>
    <col min="3" max="3" width="10.5703125" customWidth="1"/>
    <col min="14" max="14" width="10.140625" customWidth="1"/>
    <col min="15" max="15" width="14.7109375" customWidth="1"/>
    <col min="16" max="16" width="13.28515625" customWidth="1"/>
  </cols>
  <sheetData>
    <row r="1" spans="1:18" x14ac:dyDescent="0.25">
      <c r="A1" t="s">
        <v>15</v>
      </c>
      <c r="C1" t="s">
        <v>1</v>
      </c>
    </row>
    <row r="2" spans="1:18" x14ac:dyDescent="0.25">
      <c r="A2" t="s">
        <v>21</v>
      </c>
      <c r="B2" t="s">
        <v>22</v>
      </c>
      <c r="C2" t="s">
        <v>52</v>
      </c>
      <c r="E2" t="s">
        <v>24</v>
      </c>
    </row>
    <row r="3" spans="1:18" ht="15.75" thickBot="1" x14ac:dyDescent="0.3">
      <c r="A3">
        <v>26.08</v>
      </c>
      <c r="B3">
        <v>166.75</v>
      </c>
      <c r="C3">
        <v>0.434</v>
      </c>
    </row>
    <row r="4" spans="1:18" x14ac:dyDescent="0.25">
      <c r="A4">
        <v>25.87</v>
      </c>
      <c r="B4">
        <v>137</v>
      </c>
      <c r="C4">
        <v>0.34300000000000003</v>
      </c>
      <c r="E4" s="2" t="s">
        <v>27</v>
      </c>
      <c r="F4" s="2"/>
      <c r="P4" t="s">
        <v>21</v>
      </c>
      <c r="Q4" t="s">
        <v>22</v>
      </c>
      <c r="R4" t="s">
        <v>25</v>
      </c>
    </row>
    <row r="5" spans="1:18" x14ac:dyDescent="0.25">
      <c r="A5">
        <v>26.6</v>
      </c>
      <c r="B5">
        <v>137</v>
      </c>
      <c r="C5">
        <v>0.371</v>
      </c>
      <c r="E5" s="3" t="s">
        <v>28</v>
      </c>
      <c r="F5" s="3">
        <v>0.49093927590494918</v>
      </c>
      <c r="P5">
        <v>26.13</v>
      </c>
      <c r="Q5">
        <v>129.33000000000001</v>
      </c>
      <c r="R5">
        <f>F18+F19*P5+Q5*F20</f>
        <v>0.34203247625290523</v>
      </c>
    </row>
    <row r="6" spans="1:18" x14ac:dyDescent="0.25">
      <c r="A6">
        <v>25.95</v>
      </c>
      <c r="B6">
        <v>170</v>
      </c>
      <c r="C6">
        <v>0.30199999999999999</v>
      </c>
      <c r="E6" s="3" t="s">
        <v>30</v>
      </c>
      <c r="F6" s="3">
        <v>0.24102137262607581</v>
      </c>
    </row>
    <row r="7" spans="1:18" x14ac:dyDescent="0.25">
      <c r="A7">
        <v>26.04</v>
      </c>
      <c r="B7">
        <v>120</v>
      </c>
      <c r="C7">
        <v>0.27900000000000003</v>
      </c>
      <c r="E7" s="3" t="s">
        <v>31</v>
      </c>
      <c r="F7" s="3">
        <v>2.4170336233526046E-2</v>
      </c>
      <c r="N7" t="s">
        <v>55</v>
      </c>
      <c r="O7" t="s">
        <v>58</v>
      </c>
      <c r="P7" t="s">
        <v>56</v>
      </c>
      <c r="Q7" t="s">
        <v>57</v>
      </c>
      <c r="R7" t="s">
        <v>54</v>
      </c>
    </row>
    <row r="8" spans="1:18" x14ac:dyDescent="0.25">
      <c r="A8">
        <v>25.85</v>
      </c>
      <c r="B8">
        <v>179</v>
      </c>
      <c r="C8">
        <v>0.39800000000000002</v>
      </c>
      <c r="E8" s="3" t="s">
        <v>32</v>
      </c>
      <c r="F8" s="3">
        <v>5.895138295051968E-2</v>
      </c>
      <c r="N8">
        <v>0.49399999999999999</v>
      </c>
      <c r="O8">
        <v>0.34200000000000003</v>
      </c>
      <c r="P8">
        <f>N8-O8</f>
        <v>0.15199999999999997</v>
      </c>
      <c r="Q8">
        <f>P8/N8</f>
        <v>0.30769230769230765</v>
      </c>
      <c r="R8">
        <f>Q8*100</f>
        <v>30.769230769230766</v>
      </c>
    </row>
    <row r="9" spans="1:18" ht="15.75" thickBot="1" x14ac:dyDescent="0.3">
      <c r="A9">
        <v>26.78</v>
      </c>
      <c r="B9">
        <v>162</v>
      </c>
      <c r="C9">
        <v>0.377</v>
      </c>
      <c r="E9" s="4" t="s">
        <v>33</v>
      </c>
      <c r="F9" s="4">
        <v>10</v>
      </c>
    </row>
    <row r="10" spans="1:18" x14ac:dyDescent="0.25">
      <c r="A10">
        <v>25.95</v>
      </c>
      <c r="B10">
        <v>125</v>
      </c>
      <c r="C10">
        <v>0.36299999999999999</v>
      </c>
    </row>
    <row r="11" spans="1:18" ht="15.75" thickBot="1" x14ac:dyDescent="0.3">
      <c r="A11">
        <v>26.22</v>
      </c>
      <c r="B11">
        <v>106</v>
      </c>
      <c r="C11">
        <v>0.28000000000000003</v>
      </c>
      <c r="E11" t="s">
        <v>34</v>
      </c>
    </row>
    <row r="12" spans="1:18" x14ac:dyDescent="0.25">
      <c r="A12">
        <v>26.19</v>
      </c>
      <c r="B12">
        <v>136</v>
      </c>
      <c r="C12">
        <v>0.45</v>
      </c>
      <c r="E12" s="5"/>
      <c r="F12" s="5" t="s">
        <v>35</v>
      </c>
      <c r="G12" s="5" t="s">
        <v>36</v>
      </c>
      <c r="H12" s="5" t="s">
        <v>37</v>
      </c>
      <c r="I12" s="5" t="s">
        <v>38</v>
      </c>
      <c r="J12" s="5" t="s">
        <v>39</v>
      </c>
    </row>
    <row r="13" spans="1:18" x14ac:dyDescent="0.25">
      <c r="E13" s="3" t="s">
        <v>40</v>
      </c>
      <c r="F13" s="3">
        <v>2</v>
      </c>
      <c r="G13" s="3">
        <v>7.7252411375482444E-3</v>
      </c>
      <c r="H13" s="3">
        <v>3.8626205687741222E-3</v>
      </c>
      <c r="I13" s="3">
        <v>1.1114605520712026</v>
      </c>
      <c r="J13" s="3">
        <v>0.3808933694532064</v>
      </c>
    </row>
    <row r="14" spans="1:18" x14ac:dyDescent="0.25">
      <c r="E14" s="3" t="s">
        <v>41</v>
      </c>
      <c r="F14" s="3">
        <v>7</v>
      </c>
      <c r="G14" s="3">
        <v>2.4326858862451756E-2</v>
      </c>
      <c r="H14" s="3">
        <v>3.4752655517788222E-3</v>
      </c>
      <c r="I14" s="3"/>
      <c r="J14" s="3"/>
    </row>
    <row r="15" spans="1:18" ht="15.75" thickBot="1" x14ac:dyDescent="0.3">
      <c r="E15" s="4" t="s">
        <v>42</v>
      </c>
      <c r="F15" s="4">
        <v>9</v>
      </c>
      <c r="G15" s="4">
        <v>3.20521E-2</v>
      </c>
      <c r="H15" s="4"/>
      <c r="I15" s="4"/>
      <c r="J15" s="4"/>
    </row>
    <row r="16" spans="1:18" ht="15.75" thickBot="1" x14ac:dyDescent="0.3"/>
    <row r="17" spans="1:18" x14ac:dyDescent="0.25">
      <c r="E17" s="5"/>
      <c r="F17" s="5" t="s">
        <v>43</v>
      </c>
      <c r="G17" s="5" t="s">
        <v>32</v>
      </c>
      <c r="H17" s="5" t="s">
        <v>44</v>
      </c>
      <c r="I17" s="5" t="s">
        <v>45</v>
      </c>
      <c r="J17" s="5" t="s">
        <v>46</v>
      </c>
      <c r="K17" s="5" t="s">
        <v>47</v>
      </c>
      <c r="L17" s="5" t="s">
        <v>48</v>
      </c>
      <c r="M17" s="5" t="s">
        <v>49</v>
      </c>
    </row>
    <row r="18" spans="1:18" x14ac:dyDescent="0.25">
      <c r="E18" s="3" t="s">
        <v>50</v>
      </c>
      <c r="F18" s="3">
        <v>-0.59036409638057585</v>
      </c>
      <c r="G18" s="3">
        <v>1.6647514114995443</v>
      </c>
      <c r="H18" s="3">
        <v>-0.35462597736967738</v>
      </c>
      <c r="I18" s="3">
        <v>0.73331304944567499</v>
      </c>
      <c r="J18" s="3">
        <v>-4.526875655814508</v>
      </c>
      <c r="K18" s="3">
        <v>3.3461474630533559</v>
      </c>
      <c r="L18" s="3">
        <v>-4.526875655814508</v>
      </c>
      <c r="M18" s="3">
        <v>3.3461474630533559</v>
      </c>
    </row>
    <row r="19" spans="1:18" x14ac:dyDescent="0.25">
      <c r="E19" s="3" t="s">
        <v>21</v>
      </c>
      <c r="F19" s="3">
        <v>2.9905007153382426E-2</v>
      </c>
      <c r="G19" s="3">
        <v>6.3251627829810489E-2</v>
      </c>
      <c r="H19" s="3">
        <v>0.47279426916643236</v>
      </c>
      <c r="I19" s="3">
        <v>0.65074672817663703</v>
      </c>
      <c r="J19" s="3">
        <v>-0.11966132592500831</v>
      </c>
      <c r="K19" s="3">
        <v>0.17947134023177316</v>
      </c>
      <c r="L19" s="3">
        <v>-0.11966132592500831</v>
      </c>
      <c r="M19" s="3">
        <v>0.17947134023177316</v>
      </c>
    </row>
    <row r="20" spans="1:18" ht="15.75" thickBot="1" x14ac:dyDescent="0.3">
      <c r="E20" s="4" t="s">
        <v>22</v>
      </c>
      <c r="F20" s="4">
        <v>1.1673914460341626E-3</v>
      </c>
      <c r="G20" s="4">
        <v>8.1207089565554595E-4</v>
      </c>
      <c r="H20" s="4">
        <v>1.4375486823620041</v>
      </c>
      <c r="I20" s="4">
        <v>0.19372059933478625</v>
      </c>
      <c r="J20" s="4">
        <v>-7.5285108732307555E-4</v>
      </c>
      <c r="K20" s="4">
        <v>3.0876339793914007E-3</v>
      </c>
      <c r="L20" s="4">
        <v>-7.5285108732307555E-4</v>
      </c>
      <c r="M20" s="4">
        <v>3.0876339793914007E-3</v>
      </c>
    </row>
    <row r="22" spans="1:18" x14ac:dyDescent="0.25">
      <c r="A22" t="s">
        <v>15</v>
      </c>
      <c r="C22" t="s">
        <v>51</v>
      </c>
    </row>
    <row r="23" spans="1:18" x14ac:dyDescent="0.25">
      <c r="A23" t="s">
        <v>21</v>
      </c>
      <c r="B23" t="s">
        <v>22</v>
      </c>
      <c r="C23" t="s">
        <v>52</v>
      </c>
      <c r="E23" t="s">
        <v>24</v>
      </c>
      <c r="P23" t="s">
        <v>21</v>
      </c>
      <c r="Q23" t="s">
        <v>22</v>
      </c>
      <c r="R23" t="s">
        <v>25</v>
      </c>
    </row>
    <row r="24" spans="1:18" ht="15.75" thickBot="1" x14ac:dyDescent="0.3">
      <c r="A24">
        <v>26.08</v>
      </c>
      <c r="B24">
        <v>166.75</v>
      </c>
      <c r="C24">
        <v>0.58299999999999996</v>
      </c>
      <c r="P24">
        <v>26.13</v>
      </c>
      <c r="Q24">
        <v>129.33000000000001</v>
      </c>
      <c r="R24">
        <f>F39+F40*P24+Q24*F41</f>
        <v>0.6704453047029858</v>
      </c>
    </row>
    <row r="25" spans="1:18" x14ac:dyDescent="0.25">
      <c r="A25">
        <v>25.87</v>
      </c>
      <c r="B25">
        <v>137</v>
      </c>
      <c r="C25">
        <v>0.44700000000000001</v>
      </c>
      <c r="E25" s="2" t="s">
        <v>27</v>
      </c>
      <c r="F25" s="2"/>
    </row>
    <row r="26" spans="1:18" x14ac:dyDescent="0.25">
      <c r="A26">
        <v>26.6</v>
      </c>
      <c r="B26">
        <v>137</v>
      </c>
      <c r="C26">
        <v>0.57199999999999995</v>
      </c>
      <c r="E26" s="3" t="s">
        <v>28</v>
      </c>
      <c r="F26" s="3">
        <v>0.23038352827764996</v>
      </c>
      <c r="N26" t="s">
        <v>55</v>
      </c>
      <c r="O26" t="s">
        <v>58</v>
      </c>
      <c r="P26" t="s">
        <v>56</v>
      </c>
      <c r="Q26" t="s">
        <v>57</v>
      </c>
      <c r="R26" t="s">
        <v>54</v>
      </c>
    </row>
    <row r="27" spans="1:18" x14ac:dyDescent="0.25">
      <c r="A27">
        <v>25.95</v>
      </c>
      <c r="B27">
        <v>170</v>
      </c>
      <c r="C27">
        <v>0.63500000000000001</v>
      </c>
      <c r="E27" s="3" t="s">
        <v>30</v>
      </c>
      <c r="F27" s="3">
        <v>5.307657010165874E-2</v>
      </c>
      <c r="N27">
        <v>0.82399999999999995</v>
      </c>
      <c r="O27">
        <v>0.67</v>
      </c>
      <c r="P27">
        <f>N27-O27</f>
        <v>0.15399999999999991</v>
      </c>
      <c r="Q27">
        <f>P27/N27</f>
        <v>0.18689320388349506</v>
      </c>
      <c r="R27">
        <f>Q27*100</f>
        <v>18.689320388349508</v>
      </c>
    </row>
    <row r="28" spans="1:18" x14ac:dyDescent="0.25">
      <c r="A28">
        <v>26.04</v>
      </c>
      <c r="B28">
        <v>120</v>
      </c>
      <c r="C28">
        <v>0.54400000000000004</v>
      </c>
      <c r="E28" s="3" t="s">
        <v>31</v>
      </c>
      <c r="F28" s="3">
        <v>-0.21747298129786732</v>
      </c>
    </row>
    <row r="29" spans="1:18" x14ac:dyDescent="0.25">
      <c r="A29">
        <v>25.85</v>
      </c>
      <c r="B29">
        <v>179</v>
      </c>
      <c r="C29">
        <v>0.75800000000000001</v>
      </c>
      <c r="E29" s="3" t="s">
        <v>32</v>
      </c>
      <c r="F29" s="3">
        <v>0.14478363508951353</v>
      </c>
    </row>
    <row r="30" spans="1:18" ht="15.75" thickBot="1" x14ac:dyDescent="0.3">
      <c r="A30">
        <v>26.78</v>
      </c>
      <c r="B30">
        <v>162</v>
      </c>
      <c r="C30">
        <v>0.78900000000000003</v>
      </c>
      <c r="E30" s="4" t="s">
        <v>33</v>
      </c>
      <c r="F30" s="4">
        <v>10</v>
      </c>
    </row>
    <row r="31" spans="1:18" x14ac:dyDescent="0.25">
      <c r="A31">
        <v>25.95</v>
      </c>
      <c r="B31">
        <v>125</v>
      </c>
      <c r="C31">
        <v>0.78800000000000003</v>
      </c>
    </row>
    <row r="32" spans="1:18" ht="15.75" thickBot="1" x14ac:dyDescent="0.3">
      <c r="A32">
        <v>26.22</v>
      </c>
      <c r="B32">
        <v>106</v>
      </c>
      <c r="C32">
        <v>0.79700000000000004</v>
      </c>
      <c r="E32" t="s">
        <v>34</v>
      </c>
    </row>
    <row r="33" spans="1:18" x14ac:dyDescent="0.25">
      <c r="A33">
        <v>26.19</v>
      </c>
      <c r="B33">
        <v>136</v>
      </c>
      <c r="C33">
        <v>0.80800000000000005</v>
      </c>
      <c r="E33" s="5"/>
      <c r="F33" s="5" t="s">
        <v>35</v>
      </c>
      <c r="G33" s="5" t="s">
        <v>36</v>
      </c>
      <c r="H33" s="5" t="s">
        <v>37</v>
      </c>
      <c r="I33" s="5" t="s">
        <v>38</v>
      </c>
      <c r="J33" s="5" t="s">
        <v>39</v>
      </c>
    </row>
    <row r="34" spans="1:18" x14ac:dyDescent="0.25">
      <c r="E34" s="3" t="s">
        <v>40</v>
      </c>
      <c r="F34" s="3">
        <v>2</v>
      </c>
      <c r="G34" s="3">
        <v>8.2247930718661322E-3</v>
      </c>
      <c r="H34" s="3">
        <v>4.1123965359330661E-3</v>
      </c>
      <c r="I34" s="3">
        <v>0.19618058809226957</v>
      </c>
      <c r="J34" s="3">
        <v>0.82623201442261562</v>
      </c>
    </row>
    <row r="35" spans="1:18" x14ac:dyDescent="0.25">
      <c r="E35" s="3" t="s">
        <v>41</v>
      </c>
      <c r="F35" s="3">
        <v>7</v>
      </c>
      <c r="G35" s="3">
        <v>0.14673610692813391</v>
      </c>
      <c r="H35" s="3">
        <v>2.0962300989733416E-2</v>
      </c>
      <c r="I35" s="3"/>
      <c r="J35" s="3"/>
    </row>
    <row r="36" spans="1:18" ht="15.75" thickBot="1" x14ac:dyDescent="0.3">
      <c r="E36" s="4" t="s">
        <v>42</v>
      </c>
      <c r="F36" s="4">
        <v>9</v>
      </c>
      <c r="G36" s="4">
        <v>0.15496090000000004</v>
      </c>
      <c r="H36" s="4"/>
      <c r="I36" s="4"/>
      <c r="J36" s="4"/>
    </row>
    <row r="37" spans="1:18" ht="15.75" thickBot="1" x14ac:dyDescent="0.3"/>
    <row r="38" spans="1:18" x14ac:dyDescent="0.25">
      <c r="E38" s="5"/>
      <c r="F38" s="5" t="s">
        <v>43</v>
      </c>
      <c r="G38" s="5" t="s">
        <v>32</v>
      </c>
      <c r="H38" s="5" t="s">
        <v>44</v>
      </c>
      <c r="I38" s="5" t="s">
        <v>45</v>
      </c>
      <c r="J38" s="5" t="s">
        <v>46</v>
      </c>
      <c r="K38" s="5" t="s">
        <v>47</v>
      </c>
      <c r="L38" s="5" t="s">
        <v>48</v>
      </c>
      <c r="M38" s="5" t="s">
        <v>49</v>
      </c>
    </row>
    <row r="39" spans="1:18" x14ac:dyDescent="0.25">
      <c r="E39" s="3" t="s">
        <v>50</v>
      </c>
      <c r="F39" s="3">
        <v>-1.8576767218163439</v>
      </c>
      <c r="G39" s="3">
        <v>4.0886023162443523</v>
      </c>
      <c r="H39" s="3">
        <v>-0.45435495509936047</v>
      </c>
      <c r="I39" s="3">
        <v>0.66332704580484358</v>
      </c>
      <c r="J39" s="3">
        <v>-11.525684911295297</v>
      </c>
      <c r="K39" s="3">
        <v>7.8103314676626088</v>
      </c>
      <c r="L39" s="3">
        <v>-11.525684911295297</v>
      </c>
      <c r="M39" s="3">
        <v>7.8103314676626088</v>
      </c>
    </row>
    <row r="40" spans="1:18" x14ac:dyDescent="0.25">
      <c r="E40" s="3" t="s">
        <v>21</v>
      </c>
      <c r="F40" s="3">
        <v>9.6947401724371732E-2</v>
      </c>
      <c r="G40" s="3">
        <v>0.15534496638044132</v>
      </c>
      <c r="H40" s="3">
        <v>0.62407816605364996</v>
      </c>
      <c r="I40" s="3">
        <v>0.55236340702068198</v>
      </c>
      <c r="J40" s="3">
        <v>-0.27038507304172649</v>
      </c>
      <c r="K40" s="3">
        <v>0.46427987649046998</v>
      </c>
      <c r="L40" s="3">
        <v>-0.27038507304172649</v>
      </c>
      <c r="M40" s="3">
        <v>0.46427987649046998</v>
      </c>
    </row>
    <row r="41" spans="1:18" ht="15.75" thickBot="1" x14ac:dyDescent="0.3">
      <c r="E41" s="4" t="s">
        <v>22</v>
      </c>
      <c r="F41" s="4">
        <v>-3.9539012901132821E-5</v>
      </c>
      <c r="G41" s="4">
        <v>1.9944328756815117E-3</v>
      </c>
      <c r="H41" s="4">
        <v>-1.9824689706652607E-2</v>
      </c>
      <c r="I41" s="4">
        <v>0.98473647052302515</v>
      </c>
      <c r="J41" s="4">
        <v>-4.7556233576282235E-3</v>
      </c>
      <c r="K41" s="4">
        <v>4.676545331825958E-3</v>
      </c>
      <c r="L41" s="4">
        <v>-4.7556233576282235E-3</v>
      </c>
      <c r="M41" s="4">
        <v>4.676545331825958E-3</v>
      </c>
    </row>
    <row r="43" spans="1:18" x14ac:dyDescent="0.25">
      <c r="A43" t="s">
        <v>15</v>
      </c>
      <c r="C43" t="s">
        <v>3</v>
      </c>
    </row>
    <row r="44" spans="1:18" x14ac:dyDescent="0.25">
      <c r="A44" t="s">
        <v>21</v>
      </c>
      <c r="B44" t="s">
        <v>22</v>
      </c>
      <c r="C44" t="s">
        <v>52</v>
      </c>
      <c r="E44" t="s">
        <v>24</v>
      </c>
    </row>
    <row r="45" spans="1:18" ht="15.75" thickBot="1" x14ac:dyDescent="0.3">
      <c r="A45">
        <v>26.08</v>
      </c>
      <c r="B45">
        <v>166.75</v>
      </c>
      <c r="C45">
        <v>1.5569999999999999</v>
      </c>
      <c r="P45" t="s">
        <v>21</v>
      </c>
      <c r="Q45" t="s">
        <v>22</v>
      </c>
      <c r="R45" t="s">
        <v>25</v>
      </c>
    </row>
    <row r="46" spans="1:18" x14ac:dyDescent="0.25">
      <c r="A46">
        <v>25.87</v>
      </c>
      <c r="B46">
        <v>137</v>
      </c>
      <c r="C46">
        <v>1.5669999999999999</v>
      </c>
      <c r="E46" s="2" t="s">
        <v>27</v>
      </c>
      <c r="F46" s="2"/>
      <c r="P46">
        <v>26.13</v>
      </c>
      <c r="Q46">
        <v>129.33000000000001</v>
      </c>
      <c r="R46">
        <f>F60+F61*P46+Q46*F62</f>
        <v>1.6905277093876929</v>
      </c>
    </row>
    <row r="47" spans="1:18" x14ac:dyDescent="0.25">
      <c r="A47">
        <v>26.6</v>
      </c>
      <c r="B47">
        <v>137</v>
      </c>
      <c r="C47">
        <v>1.59</v>
      </c>
      <c r="E47" s="3" t="s">
        <v>28</v>
      </c>
      <c r="F47" s="3">
        <v>0.55742081709576219</v>
      </c>
    </row>
    <row r="48" spans="1:18" x14ac:dyDescent="0.25">
      <c r="A48">
        <v>25.95</v>
      </c>
      <c r="B48">
        <v>170</v>
      </c>
      <c r="C48">
        <v>1.5329999999999999</v>
      </c>
      <c r="E48" s="3" t="s">
        <v>30</v>
      </c>
      <c r="F48" s="3">
        <v>0.31071796733170715</v>
      </c>
      <c r="N48" t="s">
        <v>55</v>
      </c>
      <c r="O48" t="s">
        <v>58</v>
      </c>
      <c r="P48" t="s">
        <v>56</v>
      </c>
      <c r="Q48" t="s">
        <v>57</v>
      </c>
      <c r="R48" t="s">
        <v>54</v>
      </c>
    </row>
    <row r="49" spans="1:18" x14ac:dyDescent="0.25">
      <c r="A49">
        <v>26.04</v>
      </c>
      <c r="B49">
        <v>120</v>
      </c>
      <c r="C49">
        <v>1.591</v>
      </c>
      <c r="E49" s="3" t="s">
        <v>31</v>
      </c>
      <c r="F49" s="3">
        <v>0.1137802437121949</v>
      </c>
      <c r="N49">
        <v>1.7470000000000001</v>
      </c>
      <c r="O49">
        <v>1.6910000000000001</v>
      </c>
      <c r="P49">
        <f>N49-O49</f>
        <v>5.600000000000005E-2</v>
      </c>
      <c r="Q49">
        <f>P49/N49</f>
        <v>3.205495134516316E-2</v>
      </c>
      <c r="R49">
        <f>Q49*100</f>
        <v>3.2054951345163158</v>
      </c>
    </row>
    <row r="50" spans="1:18" x14ac:dyDescent="0.25">
      <c r="A50">
        <v>25.85</v>
      </c>
      <c r="B50">
        <v>179</v>
      </c>
      <c r="C50">
        <v>1.6679999999999999</v>
      </c>
      <c r="E50" s="3" t="s">
        <v>32</v>
      </c>
      <c r="F50" s="3">
        <v>0.11663819183493068</v>
      </c>
    </row>
    <row r="51" spans="1:18" ht="15.75" thickBot="1" x14ac:dyDescent="0.3">
      <c r="A51">
        <v>26.78</v>
      </c>
      <c r="B51">
        <v>162</v>
      </c>
      <c r="C51">
        <v>1.5740000000000001</v>
      </c>
      <c r="E51" s="4" t="s">
        <v>33</v>
      </c>
      <c r="F51" s="4">
        <v>10</v>
      </c>
    </row>
    <row r="52" spans="1:18" x14ac:dyDescent="0.25">
      <c r="A52">
        <v>25.95</v>
      </c>
      <c r="B52">
        <v>125</v>
      </c>
      <c r="C52">
        <v>1.6779999999999999</v>
      </c>
    </row>
    <row r="53" spans="1:18" ht="15.75" thickBot="1" x14ac:dyDescent="0.3">
      <c r="A53">
        <v>26.22</v>
      </c>
      <c r="B53">
        <v>106</v>
      </c>
      <c r="C53">
        <v>1.903</v>
      </c>
      <c r="E53" t="s">
        <v>34</v>
      </c>
    </row>
    <row r="54" spans="1:18" x14ac:dyDescent="0.25">
      <c r="A54">
        <v>26.19</v>
      </c>
      <c r="B54">
        <v>136</v>
      </c>
      <c r="C54">
        <v>1.8260000000000001</v>
      </c>
      <c r="E54" s="5"/>
      <c r="F54" s="5" t="s">
        <v>35</v>
      </c>
      <c r="G54" s="5" t="s">
        <v>36</v>
      </c>
      <c r="H54" s="5" t="s">
        <v>37</v>
      </c>
      <c r="I54" s="5" t="s">
        <v>38</v>
      </c>
      <c r="J54" s="5" t="s">
        <v>39</v>
      </c>
    </row>
    <row r="55" spans="1:18" x14ac:dyDescent="0.25">
      <c r="E55" s="3" t="s">
        <v>40</v>
      </c>
      <c r="F55" s="3">
        <v>2</v>
      </c>
      <c r="G55" s="3">
        <v>4.2928825438345405E-2</v>
      </c>
      <c r="H55" s="3">
        <v>2.1464412719172703E-2</v>
      </c>
      <c r="I55" s="3">
        <v>1.5777473285515409</v>
      </c>
      <c r="J55" s="3">
        <v>0.27188756987662782</v>
      </c>
    </row>
    <row r="56" spans="1:18" x14ac:dyDescent="0.25">
      <c r="E56" s="3" t="s">
        <v>41</v>
      </c>
      <c r="F56" s="3">
        <v>7</v>
      </c>
      <c r="G56" s="3">
        <v>9.523127456165463E-2</v>
      </c>
      <c r="H56" s="3">
        <v>1.3604467794522091E-2</v>
      </c>
      <c r="I56" s="3"/>
      <c r="J56" s="3"/>
    </row>
    <row r="57" spans="1:18" ht="15.75" thickBot="1" x14ac:dyDescent="0.3">
      <c r="E57" s="4" t="s">
        <v>42</v>
      </c>
      <c r="F57" s="4">
        <v>9</v>
      </c>
      <c r="G57" s="4">
        <v>0.13816010000000004</v>
      </c>
      <c r="H57" s="4"/>
      <c r="I57" s="4"/>
      <c r="J57" s="4"/>
    </row>
    <row r="58" spans="1:18" ht="15.75" thickBot="1" x14ac:dyDescent="0.3"/>
    <row r="59" spans="1:18" x14ac:dyDescent="0.25">
      <c r="E59" s="5"/>
      <c r="F59" s="5" t="s">
        <v>43</v>
      </c>
      <c r="G59" s="5" t="s">
        <v>32</v>
      </c>
      <c r="H59" s="5" t="s">
        <v>44</v>
      </c>
      <c r="I59" s="5" t="s">
        <v>45</v>
      </c>
      <c r="J59" s="5" t="s">
        <v>46</v>
      </c>
      <c r="K59" s="5" t="s">
        <v>47</v>
      </c>
      <c r="L59" s="5" t="s">
        <v>48</v>
      </c>
      <c r="M59" s="5" t="s">
        <v>49</v>
      </c>
    </row>
    <row r="60" spans="1:18" x14ac:dyDescent="0.25">
      <c r="E60" s="3" t="s">
        <v>50</v>
      </c>
      <c r="F60" s="3">
        <v>2.4180666950951299</v>
      </c>
      <c r="G60" s="3">
        <v>3.2937920159554754</v>
      </c>
      <c r="H60" s="3">
        <v>0.7341285313042718</v>
      </c>
      <c r="I60" s="3">
        <v>0.48672703659419569</v>
      </c>
      <c r="J60" s="3">
        <v>-5.3705137834164338</v>
      </c>
      <c r="K60" s="3">
        <v>10.206647173606694</v>
      </c>
      <c r="L60" s="3">
        <v>-5.3705137834164338</v>
      </c>
      <c r="M60" s="3">
        <v>10.206647173606694</v>
      </c>
    </row>
    <row r="61" spans="1:18" x14ac:dyDescent="0.25">
      <c r="E61" s="3" t="s">
        <v>21</v>
      </c>
      <c r="F61" s="3">
        <v>-1.3716959329158077E-2</v>
      </c>
      <c r="G61" s="3">
        <v>0.1251464364606571</v>
      </c>
      <c r="H61" s="3">
        <v>-0.1096072706270813</v>
      </c>
      <c r="I61" s="3">
        <v>0.91579690537347391</v>
      </c>
      <c r="J61" s="3">
        <v>-0.30964125790391595</v>
      </c>
      <c r="K61" s="3">
        <v>0.28220733924559976</v>
      </c>
      <c r="L61" s="3">
        <v>-0.30964125790391595</v>
      </c>
      <c r="M61" s="3">
        <v>0.28220733924559976</v>
      </c>
    </row>
    <row r="62" spans="1:18" ht="15.75" thickBot="1" x14ac:dyDescent="0.3">
      <c r="E62" s="4" t="s">
        <v>22</v>
      </c>
      <c r="F62" s="4">
        <v>-2.8540542676605309E-3</v>
      </c>
      <c r="G62" s="4">
        <v>1.6067219490090107E-3</v>
      </c>
      <c r="H62" s="4">
        <v>-1.7763212044379217</v>
      </c>
      <c r="I62" s="4">
        <v>0.11893274480133058</v>
      </c>
      <c r="J62" s="4">
        <v>-6.6533479528197931E-3</v>
      </c>
      <c r="K62" s="4">
        <v>9.4523941749873118E-4</v>
      </c>
      <c r="L62" s="4">
        <v>-6.6533479528197931E-3</v>
      </c>
      <c r="M62" s="4">
        <v>9.4523941749873118E-4</v>
      </c>
    </row>
    <row r="63" spans="1:18" x14ac:dyDescent="0.25">
      <c r="A63" t="s">
        <v>15</v>
      </c>
      <c r="C63" t="s">
        <v>53</v>
      </c>
    </row>
    <row r="64" spans="1:18" x14ac:dyDescent="0.25">
      <c r="A64" t="s">
        <v>21</v>
      </c>
      <c r="B64" t="s">
        <v>22</v>
      </c>
      <c r="C64" t="s">
        <v>52</v>
      </c>
      <c r="E64" t="s">
        <v>24</v>
      </c>
    </row>
    <row r="65" spans="1:18" ht="15.75" thickBot="1" x14ac:dyDescent="0.3">
      <c r="A65">
        <v>26.08</v>
      </c>
      <c r="B65">
        <v>166.75</v>
      </c>
      <c r="C65">
        <v>5.22</v>
      </c>
      <c r="P65" t="s">
        <v>21</v>
      </c>
      <c r="Q65" t="s">
        <v>22</v>
      </c>
      <c r="R65" t="s">
        <v>25</v>
      </c>
    </row>
    <row r="66" spans="1:18" x14ac:dyDescent="0.25">
      <c r="A66">
        <v>25.87</v>
      </c>
      <c r="B66">
        <v>137</v>
      </c>
      <c r="C66">
        <v>5.22</v>
      </c>
      <c r="E66" s="2" t="s">
        <v>27</v>
      </c>
      <c r="F66" s="2"/>
      <c r="P66">
        <v>26.13</v>
      </c>
      <c r="Q66">
        <v>129.33000000000001</v>
      </c>
      <c r="R66">
        <f>F80+F81*P66+Q66*F82</f>
        <v>4.6891194890064369</v>
      </c>
    </row>
    <row r="67" spans="1:18" x14ac:dyDescent="0.25">
      <c r="A67">
        <v>26.6</v>
      </c>
      <c r="B67">
        <v>137</v>
      </c>
      <c r="C67">
        <v>5.4</v>
      </c>
      <c r="E67" s="3" t="s">
        <v>28</v>
      </c>
      <c r="F67" s="3">
        <v>0.50963809687214379</v>
      </c>
    </row>
    <row r="68" spans="1:18" x14ac:dyDescent="0.25">
      <c r="A68">
        <v>25.95</v>
      </c>
      <c r="B68">
        <v>170</v>
      </c>
      <c r="C68">
        <v>5.32</v>
      </c>
      <c r="E68" s="3" t="s">
        <v>30</v>
      </c>
      <c r="F68" s="3">
        <v>0.2597309897834606</v>
      </c>
      <c r="N68" t="s">
        <v>55</v>
      </c>
      <c r="O68" t="s">
        <v>58</v>
      </c>
      <c r="P68" t="s">
        <v>56</v>
      </c>
      <c r="Q68" t="s">
        <v>57</v>
      </c>
      <c r="R68" t="s">
        <v>54</v>
      </c>
    </row>
    <row r="69" spans="1:18" x14ac:dyDescent="0.25">
      <c r="A69">
        <v>26.04</v>
      </c>
      <c r="B69">
        <v>120</v>
      </c>
      <c r="C69">
        <v>3.86</v>
      </c>
      <c r="E69" s="3" t="s">
        <v>31</v>
      </c>
      <c r="F69" s="3">
        <v>4.8225558293020769E-2</v>
      </c>
      <c r="N69">
        <v>4.09</v>
      </c>
      <c r="O69">
        <v>4.6900000000000004</v>
      </c>
      <c r="P69">
        <f>O69-N69</f>
        <v>0.60000000000000053</v>
      </c>
      <c r="Q69">
        <f>P69/O69</f>
        <v>0.12793176972281461</v>
      </c>
      <c r="R69">
        <f>Q69*100</f>
        <v>12.793176972281461</v>
      </c>
    </row>
    <row r="70" spans="1:18" x14ac:dyDescent="0.25">
      <c r="A70">
        <v>25.85</v>
      </c>
      <c r="B70">
        <v>179</v>
      </c>
      <c r="C70">
        <v>4.3600000000000003</v>
      </c>
      <c r="E70" s="3" t="s">
        <v>32</v>
      </c>
      <c r="F70" s="3">
        <v>0.59501527029184476</v>
      </c>
    </row>
    <row r="71" spans="1:18" ht="15.75" thickBot="1" x14ac:dyDescent="0.3">
      <c r="A71">
        <v>26.78</v>
      </c>
      <c r="B71">
        <v>162</v>
      </c>
      <c r="C71">
        <v>5.13</v>
      </c>
      <c r="E71" s="4" t="s">
        <v>33</v>
      </c>
      <c r="F71" s="4">
        <v>10</v>
      </c>
    </row>
    <row r="72" spans="1:18" x14ac:dyDescent="0.25">
      <c r="A72">
        <v>25.95</v>
      </c>
      <c r="B72">
        <v>125</v>
      </c>
      <c r="C72">
        <v>4.8600000000000003</v>
      </c>
    </row>
    <row r="73" spans="1:18" ht="15.75" thickBot="1" x14ac:dyDescent="0.3">
      <c r="A73">
        <v>26.22</v>
      </c>
      <c r="B73">
        <v>106</v>
      </c>
      <c r="C73">
        <v>3.88</v>
      </c>
      <c r="E73" t="s">
        <v>34</v>
      </c>
    </row>
    <row r="74" spans="1:18" x14ac:dyDescent="0.25">
      <c r="A74">
        <v>26.19</v>
      </c>
      <c r="B74">
        <v>136</v>
      </c>
      <c r="C74">
        <v>5.41</v>
      </c>
      <c r="E74" s="5"/>
      <c r="F74" s="5" t="s">
        <v>35</v>
      </c>
      <c r="G74" s="5" t="s">
        <v>36</v>
      </c>
      <c r="H74" s="5" t="s">
        <v>37</v>
      </c>
      <c r="I74" s="5" t="s">
        <v>38</v>
      </c>
      <c r="J74" s="5" t="s">
        <v>39</v>
      </c>
    </row>
    <row r="75" spans="1:18" x14ac:dyDescent="0.25">
      <c r="E75" s="3" t="s">
        <v>40</v>
      </c>
      <c r="F75" s="3">
        <v>2</v>
      </c>
      <c r="G75" s="3">
        <v>0.86953779683666088</v>
      </c>
      <c r="H75" s="3">
        <v>0.43476889841833044</v>
      </c>
      <c r="I75" s="3">
        <v>1.228010968575058</v>
      </c>
      <c r="J75" s="3">
        <v>0.3490305899278825</v>
      </c>
    </row>
    <row r="76" spans="1:18" x14ac:dyDescent="0.25">
      <c r="E76" s="3" t="s">
        <v>41</v>
      </c>
      <c r="F76" s="3">
        <v>7</v>
      </c>
      <c r="G76" s="3">
        <v>2.4783022031633397</v>
      </c>
      <c r="H76" s="3">
        <v>0.35404317188047713</v>
      </c>
      <c r="I76" s="3"/>
      <c r="J76" s="3"/>
    </row>
    <row r="77" spans="1:18" ht="15.75" thickBot="1" x14ac:dyDescent="0.3">
      <c r="E77" s="4" t="s">
        <v>42</v>
      </c>
      <c r="F77" s="4">
        <v>9</v>
      </c>
      <c r="G77" s="4">
        <v>3.3478400000000006</v>
      </c>
      <c r="H77" s="4"/>
      <c r="I77" s="4"/>
      <c r="J77" s="4"/>
    </row>
    <row r="78" spans="1:18" ht="15.75" thickBot="1" x14ac:dyDescent="0.3"/>
    <row r="79" spans="1:18" x14ac:dyDescent="0.25">
      <c r="E79" s="5"/>
      <c r="F79" s="5" t="s">
        <v>43</v>
      </c>
      <c r="G79" s="5" t="s">
        <v>32</v>
      </c>
      <c r="H79" s="5" t="s">
        <v>44</v>
      </c>
      <c r="I79" s="5" t="s">
        <v>45</v>
      </c>
      <c r="J79" s="5" t="s">
        <v>46</v>
      </c>
      <c r="K79" s="5" t="s">
        <v>47</v>
      </c>
      <c r="L79" s="5" t="s">
        <v>48</v>
      </c>
      <c r="M79" s="5" t="s">
        <v>49</v>
      </c>
    </row>
    <row r="80" spans="1:18" x14ac:dyDescent="0.25">
      <c r="E80" s="3" t="s">
        <v>50</v>
      </c>
      <c r="F80" s="3">
        <v>-10.276308174284381</v>
      </c>
      <c r="G80" s="3">
        <v>16.802871476544375</v>
      </c>
      <c r="H80" s="3">
        <v>-0.61158047829083162</v>
      </c>
      <c r="I80" s="3">
        <v>0.56014507670689861</v>
      </c>
      <c r="J80" s="3">
        <v>-50.008785553305806</v>
      </c>
      <c r="K80" s="3">
        <v>29.456169204737044</v>
      </c>
      <c r="L80" s="3">
        <v>-50.008785553305806</v>
      </c>
      <c r="M80" s="3">
        <v>29.456169204737044</v>
      </c>
    </row>
    <row r="81" spans="1:18" x14ac:dyDescent="0.25">
      <c r="E81" s="3" t="s">
        <v>21</v>
      </c>
      <c r="F81" s="3">
        <v>0.51658256886837417</v>
      </c>
      <c r="G81" s="3">
        <v>0.63841902506584181</v>
      </c>
      <c r="H81" s="3">
        <v>0.80915910802485513</v>
      </c>
      <c r="I81" s="3">
        <v>0.44505181602925648</v>
      </c>
      <c r="J81" s="3">
        <v>-0.99303854006973657</v>
      </c>
      <c r="K81" s="3">
        <v>2.0262036778064849</v>
      </c>
      <c r="L81" s="3">
        <v>-0.99303854006973657</v>
      </c>
      <c r="M81" s="3">
        <v>2.0262036778064849</v>
      </c>
    </row>
    <row r="82" spans="1:18" ht="15.75" thickBot="1" x14ac:dyDescent="0.3">
      <c r="E82" s="4" t="s">
        <v>22</v>
      </c>
      <c r="F82" s="4">
        <v>1.1344043445141894E-2</v>
      </c>
      <c r="G82" s="4">
        <v>8.1964927587905839E-3</v>
      </c>
      <c r="H82" s="4">
        <v>1.3840118913026087</v>
      </c>
      <c r="I82" s="4">
        <v>0.20887311193253821</v>
      </c>
      <c r="J82" s="4">
        <v>-8.0375821050248097E-3</v>
      </c>
      <c r="K82" s="4">
        <v>3.0725668995308597E-2</v>
      </c>
      <c r="L82" s="4">
        <v>-8.0375821050248097E-3</v>
      </c>
      <c r="M82" s="4">
        <v>3.0725668995308597E-2</v>
      </c>
    </row>
    <row r="84" spans="1:18" x14ac:dyDescent="0.25">
      <c r="A84" t="s">
        <v>15</v>
      </c>
      <c r="C84" t="s">
        <v>5</v>
      </c>
    </row>
    <row r="85" spans="1:18" x14ac:dyDescent="0.25">
      <c r="A85" t="s">
        <v>21</v>
      </c>
      <c r="B85" t="s">
        <v>22</v>
      </c>
      <c r="C85" t="s">
        <v>52</v>
      </c>
      <c r="E85" t="s">
        <v>24</v>
      </c>
    </row>
    <row r="86" spans="1:18" ht="15.75" thickBot="1" x14ac:dyDescent="0.3">
      <c r="A86">
        <v>26.08</v>
      </c>
      <c r="B86">
        <v>166.75</v>
      </c>
      <c r="C86">
        <v>3.3559999999999999</v>
      </c>
      <c r="P86" t="s">
        <v>21</v>
      </c>
      <c r="Q86" t="s">
        <v>22</v>
      </c>
      <c r="R86" t="s">
        <v>25</v>
      </c>
    </row>
    <row r="87" spans="1:18" x14ac:dyDescent="0.25">
      <c r="A87">
        <v>25.87</v>
      </c>
      <c r="B87">
        <v>137</v>
      </c>
      <c r="C87">
        <v>3.3559999999999999</v>
      </c>
      <c r="E87" s="2" t="s">
        <v>27</v>
      </c>
      <c r="F87" s="2"/>
      <c r="P87">
        <v>26.13</v>
      </c>
      <c r="Q87">
        <v>129.33000000000001</v>
      </c>
      <c r="R87">
        <f>F101+F102*P87+Q87*F103</f>
        <v>5.923974942045735</v>
      </c>
    </row>
    <row r="88" spans="1:18" x14ac:dyDescent="0.25">
      <c r="A88">
        <v>26.6</v>
      </c>
      <c r="B88">
        <v>137</v>
      </c>
      <c r="C88">
        <v>6.9539999999999997</v>
      </c>
      <c r="E88" s="3" t="s">
        <v>28</v>
      </c>
      <c r="F88" s="3">
        <v>0.52883047784812987</v>
      </c>
    </row>
    <row r="89" spans="1:18" x14ac:dyDescent="0.25">
      <c r="A89">
        <v>25.95</v>
      </c>
      <c r="B89">
        <v>170</v>
      </c>
      <c r="C89">
        <v>7.1029999999999998</v>
      </c>
      <c r="E89" s="3" t="s">
        <v>30</v>
      </c>
      <c r="F89" s="3">
        <v>0.27966167430108135</v>
      </c>
      <c r="N89" t="s">
        <v>55</v>
      </c>
      <c r="O89" t="s">
        <v>58</v>
      </c>
      <c r="P89" t="s">
        <v>56</v>
      </c>
      <c r="Q89" t="s">
        <v>57</v>
      </c>
      <c r="R89" t="s">
        <v>54</v>
      </c>
    </row>
    <row r="90" spans="1:18" x14ac:dyDescent="0.25">
      <c r="A90">
        <v>26.04</v>
      </c>
      <c r="B90">
        <v>120</v>
      </c>
      <c r="C90">
        <v>7.3339999999999996</v>
      </c>
      <c r="E90" s="3" t="s">
        <v>31</v>
      </c>
      <c r="F90" s="3">
        <v>7.3850724101390305E-2</v>
      </c>
      <c r="N90">
        <v>7.4379999999999997</v>
      </c>
      <c r="O90">
        <v>5.9240000000000004</v>
      </c>
      <c r="P90">
        <f>N90-O90</f>
        <v>1.5139999999999993</v>
      </c>
      <c r="Q90">
        <f>P90/N90</f>
        <v>0.20354934122075818</v>
      </c>
      <c r="R90">
        <f>Q90*100</f>
        <v>20.354934122075818</v>
      </c>
    </row>
    <row r="91" spans="1:18" x14ac:dyDescent="0.25">
      <c r="A91">
        <v>25.85</v>
      </c>
      <c r="B91">
        <v>179</v>
      </c>
      <c r="C91">
        <v>4.8230000000000004</v>
      </c>
      <c r="E91" s="3" t="s">
        <v>32</v>
      </c>
      <c r="F91" s="3">
        <v>1.5727630486228272</v>
      </c>
    </row>
    <row r="92" spans="1:18" ht="15.75" thickBot="1" x14ac:dyDescent="0.3">
      <c r="A92">
        <v>26.78</v>
      </c>
      <c r="B92">
        <v>162</v>
      </c>
      <c r="C92">
        <v>6.9550000000000001</v>
      </c>
      <c r="E92" s="4" t="s">
        <v>33</v>
      </c>
      <c r="F92" s="4">
        <v>10</v>
      </c>
    </row>
    <row r="93" spans="1:18" x14ac:dyDescent="0.25">
      <c r="A93">
        <v>25.95</v>
      </c>
      <c r="B93">
        <v>125</v>
      </c>
      <c r="C93">
        <v>4.6230000000000002</v>
      </c>
    </row>
    <row r="94" spans="1:18" ht="15.75" thickBot="1" x14ac:dyDescent="0.3">
      <c r="A94">
        <v>26.22</v>
      </c>
      <c r="B94">
        <v>106</v>
      </c>
      <c r="C94">
        <v>6.194</v>
      </c>
      <c r="E94" t="s">
        <v>34</v>
      </c>
    </row>
    <row r="95" spans="1:18" x14ac:dyDescent="0.25">
      <c r="A95">
        <v>26.19</v>
      </c>
      <c r="B95">
        <v>136</v>
      </c>
      <c r="C95">
        <v>7.4980000000000002</v>
      </c>
      <c r="E95" s="5"/>
      <c r="F95" s="5" t="s">
        <v>35</v>
      </c>
      <c r="G95" s="5" t="s">
        <v>36</v>
      </c>
      <c r="H95" s="5" t="s">
        <v>37</v>
      </c>
      <c r="I95" s="5" t="s">
        <v>38</v>
      </c>
      <c r="J95" s="5" t="s">
        <v>39</v>
      </c>
    </row>
    <row r="96" spans="1:18" x14ac:dyDescent="0.25">
      <c r="E96" s="3" t="s">
        <v>40</v>
      </c>
      <c r="F96" s="3">
        <v>2</v>
      </c>
      <c r="G96" s="3">
        <v>6.7223491502064086</v>
      </c>
      <c r="H96" s="3">
        <v>3.3611745751032043</v>
      </c>
      <c r="I96" s="3">
        <v>1.3588279633796725</v>
      </c>
      <c r="J96" s="3">
        <v>0.31723261213040332</v>
      </c>
    </row>
    <row r="97" spans="1:18" x14ac:dyDescent="0.25">
      <c r="E97" s="3" t="s">
        <v>41</v>
      </c>
      <c r="F97" s="3">
        <v>7</v>
      </c>
      <c r="G97" s="3">
        <v>17.31508524979359</v>
      </c>
      <c r="H97" s="3">
        <v>2.4735836071133699</v>
      </c>
      <c r="I97" s="3"/>
      <c r="J97" s="3"/>
    </row>
    <row r="98" spans="1:18" ht="15.75" thickBot="1" x14ac:dyDescent="0.3">
      <c r="E98" s="4" t="s">
        <v>42</v>
      </c>
      <c r="F98" s="4">
        <v>9</v>
      </c>
      <c r="G98" s="4">
        <v>24.037434399999999</v>
      </c>
      <c r="H98" s="4"/>
      <c r="I98" s="4"/>
      <c r="J98" s="4"/>
    </row>
    <row r="99" spans="1:18" ht="15.75" thickBot="1" x14ac:dyDescent="0.3"/>
    <row r="100" spans="1:18" x14ac:dyDescent="0.25">
      <c r="E100" s="5"/>
      <c r="F100" s="5" t="s">
        <v>43</v>
      </c>
      <c r="G100" s="5" t="s">
        <v>32</v>
      </c>
      <c r="H100" s="5" t="s">
        <v>44</v>
      </c>
      <c r="I100" s="5" t="s">
        <v>45</v>
      </c>
      <c r="J100" s="5" t="s">
        <v>46</v>
      </c>
      <c r="K100" s="5" t="s">
        <v>47</v>
      </c>
      <c r="L100" s="5" t="s">
        <v>48</v>
      </c>
      <c r="M100" s="5" t="s">
        <v>49</v>
      </c>
    </row>
    <row r="101" spans="1:18" x14ac:dyDescent="0.25">
      <c r="E101" s="3" t="s">
        <v>50</v>
      </c>
      <c r="F101" s="3">
        <v>-60.25130698830759</v>
      </c>
      <c r="G101" s="3">
        <v>44.413877573436935</v>
      </c>
      <c r="H101" s="3">
        <v>-1.3565874064628554</v>
      </c>
      <c r="I101" s="3">
        <v>0.21703554062227626</v>
      </c>
      <c r="J101" s="3">
        <v>-165.27343897715068</v>
      </c>
      <c r="K101" s="3">
        <v>44.770825000535488</v>
      </c>
      <c r="L101" s="3">
        <v>-165.27343897715068</v>
      </c>
      <c r="M101" s="3">
        <v>44.770825000535488</v>
      </c>
    </row>
    <row r="102" spans="1:18" x14ac:dyDescent="0.25">
      <c r="E102" s="3" t="s">
        <v>21</v>
      </c>
      <c r="F102" s="3">
        <v>2.5883156997864765</v>
      </c>
      <c r="G102" s="3">
        <v>1.6874892163168882</v>
      </c>
      <c r="H102" s="3">
        <v>1.5338265126432813</v>
      </c>
      <c r="I102" s="3">
        <v>0.16894181463789493</v>
      </c>
      <c r="J102" s="3">
        <v>-1.401962224331899</v>
      </c>
      <c r="K102" s="3">
        <v>6.5785936239048519</v>
      </c>
      <c r="L102" s="3">
        <v>-1.401962224331899</v>
      </c>
      <c r="M102" s="3">
        <v>6.5785936239048519</v>
      </c>
    </row>
    <row r="103" spans="1:18" ht="15.75" thickBot="1" x14ac:dyDescent="0.3">
      <c r="E103" s="4" t="s">
        <v>22</v>
      </c>
      <c r="F103" s="4">
        <v>-1.1268903619170365E-2</v>
      </c>
      <c r="G103" s="4">
        <v>2.166522706721043E-2</v>
      </c>
      <c r="H103" s="4">
        <v>-0.52013780350474426</v>
      </c>
      <c r="I103" s="4">
        <v>0.61900750210272482</v>
      </c>
      <c r="J103" s="4">
        <v>-6.2499024944619744E-2</v>
      </c>
      <c r="K103" s="4">
        <v>3.9961217706279015E-2</v>
      </c>
      <c r="L103" s="4">
        <v>-6.2499024944619744E-2</v>
      </c>
      <c r="M103" s="4">
        <v>3.9961217706279015E-2</v>
      </c>
    </row>
    <row r="105" spans="1:18" x14ac:dyDescent="0.25">
      <c r="A105" t="s">
        <v>15</v>
      </c>
      <c r="C105" t="s">
        <v>6</v>
      </c>
    </row>
    <row r="106" spans="1:18" x14ac:dyDescent="0.25">
      <c r="A106" t="s">
        <v>21</v>
      </c>
      <c r="B106" t="s">
        <v>22</v>
      </c>
      <c r="C106" t="s">
        <v>52</v>
      </c>
      <c r="E106" t="s">
        <v>24</v>
      </c>
    </row>
    <row r="107" spans="1:18" ht="15.75" thickBot="1" x14ac:dyDescent="0.3">
      <c r="A107">
        <v>26.08</v>
      </c>
      <c r="B107">
        <v>166.75</v>
      </c>
      <c r="C107">
        <v>0.81100000000000005</v>
      </c>
      <c r="P107" t="s">
        <v>21</v>
      </c>
      <c r="Q107" t="s">
        <v>22</v>
      </c>
      <c r="R107" t="s">
        <v>25</v>
      </c>
    </row>
    <row r="108" spans="1:18" x14ac:dyDescent="0.25">
      <c r="A108">
        <v>25.87</v>
      </c>
      <c r="B108">
        <v>137</v>
      </c>
      <c r="C108">
        <v>0.59599999999999997</v>
      </c>
      <c r="E108" s="2" t="s">
        <v>27</v>
      </c>
      <c r="F108" s="2"/>
      <c r="P108">
        <v>26.13</v>
      </c>
      <c r="Q108">
        <v>129.33000000000001</v>
      </c>
      <c r="R108">
        <f>F122+F123*P108+Q108*F124</f>
        <v>0.89823235021331982</v>
      </c>
    </row>
    <row r="109" spans="1:18" x14ac:dyDescent="0.25">
      <c r="A109">
        <v>26.6</v>
      </c>
      <c r="B109">
        <v>137</v>
      </c>
      <c r="C109">
        <v>0.56299999999999994</v>
      </c>
      <c r="E109" s="3" t="s">
        <v>28</v>
      </c>
      <c r="F109" s="3">
        <v>0.41945209975708408</v>
      </c>
    </row>
    <row r="110" spans="1:18" x14ac:dyDescent="0.25">
      <c r="A110">
        <v>25.95</v>
      </c>
      <c r="B110">
        <v>170</v>
      </c>
      <c r="C110">
        <v>0.67800000000000005</v>
      </c>
      <c r="E110" s="3" t="s">
        <v>30</v>
      </c>
      <c r="F110" s="3">
        <v>0.17594006399062684</v>
      </c>
      <c r="N110" t="s">
        <v>55</v>
      </c>
      <c r="O110" t="s">
        <v>58</v>
      </c>
      <c r="P110" t="s">
        <v>56</v>
      </c>
      <c r="Q110" t="s">
        <v>57</v>
      </c>
      <c r="R110" t="s">
        <v>54</v>
      </c>
    </row>
    <row r="111" spans="1:18" x14ac:dyDescent="0.25">
      <c r="A111">
        <v>26.04</v>
      </c>
      <c r="B111">
        <v>120</v>
      </c>
      <c r="C111">
        <v>0.83199999999999996</v>
      </c>
      <c r="E111" s="3" t="s">
        <v>31</v>
      </c>
      <c r="F111" s="3">
        <v>-5.950563201205121E-2</v>
      </c>
      <c r="N111">
        <v>1.286</v>
      </c>
      <c r="O111">
        <v>0.89800000000000002</v>
      </c>
      <c r="P111">
        <f>N111-O111</f>
        <v>0.38800000000000001</v>
      </c>
      <c r="Q111">
        <f>P111/N111</f>
        <v>0.30171073094867806</v>
      </c>
      <c r="R111">
        <f>Q111*100</f>
        <v>30.171073094867808</v>
      </c>
    </row>
    <row r="112" spans="1:18" x14ac:dyDescent="0.25">
      <c r="A112">
        <v>25.85</v>
      </c>
      <c r="B112">
        <v>179</v>
      </c>
      <c r="C112">
        <v>0.76800000000000002</v>
      </c>
      <c r="E112" s="3" t="s">
        <v>32</v>
      </c>
      <c r="F112" s="3">
        <v>0.24207754757808861</v>
      </c>
    </row>
    <row r="113" spans="1:13" ht="15.75" thickBot="1" x14ac:dyDescent="0.3">
      <c r="A113">
        <v>26.78</v>
      </c>
      <c r="B113">
        <v>162</v>
      </c>
      <c r="C113">
        <v>1.1719999999999999</v>
      </c>
      <c r="E113" s="4" t="s">
        <v>33</v>
      </c>
      <c r="F113" s="4">
        <v>10</v>
      </c>
    </row>
    <row r="114" spans="1:13" x14ac:dyDescent="0.25">
      <c r="A114">
        <v>25.95</v>
      </c>
      <c r="B114">
        <v>125</v>
      </c>
      <c r="C114">
        <v>0.93700000000000006</v>
      </c>
    </row>
    <row r="115" spans="1:13" ht="15.75" thickBot="1" x14ac:dyDescent="0.3">
      <c r="A115">
        <v>26.22</v>
      </c>
      <c r="B115">
        <v>106</v>
      </c>
      <c r="C115">
        <v>1.1339999999999999</v>
      </c>
      <c r="E115" t="s">
        <v>34</v>
      </c>
    </row>
    <row r="116" spans="1:13" x14ac:dyDescent="0.25">
      <c r="A116">
        <v>26.19</v>
      </c>
      <c r="B116">
        <v>136</v>
      </c>
      <c r="C116">
        <v>1.2030000000000001</v>
      </c>
      <c r="E116" s="5"/>
      <c r="F116" s="5" t="s">
        <v>35</v>
      </c>
      <c r="G116" s="5" t="s">
        <v>36</v>
      </c>
      <c r="H116" s="5" t="s">
        <v>37</v>
      </c>
      <c r="I116" s="5" t="s">
        <v>38</v>
      </c>
      <c r="J116" s="5" t="s">
        <v>39</v>
      </c>
    </row>
    <row r="117" spans="1:13" x14ac:dyDescent="0.25">
      <c r="E117" s="3" t="s">
        <v>40</v>
      </c>
      <c r="F117" s="3">
        <v>2</v>
      </c>
      <c r="G117" s="3">
        <v>8.7581626710047711E-2</v>
      </c>
      <c r="H117" s="3">
        <v>4.3790813355023855E-2</v>
      </c>
      <c r="I117" s="3">
        <v>0.74726387858296472</v>
      </c>
      <c r="J117" s="3">
        <v>0.50799074575619685</v>
      </c>
    </row>
    <row r="118" spans="1:13" x14ac:dyDescent="0.25">
      <c r="E118" s="3" t="s">
        <v>41</v>
      </c>
      <c r="F118" s="3">
        <v>7</v>
      </c>
      <c r="G118" s="3">
        <v>0.41021077328995231</v>
      </c>
      <c r="H118" s="3">
        <v>5.8601539041421756E-2</v>
      </c>
      <c r="I118" s="3"/>
      <c r="J118" s="3"/>
    </row>
    <row r="119" spans="1:13" ht="15.75" thickBot="1" x14ac:dyDescent="0.3">
      <c r="E119" s="4" t="s">
        <v>42</v>
      </c>
      <c r="F119" s="4">
        <v>9</v>
      </c>
      <c r="G119" s="4">
        <v>0.49779240000000002</v>
      </c>
      <c r="H119" s="4"/>
      <c r="I119" s="4"/>
      <c r="J119" s="4"/>
    </row>
    <row r="120" spans="1:13" ht="15.75" thickBot="1" x14ac:dyDescent="0.3"/>
    <row r="121" spans="1:13" x14ac:dyDescent="0.25">
      <c r="E121" s="5"/>
      <c r="F121" s="5" t="s">
        <v>43</v>
      </c>
      <c r="G121" s="5" t="s">
        <v>32</v>
      </c>
      <c r="H121" s="5" t="s">
        <v>44</v>
      </c>
      <c r="I121" s="5" t="s">
        <v>45</v>
      </c>
      <c r="J121" s="5" t="s">
        <v>46</v>
      </c>
      <c r="K121" s="5" t="s">
        <v>47</v>
      </c>
      <c r="L121" s="5" t="s">
        <v>48</v>
      </c>
      <c r="M121" s="5" t="s">
        <v>49</v>
      </c>
    </row>
    <row r="122" spans="1:13" x14ac:dyDescent="0.25">
      <c r="E122" s="3" t="s">
        <v>50</v>
      </c>
      <c r="F122" s="3">
        <v>-5.2679119685559392</v>
      </c>
      <c r="G122" s="3">
        <v>6.8361235793437567</v>
      </c>
      <c r="H122" s="3">
        <v>-0.77059928882409701</v>
      </c>
      <c r="I122" s="3">
        <v>0.46615229197935659</v>
      </c>
      <c r="J122" s="3">
        <v>-21.43277556675865</v>
      </c>
      <c r="K122" s="3">
        <v>10.89695162964677</v>
      </c>
      <c r="L122" s="3">
        <v>-21.43277556675865</v>
      </c>
      <c r="M122" s="3">
        <v>10.89695162964677</v>
      </c>
    </row>
    <row r="123" spans="1:13" x14ac:dyDescent="0.25">
      <c r="E123" s="3" t="s">
        <v>21</v>
      </c>
      <c r="F123" s="3">
        <v>0.2477296758826156</v>
      </c>
      <c r="G123" s="3">
        <v>0.25973604314277621</v>
      </c>
      <c r="H123" s="3">
        <v>0.95377473563204807</v>
      </c>
      <c r="I123" s="3">
        <v>0.37196433832350162</v>
      </c>
      <c r="J123" s="3">
        <v>-0.36644847057841162</v>
      </c>
      <c r="K123" s="3">
        <v>0.86190782234364283</v>
      </c>
      <c r="L123" s="3">
        <v>-0.36644847057841162</v>
      </c>
      <c r="M123" s="3">
        <v>0.86190782234364283</v>
      </c>
    </row>
    <row r="124" spans="1:13" ht="15.75" thickBot="1" x14ac:dyDescent="0.3">
      <c r="E124" s="4" t="s">
        <v>22</v>
      </c>
      <c r="F124" s="4">
        <v>-2.3740208153056989E-3</v>
      </c>
      <c r="G124" s="4">
        <v>3.3346822591903843E-3</v>
      </c>
      <c r="H124" s="4">
        <v>-0.71191814715267032</v>
      </c>
      <c r="I124" s="4">
        <v>0.49954789056801885</v>
      </c>
      <c r="J124" s="4">
        <v>-1.0259291354597746E-2</v>
      </c>
      <c r="K124" s="4">
        <v>5.5112497239863468E-3</v>
      </c>
      <c r="L124" s="4">
        <v>-1.0259291354597746E-2</v>
      </c>
      <c r="M124" s="4">
        <v>5.5112497239863468E-3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6"/>
  <sheetViews>
    <sheetView topLeftCell="A103" workbookViewId="0">
      <selection activeCell="F125" sqref="F125"/>
    </sheetView>
  </sheetViews>
  <sheetFormatPr defaultRowHeight="15" x14ac:dyDescent="0.25"/>
  <sheetData>
    <row r="1" spans="1:19" x14ac:dyDescent="0.25">
      <c r="B1" t="s">
        <v>59</v>
      </c>
    </row>
    <row r="2" spans="1:19" x14ac:dyDescent="0.25">
      <c r="A2" t="s">
        <v>60</v>
      </c>
      <c r="B2" t="s">
        <v>61</v>
      </c>
      <c r="C2" t="s">
        <v>62</v>
      </c>
      <c r="E2" t="s">
        <v>24</v>
      </c>
    </row>
    <row r="3" spans="1:19" ht="15.75" thickBot="1" x14ac:dyDescent="0.3">
      <c r="A3">
        <v>24.78</v>
      </c>
      <c r="B3">
        <v>191</v>
      </c>
      <c r="C3">
        <v>0.877</v>
      </c>
      <c r="P3">
        <v>25.2</v>
      </c>
      <c r="Q3">
        <v>116.5</v>
      </c>
      <c r="R3">
        <f>F18+F19*P3+Q3*F20</f>
        <v>0.83664763832189337</v>
      </c>
      <c r="S3">
        <v>27.82</v>
      </c>
    </row>
    <row r="4" spans="1:19" x14ac:dyDescent="0.25">
      <c r="A4">
        <v>25.125</v>
      </c>
      <c r="B4">
        <v>247</v>
      </c>
      <c r="C4">
        <v>0.78</v>
      </c>
      <c r="E4" s="2" t="s">
        <v>27</v>
      </c>
      <c r="F4" s="2"/>
      <c r="P4">
        <v>25.3</v>
      </c>
      <c r="Q4">
        <v>163</v>
      </c>
      <c r="R4">
        <f>F18+F19*P4+Q4*F20</f>
        <v>0.81821773325973424</v>
      </c>
      <c r="S4">
        <v>11.94</v>
      </c>
    </row>
    <row r="5" spans="1:19" x14ac:dyDescent="0.25">
      <c r="A5">
        <v>25.4</v>
      </c>
      <c r="B5">
        <v>107</v>
      </c>
      <c r="C5">
        <v>0.85099999999999998</v>
      </c>
      <c r="E5" s="3" t="s">
        <v>28</v>
      </c>
      <c r="F5" s="3">
        <v>0.10868719608019418</v>
      </c>
    </row>
    <row r="6" spans="1:19" x14ac:dyDescent="0.25">
      <c r="A6">
        <v>25.22</v>
      </c>
      <c r="B6">
        <v>136</v>
      </c>
      <c r="C6">
        <v>0.745</v>
      </c>
      <c r="E6" s="3" t="s">
        <v>30</v>
      </c>
      <c r="F6" s="3">
        <v>1.1812906591774577E-2</v>
      </c>
    </row>
    <row r="7" spans="1:19" x14ac:dyDescent="0.25">
      <c r="A7">
        <v>25.12</v>
      </c>
      <c r="B7">
        <v>147</v>
      </c>
      <c r="C7">
        <v>0.7</v>
      </c>
      <c r="E7" s="3" t="s">
        <v>31</v>
      </c>
      <c r="F7" s="3">
        <v>-0.27052626295343268</v>
      </c>
    </row>
    <row r="8" spans="1:19" x14ac:dyDescent="0.25">
      <c r="A8">
        <v>25.47</v>
      </c>
      <c r="B8">
        <v>169</v>
      </c>
      <c r="C8">
        <v>0.97799999999999998</v>
      </c>
      <c r="E8" s="3" t="s">
        <v>32</v>
      </c>
      <c r="F8" s="3">
        <v>0.16384837661996662</v>
      </c>
    </row>
    <row r="9" spans="1:19" ht="15.75" thickBot="1" x14ac:dyDescent="0.3">
      <c r="A9">
        <v>25.55</v>
      </c>
      <c r="B9">
        <v>136</v>
      </c>
      <c r="C9">
        <v>0.81699999999999995</v>
      </c>
      <c r="E9" s="4" t="s">
        <v>33</v>
      </c>
      <c r="F9" s="4">
        <v>10</v>
      </c>
    </row>
    <row r="10" spans="1:19" x14ac:dyDescent="0.25">
      <c r="A10">
        <v>24.98</v>
      </c>
      <c r="B10">
        <v>137</v>
      </c>
      <c r="C10">
        <v>0.80400000000000005</v>
      </c>
    </row>
    <row r="11" spans="1:19" ht="15.75" thickBot="1" x14ac:dyDescent="0.3">
      <c r="A11">
        <v>25.07</v>
      </c>
      <c r="B11">
        <v>125</v>
      </c>
      <c r="C11">
        <v>1.095</v>
      </c>
      <c r="E11" t="s">
        <v>34</v>
      </c>
    </row>
    <row r="12" spans="1:19" x14ac:dyDescent="0.25">
      <c r="A12">
        <v>25.17</v>
      </c>
      <c r="B12">
        <v>152</v>
      </c>
      <c r="C12">
        <v>0.56799999999999995</v>
      </c>
      <c r="E12" s="5"/>
      <c r="F12" s="5" t="s">
        <v>35</v>
      </c>
      <c r="G12" s="5" t="s">
        <v>36</v>
      </c>
      <c r="H12" s="5" t="s">
        <v>37</v>
      </c>
      <c r="I12" s="5" t="s">
        <v>38</v>
      </c>
      <c r="J12" s="5" t="s">
        <v>39</v>
      </c>
    </row>
    <row r="13" spans="1:19" x14ac:dyDescent="0.25">
      <c r="E13" s="3" t="s">
        <v>40</v>
      </c>
      <c r="F13" s="3">
        <v>2</v>
      </c>
      <c r="G13" s="3">
        <v>2.2464663530110673E-3</v>
      </c>
      <c r="H13" s="3">
        <v>1.1232331765055337E-3</v>
      </c>
      <c r="I13" s="3">
        <v>4.1839418210384477E-2</v>
      </c>
      <c r="J13" s="3">
        <v>0.95926173465430908</v>
      </c>
    </row>
    <row r="14" spans="1:19" x14ac:dyDescent="0.25">
      <c r="E14" s="3" t="s">
        <v>41</v>
      </c>
      <c r="F14" s="3">
        <v>7</v>
      </c>
      <c r="G14" s="3">
        <v>0.18792403364698895</v>
      </c>
      <c r="H14" s="3">
        <v>2.6846290520998423E-2</v>
      </c>
      <c r="I14" s="3"/>
      <c r="J14" s="3"/>
    </row>
    <row r="15" spans="1:19" ht="15.75" thickBot="1" x14ac:dyDescent="0.3">
      <c r="E15" s="4" t="s">
        <v>42</v>
      </c>
      <c r="F15" s="4">
        <v>9</v>
      </c>
      <c r="G15" s="4">
        <v>0.19017050000000002</v>
      </c>
      <c r="H15" s="4"/>
      <c r="I15" s="4"/>
      <c r="J15" s="4"/>
    </row>
    <row r="16" spans="1:19" ht="15.75" thickBot="1" x14ac:dyDescent="0.3"/>
    <row r="17" spans="1:19" x14ac:dyDescent="0.25">
      <c r="E17" s="5"/>
      <c r="F17" s="5" t="s">
        <v>43</v>
      </c>
      <c r="G17" s="5" t="s">
        <v>32</v>
      </c>
      <c r="H17" s="5" t="s">
        <v>44</v>
      </c>
      <c r="I17" s="5" t="s">
        <v>45</v>
      </c>
      <c r="J17" s="5" t="s">
        <v>46</v>
      </c>
      <c r="K17" s="5" t="s">
        <v>47</v>
      </c>
      <c r="L17" s="5" t="s">
        <v>48</v>
      </c>
      <c r="M17" s="5" t="s">
        <v>49</v>
      </c>
    </row>
    <row r="18" spans="1:19" x14ac:dyDescent="0.25">
      <c r="E18" s="3" t="s">
        <v>50</v>
      </c>
      <c r="F18" s="3">
        <v>0.88085744949345457</v>
      </c>
      <c r="G18" s="3">
        <v>6.2917245804114312</v>
      </c>
      <c r="H18" s="3">
        <v>0.14000254433194739</v>
      </c>
      <c r="I18" s="3">
        <v>0.89260121733814035</v>
      </c>
      <c r="J18" s="3">
        <v>-13.996707073641346</v>
      </c>
      <c r="K18" s="3">
        <v>15.758421972628254</v>
      </c>
      <c r="L18" s="3">
        <v>-13.996707073641346</v>
      </c>
      <c r="M18" s="3">
        <v>15.758421972628254</v>
      </c>
    </row>
    <row r="19" spans="1:19" x14ac:dyDescent="0.25">
      <c r="E19" s="3" t="s">
        <v>60</v>
      </c>
      <c r="F19" s="3">
        <v>7.872061394125785E-5</v>
      </c>
      <c r="G19" s="3">
        <v>0.24684109158483272</v>
      </c>
      <c r="H19" s="3">
        <v>3.1891211238710502E-4</v>
      </c>
      <c r="I19" s="3">
        <v>0.99975444313154282</v>
      </c>
      <c r="J19" s="3">
        <v>-0.58360771067835615</v>
      </c>
      <c r="K19" s="3">
        <v>0.58376515190623868</v>
      </c>
      <c r="L19" s="3">
        <v>-0.58360771067835615</v>
      </c>
      <c r="M19" s="3">
        <v>0.58376515190623868</v>
      </c>
    </row>
    <row r="20" spans="1:19" ht="15.75" thickBot="1" x14ac:dyDescent="0.3">
      <c r="E20" s="4" t="s">
        <v>61</v>
      </c>
      <c r="F20" s="4">
        <v>-3.9651133599039355E-4</v>
      </c>
      <c r="G20" s="4">
        <v>1.4447150267003963E-3</v>
      </c>
      <c r="H20" s="4">
        <v>-0.27445643511855139</v>
      </c>
      <c r="I20" s="4">
        <v>0.79165712679479827</v>
      </c>
      <c r="J20" s="4">
        <v>-3.8127195238370436E-3</v>
      </c>
      <c r="K20" s="4">
        <v>3.0196968518562566E-3</v>
      </c>
      <c r="L20" s="4">
        <v>-3.8127195238370436E-3</v>
      </c>
      <c r="M20" s="4">
        <v>3.0196968518562566E-3</v>
      </c>
    </row>
    <row r="22" spans="1:19" x14ac:dyDescent="0.25">
      <c r="B22" t="s">
        <v>63</v>
      </c>
    </row>
    <row r="23" spans="1:19" x14ac:dyDescent="0.25">
      <c r="A23" t="s">
        <v>60</v>
      </c>
      <c r="B23" t="s">
        <v>61</v>
      </c>
      <c r="C23" t="s">
        <v>62</v>
      </c>
      <c r="P23">
        <v>25.2</v>
      </c>
      <c r="Q23">
        <v>116.5</v>
      </c>
      <c r="R23">
        <f>F40+F41*P23+Q24*F42</f>
        <v>0.89971707116801436</v>
      </c>
      <c r="S23">
        <v>5.26</v>
      </c>
    </row>
    <row r="24" spans="1:19" x14ac:dyDescent="0.25">
      <c r="A24">
        <v>24.78</v>
      </c>
      <c r="B24">
        <v>191</v>
      </c>
      <c r="C24">
        <v>0.752</v>
      </c>
      <c r="E24" t="s">
        <v>24</v>
      </c>
      <c r="P24">
        <v>25.3</v>
      </c>
      <c r="Q24">
        <v>163</v>
      </c>
      <c r="R24">
        <f>F40+F41*P24+Q24*F42</f>
        <v>0.90177267470113665</v>
      </c>
      <c r="S24">
        <v>20.100000000000001</v>
      </c>
    </row>
    <row r="25" spans="1:19" ht="15.75" thickBot="1" x14ac:dyDescent="0.3">
      <c r="A25">
        <v>25.125</v>
      </c>
      <c r="B25">
        <v>247</v>
      </c>
      <c r="C25">
        <v>0.72799999999999998</v>
      </c>
    </row>
    <row r="26" spans="1:19" x14ac:dyDescent="0.25">
      <c r="A26">
        <v>25.4</v>
      </c>
      <c r="B26">
        <v>107</v>
      </c>
      <c r="C26">
        <v>0.81699999999999995</v>
      </c>
      <c r="E26" s="2" t="s">
        <v>27</v>
      </c>
      <c r="F26" s="2"/>
    </row>
    <row r="27" spans="1:19" x14ac:dyDescent="0.25">
      <c r="A27">
        <v>25.22</v>
      </c>
      <c r="B27">
        <v>136</v>
      </c>
      <c r="C27">
        <v>0.82599999999999996</v>
      </c>
      <c r="E27" s="3" t="s">
        <v>28</v>
      </c>
      <c r="F27" s="3">
        <v>0.50945596501589585</v>
      </c>
    </row>
    <row r="28" spans="1:19" x14ac:dyDescent="0.25">
      <c r="A28">
        <v>25.12</v>
      </c>
      <c r="B28">
        <v>147</v>
      </c>
      <c r="C28">
        <v>0.95499999999999996</v>
      </c>
      <c r="E28" s="3" t="s">
        <v>30</v>
      </c>
      <c r="F28" s="3">
        <v>0.25954538029027768</v>
      </c>
    </row>
    <row r="29" spans="1:19" x14ac:dyDescent="0.25">
      <c r="A29">
        <v>25.47</v>
      </c>
      <c r="B29">
        <v>169</v>
      </c>
      <c r="C29">
        <v>0.996</v>
      </c>
      <c r="E29" s="3" t="s">
        <v>31</v>
      </c>
      <c r="F29" s="3">
        <v>4.7986917516071308E-2</v>
      </c>
    </row>
    <row r="30" spans="1:19" x14ac:dyDescent="0.25">
      <c r="A30">
        <v>25.55</v>
      </c>
      <c r="B30">
        <v>136</v>
      </c>
      <c r="C30">
        <v>0.95699999999999996</v>
      </c>
      <c r="E30" s="3" t="s">
        <v>32</v>
      </c>
      <c r="F30" s="3">
        <v>0.11735651293349289</v>
      </c>
    </row>
    <row r="31" spans="1:19" ht="15.75" thickBot="1" x14ac:dyDescent="0.3">
      <c r="A31">
        <v>24.98</v>
      </c>
      <c r="B31">
        <v>137</v>
      </c>
      <c r="C31">
        <v>1.0549999999999999</v>
      </c>
      <c r="E31" s="4" t="s">
        <v>33</v>
      </c>
      <c r="F31" s="4">
        <v>10</v>
      </c>
    </row>
    <row r="32" spans="1:19" x14ac:dyDescent="0.25">
      <c r="A32">
        <v>25.07</v>
      </c>
      <c r="B32">
        <v>125</v>
      </c>
      <c r="C32">
        <v>0.99299999999999999</v>
      </c>
    </row>
    <row r="33" spans="1:20" ht="15.75" thickBot="1" x14ac:dyDescent="0.3">
      <c r="A33">
        <v>25.17</v>
      </c>
      <c r="B33">
        <v>152</v>
      </c>
      <c r="C33">
        <v>1.04</v>
      </c>
      <c r="E33" t="s">
        <v>34</v>
      </c>
    </row>
    <row r="34" spans="1:20" x14ac:dyDescent="0.25">
      <c r="E34" s="5"/>
      <c r="F34" s="5" t="s">
        <v>35</v>
      </c>
      <c r="G34" s="5" t="s">
        <v>36</v>
      </c>
      <c r="H34" s="5" t="s">
        <v>37</v>
      </c>
      <c r="I34" s="5" t="s">
        <v>38</v>
      </c>
      <c r="J34" s="5" t="s">
        <v>39</v>
      </c>
    </row>
    <row r="35" spans="1:20" x14ac:dyDescent="0.25">
      <c r="E35" s="3" t="s">
        <v>40</v>
      </c>
      <c r="F35" s="3">
        <v>2</v>
      </c>
      <c r="G35" s="3">
        <v>3.379304210463642E-2</v>
      </c>
      <c r="H35" s="3">
        <v>1.689652105231821E-2</v>
      </c>
      <c r="I35" s="3">
        <v>1.2268257997662195</v>
      </c>
      <c r="J35" s="3">
        <v>0.34933698252092393</v>
      </c>
    </row>
    <row r="36" spans="1:20" x14ac:dyDescent="0.25">
      <c r="E36" s="3" t="s">
        <v>41</v>
      </c>
      <c r="F36" s="3">
        <v>7</v>
      </c>
      <c r="G36" s="3">
        <v>9.6407857895363588E-2</v>
      </c>
      <c r="H36" s="3">
        <v>1.3772551127909084E-2</v>
      </c>
      <c r="I36" s="3"/>
      <c r="J36" s="3"/>
    </row>
    <row r="37" spans="1:20" ht="15.75" thickBot="1" x14ac:dyDescent="0.3">
      <c r="E37" s="4" t="s">
        <v>42</v>
      </c>
      <c r="F37" s="4">
        <v>9</v>
      </c>
      <c r="G37" s="4">
        <v>0.13020090000000001</v>
      </c>
      <c r="H37" s="4"/>
      <c r="I37" s="4"/>
      <c r="J37" s="4"/>
    </row>
    <row r="38" spans="1:20" ht="15.75" thickBot="1" x14ac:dyDescent="0.3"/>
    <row r="39" spans="1:20" x14ac:dyDescent="0.25">
      <c r="E39" s="5"/>
      <c r="F39" s="5" t="s">
        <v>43</v>
      </c>
      <c r="G39" s="5" t="s">
        <v>32</v>
      </c>
      <c r="H39" s="5" t="s">
        <v>44</v>
      </c>
      <c r="I39" s="5" t="s">
        <v>45</v>
      </c>
      <c r="J39" s="5" t="s">
        <v>46</v>
      </c>
      <c r="K39" s="5" t="s">
        <v>47</v>
      </c>
      <c r="L39" s="5" t="s">
        <v>48</v>
      </c>
      <c r="M39" s="5" t="s">
        <v>49</v>
      </c>
    </row>
    <row r="40" spans="1:20" x14ac:dyDescent="0.25">
      <c r="E40" s="3" t="s">
        <v>50</v>
      </c>
      <c r="F40" s="3">
        <v>0.62560253357320583</v>
      </c>
      <c r="G40" s="3">
        <v>4.5064520767735869</v>
      </c>
      <c r="H40" s="3">
        <v>0.13882374047592413</v>
      </c>
      <c r="I40" s="3">
        <v>0.89349886495138731</v>
      </c>
      <c r="J40" s="3">
        <v>-10.030463332906541</v>
      </c>
      <c r="K40" s="3">
        <v>11.281668400052952</v>
      </c>
      <c r="L40" s="3">
        <v>-10.030463332906541</v>
      </c>
      <c r="M40" s="3">
        <v>11.281668400052952</v>
      </c>
    </row>
    <row r="41" spans="1:20" x14ac:dyDescent="0.25">
      <c r="E41" s="3" t="s">
        <v>60</v>
      </c>
      <c r="F41" s="3">
        <v>2.0556035331224607E-2</v>
      </c>
      <c r="G41" s="3">
        <v>0.1768001023548916</v>
      </c>
      <c r="H41" s="3">
        <v>0.11626710085247795</v>
      </c>
      <c r="I41" s="3">
        <v>0.91070616578090513</v>
      </c>
      <c r="J41" s="3">
        <v>-0.39750977426747391</v>
      </c>
      <c r="K41" s="3">
        <v>0.43862184492992312</v>
      </c>
      <c r="L41" s="3">
        <v>-0.39750977426747391</v>
      </c>
      <c r="M41" s="3">
        <v>0.43862184492992312</v>
      </c>
    </row>
    <row r="42" spans="1:20" ht="15.75" thickBot="1" x14ac:dyDescent="0.3">
      <c r="E42" s="4" t="s">
        <v>61</v>
      </c>
      <c r="F42" s="4">
        <v>-1.4963040046138134E-3</v>
      </c>
      <c r="G42" s="4">
        <v>1.0347781358214297E-3</v>
      </c>
      <c r="H42" s="4">
        <v>-1.4460143221194119</v>
      </c>
      <c r="I42" s="4">
        <v>0.19141685992949609</v>
      </c>
      <c r="J42" s="4">
        <v>-3.9431654789292949E-3</v>
      </c>
      <c r="K42" s="4">
        <v>9.5055746970166763E-4</v>
      </c>
      <c r="L42" s="4">
        <v>-3.9431654789292949E-3</v>
      </c>
      <c r="M42" s="4">
        <v>9.5055746970166763E-4</v>
      </c>
    </row>
    <row r="44" spans="1:20" x14ac:dyDescent="0.25">
      <c r="A44" t="s">
        <v>60</v>
      </c>
      <c r="B44" t="s">
        <v>61</v>
      </c>
      <c r="C44" t="s">
        <v>3</v>
      </c>
      <c r="E44" t="s">
        <v>24</v>
      </c>
      <c r="Q44">
        <v>25.2</v>
      </c>
      <c r="R44">
        <v>116.5</v>
      </c>
      <c r="S44">
        <f>F60+F61*Q44+R44*F62</f>
        <v>1.5434173109984304</v>
      </c>
      <c r="T44">
        <v>7.5</v>
      </c>
    </row>
    <row r="45" spans="1:20" ht="15.75" thickBot="1" x14ac:dyDescent="0.3">
      <c r="A45">
        <v>24.78</v>
      </c>
      <c r="B45">
        <v>191</v>
      </c>
      <c r="C45">
        <v>1.2689999999999999</v>
      </c>
      <c r="Q45">
        <v>25.3</v>
      </c>
      <c r="R45">
        <v>163</v>
      </c>
      <c r="S45">
        <f>F60+F61*Q45+R45*F62</f>
        <v>1.499902582618923</v>
      </c>
      <c r="T45">
        <v>9.9</v>
      </c>
    </row>
    <row r="46" spans="1:20" x14ac:dyDescent="0.25">
      <c r="A46">
        <v>25.125</v>
      </c>
      <c r="B46">
        <v>247</v>
      </c>
      <c r="C46">
        <v>1.37</v>
      </c>
      <c r="E46" s="2" t="s">
        <v>27</v>
      </c>
      <c r="F46" s="2"/>
    </row>
    <row r="47" spans="1:20" x14ac:dyDescent="0.25">
      <c r="A47">
        <v>25.4</v>
      </c>
      <c r="B47">
        <v>107</v>
      </c>
      <c r="C47">
        <v>1.425</v>
      </c>
      <c r="E47" s="3" t="s">
        <v>28</v>
      </c>
      <c r="F47" s="3">
        <v>0.55150034953351457</v>
      </c>
    </row>
    <row r="48" spans="1:20" x14ac:dyDescent="0.25">
      <c r="A48">
        <v>25.22</v>
      </c>
      <c r="B48">
        <v>136</v>
      </c>
      <c r="C48">
        <v>1.5189999999999999</v>
      </c>
      <c r="E48" s="3" t="s">
        <v>30</v>
      </c>
      <c r="F48" s="3">
        <v>0.3041526355355888</v>
      </c>
    </row>
    <row r="49" spans="1:19" x14ac:dyDescent="0.25">
      <c r="A49">
        <v>25.12</v>
      </c>
      <c r="B49">
        <v>147</v>
      </c>
      <c r="C49">
        <v>1.607</v>
      </c>
      <c r="E49" s="3" t="s">
        <v>31</v>
      </c>
      <c r="F49" s="3">
        <v>0.10533910283147131</v>
      </c>
    </row>
    <row r="50" spans="1:19" x14ac:dyDescent="0.25">
      <c r="A50">
        <v>25.47</v>
      </c>
      <c r="B50">
        <v>169</v>
      </c>
      <c r="C50">
        <v>1.542</v>
      </c>
      <c r="E50" s="3" t="s">
        <v>32</v>
      </c>
      <c r="F50" s="3">
        <v>0.10524947815785823</v>
      </c>
    </row>
    <row r="51" spans="1:19" ht="15.75" thickBot="1" x14ac:dyDescent="0.3">
      <c r="A51">
        <v>25.55</v>
      </c>
      <c r="B51">
        <v>136</v>
      </c>
      <c r="C51">
        <v>1.528</v>
      </c>
      <c r="E51" s="4" t="s">
        <v>33</v>
      </c>
      <c r="F51" s="4">
        <v>10</v>
      </c>
    </row>
    <row r="52" spans="1:19" x14ac:dyDescent="0.25">
      <c r="A52">
        <v>24.98</v>
      </c>
      <c r="B52">
        <v>137</v>
      </c>
      <c r="C52">
        <v>1.534</v>
      </c>
    </row>
    <row r="53" spans="1:19" ht="15.75" thickBot="1" x14ac:dyDescent="0.3">
      <c r="A53">
        <v>25.07</v>
      </c>
      <c r="B53">
        <v>125</v>
      </c>
      <c r="C53">
        <v>1.5369999999999999</v>
      </c>
      <c r="E53" t="s">
        <v>34</v>
      </c>
    </row>
    <row r="54" spans="1:19" x14ac:dyDescent="0.25">
      <c r="A54">
        <v>25.17</v>
      </c>
      <c r="B54">
        <v>152</v>
      </c>
      <c r="C54">
        <v>1.637</v>
      </c>
      <c r="E54" s="5"/>
      <c r="F54" s="5" t="s">
        <v>35</v>
      </c>
      <c r="G54" s="5" t="s">
        <v>36</v>
      </c>
      <c r="H54" s="5" t="s">
        <v>37</v>
      </c>
      <c r="I54" s="5" t="s">
        <v>38</v>
      </c>
      <c r="J54" s="5" t="s">
        <v>39</v>
      </c>
    </row>
    <row r="55" spans="1:19" x14ac:dyDescent="0.25">
      <c r="E55" s="3" t="s">
        <v>40</v>
      </c>
      <c r="F55" s="3">
        <v>2</v>
      </c>
      <c r="G55" s="3">
        <v>3.3893431432489657E-2</v>
      </c>
      <c r="H55" s="3">
        <v>1.6946715716244828E-2</v>
      </c>
      <c r="I55" s="3">
        <v>1.5298386955793464</v>
      </c>
      <c r="J55" s="3">
        <v>0.28105994260834122</v>
      </c>
    </row>
    <row r="56" spans="1:19" x14ac:dyDescent="0.25">
      <c r="E56" s="3" t="s">
        <v>41</v>
      </c>
      <c r="F56" s="3">
        <v>7</v>
      </c>
      <c r="G56" s="3">
        <v>7.7542168567510339E-2</v>
      </c>
      <c r="H56" s="3">
        <v>1.1077452652501476E-2</v>
      </c>
      <c r="I56" s="3"/>
      <c r="J56" s="3"/>
    </row>
    <row r="57" spans="1:19" ht="15.75" thickBot="1" x14ac:dyDescent="0.3">
      <c r="E57" s="4" t="s">
        <v>42</v>
      </c>
      <c r="F57" s="4">
        <v>9</v>
      </c>
      <c r="G57" s="4">
        <v>0.1114356</v>
      </c>
      <c r="H57" s="4"/>
      <c r="I57" s="4"/>
      <c r="J57" s="4"/>
    </row>
    <row r="58" spans="1:19" ht="15.75" thickBot="1" x14ac:dyDescent="0.3"/>
    <row r="59" spans="1:19" x14ac:dyDescent="0.25">
      <c r="E59" s="5"/>
      <c r="F59" s="5" t="s">
        <v>43</v>
      </c>
      <c r="G59" s="5" t="s">
        <v>32</v>
      </c>
      <c r="H59" s="5" t="s">
        <v>44</v>
      </c>
      <c r="I59" s="5" t="s">
        <v>45</v>
      </c>
      <c r="J59" s="5" t="s">
        <v>46</v>
      </c>
      <c r="K59" s="5" t="s">
        <v>47</v>
      </c>
      <c r="L59" s="5" t="s">
        <v>48</v>
      </c>
      <c r="M59" s="5" t="s">
        <v>49</v>
      </c>
    </row>
    <row r="60" spans="1:19" x14ac:dyDescent="0.25">
      <c r="E60" s="3" t="s">
        <v>50</v>
      </c>
      <c r="F60" s="3">
        <v>-1.2433686974366562</v>
      </c>
      <c r="G60" s="3">
        <v>4.041545863693206</v>
      </c>
      <c r="H60" s="3">
        <v>-0.30764681123782994</v>
      </c>
      <c r="I60" s="3">
        <v>0.76730274952236066</v>
      </c>
      <c r="J60" s="3">
        <v>-10.800106058049522</v>
      </c>
      <c r="K60" s="3">
        <v>8.3133686631762096</v>
      </c>
      <c r="L60" s="3">
        <v>-10.800106058049522</v>
      </c>
      <c r="M60" s="3">
        <v>8.3133686631762096</v>
      </c>
    </row>
    <row r="61" spans="1:19" x14ac:dyDescent="0.25">
      <c r="E61" s="3" t="s">
        <v>60</v>
      </c>
      <c r="F61" s="3">
        <v>0.11606690104593725</v>
      </c>
      <c r="G61" s="3">
        <v>0.1585605949424696</v>
      </c>
      <c r="H61" s="3">
        <v>0.73200344062816936</v>
      </c>
      <c r="I61" s="3">
        <v>0.48794425277112607</v>
      </c>
      <c r="J61" s="3">
        <v>-0.25886932699997833</v>
      </c>
      <c r="K61" s="3">
        <v>0.49100312909185284</v>
      </c>
      <c r="L61" s="3">
        <v>-0.25886932699997833</v>
      </c>
      <c r="M61" s="3">
        <v>0.49100312909185284</v>
      </c>
    </row>
    <row r="62" spans="1:19" ht="15.75" thickBot="1" x14ac:dyDescent="0.3">
      <c r="E62" s="4" t="s">
        <v>61</v>
      </c>
      <c r="F62" s="4">
        <v>-1.1854068491204497E-3</v>
      </c>
      <c r="G62" s="4">
        <v>9.2802568926095427E-4</v>
      </c>
      <c r="H62" s="4">
        <v>-1.2773427102696526</v>
      </c>
      <c r="I62" s="4">
        <v>0.24221313771476116</v>
      </c>
      <c r="J62" s="4">
        <v>-3.3798388994508593E-3</v>
      </c>
      <c r="K62" s="4">
        <v>1.0090252012099599E-3</v>
      </c>
      <c r="L62" s="4">
        <v>-3.3798388994508593E-3</v>
      </c>
      <c r="M62" s="4">
        <v>1.0090252012099599E-3</v>
      </c>
    </row>
    <row r="64" spans="1:19" x14ac:dyDescent="0.25">
      <c r="A64" t="s">
        <v>60</v>
      </c>
      <c r="B64" t="s">
        <v>61</v>
      </c>
      <c r="C64" t="s">
        <v>4</v>
      </c>
      <c r="E64" t="s">
        <v>24</v>
      </c>
      <c r="P64">
        <v>25.2</v>
      </c>
      <c r="Q64">
        <v>116.5</v>
      </c>
      <c r="R64">
        <f>F80+F81*P64+Q64*F82</f>
        <v>4.2806810225730185</v>
      </c>
      <c r="S64">
        <v>11.3</v>
      </c>
    </row>
    <row r="65" spans="1:19" ht="15.75" thickBot="1" x14ac:dyDescent="0.3">
      <c r="A65">
        <v>24.78</v>
      </c>
      <c r="B65">
        <v>191</v>
      </c>
      <c r="C65">
        <v>4.43</v>
      </c>
      <c r="P65">
        <v>25.3</v>
      </c>
      <c r="Q65">
        <v>163</v>
      </c>
      <c r="R65">
        <f>F80+F81*P65+Q65*F82</f>
        <v>4.2964082826449861</v>
      </c>
      <c r="S65">
        <v>5.49</v>
      </c>
    </row>
    <row r="66" spans="1:19" x14ac:dyDescent="0.25">
      <c r="A66">
        <v>25.125</v>
      </c>
      <c r="B66">
        <v>247</v>
      </c>
      <c r="C66">
        <v>4.43</v>
      </c>
      <c r="E66" s="2" t="s">
        <v>27</v>
      </c>
      <c r="F66" s="2"/>
    </row>
    <row r="67" spans="1:19" x14ac:dyDescent="0.25">
      <c r="A67">
        <v>25.4</v>
      </c>
      <c r="B67">
        <v>107</v>
      </c>
      <c r="C67">
        <v>4.07</v>
      </c>
      <c r="E67" s="3" t="s">
        <v>28</v>
      </c>
      <c r="F67" s="3">
        <v>0.29246797084155307</v>
      </c>
    </row>
    <row r="68" spans="1:19" x14ac:dyDescent="0.25">
      <c r="A68">
        <v>25.22</v>
      </c>
      <c r="B68">
        <v>136</v>
      </c>
      <c r="C68">
        <v>4.17</v>
      </c>
      <c r="E68" s="3" t="s">
        <v>30</v>
      </c>
      <c r="F68" s="3">
        <v>8.5537513968175549E-2</v>
      </c>
    </row>
    <row r="69" spans="1:19" x14ac:dyDescent="0.25">
      <c r="A69">
        <v>25.12</v>
      </c>
      <c r="B69">
        <v>147</v>
      </c>
      <c r="C69">
        <v>3.8</v>
      </c>
      <c r="E69" s="3" t="s">
        <v>31</v>
      </c>
      <c r="F69" s="3">
        <v>-0.17573748204091716</v>
      </c>
    </row>
    <row r="70" spans="1:19" x14ac:dyDescent="0.25">
      <c r="A70">
        <v>25.47</v>
      </c>
      <c r="B70">
        <v>169</v>
      </c>
      <c r="C70">
        <v>4.1100000000000003</v>
      </c>
      <c r="E70" s="3" t="s">
        <v>32</v>
      </c>
      <c r="F70" s="3">
        <v>0.34867257135887653</v>
      </c>
    </row>
    <row r="71" spans="1:19" ht="15.75" thickBot="1" x14ac:dyDescent="0.3">
      <c r="A71">
        <v>25.55</v>
      </c>
      <c r="B71">
        <v>136</v>
      </c>
      <c r="C71">
        <v>4.34</v>
      </c>
      <c r="E71" s="4" t="s">
        <v>33</v>
      </c>
      <c r="F71" s="4">
        <v>10</v>
      </c>
    </row>
    <row r="72" spans="1:19" x14ac:dyDescent="0.25">
      <c r="A72">
        <v>24.98</v>
      </c>
      <c r="B72">
        <v>137</v>
      </c>
      <c r="C72">
        <v>4.4800000000000004</v>
      </c>
    </row>
    <row r="73" spans="1:19" ht="15.75" thickBot="1" x14ac:dyDescent="0.3">
      <c r="A73">
        <v>25.07</v>
      </c>
      <c r="B73">
        <v>125</v>
      </c>
      <c r="C73">
        <v>4.3899999999999997</v>
      </c>
      <c r="E73" t="s">
        <v>34</v>
      </c>
    </row>
    <row r="74" spans="1:19" x14ac:dyDescent="0.25">
      <c r="A74">
        <v>25.17</v>
      </c>
      <c r="B74">
        <v>152</v>
      </c>
      <c r="C74">
        <v>5.01</v>
      </c>
      <c r="E74" s="5"/>
      <c r="F74" s="5" t="s">
        <v>35</v>
      </c>
      <c r="G74" s="5" t="s">
        <v>36</v>
      </c>
      <c r="H74" s="5" t="s">
        <v>37</v>
      </c>
      <c r="I74" s="5" t="s">
        <v>38</v>
      </c>
      <c r="J74" s="5" t="s">
        <v>39</v>
      </c>
    </row>
    <row r="75" spans="1:19" x14ac:dyDescent="0.25">
      <c r="E75" s="3" t="s">
        <v>40</v>
      </c>
      <c r="F75" s="3">
        <v>2</v>
      </c>
      <c r="G75" s="3">
        <v>7.9602065873923822E-2</v>
      </c>
      <c r="H75" s="3">
        <v>3.9801032936961911E-2</v>
      </c>
      <c r="I75" s="3">
        <v>0.32738499770256907</v>
      </c>
      <c r="J75" s="3">
        <v>0.73127483655697056</v>
      </c>
    </row>
    <row r="76" spans="1:19" x14ac:dyDescent="0.25">
      <c r="E76" s="3" t="s">
        <v>41</v>
      </c>
      <c r="F76" s="3">
        <v>7</v>
      </c>
      <c r="G76" s="3">
        <v>0.85100793412607589</v>
      </c>
      <c r="H76" s="3">
        <v>0.12157256201801084</v>
      </c>
      <c r="I76" s="3"/>
      <c r="J76" s="3"/>
    </row>
    <row r="77" spans="1:19" ht="15.75" thickBot="1" x14ac:dyDescent="0.3">
      <c r="E77" s="4" t="s">
        <v>42</v>
      </c>
      <c r="F77" s="4">
        <v>9</v>
      </c>
      <c r="G77" s="4">
        <v>0.93060999999999972</v>
      </c>
      <c r="H77" s="4"/>
      <c r="I77" s="4"/>
      <c r="J77" s="4"/>
    </row>
    <row r="78" spans="1:19" ht="15.75" thickBot="1" x14ac:dyDescent="0.3"/>
    <row r="79" spans="1:19" x14ac:dyDescent="0.25">
      <c r="E79" s="5"/>
      <c r="F79" s="5" t="s">
        <v>43</v>
      </c>
      <c r="G79" s="5" t="s">
        <v>32</v>
      </c>
      <c r="H79" s="5" t="s">
        <v>44</v>
      </c>
      <c r="I79" s="5" t="s">
        <v>45</v>
      </c>
      <c r="J79" s="5" t="s">
        <v>46</v>
      </c>
      <c r="K79" s="5" t="s">
        <v>47</v>
      </c>
      <c r="L79" s="5" t="s">
        <v>48</v>
      </c>
      <c r="M79" s="5" t="s">
        <v>49</v>
      </c>
    </row>
    <row r="80" spans="1:19" x14ac:dyDescent="0.25">
      <c r="E80" s="3" t="s">
        <v>50</v>
      </c>
      <c r="F80" s="3">
        <v>12.073459351880127</v>
      </c>
      <c r="G80" s="3">
        <v>13.388913781075393</v>
      </c>
      <c r="H80" s="3">
        <v>0.90175047425769517</v>
      </c>
      <c r="I80" s="3">
        <v>0.39715440995764884</v>
      </c>
      <c r="J80" s="3">
        <v>-19.58629086872029</v>
      </c>
      <c r="K80" s="3">
        <v>43.733209572480547</v>
      </c>
      <c r="L80" s="3">
        <v>-19.58629086872029</v>
      </c>
      <c r="M80" s="3">
        <v>43.733209572480547</v>
      </c>
    </row>
    <row r="81" spans="1:19" x14ac:dyDescent="0.25">
      <c r="E81" s="3" t="s">
        <v>60</v>
      </c>
      <c r="F81" s="3">
        <v>-0.31392183606530599</v>
      </c>
      <c r="G81" s="3">
        <v>0.52528270279748035</v>
      </c>
      <c r="H81" s="3">
        <v>-0.59762454463751247</v>
      </c>
      <c r="I81" s="3">
        <v>0.56891126611090725</v>
      </c>
      <c r="J81" s="3">
        <v>-1.5560180537044317</v>
      </c>
      <c r="K81" s="3">
        <v>0.92817438157381982</v>
      </c>
      <c r="L81" s="3">
        <v>-1.5560180537044317</v>
      </c>
      <c r="M81" s="3">
        <v>0.92817438157381982</v>
      </c>
    </row>
    <row r="82" spans="1:19" ht="15.75" thickBot="1" x14ac:dyDescent="0.3">
      <c r="E82" s="4" t="s">
        <v>61</v>
      </c>
      <c r="F82" s="4">
        <v>1.0133213694300709E-3</v>
      </c>
      <c r="G82" s="4">
        <v>3.0743820209388033E-3</v>
      </c>
      <c r="H82" s="4">
        <v>0.32960164433977523</v>
      </c>
      <c r="I82" s="4">
        <v>0.75134434902336444</v>
      </c>
      <c r="J82" s="4">
        <v>-6.2564369139644005E-3</v>
      </c>
      <c r="K82" s="4">
        <v>8.2830796528245432E-3</v>
      </c>
      <c r="L82" s="4">
        <v>-6.2564369139644005E-3</v>
      </c>
      <c r="M82" s="4">
        <v>8.2830796528245432E-3</v>
      </c>
    </row>
    <row r="84" spans="1:19" x14ac:dyDescent="0.25">
      <c r="A84" t="s">
        <v>60</v>
      </c>
      <c r="B84" t="s">
        <v>61</v>
      </c>
      <c r="C84" t="s">
        <v>5</v>
      </c>
      <c r="E84" t="s">
        <v>24</v>
      </c>
      <c r="P84">
        <v>25.2</v>
      </c>
      <c r="Q84">
        <v>116.5</v>
      </c>
      <c r="R84">
        <f>N104+N105*P84+Q84*N106</f>
        <v>6.5910819311049567</v>
      </c>
      <c r="S84">
        <v>7.6</v>
      </c>
    </row>
    <row r="85" spans="1:19" ht="15.75" thickBot="1" x14ac:dyDescent="0.3">
      <c r="A85">
        <v>24.78</v>
      </c>
      <c r="B85">
        <v>191</v>
      </c>
      <c r="C85">
        <v>5.1289999999999996</v>
      </c>
      <c r="P85">
        <v>25.3</v>
      </c>
      <c r="Q85">
        <v>163</v>
      </c>
      <c r="R85">
        <f>N104+N105*P85+Q85*N106</f>
        <v>5.8034442484125517</v>
      </c>
      <c r="S85">
        <v>24.68</v>
      </c>
    </row>
    <row r="86" spans="1:19" x14ac:dyDescent="0.25">
      <c r="A86">
        <v>25.125</v>
      </c>
      <c r="B86">
        <v>247</v>
      </c>
      <c r="C86">
        <v>5.1289999999999996</v>
      </c>
      <c r="E86" s="2" t="s">
        <v>27</v>
      </c>
      <c r="F86" s="2"/>
    </row>
    <row r="87" spans="1:19" x14ac:dyDescent="0.25">
      <c r="A87">
        <v>25.4</v>
      </c>
      <c r="B87">
        <v>107</v>
      </c>
      <c r="C87">
        <v>5.4039999999999999</v>
      </c>
      <c r="E87" s="3" t="s">
        <v>28</v>
      </c>
      <c r="F87" s="3">
        <v>0.53488700320846227</v>
      </c>
    </row>
    <row r="88" spans="1:19" x14ac:dyDescent="0.25">
      <c r="A88">
        <v>25.22</v>
      </c>
      <c r="B88">
        <v>136</v>
      </c>
      <c r="C88">
        <v>5.6559999999999997</v>
      </c>
      <c r="E88" s="3" t="s">
        <v>30</v>
      </c>
      <c r="F88" s="3">
        <v>0.28610410620132953</v>
      </c>
      <c r="M88" t="s">
        <v>24</v>
      </c>
    </row>
    <row r="89" spans="1:19" ht="15.75" thickBot="1" x14ac:dyDescent="0.3">
      <c r="A89">
        <v>25.12</v>
      </c>
      <c r="B89">
        <v>147</v>
      </c>
      <c r="C89">
        <v>7.423</v>
      </c>
      <c r="E89" s="3" t="s">
        <v>31</v>
      </c>
      <c r="F89" s="3">
        <v>8.2133850830280825E-2</v>
      </c>
    </row>
    <row r="90" spans="1:19" x14ac:dyDescent="0.25">
      <c r="A90">
        <v>25.47</v>
      </c>
      <c r="B90">
        <v>169</v>
      </c>
      <c r="C90">
        <v>4.4859999999999998</v>
      </c>
      <c r="E90" s="3" t="s">
        <v>32</v>
      </c>
      <c r="F90" s="3">
        <v>0.98852224167416447</v>
      </c>
      <c r="M90" s="2" t="s">
        <v>27</v>
      </c>
      <c r="N90" s="2"/>
    </row>
    <row r="91" spans="1:19" ht="15.75" thickBot="1" x14ac:dyDescent="0.3">
      <c r="A91">
        <v>25.55</v>
      </c>
      <c r="B91">
        <v>136</v>
      </c>
      <c r="C91">
        <v>6.8</v>
      </c>
      <c r="E91" s="4" t="s">
        <v>33</v>
      </c>
      <c r="F91" s="4">
        <v>10</v>
      </c>
      <c r="M91" s="3" t="s">
        <v>28</v>
      </c>
      <c r="N91" s="3">
        <v>0.53488700320846227</v>
      </c>
    </row>
    <row r="92" spans="1:19" x14ac:dyDescent="0.25">
      <c r="A92">
        <v>24.98</v>
      </c>
      <c r="B92">
        <v>137</v>
      </c>
      <c r="C92">
        <v>6.3419999999999996</v>
      </c>
      <c r="M92" s="3" t="s">
        <v>30</v>
      </c>
      <c r="N92" s="3">
        <v>0.28610410620132953</v>
      </c>
    </row>
    <row r="93" spans="1:19" ht="15.75" thickBot="1" x14ac:dyDescent="0.3">
      <c r="A93">
        <v>25.07</v>
      </c>
      <c r="B93">
        <v>125</v>
      </c>
      <c r="C93">
        <v>7.3630000000000004</v>
      </c>
      <c r="E93" t="s">
        <v>34</v>
      </c>
      <c r="M93" s="3" t="s">
        <v>31</v>
      </c>
      <c r="N93" s="3">
        <v>8.2133850830280825E-2</v>
      </c>
    </row>
    <row r="94" spans="1:19" x14ac:dyDescent="0.25">
      <c r="A94">
        <v>25.17</v>
      </c>
      <c r="B94">
        <v>152</v>
      </c>
      <c r="C94">
        <v>6.8310000000000004</v>
      </c>
      <c r="E94" s="5"/>
      <c r="F94" s="5" t="s">
        <v>35</v>
      </c>
      <c r="G94" s="5" t="s">
        <v>36</v>
      </c>
      <c r="H94" s="5" t="s">
        <v>37</v>
      </c>
      <c r="I94" s="5" t="s">
        <v>38</v>
      </c>
      <c r="J94" s="5" t="s">
        <v>39</v>
      </c>
      <c r="M94" s="3" t="s">
        <v>32</v>
      </c>
      <c r="N94" s="3">
        <v>0.98852224167416447</v>
      </c>
    </row>
    <row r="95" spans="1:19" ht="15.75" thickBot="1" x14ac:dyDescent="0.3">
      <c r="E95" s="3" t="s">
        <v>40</v>
      </c>
      <c r="F95" s="3">
        <v>2</v>
      </c>
      <c r="G95" s="3">
        <v>2.7413225440083977</v>
      </c>
      <c r="H95" s="3">
        <v>1.3706612720041988</v>
      </c>
      <c r="I95" s="3">
        <v>1.4026756287619904</v>
      </c>
      <c r="J95" s="3">
        <v>0.30741290423303225</v>
      </c>
      <c r="M95" s="4" t="s">
        <v>33</v>
      </c>
      <c r="N95" s="4">
        <v>10</v>
      </c>
    </row>
    <row r="96" spans="1:19" x14ac:dyDescent="0.25">
      <c r="E96" s="3" t="s">
        <v>41</v>
      </c>
      <c r="F96" s="3">
        <v>7</v>
      </c>
      <c r="G96" s="3">
        <v>6.8402335559916061</v>
      </c>
      <c r="H96" s="3">
        <v>0.97717622228451517</v>
      </c>
      <c r="I96" s="3"/>
      <c r="J96" s="3"/>
    </row>
    <row r="97" spans="1:21" ht="15.75" thickBot="1" x14ac:dyDescent="0.3">
      <c r="E97" s="4" t="s">
        <v>42</v>
      </c>
      <c r="F97" s="4">
        <v>9</v>
      </c>
      <c r="G97" s="4">
        <v>9.5815561000000038</v>
      </c>
      <c r="H97" s="4"/>
      <c r="I97" s="4"/>
      <c r="J97" s="4"/>
      <c r="M97" t="s">
        <v>34</v>
      </c>
    </row>
    <row r="98" spans="1:21" ht="15.75" thickBot="1" x14ac:dyDescent="0.3">
      <c r="M98" s="5"/>
      <c r="N98" s="5" t="s">
        <v>35</v>
      </c>
      <c r="O98" s="5" t="s">
        <v>36</v>
      </c>
      <c r="P98" s="5" t="s">
        <v>37</v>
      </c>
      <c r="Q98" s="5" t="s">
        <v>38</v>
      </c>
      <c r="R98" s="5" t="s">
        <v>39</v>
      </c>
    </row>
    <row r="99" spans="1:21" x14ac:dyDescent="0.25">
      <c r="E99" s="5"/>
      <c r="F99" s="5" t="s">
        <v>43</v>
      </c>
      <c r="G99" s="5" t="s">
        <v>32</v>
      </c>
      <c r="H99" s="5" t="s">
        <v>44</v>
      </c>
      <c r="I99" s="5" t="s">
        <v>45</v>
      </c>
      <c r="J99" s="5" t="s">
        <v>46</v>
      </c>
      <c r="K99" s="5" t="s">
        <v>47</v>
      </c>
      <c r="L99" s="5" t="s">
        <v>48</v>
      </c>
      <c r="M99" s="3" t="s">
        <v>40</v>
      </c>
      <c r="N99" s="3">
        <v>2</v>
      </c>
      <c r="O99" s="3">
        <v>2.7413225440083977</v>
      </c>
      <c r="P99" s="3">
        <v>1.3706612720041988</v>
      </c>
      <c r="Q99" s="3">
        <v>1.4026756287619904</v>
      </c>
      <c r="R99" s="3">
        <v>0.30741290423303225</v>
      </c>
    </row>
    <row r="100" spans="1:21" x14ac:dyDescent="0.25">
      <c r="E100" s="3" t="s">
        <v>50</v>
      </c>
      <c r="F100" s="3">
        <f>+R85</f>
        <v>5.8034442484125517</v>
      </c>
      <c r="G100" s="3">
        <v>37.958933829722412</v>
      </c>
      <c r="H100" s="3">
        <v>1.0135531967998745</v>
      </c>
      <c r="I100" s="3">
        <v>0.34454083567556559</v>
      </c>
      <c r="J100" s="3">
        <v>-51.28521674371207</v>
      </c>
      <c r="K100" s="3">
        <v>128.23201420417217</v>
      </c>
      <c r="L100" s="3">
        <v>-51.28521674371207</v>
      </c>
      <c r="M100" s="3" t="s">
        <v>41</v>
      </c>
      <c r="N100" s="3">
        <v>7</v>
      </c>
      <c r="O100" s="3">
        <v>6.8402335559916061</v>
      </c>
      <c r="P100" s="3">
        <v>0.97717622228451517</v>
      </c>
      <c r="Q100" s="3"/>
      <c r="R100" s="3"/>
    </row>
    <row r="101" spans="1:21" ht="15.75" thickBot="1" x14ac:dyDescent="0.3">
      <c r="E101" s="3" t="s">
        <v>60</v>
      </c>
      <c r="F101" s="3">
        <v>-1.1987828652550554</v>
      </c>
      <c r="G101" s="3">
        <v>1.4892299467616557</v>
      </c>
      <c r="H101" s="3">
        <v>-0.80496827764027967</v>
      </c>
      <c r="I101" s="3">
        <v>0.44731239972965808</v>
      </c>
      <c r="J101" s="3">
        <v>-4.7202521126076302</v>
      </c>
      <c r="K101" s="3">
        <v>2.322686382097519</v>
      </c>
      <c r="L101" s="3">
        <v>-4.7202521126076302</v>
      </c>
      <c r="M101" s="4" t="s">
        <v>42</v>
      </c>
      <c r="N101" s="4">
        <v>9</v>
      </c>
      <c r="O101" s="4">
        <v>9.5815561000000038</v>
      </c>
      <c r="P101" s="4"/>
      <c r="Q101" s="4"/>
      <c r="R101" s="4"/>
    </row>
    <row r="102" spans="1:21" ht="15.75" thickBot="1" x14ac:dyDescent="0.3">
      <c r="E102" s="4" t="s">
        <v>61</v>
      </c>
      <c r="F102" s="4">
        <v>-1.4360417121868745E-2</v>
      </c>
      <c r="G102" s="4">
        <v>8.7161860632081079E-3</v>
      </c>
      <c r="H102" s="4">
        <v>-1.6475574313959978</v>
      </c>
      <c r="I102" s="4">
        <v>0.14343534994026688</v>
      </c>
      <c r="J102" s="4">
        <v>-3.4970922062717111E-2</v>
      </c>
      <c r="K102" s="4">
        <v>6.2500878189796225E-3</v>
      </c>
      <c r="L102" s="4">
        <v>-3.4970922062717111E-2</v>
      </c>
    </row>
    <row r="103" spans="1:21" x14ac:dyDescent="0.25">
      <c r="M103" s="5"/>
      <c r="N103" s="5" t="s">
        <v>43</v>
      </c>
      <c r="O103" s="5" t="s">
        <v>32</v>
      </c>
      <c r="P103" s="5" t="s">
        <v>44</v>
      </c>
      <c r="Q103" s="5" t="s">
        <v>45</v>
      </c>
      <c r="R103" s="5" t="s">
        <v>46</v>
      </c>
      <c r="S103" s="5" t="s">
        <v>47</v>
      </c>
      <c r="T103" s="5" t="s">
        <v>48</v>
      </c>
      <c r="U103" s="5" t="s">
        <v>49</v>
      </c>
    </row>
    <row r="104" spans="1:21" x14ac:dyDescent="0.25">
      <c r="A104" t="s">
        <v>60</v>
      </c>
      <c r="B104" t="s">
        <v>61</v>
      </c>
      <c r="C104" t="s">
        <v>6</v>
      </c>
      <c r="E104" t="s">
        <v>24</v>
      </c>
      <c r="M104" s="3" t="s">
        <v>50</v>
      </c>
      <c r="N104" s="3">
        <v>38.473398730230059</v>
      </c>
      <c r="O104" s="3">
        <v>37.958933829722412</v>
      </c>
      <c r="P104" s="3">
        <v>1.0135531967998745</v>
      </c>
      <c r="Q104" s="3">
        <v>0.34454083567556559</v>
      </c>
      <c r="R104" s="3">
        <v>-51.28521674371207</v>
      </c>
      <c r="S104" s="3">
        <v>128.23201420417217</v>
      </c>
      <c r="T104" s="3">
        <v>-51.28521674371207</v>
      </c>
      <c r="U104" s="3">
        <v>128.23201420417217</v>
      </c>
    </row>
    <row r="105" spans="1:21" ht="15.75" thickBot="1" x14ac:dyDescent="0.3">
      <c r="A105">
        <v>24.78</v>
      </c>
      <c r="B105">
        <v>191</v>
      </c>
      <c r="C105">
        <v>0.71899999999999997</v>
      </c>
      <c r="M105" s="3" t="s">
        <v>60</v>
      </c>
      <c r="N105" s="3">
        <v>-1.1987828652550554</v>
      </c>
      <c r="O105" s="3">
        <v>1.4892299467616557</v>
      </c>
      <c r="P105" s="3">
        <v>-0.80496827764027967</v>
      </c>
      <c r="Q105" s="3">
        <v>0.44731239972965808</v>
      </c>
      <c r="R105" s="3">
        <v>-4.7202521126076302</v>
      </c>
      <c r="S105" s="3">
        <v>2.322686382097519</v>
      </c>
      <c r="T105" s="3">
        <v>-4.7202521126076302</v>
      </c>
      <c r="U105" s="3">
        <v>2.322686382097519</v>
      </c>
    </row>
    <row r="106" spans="1:21" ht="15.75" thickBot="1" x14ac:dyDescent="0.3">
      <c r="A106">
        <v>25.125</v>
      </c>
      <c r="B106">
        <v>247</v>
      </c>
      <c r="C106">
        <v>0.65700000000000003</v>
      </c>
      <c r="E106" s="2" t="s">
        <v>27</v>
      </c>
      <c r="F106" s="2"/>
      <c r="M106" s="4" t="s">
        <v>61</v>
      </c>
      <c r="N106" s="4">
        <v>-1.4360417121868745E-2</v>
      </c>
      <c r="O106" s="4">
        <v>8.7161860632081079E-3</v>
      </c>
      <c r="P106" s="4">
        <v>-1.6475574313959978</v>
      </c>
      <c r="Q106" s="4">
        <v>0.14343534994026688</v>
      </c>
      <c r="R106" s="4">
        <v>-3.4970922062717111E-2</v>
      </c>
      <c r="S106" s="4">
        <v>6.2500878189796225E-3</v>
      </c>
      <c r="T106" s="4">
        <v>-3.4970922062717111E-2</v>
      </c>
      <c r="U106" s="4">
        <v>6.2500878189796225E-3</v>
      </c>
    </row>
    <row r="107" spans="1:21" x14ac:dyDescent="0.25">
      <c r="A107">
        <v>25.4</v>
      </c>
      <c r="B107">
        <v>107</v>
      </c>
      <c r="C107">
        <v>0.623</v>
      </c>
      <c r="E107" s="3" t="s">
        <v>28</v>
      </c>
      <c r="F107" s="3">
        <v>0.3586862344787809</v>
      </c>
    </row>
    <row r="108" spans="1:21" x14ac:dyDescent="0.25">
      <c r="A108">
        <v>25.22</v>
      </c>
      <c r="B108">
        <v>136</v>
      </c>
      <c r="C108">
        <v>0.66500000000000004</v>
      </c>
      <c r="E108" s="3" t="s">
        <v>30</v>
      </c>
      <c r="F108" s="3">
        <v>0.12865581480456698</v>
      </c>
    </row>
    <row r="109" spans="1:21" ht="15.75" thickBot="1" x14ac:dyDescent="0.3">
      <c r="A109">
        <v>25.12</v>
      </c>
      <c r="B109">
        <v>147</v>
      </c>
      <c r="C109">
        <v>0.86699999999999999</v>
      </c>
      <c r="E109" s="3" t="s">
        <v>31</v>
      </c>
      <c r="F109" s="3">
        <v>-0.12029966667984246</v>
      </c>
    </row>
    <row r="110" spans="1:21" x14ac:dyDescent="0.25">
      <c r="A110">
        <v>25.47</v>
      </c>
      <c r="B110">
        <v>169</v>
      </c>
      <c r="C110">
        <v>0.80600000000000005</v>
      </c>
      <c r="E110" s="3" t="s">
        <v>32</v>
      </c>
      <c r="F110" s="3">
        <v>0.23203374782103922</v>
      </c>
      <c r="O110" s="2" t="s">
        <v>27</v>
      </c>
      <c r="P110" s="2"/>
    </row>
    <row r="111" spans="1:21" ht="15.75" thickBot="1" x14ac:dyDescent="0.3">
      <c r="A111">
        <v>25.55</v>
      </c>
      <c r="B111">
        <v>136</v>
      </c>
      <c r="C111">
        <v>0.96599999999999997</v>
      </c>
      <c r="E111" s="4" t="s">
        <v>33</v>
      </c>
      <c r="F111" s="4">
        <v>10</v>
      </c>
      <c r="O111" s="3" t="s">
        <v>28</v>
      </c>
      <c r="P111" s="3">
        <v>0.3586862344787809</v>
      </c>
    </row>
    <row r="112" spans="1:21" x14ac:dyDescent="0.25">
      <c r="A112">
        <v>24.98</v>
      </c>
      <c r="B112">
        <v>137</v>
      </c>
      <c r="C112">
        <v>1.0569999999999999</v>
      </c>
      <c r="O112" s="3" t="s">
        <v>30</v>
      </c>
      <c r="P112" s="3">
        <v>0.12865581480456698</v>
      </c>
    </row>
    <row r="113" spans="1:23" ht="15.75" thickBot="1" x14ac:dyDescent="0.3">
      <c r="A113">
        <v>25.07</v>
      </c>
      <c r="B113">
        <v>125</v>
      </c>
      <c r="C113">
        <v>1.109</v>
      </c>
      <c r="E113" t="s">
        <v>34</v>
      </c>
      <c r="O113" s="3" t="s">
        <v>31</v>
      </c>
      <c r="P113" s="3">
        <v>-0.12029966667984246</v>
      </c>
    </row>
    <row r="114" spans="1:23" x14ac:dyDescent="0.25">
      <c r="A114">
        <v>25.17</v>
      </c>
      <c r="B114">
        <v>152</v>
      </c>
      <c r="C114">
        <v>1.2649999999999999</v>
      </c>
      <c r="E114" s="5"/>
      <c r="F114" s="5" t="s">
        <v>35</v>
      </c>
      <c r="G114" s="5" t="s">
        <v>36</v>
      </c>
      <c r="H114" s="5" t="s">
        <v>37</v>
      </c>
      <c r="I114" s="5" t="s">
        <v>38</v>
      </c>
      <c r="J114" s="5" t="s">
        <v>39</v>
      </c>
      <c r="O114" s="3" t="s">
        <v>32</v>
      </c>
      <c r="P114" s="3">
        <v>0.23203374782103922</v>
      </c>
    </row>
    <row r="115" spans="1:23" ht="15.75" thickBot="1" x14ac:dyDescent="0.3">
      <c r="E115" s="3" t="s">
        <v>40</v>
      </c>
      <c r="F115" s="3">
        <v>2</v>
      </c>
      <c r="G115" s="3">
        <v>5.5646779104856436E-2</v>
      </c>
      <c r="H115" s="3">
        <v>2.7823389552428218E-2</v>
      </c>
      <c r="I115" s="3">
        <v>0.51678241441984052</v>
      </c>
      <c r="J115" s="3">
        <v>0.61753855986289496</v>
      </c>
      <c r="O115" s="4" t="s">
        <v>33</v>
      </c>
      <c r="P115" s="4">
        <v>10</v>
      </c>
    </row>
    <row r="116" spans="1:23" x14ac:dyDescent="0.25">
      <c r="E116" s="3" t="s">
        <v>41</v>
      </c>
      <c r="F116" s="3">
        <v>7</v>
      </c>
      <c r="G116" s="3">
        <v>0.37687762089514343</v>
      </c>
      <c r="H116" s="3">
        <v>5.383966012787763E-2</v>
      </c>
      <c r="I116" s="3"/>
      <c r="J116" s="3"/>
    </row>
    <row r="117" spans="1:23" ht="15.75" thickBot="1" x14ac:dyDescent="0.3">
      <c r="E117" s="4" t="s">
        <v>42</v>
      </c>
      <c r="F117" s="4">
        <v>9</v>
      </c>
      <c r="G117" s="4">
        <v>0.43252439999999986</v>
      </c>
      <c r="H117" s="4"/>
      <c r="I117" s="4"/>
      <c r="J117" s="4"/>
      <c r="O117" t="s">
        <v>34</v>
      </c>
    </row>
    <row r="118" spans="1:23" ht="15.75" thickBot="1" x14ac:dyDescent="0.3">
      <c r="O118" s="5"/>
      <c r="P118" s="5" t="s">
        <v>35</v>
      </c>
      <c r="Q118" s="5" t="s">
        <v>36</v>
      </c>
      <c r="R118" s="5" t="s">
        <v>37</v>
      </c>
      <c r="S118" s="5" t="s">
        <v>38</v>
      </c>
      <c r="T118" s="5" t="s">
        <v>39</v>
      </c>
    </row>
    <row r="119" spans="1:23" x14ac:dyDescent="0.25">
      <c r="E119" s="5"/>
      <c r="F119" s="5" t="s">
        <v>43</v>
      </c>
      <c r="G119" s="5" t="s">
        <v>32</v>
      </c>
      <c r="H119" s="5" t="s">
        <v>44</v>
      </c>
      <c r="I119" s="5" t="s">
        <v>45</v>
      </c>
      <c r="J119" s="5" t="s">
        <v>46</v>
      </c>
      <c r="K119" s="5" t="s">
        <v>47</v>
      </c>
      <c r="L119" s="5" t="s">
        <v>48</v>
      </c>
      <c r="M119" s="5" t="s">
        <v>49</v>
      </c>
      <c r="O119" s="3" t="s">
        <v>40</v>
      </c>
      <c r="P119" s="3">
        <v>2</v>
      </c>
      <c r="Q119" s="3">
        <v>5.5646779104856436E-2</v>
      </c>
      <c r="R119" s="3">
        <v>2.7823389552428218E-2</v>
      </c>
      <c r="S119" s="3">
        <v>0.51678241441984052</v>
      </c>
      <c r="T119" s="3">
        <v>0.61753855986289496</v>
      </c>
    </row>
    <row r="120" spans="1:23" x14ac:dyDescent="0.25">
      <c r="E120" s="3" t="s">
        <v>50</v>
      </c>
      <c r="F120" s="3">
        <v>6.0368500007667798</v>
      </c>
      <c r="G120" s="3">
        <v>8.9100207445858643</v>
      </c>
      <c r="H120" s="3">
        <v>0.67753489849448956</v>
      </c>
      <c r="I120" s="3">
        <v>0.5198243198662631</v>
      </c>
      <c r="J120" s="3">
        <v>-15.032001128342465</v>
      </c>
      <c r="K120" s="3">
        <v>27.105701129876024</v>
      </c>
      <c r="L120" s="3">
        <v>-15.032001128342465</v>
      </c>
      <c r="M120" s="3">
        <v>27.105701129876024</v>
      </c>
      <c r="O120" s="3" t="s">
        <v>41</v>
      </c>
      <c r="P120" s="3">
        <v>7</v>
      </c>
      <c r="Q120" s="3">
        <v>0.37687762089514343</v>
      </c>
      <c r="R120" s="3">
        <v>5.383966012787763E-2</v>
      </c>
      <c r="S120" s="3"/>
      <c r="T120" s="3"/>
    </row>
    <row r="121" spans="1:23" ht="15.75" thickBot="1" x14ac:dyDescent="0.3">
      <c r="E121" s="3" t="s">
        <v>60</v>
      </c>
      <c r="F121" s="3">
        <v>-0.19262278469701474</v>
      </c>
      <c r="G121" s="3">
        <v>0.34956381490132826</v>
      </c>
      <c r="H121" s="3">
        <v>-0.55103754017384943</v>
      </c>
      <c r="I121" s="3">
        <v>0.59874671984159156</v>
      </c>
      <c r="J121" s="3">
        <v>-1.0192098586670546</v>
      </c>
      <c r="K121" s="3">
        <v>0.63396428927302506</v>
      </c>
      <c r="L121" s="3">
        <v>-1.0192098586670546</v>
      </c>
      <c r="M121" s="3">
        <v>0.63396428927302506</v>
      </c>
      <c r="O121" s="4" t="s">
        <v>42</v>
      </c>
      <c r="P121" s="4">
        <v>9</v>
      </c>
      <c r="Q121" s="4">
        <v>0.43252439999999986</v>
      </c>
      <c r="R121" s="4"/>
      <c r="S121" s="4"/>
      <c r="T121" s="4"/>
    </row>
    <row r="122" spans="1:23" ht="15.75" thickBot="1" x14ac:dyDescent="0.3">
      <c r="E122" s="4" t="s">
        <v>61</v>
      </c>
      <c r="F122" s="4">
        <v>-2.0140335386297612E-3</v>
      </c>
      <c r="G122" s="4">
        <v>2.045932032370319E-3</v>
      </c>
      <c r="H122" s="4">
        <v>-0.98440882041247391</v>
      </c>
      <c r="I122" s="4">
        <v>0.35770866662157796</v>
      </c>
      <c r="J122" s="4">
        <v>-6.8518940381666451E-3</v>
      </c>
      <c r="K122" s="4">
        <v>2.8238269609071227E-3</v>
      </c>
      <c r="L122" s="4">
        <v>-6.8518940381666451E-3</v>
      </c>
      <c r="M122" s="4">
        <v>2.8238269609071227E-3</v>
      </c>
    </row>
    <row r="123" spans="1:23" x14ac:dyDescent="0.25">
      <c r="O123" s="5"/>
      <c r="P123" s="5" t="s">
        <v>43</v>
      </c>
      <c r="Q123" s="5" t="s">
        <v>32</v>
      </c>
      <c r="R123" s="5" t="s">
        <v>44</v>
      </c>
      <c r="S123" s="5" t="s">
        <v>45</v>
      </c>
      <c r="T123" s="5" t="s">
        <v>46</v>
      </c>
      <c r="U123" s="5" t="s">
        <v>47</v>
      </c>
      <c r="V123" s="5" t="s">
        <v>48</v>
      </c>
      <c r="W123" s="5" t="s">
        <v>49</v>
      </c>
    </row>
    <row r="124" spans="1:23" x14ac:dyDescent="0.25">
      <c r="B124">
        <v>25.2</v>
      </c>
      <c r="C124">
        <v>116.5</v>
      </c>
      <c r="D124">
        <f>F120+F121*B124+C124*F122</f>
        <v>0.94812091915164121</v>
      </c>
      <c r="E124">
        <v>24.82</v>
      </c>
      <c r="O124" s="3" t="s">
        <v>50</v>
      </c>
      <c r="P124" s="3">
        <v>6.0368500007667798</v>
      </c>
      <c r="Q124" s="3">
        <v>8.9100207445858643</v>
      </c>
      <c r="R124" s="3">
        <v>0.67753489849448956</v>
      </c>
      <c r="S124" s="3">
        <v>0.5198243198662631</v>
      </c>
      <c r="T124" s="3">
        <v>-15.032001128342465</v>
      </c>
      <c r="U124" s="3">
        <v>27.105701129876024</v>
      </c>
      <c r="V124" s="3">
        <v>-15.032001128342465</v>
      </c>
      <c r="W124" s="3">
        <v>27.105701129876024</v>
      </c>
    </row>
    <row r="125" spans="1:23" x14ac:dyDescent="0.25">
      <c r="B125">
        <v>25.3</v>
      </c>
      <c r="C125">
        <v>163</v>
      </c>
      <c r="D125">
        <f>F120+F121*B125+C125*F122</f>
        <v>0.83520608113565542</v>
      </c>
      <c r="E125">
        <v>35.1</v>
      </c>
      <c r="O125" s="3" t="s">
        <v>60</v>
      </c>
      <c r="P125" s="3">
        <v>-0.19262278469701474</v>
      </c>
      <c r="Q125" s="3">
        <v>0.34956381490132826</v>
      </c>
      <c r="R125" s="3">
        <v>-0.55103754017384943</v>
      </c>
      <c r="S125" s="3">
        <v>0.59874671984159156</v>
      </c>
      <c r="T125" s="3">
        <v>-1.0192098586670546</v>
      </c>
      <c r="U125" s="3">
        <v>0.63396428927302506</v>
      </c>
      <c r="V125" s="3">
        <v>-1.0192098586670546</v>
      </c>
      <c r="W125" s="3">
        <v>0.63396428927302506</v>
      </c>
    </row>
    <row r="126" spans="1:23" ht="15.75" thickBot="1" x14ac:dyDescent="0.3">
      <c r="O126" s="4" t="s">
        <v>61</v>
      </c>
      <c r="P126" s="4">
        <v>-2.0140335386297612E-3</v>
      </c>
      <c r="Q126" s="4">
        <v>2.045932032370319E-3</v>
      </c>
      <c r="R126" s="4">
        <v>-0.98440882041247391</v>
      </c>
      <c r="S126" s="4">
        <v>0.35770866662157796</v>
      </c>
      <c r="T126" s="4">
        <v>-6.8518940381666451E-3</v>
      </c>
      <c r="U126" s="4">
        <v>2.8238269609071227E-3</v>
      </c>
      <c r="V126" s="4">
        <v>-6.8518940381666451E-3</v>
      </c>
      <c r="W126" s="4">
        <v>2.8238269609071227E-3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topLeftCell="A61" workbookViewId="0">
      <selection activeCell="S69" sqref="S69"/>
    </sheetView>
  </sheetViews>
  <sheetFormatPr defaultRowHeight="15" x14ac:dyDescent="0.25"/>
  <cols>
    <col min="9" max="9" width="10.42578125" customWidth="1"/>
    <col min="14" max="14" width="6.7109375" customWidth="1"/>
    <col min="15" max="15" width="17.140625" customWidth="1"/>
  </cols>
  <sheetData>
    <row r="1" spans="1:16" x14ac:dyDescent="0.25">
      <c r="B1" t="s">
        <v>1</v>
      </c>
    </row>
    <row r="2" spans="1:16" x14ac:dyDescent="0.25">
      <c r="A2" t="s">
        <v>21</v>
      </c>
      <c r="B2" t="s">
        <v>22</v>
      </c>
      <c r="C2" t="s">
        <v>95</v>
      </c>
      <c r="D2" t="s">
        <v>25</v>
      </c>
      <c r="G2" t="s">
        <v>88</v>
      </c>
      <c r="H2" t="s">
        <v>99</v>
      </c>
      <c r="I2" t="s">
        <v>90</v>
      </c>
      <c r="J2" t="s">
        <v>82</v>
      </c>
      <c r="N2" t="s">
        <v>91</v>
      </c>
      <c r="O2" t="s">
        <v>92</v>
      </c>
      <c r="P2" s="6" t="s">
        <v>93</v>
      </c>
    </row>
    <row r="3" spans="1:16" x14ac:dyDescent="0.25">
      <c r="A3">
        <v>29.02</v>
      </c>
      <c r="B3">
        <v>161</v>
      </c>
      <c r="C3">
        <v>78</v>
      </c>
      <c r="D3">
        <v>0.69099999999999995</v>
      </c>
      <c r="G3">
        <v>29.12</v>
      </c>
      <c r="H3">
        <v>138</v>
      </c>
      <c r="I3">
        <v>73</v>
      </c>
      <c r="J3">
        <v>1.0429999999999999</v>
      </c>
      <c r="N3">
        <f>RANK(O3,$O$3:$O$12,1)</f>
        <v>7</v>
      </c>
      <c r="O3">
        <f>SQRT((A3-$G$3)^2+(B3-$H$3)^2+(C3-$I$3)^2)</f>
        <v>23.537417020565361</v>
      </c>
      <c r="P3">
        <f>D3</f>
        <v>0.69099999999999995</v>
      </c>
    </row>
    <row r="4" spans="1:16" x14ac:dyDescent="0.25">
      <c r="A4">
        <v>29.42</v>
      </c>
      <c r="B4">
        <v>130</v>
      </c>
      <c r="C4">
        <v>77</v>
      </c>
      <c r="D4">
        <v>0.80600000000000005</v>
      </c>
      <c r="N4">
        <f t="shared" ref="N4:N12" si="0">RANK(O4,$O$3:$O$12,1)</f>
        <v>5</v>
      </c>
      <c r="O4">
        <f t="shared" ref="O4:O12" si="1">SQRT((A4-$G$3)^2+(B4-$H$3)^2+(C4-$I$3)^2)</f>
        <v>8.9493016487321508</v>
      </c>
      <c r="P4">
        <f t="shared" ref="P4:P12" si="2">D4</f>
        <v>0.80600000000000005</v>
      </c>
    </row>
    <row r="5" spans="1:16" x14ac:dyDescent="0.25">
      <c r="A5">
        <v>30</v>
      </c>
      <c r="B5">
        <v>90</v>
      </c>
      <c r="C5">
        <v>76</v>
      </c>
      <c r="D5">
        <v>0.81399999999999995</v>
      </c>
      <c r="H5" t="s">
        <v>29</v>
      </c>
      <c r="N5">
        <f t="shared" si="0"/>
        <v>9</v>
      </c>
      <c r="O5">
        <f t="shared" si="1"/>
        <v>48.10170890935165</v>
      </c>
      <c r="P5">
        <f t="shared" si="2"/>
        <v>0.81399999999999995</v>
      </c>
    </row>
    <row r="6" spans="1:16" x14ac:dyDescent="0.25">
      <c r="A6">
        <v>29.45</v>
      </c>
      <c r="B6">
        <v>142</v>
      </c>
      <c r="C6">
        <v>76</v>
      </c>
      <c r="D6">
        <v>1.0429999999999999</v>
      </c>
      <c r="H6" s="10">
        <v>0.32690000000000002</v>
      </c>
      <c r="N6">
        <f t="shared" si="0"/>
        <v>1</v>
      </c>
      <c r="O6">
        <f t="shared" si="1"/>
        <v>5.0108781665492526</v>
      </c>
      <c r="P6">
        <f t="shared" si="2"/>
        <v>1.0429999999999999</v>
      </c>
    </row>
    <row r="7" spans="1:16" x14ac:dyDescent="0.25">
      <c r="A7">
        <v>29.05</v>
      </c>
      <c r="B7">
        <v>132</v>
      </c>
      <c r="C7">
        <v>76</v>
      </c>
      <c r="D7">
        <v>0.93</v>
      </c>
      <c r="N7">
        <f t="shared" si="0"/>
        <v>2</v>
      </c>
      <c r="O7">
        <f t="shared" si="1"/>
        <v>6.7085691469940141</v>
      </c>
      <c r="P7">
        <f t="shared" si="2"/>
        <v>0.93</v>
      </c>
    </row>
    <row r="8" spans="1:16" x14ac:dyDescent="0.25">
      <c r="A8">
        <v>29.17</v>
      </c>
      <c r="B8">
        <v>131</v>
      </c>
      <c r="C8">
        <v>78</v>
      </c>
      <c r="D8">
        <v>0.93600000000000005</v>
      </c>
      <c r="N8">
        <f t="shared" si="0"/>
        <v>4</v>
      </c>
      <c r="O8">
        <f t="shared" si="1"/>
        <v>8.6024705753638013</v>
      </c>
      <c r="P8">
        <f t="shared" si="2"/>
        <v>0.93600000000000005</v>
      </c>
    </row>
    <row r="9" spans="1:16" x14ac:dyDescent="0.25">
      <c r="A9">
        <v>30</v>
      </c>
      <c r="B9">
        <v>97</v>
      </c>
      <c r="C9">
        <v>74</v>
      </c>
      <c r="D9">
        <v>0.88600000000000001</v>
      </c>
      <c r="N9">
        <f t="shared" si="0"/>
        <v>8</v>
      </c>
      <c r="O9">
        <f t="shared" si="1"/>
        <v>41.021633317068201</v>
      </c>
      <c r="P9">
        <f t="shared" si="2"/>
        <v>0.88600000000000001</v>
      </c>
    </row>
    <row r="10" spans="1:16" x14ac:dyDescent="0.25">
      <c r="A10">
        <v>30.47</v>
      </c>
      <c r="B10">
        <v>130</v>
      </c>
      <c r="C10">
        <v>74</v>
      </c>
      <c r="D10">
        <v>0.95799999999999996</v>
      </c>
      <c r="N10">
        <f t="shared" si="0"/>
        <v>3</v>
      </c>
      <c r="O10">
        <f t="shared" si="1"/>
        <v>8.1745030429990049</v>
      </c>
      <c r="P10">
        <f t="shared" si="2"/>
        <v>0.95799999999999996</v>
      </c>
    </row>
    <row r="11" spans="1:16" x14ac:dyDescent="0.25">
      <c r="A11">
        <v>28.85</v>
      </c>
      <c r="B11">
        <v>128</v>
      </c>
      <c r="C11">
        <v>75</v>
      </c>
      <c r="D11">
        <v>0.996</v>
      </c>
      <c r="N11">
        <f t="shared" si="0"/>
        <v>6</v>
      </c>
      <c r="O11">
        <f t="shared" si="1"/>
        <v>10.201612617620805</v>
      </c>
      <c r="P11">
        <f t="shared" si="2"/>
        <v>0.996</v>
      </c>
    </row>
    <row r="12" spans="1:16" x14ac:dyDescent="0.25">
      <c r="A12">
        <v>29.95</v>
      </c>
      <c r="B12">
        <v>86</v>
      </c>
      <c r="C12">
        <v>72</v>
      </c>
      <c r="D12">
        <v>0.746</v>
      </c>
      <c r="N12">
        <f t="shared" si="0"/>
        <v>10</v>
      </c>
      <c r="O12">
        <f t="shared" si="1"/>
        <v>52.016236888110235</v>
      </c>
      <c r="P12">
        <f t="shared" si="2"/>
        <v>0.746</v>
      </c>
    </row>
    <row r="15" spans="1:16" x14ac:dyDescent="0.25">
      <c r="B15" t="s">
        <v>2</v>
      </c>
    </row>
    <row r="16" spans="1:16" x14ac:dyDescent="0.25">
      <c r="A16" t="s">
        <v>21</v>
      </c>
      <c r="B16" t="s">
        <v>22</v>
      </c>
      <c r="C16" t="s">
        <v>95</v>
      </c>
      <c r="D16" t="s">
        <v>25</v>
      </c>
      <c r="G16" t="s">
        <v>88</v>
      </c>
      <c r="H16" t="s">
        <v>99</v>
      </c>
      <c r="I16" t="s">
        <v>90</v>
      </c>
      <c r="J16" t="s">
        <v>82</v>
      </c>
      <c r="N16" t="s">
        <v>91</v>
      </c>
      <c r="O16" t="s">
        <v>92</v>
      </c>
      <c r="P16" t="s">
        <v>93</v>
      </c>
    </row>
    <row r="17" spans="1:16" x14ac:dyDescent="0.25">
      <c r="A17">
        <v>29.42</v>
      </c>
      <c r="B17">
        <v>304</v>
      </c>
      <c r="C17">
        <v>86</v>
      </c>
      <c r="D17">
        <v>1.1160000000000001</v>
      </c>
      <c r="G17">
        <v>29.17</v>
      </c>
      <c r="H17">
        <v>276</v>
      </c>
      <c r="I17">
        <v>84</v>
      </c>
      <c r="J17">
        <v>1.0069999999999999</v>
      </c>
      <c r="N17">
        <f>RANK(O17,$O$17:$O$26,1)</f>
        <v>3</v>
      </c>
      <c r="O17">
        <f>SQRT((A17-$G$17)^2+(B17-$H$17)^2+(C17-$I$17)^2)</f>
        <v>28.07245090831935</v>
      </c>
      <c r="P17">
        <f>D17</f>
        <v>1.1160000000000001</v>
      </c>
    </row>
    <row r="18" spans="1:16" x14ac:dyDescent="0.25">
      <c r="A18">
        <v>28.67</v>
      </c>
      <c r="B18">
        <v>479</v>
      </c>
      <c r="C18">
        <v>86</v>
      </c>
      <c r="D18">
        <v>0.95299999999999996</v>
      </c>
      <c r="N18">
        <f t="shared" ref="N18:N26" si="3">RANK(O18,$O$17:$O$26,1)</f>
        <v>10</v>
      </c>
      <c r="O18">
        <f t="shared" ref="O18:O26" si="4">SQRT((A18-$G$17)^2+(B18-$H$17)^2+(C18-$I$17)^2)</f>
        <v>203.01046771041143</v>
      </c>
      <c r="P18">
        <f t="shared" ref="P18:P26" si="5">D18</f>
        <v>0.95299999999999996</v>
      </c>
    </row>
    <row r="19" spans="1:16" x14ac:dyDescent="0.25">
      <c r="A19">
        <v>29.02</v>
      </c>
      <c r="B19">
        <v>316</v>
      </c>
      <c r="C19">
        <v>86</v>
      </c>
      <c r="D19">
        <v>0.99299999999999999</v>
      </c>
      <c r="H19" t="s">
        <v>29</v>
      </c>
      <c r="N19">
        <f t="shared" si="3"/>
        <v>5</v>
      </c>
      <c r="O19">
        <f t="shared" si="4"/>
        <v>40.050249687111815</v>
      </c>
      <c r="P19">
        <f t="shared" si="5"/>
        <v>0.99299999999999999</v>
      </c>
    </row>
    <row r="20" spans="1:16" x14ac:dyDescent="0.25">
      <c r="A20">
        <v>29.22</v>
      </c>
      <c r="B20">
        <v>296</v>
      </c>
      <c r="C20">
        <v>86</v>
      </c>
      <c r="D20">
        <v>1.0069999999999999</v>
      </c>
      <c r="H20" s="10">
        <v>8.3900000000000002E-2</v>
      </c>
      <c r="N20">
        <f t="shared" si="3"/>
        <v>1</v>
      </c>
      <c r="O20">
        <f t="shared" si="4"/>
        <v>20.09981343196996</v>
      </c>
      <c r="P20">
        <f t="shared" si="5"/>
        <v>1.0069999999999999</v>
      </c>
    </row>
    <row r="21" spans="1:16" x14ac:dyDescent="0.25">
      <c r="A21">
        <v>29.1</v>
      </c>
      <c r="B21">
        <v>352</v>
      </c>
      <c r="C21">
        <v>85</v>
      </c>
      <c r="D21">
        <v>1.044</v>
      </c>
      <c r="N21">
        <f t="shared" si="3"/>
        <v>9</v>
      </c>
      <c r="O21">
        <f t="shared" si="4"/>
        <v>76.006610896684506</v>
      </c>
      <c r="P21">
        <f t="shared" si="5"/>
        <v>1.044</v>
      </c>
    </row>
    <row r="22" spans="1:16" x14ac:dyDescent="0.25">
      <c r="A22">
        <v>29</v>
      </c>
      <c r="B22">
        <v>314</v>
      </c>
      <c r="C22">
        <v>86</v>
      </c>
      <c r="D22">
        <v>0.99199999999999999</v>
      </c>
      <c r="N22">
        <f t="shared" si="3"/>
        <v>4</v>
      </c>
      <c r="O22">
        <f t="shared" si="4"/>
        <v>38.05297491655547</v>
      </c>
      <c r="P22">
        <f t="shared" si="5"/>
        <v>0.99199999999999999</v>
      </c>
    </row>
    <row r="23" spans="1:16" x14ac:dyDescent="0.25">
      <c r="A23">
        <v>29.2</v>
      </c>
      <c r="B23">
        <v>298</v>
      </c>
      <c r="C23">
        <v>84</v>
      </c>
      <c r="D23">
        <v>0.91900000000000004</v>
      </c>
      <c r="N23">
        <f t="shared" si="3"/>
        <v>2</v>
      </c>
      <c r="O23">
        <f t="shared" si="4"/>
        <v>22.000020454535946</v>
      </c>
      <c r="P23">
        <f t="shared" si="5"/>
        <v>0.91900000000000004</v>
      </c>
    </row>
    <row r="24" spans="1:16" x14ac:dyDescent="0.25">
      <c r="A24">
        <v>29.7</v>
      </c>
      <c r="B24">
        <v>202</v>
      </c>
      <c r="C24">
        <v>82</v>
      </c>
      <c r="D24">
        <v>0.96199999999999997</v>
      </c>
      <c r="N24">
        <f t="shared" si="3"/>
        <v>8</v>
      </c>
      <c r="O24">
        <f t="shared" si="4"/>
        <v>74.028919349130035</v>
      </c>
      <c r="P24">
        <f t="shared" si="5"/>
        <v>0.96199999999999997</v>
      </c>
    </row>
    <row r="25" spans="1:16" x14ac:dyDescent="0.25">
      <c r="A25">
        <v>29.12</v>
      </c>
      <c r="B25">
        <v>212</v>
      </c>
      <c r="C25">
        <v>83</v>
      </c>
      <c r="D25">
        <v>1.0509999999999999</v>
      </c>
      <c r="N25">
        <f t="shared" si="3"/>
        <v>7</v>
      </c>
      <c r="O25">
        <f t="shared" si="4"/>
        <v>64.007831552084312</v>
      </c>
      <c r="P25">
        <f t="shared" si="5"/>
        <v>1.0509999999999999</v>
      </c>
    </row>
    <row r="26" spans="1:16" x14ac:dyDescent="0.25">
      <c r="A26">
        <v>29.25</v>
      </c>
      <c r="B26">
        <v>216</v>
      </c>
      <c r="C26">
        <v>84</v>
      </c>
      <c r="D26">
        <v>0.96899999999999997</v>
      </c>
      <c r="N26">
        <f t="shared" si="3"/>
        <v>6</v>
      </c>
      <c r="O26">
        <f t="shared" si="4"/>
        <v>60.00005333330963</v>
      </c>
      <c r="P26">
        <f t="shared" si="5"/>
        <v>0.96899999999999997</v>
      </c>
    </row>
    <row r="29" spans="1:16" x14ac:dyDescent="0.25">
      <c r="B29" t="s">
        <v>3</v>
      </c>
    </row>
    <row r="30" spans="1:16" x14ac:dyDescent="0.25">
      <c r="A30" t="s">
        <v>21</v>
      </c>
      <c r="B30" t="s">
        <v>22</v>
      </c>
      <c r="C30" t="s">
        <v>95</v>
      </c>
      <c r="D30" t="s">
        <v>23</v>
      </c>
      <c r="G30" t="s">
        <v>88</v>
      </c>
      <c r="H30" t="s">
        <v>99</v>
      </c>
      <c r="I30" t="s">
        <v>90</v>
      </c>
      <c r="J30" t="s">
        <v>82</v>
      </c>
      <c r="N30" t="s">
        <v>91</v>
      </c>
      <c r="O30" t="s">
        <v>92</v>
      </c>
      <c r="P30" t="s">
        <v>93</v>
      </c>
    </row>
    <row r="31" spans="1:16" x14ac:dyDescent="0.25">
      <c r="A31">
        <v>20.7</v>
      </c>
      <c r="B31">
        <v>7</v>
      </c>
      <c r="C31">
        <v>80</v>
      </c>
      <c r="D31">
        <v>1.452</v>
      </c>
      <c r="G31">
        <v>20.5</v>
      </c>
      <c r="H31">
        <v>5</v>
      </c>
      <c r="I31">
        <v>75</v>
      </c>
      <c r="J31">
        <v>1.6859999999999999</v>
      </c>
      <c r="N31">
        <f>RANK(O31,$O$31:$O$40,1)</f>
        <v>3</v>
      </c>
      <c r="O31">
        <f>SQRT((A31-$G$31)^2+(B31-$H$31)^2+(C31-$I$31)^2)</f>
        <v>5.3888774341229917</v>
      </c>
      <c r="P31">
        <f>D31</f>
        <v>1.452</v>
      </c>
    </row>
    <row r="32" spans="1:16" x14ac:dyDescent="0.25">
      <c r="A32">
        <v>20.87</v>
      </c>
      <c r="B32">
        <v>12</v>
      </c>
      <c r="C32">
        <v>80</v>
      </c>
      <c r="D32">
        <v>1.5109999999999999</v>
      </c>
      <c r="N32">
        <f t="shared" ref="N32:N40" si="6">RANK(O32,$O$31:$O$40,1)</f>
        <v>6</v>
      </c>
      <c r="O32">
        <f t="shared" ref="O32:O40" si="7">SQRT((A32-$G$31)^2+(B32-$H$31)^2+(C32-$I$31)^2)</f>
        <v>8.6102787411325998</v>
      </c>
      <c r="P32">
        <f t="shared" ref="P32:P40" si="8">D32</f>
        <v>1.5109999999999999</v>
      </c>
    </row>
    <row r="33" spans="1:16" x14ac:dyDescent="0.25">
      <c r="A33">
        <v>21.27</v>
      </c>
      <c r="B33">
        <v>1</v>
      </c>
      <c r="C33">
        <v>79</v>
      </c>
      <c r="D33">
        <v>1.47</v>
      </c>
      <c r="H33" t="s">
        <v>83</v>
      </c>
      <c r="N33">
        <f t="shared" si="6"/>
        <v>4</v>
      </c>
      <c r="O33">
        <f t="shared" si="7"/>
        <v>5.7090191802095038</v>
      </c>
      <c r="P33">
        <f t="shared" si="8"/>
        <v>1.47</v>
      </c>
    </row>
    <row r="34" spans="1:16" x14ac:dyDescent="0.25">
      <c r="A34">
        <v>21.92</v>
      </c>
      <c r="B34">
        <v>20</v>
      </c>
      <c r="C34">
        <v>78</v>
      </c>
      <c r="D34">
        <v>1.7450000000000001</v>
      </c>
      <c r="H34" s="10">
        <v>1.1299999999999999E-2</v>
      </c>
      <c r="N34">
        <f t="shared" si="6"/>
        <v>8</v>
      </c>
      <c r="O34">
        <f t="shared" si="7"/>
        <v>15.362825260999358</v>
      </c>
      <c r="P34">
        <f t="shared" si="8"/>
        <v>1.7450000000000001</v>
      </c>
    </row>
    <row r="35" spans="1:16" x14ac:dyDescent="0.25">
      <c r="A35">
        <v>20.82</v>
      </c>
      <c r="B35">
        <v>54</v>
      </c>
      <c r="C35">
        <v>80</v>
      </c>
      <c r="D35">
        <v>1.5640000000000001</v>
      </c>
      <c r="N35">
        <f t="shared" si="6"/>
        <v>10</v>
      </c>
      <c r="O35">
        <f t="shared" si="7"/>
        <v>49.25548091329533</v>
      </c>
      <c r="P35">
        <f t="shared" si="8"/>
        <v>1.5640000000000001</v>
      </c>
    </row>
    <row r="36" spans="1:16" x14ac:dyDescent="0.25">
      <c r="A36">
        <v>20.8</v>
      </c>
      <c r="B36">
        <v>1</v>
      </c>
      <c r="C36">
        <v>80</v>
      </c>
      <c r="D36">
        <v>1.597</v>
      </c>
      <c r="N36">
        <f t="shared" si="6"/>
        <v>5</v>
      </c>
      <c r="O36">
        <f t="shared" si="7"/>
        <v>6.4101482042149387</v>
      </c>
      <c r="P36">
        <f t="shared" si="8"/>
        <v>1.597</v>
      </c>
    </row>
    <row r="37" spans="1:16" x14ac:dyDescent="0.25">
      <c r="A37">
        <v>22.35</v>
      </c>
      <c r="B37">
        <v>2</v>
      </c>
      <c r="C37">
        <v>78</v>
      </c>
      <c r="D37">
        <v>1.6220000000000001</v>
      </c>
      <c r="N37">
        <f t="shared" si="6"/>
        <v>2</v>
      </c>
      <c r="O37">
        <f t="shared" si="7"/>
        <v>4.6284446631670999</v>
      </c>
      <c r="P37">
        <f t="shared" si="8"/>
        <v>1.6220000000000001</v>
      </c>
    </row>
    <row r="38" spans="1:16" x14ac:dyDescent="0.25">
      <c r="A38">
        <v>20.92</v>
      </c>
      <c r="B38">
        <v>18</v>
      </c>
      <c r="C38">
        <v>77</v>
      </c>
      <c r="D38">
        <v>1.623</v>
      </c>
      <c r="N38">
        <f t="shared" si="6"/>
        <v>7</v>
      </c>
      <c r="O38">
        <f t="shared" si="7"/>
        <v>13.15965045128479</v>
      </c>
      <c r="P38">
        <f t="shared" si="8"/>
        <v>1.623</v>
      </c>
    </row>
    <row r="39" spans="1:16" x14ac:dyDescent="0.25">
      <c r="A39">
        <v>20.420000000000002</v>
      </c>
      <c r="B39">
        <v>9</v>
      </c>
      <c r="C39">
        <v>77</v>
      </c>
      <c r="D39">
        <v>1.6859999999999999</v>
      </c>
      <c r="N39">
        <f t="shared" si="6"/>
        <v>1</v>
      </c>
      <c r="O39">
        <f t="shared" si="7"/>
        <v>4.4728514395181964</v>
      </c>
      <c r="P39">
        <f t="shared" si="8"/>
        <v>1.6859999999999999</v>
      </c>
    </row>
    <row r="40" spans="1:16" x14ac:dyDescent="0.25">
      <c r="A40">
        <v>20.36</v>
      </c>
      <c r="B40">
        <v>21</v>
      </c>
      <c r="C40">
        <v>78</v>
      </c>
      <c r="D40">
        <v>1.69</v>
      </c>
      <c r="N40">
        <f t="shared" si="6"/>
        <v>9</v>
      </c>
      <c r="O40">
        <f t="shared" si="7"/>
        <v>16.279422594183124</v>
      </c>
      <c r="P40">
        <f t="shared" si="8"/>
        <v>1.69</v>
      </c>
    </row>
    <row r="43" spans="1:16" x14ac:dyDescent="0.25">
      <c r="B43" t="s">
        <v>53</v>
      </c>
    </row>
    <row r="44" spans="1:16" x14ac:dyDescent="0.25">
      <c r="A44" t="s">
        <v>21</v>
      </c>
      <c r="B44" t="s">
        <v>22</v>
      </c>
      <c r="C44" t="s">
        <v>95</v>
      </c>
      <c r="D44" t="s">
        <v>23</v>
      </c>
      <c r="G44" t="s">
        <v>88</v>
      </c>
      <c r="H44" t="s">
        <v>99</v>
      </c>
      <c r="I44" t="s">
        <v>90</v>
      </c>
      <c r="J44" t="s">
        <v>82</v>
      </c>
      <c r="N44" t="s">
        <v>91</v>
      </c>
      <c r="O44" t="s">
        <v>92</v>
      </c>
      <c r="P44" t="s">
        <v>93</v>
      </c>
    </row>
    <row r="45" spans="1:16" x14ac:dyDescent="0.25">
      <c r="A45">
        <v>29.02</v>
      </c>
      <c r="B45">
        <v>161</v>
      </c>
      <c r="C45">
        <v>78</v>
      </c>
      <c r="D45">
        <v>5.83</v>
      </c>
      <c r="G45">
        <v>29.12</v>
      </c>
      <c r="H45">
        <v>138</v>
      </c>
      <c r="I45">
        <v>73</v>
      </c>
      <c r="J45">
        <v>5.6</v>
      </c>
      <c r="N45">
        <f>RANK(O45,$O$45:$O$54,1)</f>
        <v>7</v>
      </c>
      <c r="O45">
        <f>SQRT((A45-$G$45)^2+(B45-$H$45)^2+(C45-$I$45)^2)</f>
        <v>23.537417020565361</v>
      </c>
      <c r="P45">
        <f>D45</f>
        <v>5.83</v>
      </c>
    </row>
    <row r="46" spans="1:16" x14ac:dyDescent="0.25">
      <c r="A46">
        <v>29.42</v>
      </c>
      <c r="B46">
        <v>130</v>
      </c>
      <c r="C46">
        <v>77</v>
      </c>
      <c r="D46">
        <v>5.83</v>
      </c>
      <c r="N46">
        <f t="shared" ref="N46:N54" si="9">RANK(O46,$O$45:$O$54,1)</f>
        <v>5</v>
      </c>
      <c r="O46">
        <f t="shared" ref="O46:O54" si="10">SQRT((A46-$G$45)^2+(B46-$H$45)^2+(C46-$I$45)^2)</f>
        <v>8.9493016487321508</v>
      </c>
      <c r="P46">
        <f t="shared" ref="P46:P54" si="11">D46</f>
        <v>5.83</v>
      </c>
    </row>
    <row r="47" spans="1:16" x14ac:dyDescent="0.25">
      <c r="A47">
        <v>30</v>
      </c>
      <c r="B47">
        <v>90</v>
      </c>
      <c r="C47">
        <v>76</v>
      </c>
      <c r="D47">
        <v>5.41</v>
      </c>
      <c r="H47" t="s">
        <v>29</v>
      </c>
      <c r="N47">
        <f t="shared" si="9"/>
        <v>9</v>
      </c>
      <c r="O47">
        <f t="shared" si="10"/>
        <v>48.10170890935165</v>
      </c>
      <c r="P47">
        <f t="shared" si="11"/>
        <v>5.41</v>
      </c>
    </row>
    <row r="48" spans="1:16" x14ac:dyDescent="0.25">
      <c r="A48">
        <v>29.45</v>
      </c>
      <c r="B48">
        <v>142</v>
      </c>
      <c r="C48">
        <v>76</v>
      </c>
      <c r="D48">
        <v>5.6</v>
      </c>
      <c r="H48" s="10">
        <v>9.3700000000000006E-2</v>
      </c>
      <c r="N48">
        <f t="shared" si="9"/>
        <v>1</v>
      </c>
      <c r="O48">
        <f t="shared" si="10"/>
        <v>5.0108781665492526</v>
      </c>
      <c r="P48">
        <f t="shared" si="11"/>
        <v>5.6</v>
      </c>
    </row>
    <row r="49" spans="1:16" x14ac:dyDescent="0.25">
      <c r="A49">
        <v>29.05</v>
      </c>
      <c r="B49">
        <v>132</v>
      </c>
      <c r="C49">
        <v>76</v>
      </c>
      <c r="D49">
        <v>5.35</v>
      </c>
      <c r="N49">
        <f t="shared" si="9"/>
        <v>2</v>
      </c>
      <c r="O49">
        <f t="shared" si="10"/>
        <v>6.7085691469940141</v>
      </c>
      <c r="P49">
        <f t="shared" si="11"/>
        <v>5.35</v>
      </c>
    </row>
    <row r="50" spans="1:16" x14ac:dyDescent="0.25">
      <c r="A50">
        <v>29.17</v>
      </c>
      <c r="B50">
        <v>131</v>
      </c>
      <c r="C50">
        <v>78</v>
      </c>
      <c r="D50">
        <v>5.84</v>
      </c>
      <c r="N50">
        <f t="shared" si="9"/>
        <v>4</v>
      </c>
      <c r="O50">
        <f t="shared" si="10"/>
        <v>8.6024705753638013</v>
      </c>
      <c r="P50">
        <f t="shared" si="11"/>
        <v>5.84</v>
      </c>
    </row>
    <row r="51" spans="1:16" x14ac:dyDescent="0.25">
      <c r="A51">
        <v>30</v>
      </c>
      <c r="B51">
        <v>97</v>
      </c>
      <c r="C51">
        <v>74</v>
      </c>
      <c r="D51">
        <v>5.76</v>
      </c>
      <c r="N51">
        <f t="shared" si="9"/>
        <v>8</v>
      </c>
      <c r="O51">
        <f t="shared" si="10"/>
        <v>41.021633317068201</v>
      </c>
      <c r="P51">
        <f t="shared" si="11"/>
        <v>5.76</v>
      </c>
    </row>
    <row r="52" spans="1:16" x14ac:dyDescent="0.25">
      <c r="A52">
        <v>30.47</v>
      </c>
      <c r="B52">
        <v>130</v>
      </c>
      <c r="C52">
        <v>74</v>
      </c>
      <c r="D52">
        <v>5.48</v>
      </c>
      <c r="N52">
        <f t="shared" si="9"/>
        <v>3</v>
      </c>
      <c r="O52">
        <f t="shared" si="10"/>
        <v>8.1745030429990049</v>
      </c>
      <c r="P52">
        <f t="shared" si="11"/>
        <v>5.48</v>
      </c>
    </row>
    <row r="53" spans="1:16" x14ac:dyDescent="0.25">
      <c r="A53">
        <v>28.85</v>
      </c>
      <c r="B53">
        <v>128</v>
      </c>
      <c r="C53">
        <v>75</v>
      </c>
      <c r="D53">
        <v>4.2</v>
      </c>
      <c r="N53">
        <f t="shared" si="9"/>
        <v>6</v>
      </c>
      <c r="O53">
        <f t="shared" si="10"/>
        <v>10.201612617620805</v>
      </c>
      <c r="P53">
        <f t="shared" si="11"/>
        <v>4.2</v>
      </c>
    </row>
    <row r="54" spans="1:16" x14ac:dyDescent="0.25">
      <c r="A54">
        <v>29.95</v>
      </c>
      <c r="B54">
        <v>86</v>
      </c>
      <c r="C54">
        <v>72</v>
      </c>
      <c r="D54">
        <v>4.3810000000000002</v>
      </c>
      <c r="N54">
        <f t="shared" si="9"/>
        <v>10</v>
      </c>
      <c r="O54">
        <f t="shared" si="10"/>
        <v>52.016236888110235</v>
      </c>
      <c r="P54">
        <f t="shared" si="11"/>
        <v>4.3810000000000002</v>
      </c>
    </row>
    <row r="57" spans="1:16" x14ac:dyDescent="0.25">
      <c r="B57" t="s">
        <v>5</v>
      </c>
    </row>
    <row r="58" spans="1:16" x14ac:dyDescent="0.25">
      <c r="A58" t="s">
        <v>21</v>
      </c>
      <c r="B58" t="s">
        <v>22</v>
      </c>
      <c r="C58" t="s">
        <v>95</v>
      </c>
      <c r="D58" t="s">
        <v>82</v>
      </c>
      <c r="G58" t="s">
        <v>88</v>
      </c>
      <c r="H58" t="s">
        <v>99</v>
      </c>
      <c r="I58" t="s">
        <v>90</v>
      </c>
      <c r="J58" t="s">
        <v>82</v>
      </c>
      <c r="N58" t="s">
        <v>91</v>
      </c>
      <c r="O58" t="s">
        <v>92</v>
      </c>
      <c r="P58" t="s">
        <v>93</v>
      </c>
    </row>
    <row r="59" spans="1:16" x14ac:dyDescent="0.25">
      <c r="A59">
        <v>20.7</v>
      </c>
      <c r="B59">
        <v>7</v>
      </c>
      <c r="C59">
        <v>80</v>
      </c>
      <c r="D59">
        <v>8.891</v>
      </c>
      <c r="G59">
        <v>20.5</v>
      </c>
      <c r="H59">
        <v>5</v>
      </c>
      <c r="I59">
        <v>75</v>
      </c>
      <c r="J59">
        <v>7.9359999999999999</v>
      </c>
      <c r="N59">
        <f>RANK(O59,$O$59:$O$68,1)</f>
        <v>3</v>
      </c>
      <c r="O59">
        <f>SQRT((A59-$G$59)^2+(B59-$H$59)^2+(C59-$I$59)^2)</f>
        <v>5.3888774341229917</v>
      </c>
      <c r="P59">
        <f>D59</f>
        <v>8.891</v>
      </c>
    </row>
    <row r="60" spans="1:16" x14ac:dyDescent="0.25">
      <c r="A60">
        <v>20.87</v>
      </c>
      <c r="B60">
        <v>12</v>
      </c>
      <c r="C60">
        <v>80</v>
      </c>
      <c r="D60">
        <v>8.891</v>
      </c>
      <c r="N60">
        <f t="shared" ref="N60:N68" si="12">RANK(O60,$O$59:$O$68,1)</f>
        <v>6</v>
      </c>
      <c r="O60">
        <f t="shared" ref="O60:O68" si="13">SQRT((A60-$G$59)^2+(B60-$H$59)^2+(C60-$I$59)^2)</f>
        <v>8.6102787411325998</v>
      </c>
      <c r="P60">
        <f t="shared" ref="P60:P68" si="14">D60</f>
        <v>8.891</v>
      </c>
    </row>
    <row r="61" spans="1:16" x14ac:dyDescent="0.25">
      <c r="A61">
        <v>21.27</v>
      </c>
      <c r="B61">
        <v>1</v>
      </c>
      <c r="C61">
        <v>79</v>
      </c>
      <c r="D61">
        <v>8.1560000000000006</v>
      </c>
      <c r="H61" t="s">
        <v>83</v>
      </c>
      <c r="N61">
        <f t="shared" si="12"/>
        <v>4</v>
      </c>
      <c r="O61">
        <f t="shared" si="13"/>
        <v>5.7090191802095038</v>
      </c>
      <c r="P61">
        <f t="shared" si="14"/>
        <v>8.1560000000000006</v>
      </c>
    </row>
    <row r="62" spans="1:16" x14ac:dyDescent="0.25">
      <c r="A62">
        <v>21.92</v>
      </c>
      <c r="B62">
        <v>20</v>
      </c>
      <c r="C62">
        <v>78</v>
      </c>
      <c r="D62">
        <v>7.88</v>
      </c>
      <c r="H62" s="10">
        <v>0.13159999999999999</v>
      </c>
      <c r="N62">
        <f t="shared" si="12"/>
        <v>8</v>
      </c>
      <c r="O62">
        <f t="shared" si="13"/>
        <v>15.362825260999358</v>
      </c>
      <c r="P62">
        <f t="shared" si="14"/>
        <v>7.88</v>
      </c>
    </row>
    <row r="63" spans="1:16" x14ac:dyDescent="0.25">
      <c r="A63">
        <v>20.82</v>
      </c>
      <c r="B63">
        <v>54</v>
      </c>
      <c r="C63">
        <v>80</v>
      </c>
      <c r="D63">
        <v>7.859</v>
      </c>
      <c r="N63">
        <f t="shared" si="12"/>
        <v>10</v>
      </c>
      <c r="O63">
        <f t="shared" si="13"/>
        <v>49.25548091329533</v>
      </c>
      <c r="P63">
        <f t="shared" si="14"/>
        <v>7.859</v>
      </c>
    </row>
    <row r="64" spans="1:16" x14ac:dyDescent="0.25">
      <c r="A64">
        <v>20.8</v>
      </c>
      <c r="B64">
        <v>1</v>
      </c>
      <c r="C64">
        <v>80</v>
      </c>
      <c r="D64">
        <v>6.2530000000000001</v>
      </c>
      <c r="N64">
        <f t="shared" si="12"/>
        <v>5</v>
      </c>
      <c r="O64">
        <f t="shared" si="13"/>
        <v>6.4101482042149387</v>
      </c>
      <c r="P64">
        <f t="shared" si="14"/>
        <v>6.2530000000000001</v>
      </c>
    </row>
    <row r="65" spans="1:16" x14ac:dyDescent="0.25">
      <c r="A65">
        <v>22.35</v>
      </c>
      <c r="B65">
        <v>2</v>
      </c>
      <c r="C65">
        <v>78</v>
      </c>
      <c r="D65">
        <v>10.087999999999999</v>
      </c>
      <c r="N65">
        <f t="shared" si="12"/>
        <v>2</v>
      </c>
      <c r="O65">
        <f t="shared" si="13"/>
        <v>4.6284446631670999</v>
      </c>
      <c r="P65">
        <f t="shared" si="14"/>
        <v>10.087999999999999</v>
      </c>
    </row>
    <row r="66" spans="1:16" x14ac:dyDescent="0.25">
      <c r="A66">
        <v>20.92</v>
      </c>
      <c r="B66">
        <v>18</v>
      </c>
      <c r="C66">
        <v>77</v>
      </c>
      <c r="D66">
        <v>8.2240000000000002</v>
      </c>
      <c r="N66">
        <f t="shared" si="12"/>
        <v>7</v>
      </c>
      <c r="O66">
        <f t="shared" si="13"/>
        <v>13.15965045128479</v>
      </c>
      <c r="P66">
        <f t="shared" si="14"/>
        <v>8.2240000000000002</v>
      </c>
    </row>
    <row r="67" spans="1:16" x14ac:dyDescent="0.25">
      <c r="A67">
        <v>20.420000000000002</v>
      </c>
      <c r="B67">
        <v>9</v>
      </c>
      <c r="C67">
        <v>77</v>
      </c>
      <c r="D67">
        <v>7.9359999999999999</v>
      </c>
      <c r="N67">
        <f t="shared" si="12"/>
        <v>1</v>
      </c>
      <c r="O67">
        <f t="shared" si="13"/>
        <v>4.4728514395181964</v>
      </c>
      <c r="P67">
        <f t="shared" si="14"/>
        <v>7.9359999999999999</v>
      </c>
    </row>
    <row r="68" spans="1:16" x14ac:dyDescent="0.25">
      <c r="A68">
        <v>20.36</v>
      </c>
      <c r="B68">
        <v>21</v>
      </c>
      <c r="C68">
        <v>78</v>
      </c>
      <c r="D68">
        <v>9.0039999999999996</v>
      </c>
      <c r="N68">
        <f t="shared" si="12"/>
        <v>9</v>
      </c>
      <c r="O68">
        <f t="shared" si="13"/>
        <v>16.279422594183124</v>
      </c>
      <c r="P68">
        <f t="shared" si="14"/>
        <v>9.0039999999999996</v>
      </c>
    </row>
    <row r="71" spans="1:16" x14ac:dyDescent="0.25">
      <c r="B71" t="s">
        <v>87</v>
      </c>
    </row>
    <row r="72" spans="1:16" x14ac:dyDescent="0.25">
      <c r="A72" t="s">
        <v>21</v>
      </c>
      <c r="B72" t="s">
        <v>22</v>
      </c>
      <c r="C72" t="s">
        <v>95</v>
      </c>
      <c r="D72" t="s">
        <v>82</v>
      </c>
      <c r="G72" t="s">
        <v>88</v>
      </c>
      <c r="H72" t="s">
        <v>99</v>
      </c>
      <c r="I72" t="s">
        <v>90</v>
      </c>
      <c r="J72" t="s">
        <v>82</v>
      </c>
      <c r="N72" t="s">
        <v>91</v>
      </c>
      <c r="O72" t="s">
        <v>92</v>
      </c>
      <c r="P72" t="s">
        <v>93</v>
      </c>
    </row>
    <row r="73" spans="1:16" x14ac:dyDescent="0.25">
      <c r="A73">
        <v>20.7</v>
      </c>
      <c r="B73">
        <v>7</v>
      </c>
      <c r="C73">
        <v>80</v>
      </c>
      <c r="D73">
        <v>0.94399999999999995</v>
      </c>
      <c r="G73">
        <v>20.5</v>
      </c>
      <c r="H73">
        <v>5</v>
      </c>
      <c r="I73">
        <v>75</v>
      </c>
      <c r="J73">
        <v>1.0129999999999999</v>
      </c>
      <c r="N73">
        <f>RANK(O73,$O$73:$O$82,1)</f>
        <v>3</v>
      </c>
      <c r="O73">
        <f>SQRT((A73-$G$73)^2+(B73-$H$73)^2+(C73-$I$73)^2)</f>
        <v>5.3888774341229917</v>
      </c>
      <c r="P73">
        <f>D73</f>
        <v>0.94399999999999995</v>
      </c>
    </row>
    <row r="74" spans="1:16" x14ac:dyDescent="0.25">
      <c r="A74">
        <v>20.87</v>
      </c>
      <c r="B74">
        <v>12</v>
      </c>
      <c r="C74">
        <v>80</v>
      </c>
      <c r="D74">
        <v>0.67900000000000005</v>
      </c>
      <c r="N74">
        <f t="shared" ref="N74:N82" si="15">RANK(O74,$O$73:$O$82,1)</f>
        <v>6</v>
      </c>
      <c r="O74">
        <f t="shared" ref="O74:O82" si="16">SQRT((A74-$G$73)^2+(B74-$H$73)^2+(C74-$I$73)^2)</f>
        <v>8.6102787411325998</v>
      </c>
      <c r="P74">
        <f t="shared" ref="P74:P82" si="17">D74</f>
        <v>0.67900000000000005</v>
      </c>
    </row>
    <row r="75" spans="1:16" x14ac:dyDescent="0.25">
      <c r="A75">
        <v>21.27</v>
      </c>
      <c r="B75">
        <v>1</v>
      </c>
      <c r="C75">
        <v>79</v>
      </c>
      <c r="D75">
        <v>0.81</v>
      </c>
      <c r="H75" t="s">
        <v>29</v>
      </c>
      <c r="N75">
        <f t="shared" si="15"/>
        <v>4</v>
      </c>
      <c r="O75">
        <f t="shared" si="16"/>
        <v>5.7090191802095038</v>
      </c>
      <c r="P75">
        <f t="shared" si="17"/>
        <v>0.81</v>
      </c>
    </row>
    <row r="76" spans="1:16" x14ac:dyDescent="0.25">
      <c r="A76">
        <v>21.92</v>
      </c>
      <c r="B76">
        <v>20</v>
      </c>
      <c r="C76">
        <v>78</v>
      </c>
      <c r="D76">
        <v>0.92400000000000004</v>
      </c>
      <c r="H76" s="10">
        <v>0.1696</v>
      </c>
      <c r="N76">
        <f t="shared" si="15"/>
        <v>8</v>
      </c>
      <c r="O76">
        <f t="shared" si="16"/>
        <v>15.362825260999358</v>
      </c>
      <c r="P76">
        <f t="shared" si="17"/>
        <v>0.92400000000000004</v>
      </c>
    </row>
    <row r="77" spans="1:16" x14ac:dyDescent="0.25">
      <c r="A77">
        <v>20.82</v>
      </c>
      <c r="B77">
        <v>54</v>
      </c>
      <c r="C77">
        <v>80</v>
      </c>
      <c r="D77">
        <v>0.95899999999999996</v>
      </c>
      <c r="N77">
        <f t="shared" si="15"/>
        <v>10</v>
      </c>
      <c r="O77">
        <f t="shared" si="16"/>
        <v>49.25548091329533</v>
      </c>
      <c r="P77">
        <f t="shared" si="17"/>
        <v>0.95899999999999996</v>
      </c>
    </row>
    <row r="78" spans="1:16" x14ac:dyDescent="0.25">
      <c r="A78">
        <v>20.8</v>
      </c>
      <c r="B78">
        <v>1</v>
      </c>
      <c r="C78">
        <v>80</v>
      </c>
      <c r="D78">
        <v>1.0960000000000001</v>
      </c>
      <c r="N78">
        <f t="shared" si="15"/>
        <v>5</v>
      </c>
      <c r="O78">
        <f t="shared" si="16"/>
        <v>6.4101482042149387</v>
      </c>
      <c r="P78">
        <f t="shared" si="17"/>
        <v>1.0960000000000001</v>
      </c>
    </row>
    <row r="79" spans="1:16" x14ac:dyDescent="0.25">
      <c r="A79">
        <v>22.35</v>
      </c>
      <c r="B79">
        <v>2</v>
      </c>
      <c r="C79">
        <v>78</v>
      </c>
      <c r="D79">
        <v>0.84299999999999997</v>
      </c>
      <c r="N79">
        <f t="shared" si="15"/>
        <v>2</v>
      </c>
      <c r="O79">
        <f t="shared" si="16"/>
        <v>4.6284446631670999</v>
      </c>
      <c r="P79">
        <f t="shared" si="17"/>
        <v>0.84299999999999997</v>
      </c>
    </row>
    <row r="80" spans="1:16" x14ac:dyDescent="0.25">
      <c r="A80">
        <v>20.92</v>
      </c>
      <c r="B80">
        <v>18</v>
      </c>
      <c r="C80">
        <v>77</v>
      </c>
      <c r="D80">
        <v>1.1639999999999999</v>
      </c>
      <c r="N80">
        <f t="shared" si="15"/>
        <v>7</v>
      </c>
      <c r="O80">
        <f t="shared" si="16"/>
        <v>13.15965045128479</v>
      </c>
      <c r="P80">
        <f t="shared" si="17"/>
        <v>1.1639999999999999</v>
      </c>
    </row>
    <row r="81" spans="1:16" x14ac:dyDescent="0.25">
      <c r="A81">
        <v>20.420000000000002</v>
      </c>
      <c r="B81">
        <v>9</v>
      </c>
      <c r="C81">
        <v>77</v>
      </c>
      <c r="D81">
        <v>1.0129999999999999</v>
      </c>
      <c r="N81">
        <f t="shared" si="15"/>
        <v>1</v>
      </c>
      <c r="O81">
        <f t="shared" si="16"/>
        <v>4.4728514395181964</v>
      </c>
      <c r="P81">
        <f t="shared" si="17"/>
        <v>1.0129999999999999</v>
      </c>
    </row>
    <row r="82" spans="1:16" x14ac:dyDescent="0.25">
      <c r="A82">
        <v>20.36</v>
      </c>
      <c r="B82">
        <v>21</v>
      </c>
      <c r="C82">
        <v>78</v>
      </c>
      <c r="D82">
        <v>1.141</v>
      </c>
      <c r="N82">
        <f t="shared" si="15"/>
        <v>9</v>
      </c>
      <c r="O82">
        <f t="shared" si="16"/>
        <v>16.279422594183124</v>
      </c>
      <c r="P82">
        <f t="shared" si="17"/>
        <v>1.141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38" workbookViewId="0">
      <selection activeCell="J55" sqref="J55"/>
    </sheetView>
  </sheetViews>
  <sheetFormatPr defaultRowHeight="15" x14ac:dyDescent="0.25"/>
  <sheetData>
    <row r="1" spans="1:20" x14ac:dyDescent="0.25">
      <c r="C1" t="s">
        <v>78</v>
      </c>
      <c r="F1" t="s">
        <v>79</v>
      </c>
      <c r="I1" t="s">
        <v>64</v>
      </c>
      <c r="L1" t="s">
        <v>78</v>
      </c>
      <c r="O1" t="s">
        <v>79</v>
      </c>
      <c r="R1" t="s">
        <v>80</v>
      </c>
    </row>
    <row r="2" spans="1:20" x14ac:dyDescent="0.25">
      <c r="A2" t="s">
        <v>66</v>
      </c>
      <c r="B2" t="s">
        <v>75</v>
      </c>
      <c r="C2" t="s">
        <v>76</v>
      </c>
      <c r="D2" s="6" t="s">
        <v>77</v>
      </c>
      <c r="E2" t="s">
        <v>75</v>
      </c>
      <c r="F2" t="s">
        <v>76</v>
      </c>
      <c r="G2" s="6" t="s">
        <v>77</v>
      </c>
      <c r="H2" t="s">
        <v>75</v>
      </c>
      <c r="I2" t="s">
        <v>76</v>
      </c>
      <c r="J2" t="s">
        <v>77</v>
      </c>
      <c r="K2" t="s">
        <v>69</v>
      </c>
      <c r="L2" t="s">
        <v>75</v>
      </c>
      <c r="M2" t="s">
        <v>76</v>
      </c>
      <c r="N2" t="s">
        <v>77</v>
      </c>
      <c r="O2" t="s">
        <v>75</v>
      </c>
      <c r="P2" t="s">
        <v>76</v>
      </c>
      <c r="Q2" t="s">
        <v>77</v>
      </c>
      <c r="R2" t="s">
        <v>75</v>
      </c>
      <c r="S2" t="s">
        <v>76</v>
      </c>
      <c r="T2" t="s">
        <v>77</v>
      </c>
    </row>
    <row r="3" spans="1:20" x14ac:dyDescent="0.25">
      <c r="B3">
        <v>27.15</v>
      </c>
      <c r="C3">
        <v>28.72</v>
      </c>
      <c r="D3">
        <v>20.55</v>
      </c>
      <c r="E3">
        <v>268</v>
      </c>
      <c r="F3">
        <v>161</v>
      </c>
      <c r="G3">
        <v>14</v>
      </c>
      <c r="H3">
        <v>82</v>
      </c>
      <c r="I3">
        <v>85</v>
      </c>
      <c r="J3">
        <v>79</v>
      </c>
      <c r="L3">
        <v>26.45</v>
      </c>
      <c r="M3">
        <v>28.88</v>
      </c>
      <c r="N3">
        <v>21.2</v>
      </c>
      <c r="O3">
        <v>469</v>
      </c>
      <c r="P3">
        <v>417</v>
      </c>
      <c r="Q3">
        <v>4</v>
      </c>
      <c r="R3">
        <v>77</v>
      </c>
      <c r="S3">
        <v>85</v>
      </c>
      <c r="T3">
        <v>74</v>
      </c>
    </row>
    <row r="4" spans="1:20" x14ac:dyDescent="0.25">
      <c r="B4">
        <v>27.77</v>
      </c>
      <c r="C4">
        <v>28.13</v>
      </c>
      <c r="D4">
        <v>20.97</v>
      </c>
      <c r="E4">
        <v>255</v>
      </c>
      <c r="F4">
        <v>349</v>
      </c>
      <c r="G4">
        <v>2</v>
      </c>
      <c r="H4">
        <v>82</v>
      </c>
      <c r="I4">
        <v>84</v>
      </c>
      <c r="J4">
        <v>78</v>
      </c>
      <c r="L4">
        <v>27.08</v>
      </c>
      <c r="M4">
        <v>27.93</v>
      </c>
      <c r="N4">
        <v>21.7</v>
      </c>
      <c r="O4">
        <v>396</v>
      </c>
      <c r="P4">
        <v>663</v>
      </c>
      <c r="Q4">
        <v>16</v>
      </c>
      <c r="R4">
        <v>77</v>
      </c>
      <c r="S4">
        <v>85</v>
      </c>
      <c r="T4">
        <v>71</v>
      </c>
    </row>
    <row r="5" spans="1:20" x14ac:dyDescent="0.25">
      <c r="B5">
        <v>27.97</v>
      </c>
      <c r="C5">
        <v>28.45</v>
      </c>
      <c r="D5">
        <v>21.4</v>
      </c>
      <c r="E5">
        <v>214</v>
      </c>
      <c r="F5">
        <v>389</v>
      </c>
      <c r="G5">
        <v>1</v>
      </c>
      <c r="H5">
        <v>82</v>
      </c>
      <c r="I5">
        <v>86</v>
      </c>
      <c r="J5">
        <v>78</v>
      </c>
      <c r="L5">
        <v>26.5</v>
      </c>
      <c r="M5">
        <v>28.77</v>
      </c>
      <c r="N5">
        <v>22.05</v>
      </c>
      <c r="O5">
        <v>483</v>
      </c>
      <c r="P5">
        <v>545</v>
      </c>
      <c r="Q5">
        <v>15</v>
      </c>
      <c r="R5">
        <v>79</v>
      </c>
      <c r="S5">
        <v>85</v>
      </c>
      <c r="T5">
        <v>73</v>
      </c>
    </row>
    <row r="6" spans="1:20" x14ac:dyDescent="0.25">
      <c r="B6">
        <v>28</v>
      </c>
      <c r="C6">
        <v>28.73</v>
      </c>
      <c r="D6">
        <v>21.88</v>
      </c>
      <c r="E6">
        <v>281</v>
      </c>
      <c r="F6">
        <v>192</v>
      </c>
      <c r="G6">
        <v>5</v>
      </c>
      <c r="H6">
        <v>79</v>
      </c>
      <c r="I6">
        <v>85</v>
      </c>
      <c r="J6">
        <v>80</v>
      </c>
      <c r="L6">
        <v>27.13</v>
      </c>
      <c r="M6">
        <v>29.13</v>
      </c>
      <c r="N6">
        <v>22.55</v>
      </c>
      <c r="O6">
        <v>557</v>
      </c>
      <c r="P6">
        <v>305</v>
      </c>
      <c r="Q6">
        <v>12</v>
      </c>
      <c r="R6">
        <v>75</v>
      </c>
      <c r="S6">
        <v>81</v>
      </c>
      <c r="T6">
        <v>74</v>
      </c>
    </row>
    <row r="7" spans="1:20" x14ac:dyDescent="0.25">
      <c r="B7">
        <v>27.35</v>
      </c>
      <c r="C7">
        <v>28.52</v>
      </c>
      <c r="D7">
        <v>21.95</v>
      </c>
      <c r="E7">
        <v>225</v>
      </c>
      <c r="F7">
        <v>373</v>
      </c>
      <c r="G7">
        <v>31</v>
      </c>
      <c r="H7">
        <v>81</v>
      </c>
      <c r="I7">
        <v>85</v>
      </c>
      <c r="J7">
        <v>79</v>
      </c>
      <c r="L7">
        <v>26.58</v>
      </c>
      <c r="M7">
        <v>28.38</v>
      </c>
      <c r="N7">
        <v>21.43</v>
      </c>
      <c r="O7">
        <v>515</v>
      </c>
      <c r="P7">
        <v>525</v>
      </c>
      <c r="Q7">
        <v>49</v>
      </c>
      <c r="R7">
        <v>76</v>
      </c>
      <c r="S7">
        <v>84</v>
      </c>
      <c r="T7">
        <v>75</v>
      </c>
    </row>
    <row r="8" spans="1:20" x14ac:dyDescent="0.25">
      <c r="B8">
        <v>27.73</v>
      </c>
      <c r="C8">
        <v>28.23</v>
      </c>
      <c r="D8">
        <v>21.08</v>
      </c>
      <c r="E8">
        <v>168</v>
      </c>
      <c r="F8">
        <v>336</v>
      </c>
      <c r="G8">
        <v>1</v>
      </c>
      <c r="H8">
        <v>82</v>
      </c>
      <c r="I8">
        <v>85</v>
      </c>
      <c r="J8">
        <v>78</v>
      </c>
      <c r="L8">
        <v>27.2</v>
      </c>
      <c r="M8">
        <v>28.33</v>
      </c>
      <c r="N8">
        <v>21.38</v>
      </c>
      <c r="O8">
        <v>369</v>
      </c>
      <c r="P8">
        <v>455</v>
      </c>
      <c r="Q8">
        <v>5</v>
      </c>
      <c r="R8">
        <v>77</v>
      </c>
      <c r="S8">
        <v>85</v>
      </c>
      <c r="T8">
        <v>74</v>
      </c>
    </row>
    <row r="9" spans="1:20" x14ac:dyDescent="0.25">
      <c r="B9">
        <v>28.43</v>
      </c>
      <c r="C9">
        <v>28.7</v>
      </c>
      <c r="D9">
        <v>21.6</v>
      </c>
      <c r="E9">
        <v>145</v>
      </c>
      <c r="F9">
        <v>310</v>
      </c>
      <c r="G9">
        <v>3</v>
      </c>
      <c r="H9">
        <v>79</v>
      </c>
      <c r="I9">
        <v>84</v>
      </c>
      <c r="J9">
        <v>77</v>
      </c>
      <c r="L9">
        <v>27.55</v>
      </c>
      <c r="M9">
        <v>28.93</v>
      </c>
      <c r="N9">
        <v>22.35</v>
      </c>
      <c r="O9">
        <v>383</v>
      </c>
      <c r="P9">
        <v>433</v>
      </c>
      <c r="Q9">
        <v>1</v>
      </c>
      <c r="R9">
        <v>74</v>
      </c>
      <c r="S9">
        <v>83</v>
      </c>
      <c r="T9">
        <v>73</v>
      </c>
    </row>
    <row r="10" spans="1:20" x14ac:dyDescent="0.25">
      <c r="B10">
        <v>28.57</v>
      </c>
      <c r="C10">
        <v>29.28</v>
      </c>
      <c r="D10">
        <v>21.1</v>
      </c>
      <c r="E10">
        <v>203</v>
      </c>
      <c r="F10">
        <v>184</v>
      </c>
      <c r="G10">
        <v>4</v>
      </c>
      <c r="H10">
        <v>81</v>
      </c>
      <c r="I10">
        <v>84</v>
      </c>
      <c r="J10">
        <v>76</v>
      </c>
      <c r="L10">
        <v>26.9</v>
      </c>
      <c r="M10">
        <v>28.93</v>
      </c>
      <c r="N10">
        <v>22.15</v>
      </c>
      <c r="O10">
        <v>656</v>
      </c>
      <c r="P10">
        <v>564</v>
      </c>
      <c r="Q10">
        <v>14</v>
      </c>
      <c r="R10">
        <v>78</v>
      </c>
      <c r="S10">
        <v>84</v>
      </c>
      <c r="T10">
        <v>71</v>
      </c>
    </row>
    <row r="11" spans="1:20" x14ac:dyDescent="0.25">
      <c r="B11">
        <v>27.58</v>
      </c>
      <c r="C11">
        <v>28.7</v>
      </c>
      <c r="D11">
        <v>20.88</v>
      </c>
      <c r="E11">
        <v>200</v>
      </c>
      <c r="F11">
        <v>270</v>
      </c>
      <c r="G11">
        <v>4</v>
      </c>
      <c r="H11">
        <v>80</v>
      </c>
      <c r="I11">
        <v>84</v>
      </c>
      <c r="J11">
        <v>76</v>
      </c>
      <c r="L11">
        <v>27.35</v>
      </c>
      <c r="M11">
        <v>27.78</v>
      </c>
      <c r="N11">
        <v>21.45</v>
      </c>
      <c r="O11">
        <v>289</v>
      </c>
      <c r="P11">
        <v>485</v>
      </c>
      <c r="Q11">
        <v>2</v>
      </c>
      <c r="R11">
        <v>75</v>
      </c>
      <c r="S11">
        <v>83</v>
      </c>
      <c r="T11">
        <v>72</v>
      </c>
    </row>
    <row r="12" spans="1:20" x14ac:dyDescent="0.25">
      <c r="B12">
        <v>28.1</v>
      </c>
      <c r="C12">
        <v>28.65</v>
      </c>
      <c r="D12">
        <v>20.55</v>
      </c>
      <c r="E12">
        <v>214</v>
      </c>
      <c r="F12">
        <v>237</v>
      </c>
      <c r="G12">
        <v>27</v>
      </c>
      <c r="H12">
        <v>81</v>
      </c>
      <c r="I12">
        <v>84</v>
      </c>
      <c r="J12">
        <v>77</v>
      </c>
      <c r="L12">
        <v>26.9</v>
      </c>
      <c r="M12">
        <v>28.7</v>
      </c>
      <c r="N12">
        <v>21.1</v>
      </c>
      <c r="O12">
        <v>587</v>
      </c>
      <c r="P12">
        <v>550</v>
      </c>
      <c r="Q12">
        <v>14</v>
      </c>
      <c r="R12">
        <v>76</v>
      </c>
      <c r="S12">
        <v>84</v>
      </c>
      <c r="T12">
        <v>74</v>
      </c>
    </row>
    <row r="13" spans="1:20" x14ac:dyDescent="0.25">
      <c r="B13">
        <v>27.93</v>
      </c>
      <c r="C13">
        <v>28.7</v>
      </c>
      <c r="D13">
        <v>21.08</v>
      </c>
      <c r="E13">
        <v>184</v>
      </c>
      <c r="F13">
        <v>224</v>
      </c>
      <c r="G13">
        <v>3</v>
      </c>
      <c r="H13">
        <v>80</v>
      </c>
      <c r="I13">
        <v>85</v>
      </c>
      <c r="J13">
        <v>75</v>
      </c>
      <c r="L13">
        <v>27.73</v>
      </c>
      <c r="M13">
        <v>28.75</v>
      </c>
      <c r="N13">
        <v>21.58</v>
      </c>
      <c r="O13">
        <v>483</v>
      </c>
      <c r="P13">
        <v>471</v>
      </c>
      <c r="Q13">
        <v>8</v>
      </c>
      <c r="R13">
        <v>73</v>
      </c>
      <c r="S13">
        <v>83</v>
      </c>
      <c r="T13">
        <v>72</v>
      </c>
    </row>
    <row r="15" spans="1:20" x14ac:dyDescent="0.25">
      <c r="C15" t="s">
        <v>78</v>
      </c>
      <c r="E15" t="s">
        <v>79</v>
      </c>
      <c r="H15" t="s">
        <v>64</v>
      </c>
      <c r="L15" t="s">
        <v>78</v>
      </c>
      <c r="O15" t="s">
        <v>79</v>
      </c>
      <c r="R15" t="s">
        <v>64</v>
      </c>
    </row>
    <row r="16" spans="1:20" x14ac:dyDescent="0.25">
      <c r="B16" t="s">
        <v>75</v>
      </c>
      <c r="C16" t="s">
        <v>76</v>
      </c>
      <c r="D16" t="s">
        <v>77</v>
      </c>
      <c r="E16" t="s">
        <v>75</v>
      </c>
      <c r="F16" t="s">
        <v>76</v>
      </c>
      <c r="G16" t="s">
        <v>77</v>
      </c>
      <c r="H16" t="s">
        <v>75</v>
      </c>
      <c r="I16" t="s">
        <v>76</v>
      </c>
      <c r="J16" t="s">
        <v>77</v>
      </c>
      <c r="K16" t="s">
        <v>81</v>
      </c>
      <c r="L16" t="s">
        <v>75</v>
      </c>
      <c r="M16" t="s">
        <v>76</v>
      </c>
      <c r="N16" t="s">
        <v>77</v>
      </c>
      <c r="O16" t="s">
        <v>75</v>
      </c>
      <c r="P16" t="s">
        <v>76</v>
      </c>
      <c r="Q16" t="s">
        <v>77</v>
      </c>
      <c r="R16" t="s">
        <v>75</v>
      </c>
      <c r="S16" t="s">
        <v>76</v>
      </c>
      <c r="T16" t="s">
        <v>77</v>
      </c>
    </row>
    <row r="17" spans="1:20" x14ac:dyDescent="0.25">
      <c r="A17" t="s">
        <v>67</v>
      </c>
      <c r="B17">
        <v>27.88</v>
      </c>
      <c r="C17">
        <v>28.83</v>
      </c>
      <c r="D17">
        <v>21.25</v>
      </c>
      <c r="E17">
        <v>208</v>
      </c>
      <c r="F17">
        <v>197</v>
      </c>
      <c r="G17">
        <v>11</v>
      </c>
      <c r="H17">
        <v>73</v>
      </c>
      <c r="I17">
        <v>81</v>
      </c>
      <c r="J17">
        <v>70</v>
      </c>
      <c r="L17">
        <v>28.3</v>
      </c>
      <c r="M17">
        <v>29.03</v>
      </c>
      <c r="N17">
        <v>20.58</v>
      </c>
      <c r="O17">
        <v>150</v>
      </c>
      <c r="P17">
        <v>164</v>
      </c>
      <c r="Q17">
        <v>7</v>
      </c>
      <c r="R17">
        <v>78</v>
      </c>
      <c r="S17">
        <v>85</v>
      </c>
      <c r="T17">
        <v>78</v>
      </c>
    </row>
    <row r="18" spans="1:20" x14ac:dyDescent="0.25">
      <c r="B18">
        <v>28.78</v>
      </c>
      <c r="C18">
        <v>28.25</v>
      </c>
      <c r="D18">
        <v>21.65</v>
      </c>
      <c r="E18">
        <v>203</v>
      </c>
      <c r="F18">
        <v>383</v>
      </c>
      <c r="G18">
        <v>1</v>
      </c>
      <c r="H18">
        <v>71</v>
      </c>
      <c r="I18">
        <v>80</v>
      </c>
      <c r="J18">
        <v>69</v>
      </c>
      <c r="L18">
        <v>28.8</v>
      </c>
      <c r="M18">
        <v>28.4</v>
      </c>
      <c r="N18">
        <v>21.05</v>
      </c>
      <c r="O18">
        <v>171</v>
      </c>
      <c r="P18">
        <v>327</v>
      </c>
      <c r="Q18">
        <v>4</v>
      </c>
      <c r="R18">
        <v>75</v>
      </c>
      <c r="S18">
        <v>85</v>
      </c>
      <c r="T18">
        <v>77</v>
      </c>
    </row>
    <row r="19" spans="1:20" x14ac:dyDescent="0.25">
      <c r="B19">
        <v>28.85</v>
      </c>
      <c r="C19">
        <v>28.73</v>
      </c>
      <c r="D19">
        <v>22.23</v>
      </c>
      <c r="E19">
        <v>199</v>
      </c>
      <c r="F19">
        <v>458</v>
      </c>
      <c r="G19">
        <v>1</v>
      </c>
      <c r="H19">
        <v>72</v>
      </c>
      <c r="I19">
        <v>82</v>
      </c>
      <c r="J19">
        <v>67</v>
      </c>
      <c r="L19">
        <v>29.15</v>
      </c>
      <c r="M19">
        <v>28.7</v>
      </c>
      <c r="N19">
        <v>21.47</v>
      </c>
      <c r="O19">
        <v>112</v>
      </c>
      <c r="P19">
        <v>296</v>
      </c>
      <c r="Q19">
        <v>1</v>
      </c>
      <c r="R19">
        <v>75</v>
      </c>
      <c r="S19">
        <v>86</v>
      </c>
      <c r="T19">
        <v>76</v>
      </c>
    </row>
    <row r="20" spans="1:20" x14ac:dyDescent="0.25">
      <c r="B20">
        <v>28.78</v>
      </c>
      <c r="C20">
        <v>29.1</v>
      </c>
      <c r="D20">
        <v>22.73</v>
      </c>
      <c r="E20">
        <v>173</v>
      </c>
      <c r="F20">
        <v>305</v>
      </c>
      <c r="G20">
        <v>9</v>
      </c>
      <c r="H20">
        <v>69</v>
      </c>
      <c r="I20">
        <v>79</v>
      </c>
      <c r="J20">
        <v>68</v>
      </c>
      <c r="L20">
        <v>28.73</v>
      </c>
      <c r="M20">
        <v>29.05</v>
      </c>
      <c r="N20">
        <v>22.03</v>
      </c>
      <c r="O20">
        <v>228</v>
      </c>
      <c r="P20">
        <v>268</v>
      </c>
      <c r="Q20">
        <v>15</v>
      </c>
      <c r="R20">
        <v>75</v>
      </c>
      <c r="S20">
        <v>84</v>
      </c>
      <c r="T20">
        <v>77</v>
      </c>
    </row>
    <row r="21" spans="1:20" x14ac:dyDescent="0.25">
      <c r="B21">
        <v>28.4</v>
      </c>
      <c r="C21">
        <v>28.78</v>
      </c>
      <c r="D21">
        <v>21.33</v>
      </c>
      <c r="E21">
        <v>246</v>
      </c>
      <c r="F21">
        <v>439</v>
      </c>
      <c r="G21">
        <v>47</v>
      </c>
      <c r="H21">
        <v>69</v>
      </c>
      <c r="I21">
        <v>81</v>
      </c>
      <c r="J21">
        <v>71</v>
      </c>
      <c r="L21">
        <v>28.23</v>
      </c>
      <c r="M21">
        <v>28.83</v>
      </c>
      <c r="N21">
        <v>20.8</v>
      </c>
      <c r="O21">
        <v>171</v>
      </c>
      <c r="P21">
        <v>300</v>
      </c>
      <c r="Q21">
        <v>45</v>
      </c>
      <c r="R21">
        <v>74</v>
      </c>
      <c r="S21">
        <v>83</v>
      </c>
      <c r="T21">
        <v>78</v>
      </c>
    </row>
    <row r="22" spans="1:20" x14ac:dyDescent="0.25">
      <c r="B22">
        <v>28.88</v>
      </c>
      <c r="C22">
        <v>28.85</v>
      </c>
      <c r="D22">
        <v>21.43</v>
      </c>
      <c r="E22">
        <v>229</v>
      </c>
      <c r="F22">
        <v>347</v>
      </c>
      <c r="G22">
        <v>1</v>
      </c>
      <c r="H22">
        <v>71</v>
      </c>
      <c r="I22">
        <v>81</v>
      </c>
      <c r="J22">
        <v>70</v>
      </c>
      <c r="L22">
        <v>28.8</v>
      </c>
      <c r="M22">
        <v>28.62</v>
      </c>
      <c r="N22">
        <v>20.85</v>
      </c>
      <c r="O22">
        <v>89</v>
      </c>
      <c r="P22">
        <v>250</v>
      </c>
      <c r="Q22">
        <v>1</v>
      </c>
      <c r="R22">
        <v>76</v>
      </c>
      <c r="S22">
        <v>84</v>
      </c>
      <c r="T22">
        <v>78</v>
      </c>
    </row>
    <row r="23" spans="1:20" x14ac:dyDescent="0.25">
      <c r="B23">
        <v>29.65</v>
      </c>
      <c r="C23">
        <v>29.13</v>
      </c>
      <c r="D23">
        <v>22.45</v>
      </c>
      <c r="E23">
        <v>98</v>
      </c>
      <c r="F23">
        <v>382</v>
      </c>
      <c r="G23">
        <v>13</v>
      </c>
      <c r="H23">
        <v>66</v>
      </c>
      <c r="I23">
        <v>79</v>
      </c>
      <c r="J23">
        <v>66</v>
      </c>
      <c r="L23">
        <v>29.35</v>
      </c>
      <c r="M23">
        <v>29.07</v>
      </c>
      <c r="N23">
        <v>21.63</v>
      </c>
      <c r="O23">
        <v>169</v>
      </c>
      <c r="P23">
        <v>369</v>
      </c>
      <c r="Q23">
        <v>1</v>
      </c>
      <c r="R23">
        <v>72</v>
      </c>
      <c r="S23">
        <v>84</v>
      </c>
      <c r="T23">
        <v>76</v>
      </c>
    </row>
    <row r="24" spans="1:20" x14ac:dyDescent="0.25">
      <c r="B24">
        <v>29.93</v>
      </c>
      <c r="C24">
        <v>30.02</v>
      </c>
      <c r="D24">
        <v>21.8</v>
      </c>
      <c r="E24">
        <v>136</v>
      </c>
      <c r="F24">
        <v>212</v>
      </c>
      <c r="G24">
        <v>20</v>
      </c>
      <c r="H24">
        <v>69</v>
      </c>
      <c r="I24">
        <v>78</v>
      </c>
      <c r="J24">
        <v>65</v>
      </c>
      <c r="L24">
        <v>29.8</v>
      </c>
      <c r="M24">
        <v>29.45</v>
      </c>
      <c r="N24">
        <v>21.1</v>
      </c>
      <c r="O24">
        <v>243</v>
      </c>
      <c r="P24">
        <v>243</v>
      </c>
      <c r="Q24">
        <v>1</v>
      </c>
      <c r="R24">
        <v>75</v>
      </c>
      <c r="S24">
        <v>83</v>
      </c>
      <c r="T24">
        <v>76</v>
      </c>
    </row>
    <row r="25" spans="1:20" x14ac:dyDescent="0.25">
      <c r="B25">
        <v>28.4</v>
      </c>
      <c r="C25">
        <v>29.1</v>
      </c>
      <c r="D25">
        <v>21.28</v>
      </c>
      <c r="E25">
        <v>173</v>
      </c>
      <c r="F25">
        <v>271</v>
      </c>
      <c r="G25">
        <v>3</v>
      </c>
      <c r="H25">
        <v>70</v>
      </c>
      <c r="I25">
        <v>78</v>
      </c>
      <c r="J25">
        <v>66</v>
      </c>
      <c r="L25">
        <v>28.17</v>
      </c>
      <c r="M25">
        <v>29.17</v>
      </c>
      <c r="N25">
        <v>20.5</v>
      </c>
      <c r="O25">
        <v>168</v>
      </c>
      <c r="P25">
        <v>209</v>
      </c>
      <c r="Q25">
        <v>8</v>
      </c>
      <c r="R25">
        <v>76</v>
      </c>
      <c r="S25">
        <v>83</v>
      </c>
      <c r="T25">
        <v>76</v>
      </c>
    </row>
    <row r="26" spans="1:20" x14ac:dyDescent="0.25">
      <c r="B26">
        <v>29.13</v>
      </c>
      <c r="C26">
        <v>29.33</v>
      </c>
      <c r="D26">
        <v>21.2</v>
      </c>
      <c r="E26">
        <v>154</v>
      </c>
      <c r="F26">
        <v>156</v>
      </c>
      <c r="G26">
        <v>20</v>
      </c>
      <c r="H26">
        <v>71</v>
      </c>
      <c r="I26">
        <v>74</v>
      </c>
      <c r="J26">
        <v>66</v>
      </c>
      <c r="L26">
        <v>29</v>
      </c>
      <c r="M26">
        <v>29.1</v>
      </c>
      <c r="N26">
        <v>20.57</v>
      </c>
      <c r="O26">
        <v>102</v>
      </c>
      <c r="P26">
        <v>180</v>
      </c>
      <c r="Q26">
        <v>32</v>
      </c>
      <c r="R26">
        <v>74</v>
      </c>
      <c r="S26">
        <v>84</v>
      </c>
      <c r="T26">
        <v>76</v>
      </c>
    </row>
    <row r="27" spans="1:20" x14ac:dyDescent="0.25">
      <c r="B27">
        <v>28.93</v>
      </c>
      <c r="C27">
        <v>29.1</v>
      </c>
      <c r="D27">
        <v>21.68</v>
      </c>
      <c r="E27">
        <v>190</v>
      </c>
      <c r="F27">
        <v>204</v>
      </c>
      <c r="G27">
        <v>4</v>
      </c>
      <c r="H27">
        <v>69</v>
      </c>
      <c r="I27">
        <v>80</v>
      </c>
      <c r="J27">
        <v>65</v>
      </c>
      <c r="L27">
        <v>28.75</v>
      </c>
      <c r="M27">
        <v>29.05</v>
      </c>
      <c r="N27">
        <v>20.77</v>
      </c>
      <c r="O27">
        <v>184</v>
      </c>
      <c r="P27">
        <v>222</v>
      </c>
      <c r="Q27">
        <v>3</v>
      </c>
      <c r="R27">
        <v>75</v>
      </c>
      <c r="S27">
        <v>85</v>
      </c>
      <c r="T27">
        <v>76</v>
      </c>
    </row>
    <row r="29" spans="1:20" x14ac:dyDescent="0.25">
      <c r="B29" t="s">
        <v>78</v>
      </c>
      <c r="E29" t="s">
        <v>79</v>
      </c>
      <c r="H29" t="s">
        <v>64</v>
      </c>
      <c r="L29" t="s">
        <v>78</v>
      </c>
      <c r="O29" t="s">
        <v>79</v>
      </c>
      <c r="R29" t="s">
        <v>64</v>
      </c>
    </row>
    <row r="30" spans="1:20" x14ac:dyDescent="0.25">
      <c r="A30" t="s">
        <v>68</v>
      </c>
      <c r="B30" t="s">
        <v>75</v>
      </c>
      <c r="C30" t="s">
        <v>76</v>
      </c>
      <c r="D30" t="s">
        <v>77</v>
      </c>
      <c r="E30" t="s">
        <v>75</v>
      </c>
      <c r="F30" t="s">
        <v>76</v>
      </c>
      <c r="G30" t="s">
        <v>77</v>
      </c>
      <c r="H30" t="s">
        <v>75</v>
      </c>
      <c r="I30" t="s">
        <v>76</v>
      </c>
      <c r="J30" t="s">
        <v>77</v>
      </c>
      <c r="K30" t="s">
        <v>70</v>
      </c>
      <c r="L30" t="s">
        <v>75</v>
      </c>
      <c r="M30" t="s">
        <v>76</v>
      </c>
      <c r="N30" t="s">
        <v>77</v>
      </c>
      <c r="O30" t="s">
        <v>75</v>
      </c>
      <c r="P30" t="s">
        <v>76</v>
      </c>
      <c r="Q30" t="s">
        <v>77</v>
      </c>
      <c r="R30" t="s">
        <v>75</v>
      </c>
      <c r="S30" t="s">
        <v>76</v>
      </c>
      <c r="T30" t="s">
        <v>77</v>
      </c>
    </row>
    <row r="31" spans="1:20" x14ac:dyDescent="0.25">
      <c r="B31">
        <v>26.4</v>
      </c>
      <c r="C31">
        <v>28.83</v>
      </c>
      <c r="D31">
        <v>18.88</v>
      </c>
      <c r="E31">
        <v>160</v>
      </c>
      <c r="F31">
        <v>334</v>
      </c>
      <c r="G31">
        <v>9</v>
      </c>
      <c r="H31">
        <v>79</v>
      </c>
      <c r="I31">
        <v>85</v>
      </c>
      <c r="J31">
        <v>82</v>
      </c>
      <c r="L31">
        <v>26.42</v>
      </c>
      <c r="M31">
        <v>28.72</v>
      </c>
      <c r="N31">
        <v>20.100000000000001</v>
      </c>
      <c r="O31">
        <v>226</v>
      </c>
      <c r="P31">
        <v>218</v>
      </c>
      <c r="Q31">
        <v>4</v>
      </c>
      <c r="R31">
        <v>80</v>
      </c>
      <c r="S31">
        <v>86</v>
      </c>
      <c r="T31">
        <v>72</v>
      </c>
    </row>
    <row r="32" spans="1:20" x14ac:dyDescent="0.25">
      <c r="B32">
        <v>27.05</v>
      </c>
      <c r="C32">
        <v>28.1</v>
      </c>
      <c r="D32">
        <v>19.27</v>
      </c>
      <c r="E32">
        <v>242</v>
      </c>
      <c r="F32">
        <v>328</v>
      </c>
      <c r="G32">
        <v>7</v>
      </c>
      <c r="H32">
        <v>78</v>
      </c>
      <c r="I32">
        <v>85</v>
      </c>
      <c r="J32">
        <v>80</v>
      </c>
      <c r="L32">
        <v>27.42</v>
      </c>
      <c r="M32">
        <v>27.85</v>
      </c>
      <c r="N32">
        <v>20.47</v>
      </c>
      <c r="O32">
        <v>184</v>
      </c>
      <c r="P32">
        <v>607</v>
      </c>
      <c r="Q32">
        <v>12</v>
      </c>
      <c r="R32">
        <v>82</v>
      </c>
      <c r="S32">
        <v>87</v>
      </c>
      <c r="T32">
        <v>80</v>
      </c>
    </row>
    <row r="33" spans="1:20" x14ac:dyDescent="0.25">
      <c r="B33">
        <v>27.07</v>
      </c>
      <c r="C33">
        <v>28.47</v>
      </c>
      <c r="D33">
        <v>19.82</v>
      </c>
      <c r="E33">
        <v>213</v>
      </c>
      <c r="F33">
        <v>524</v>
      </c>
      <c r="G33">
        <v>1</v>
      </c>
      <c r="H33">
        <v>79</v>
      </c>
      <c r="I33">
        <v>85</v>
      </c>
      <c r="J33">
        <v>78</v>
      </c>
      <c r="L33">
        <v>26.95</v>
      </c>
      <c r="M33">
        <v>28.35</v>
      </c>
      <c r="N33">
        <v>20.92</v>
      </c>
      <c r="O33">
        <v>242</v>
      </c>
      <c r="P33">
        <v>418</v>
      </c>
      <c r="Q33">
        <v>1</v>
      </c>
      <c r="R33">
        <v>81</v>
      </c>
      <c r="S33">
        <v>87</v>
      </c>
      <c r="T33">
        <v>80</v>
      </c>
    </row>
    <row r="34" spans="1:20" x14ac:dyDescent="0.25">
      <c r="B34">
        <v>27.07</v>
      </c>
      <c r="C34">
        <v>28.87</v>
      </c>
      <c r="D34">
        <v>20.27</v>
      </c>
      <c r="E34">
        <v>137</v>
      </c>
      <c r="F34">
        <v>176</v>
      </c>
      <c r="G34">
        <v>15</v>
      </c>
      <c r="H34">
        <v>74</v>
      </c>
      <c r="I34">
        <v>82</v>
      </c>
      <c r="J34">
        <v>79</v>
      </c>
      <c r="L34">
        <v>27.07</v>
      </c>
      <c r="M34">
        <v>28.8</v>
      </c>
      <c r="N34">
        <v>21.27</v>
      </c>
      <c r="O34">
        <v>226</v>
      </c>
      <c r="P34">
        <v>264</v>
      </c>
      <c r="Q34">
        <v>14</v>
      </c>
      <c r="R34">
        <v>81</v>
      </c>
      <c r="S34">
        <v>87</v>
      </c>
      <c r="T34">
        <v>85</v>
      </c>
    </row>
    <row r="35" spans="1:20" x14ac:dyDescent="0.25">
      <c r="B35">
        <v>27.2</v>
      </c>
      <c r="C35">
        <v>28.7</v>
      </c>
      <c r="D35">
        <v>19.52</v>
      </c>
      <c r="E35">
        <v>157</v>
      </c>
      <c r="F35">
        <v>229</v>
      </c>
      <c r="G35">
        <v>8</v>
      </c>
      <c r="H35">
        <v>74</v>
      </c>
      <c r="I35">
        <v>85</v>
      </c>
      <c r="J35">
        <v>78</v>
      </c>
      <c r="L35">
        <v>26.8</v>
      </c>
      <c r="M35">
        <v>28.55</v>
      </c>
      <c r="N35">
        <v>20.37</v>
      </c>
      <c r="O35">
        <v>299</v>
      </c>
      <c r="P35">
        <v>365</v>
      </c>
      <c r="Q35">
        <v>26</v>
      </c>
      <c r="R35">
        <v>81</v>
      </c>
      <c r="S35">
        <v>87</v>
      </c>
      <c r="T35">
        <v>83</v>
      </c>
    </row>
    <row r="36" spans="1:20" x14ac:dyDescent="0.25">
      <c r="B36">
        <v>27.17</v>
      </c>
      <c r="C36">
        <v>28.55</v>
      </c>
      <c r="D36">
        <v>19.63</v>
      </c>
      <c r="E36">
        <v>157</v>
      </c>
      <c r="F36">
        <v>277</v>
      </c>
      <c r="G36">
        <v>1</v>
      </c>
      <c r="H36">
        <v>77</v>
      </c>
      <c r="I36">
        <v>85</v>
      </c>
      <c r="J36">
        <v>80</v>
      </c>
      <c r="L36">
        <v>27.35</v>
      </c>
      <c r="M36">
        <v>28.42</v>
      </c>
      <c r="N36">
        <v>20.37</v>
      </c>
      <c r="O36">
        <v>269</v>
      </c>
      <c r="P36">
        <v>282</v>
      </c>
      <c r="Q36">
        <v>1</v>
      </c>
      <c r="R36">
        <v>82</v>
      </c>
      <c r="S36">
        <v>88</v>
      </c>
      <c r="T36">
        <v>82</v>
      </c>
    </row>
    <row r="37" spans="1:20" x14ac:dyDescent="0.25">
      <c r="B37">
        <v>27.35</v>
      </c>
      <c r="C37">
        <v>28.95</v>
      </c>
      <c r="D37">
        <v>20.100000000000001</v>
      </c>
      <c r="E37">
        <v>219</v>
      </c>
      <c r="F37">
        <v>286</v>
      </c>
      <c r="G37">
        <v>1</v>
      </c>
      <c r="H37">
        <v>73</v>
      </c>
      <c r="I37">
        <v>83</v>
      </c>
      <c r="J37">
        <v>78</v>
      </c>
      <c r="L37">
        <v>27.67</v>
      </c>
      <c r="M37">
        <v>28.75</v>
      </c>
      <c r="N37">
        <v>21.125</v>
      </c>
      <c r="O37">
        <v>153</v>
      </c>
      <c r="P37">
        <v>262</v>
      </c>
      <c r="Q37">
        <v>1</v>
      </c>
      <c r="R37">
        <v>80</v>
      </c>
      <c r="S37">
        <v>85</v>
      </c>
      <c r="T37">
        <v>82</v>
      </c>
    </row>
    <row r="38" spans="1:20" x14ac:dyDescent="0.25">
      <c r="B38">
        <v>28.02</v>
      </c>
      <c r="C38">
        <v>29.02</v>
      </c>
      <c r="D38">
        <v>19.600000000000001</v>
      </c>
      <c r="E38">
        <v>201</v>
      </c>
      <c r="F38">
        <v>208</v>
      </c>
      <c r="G38">
        <v>7</v>
      </c>
      <c r="H38">
        <v>74</v>
      </c>
      <c r="I38">
        <v>83</v>
      </c>
      <c r="J38">
        <v>76</v>
      </c>
      <c r="L38">
        <v>27.77</v>
      </c>
      <c r="M38">
        <v>28.97</v>
      </c>
      <c r="N38">
        <v>20.8</v>
      </c>
      <c r="O38">
        <v>215</v>
      </c>
      <c r="P38">
        <v>221</v>
      </c>
      <c r="Q38">
        <v>15</v>
      </c>
      <c r="R38">
        <v>81</v>
      </c>
      <c r="S38">
        <v>86</v>
      </c>
      <c r="T38">
        <v>80</v>
      </c>
    </row>
    <row r="39" spans="1:20" x14ac:dyDescent="0.25">
      <c r="B39">
        <v>26.95</v>
      </c>
      <c r="C39">
        <v>29</v>
      </c>
      <c r="D39">
        <v>18.97</v>
      </c>
      <c r="E39">
        <v>171</v>
      </c>
      <c r="F39">
        <v>231</v>
      </c>
      <c r="G39">
        <v>3</v>
      </c>
      <c r="H39">
        <v>76</v>
      </c>
      <c r="I39">
        <v>83</v>
      </c>
      <c r="J39">
        <v>78</v>
      </c>
      <c r="L39">
        <v>27.07</v>
      </c>
      <c r="M39">
        <v>28.75</v>
      </c>
      <c r="N39">
        <v>19.920000000000002</v>
      </c>
      <c r="O39">
        <v>200</v>
      </c>
      <c r="P39">
        <v>333</v>
      </c>
      <c r="Q39">
        <v>4</v>
      </c>
      <c r="R39">
        <v>79</v>
      </c>
      <c r="S39">
        <v>86</v>
      </c>
      <c r="T39">
        <v>80</v>
      </c>
    </row>
    <row r="40" spans="1:20" x14ac:dyDescent="0.25">
      <c r="B40">
        <v>27.6</v>
      </c>
      <c r="C40">
        <v>28.87</v>
      </c>
      <c r="D40">
        <v>18.73</v>
      </c>
      <c r="E40">
        <v>129</v>
      </c>
      <c r="F40">
        <v>245</v>
      </c>
      <c r="G40">
        <v>3</v>
      </c>
      <c r="H40">
        <v>71</v>
      </c>
      <c r="I40">
        <v>82</v>
      </c>
      <c r="J40">
        <v>76</v>
      </c>
      <c r="L40">
        <v>27.32</v>
      </c>
      <c r="M40">
        <v>28.75</v>
      </c>
      <c r="N40">
        <v>19.8</v>
      </c>
      <c r="O40">
        <v>132</v>
      </c>
      <c r="P40">
        <v>228</v>
      </c>
      <c r="Q40">
        <v>9</v>
      </c>
      <c r="R40">
        <v>75</v>
      </c>
      <c r="S40">
        <v>85</v>
      </c>
      <c r="T40">
        <v>80</v>
      </c>
    </row>
    <row r="41" spans="1:20" x14ac:dyDescent="0.25">
      <c r="B41">
        <v>27.47</v>
      </c>
      <c r="C41">
        <v>28.85</v>
      </c>
      <c r="D41">
        <v>19.170000000000002</v>
      </c>
      <c r="E41">
        <v>150</v>
      </c>
      <c r="F41">
        <v>303</v>
      </c>
      <c r="G41">
        <v>8</v>
      </c>
      <c r="H41">
        <v>74</v>
      </c>
      <c r="I41">
        <v>84</v>
      </c>
      <c r="J41">
        <v>77</v>
      </c>
      <c r="L41">
        <v>27.55</v>
      </c>
      <c r="M41">
        <v>28.72</v>
      </c>
      <c r="N41">
        <v>20.3</v>
      </c>
      <c r="O41">
        <v>166</v>
      </c>
      <c r="P41">
        <v>264</v>
      </c>
      <c r="Q41">
        <v>10</v>
      </c>
      <c r="R41">
        <v>80</v>
      </c>
      <c r="S41">
        <v>85</v>
      </c>
      <c r="T41">
        <v>78</v>
      </c>
    </row>
    <row r="43" spans="1:20" x14ac:dyDescent="0.25">
      <c r="B43" t="s">
        <v>78</v>
      </c>
      <c r="E43" t="s">
        <v>79</v>
      </c>
      <c r="H43" t="s">
        <v>64</v>
      </c>
      <c r="L43" t="s">
        <v>78</v>
      </c>
      <c r="O43" t="s">
        <v>79</v>
      </c>
      <c r="R43" t="s">
        <v>64</v>
      </c>
    </row>
    <row r="44" spans="1:20" x14ac:dyDescent="0.25">
      <c r="A44" t="s">
        <v>73</v>
      </c>
      <c r="B44" t="s">
        <v>75</v>
      </c>
      <c r="C44" t="s">
        <v>76</v>
      </c>
      <c r="D44" t="s">
        <v>77</v>
      </c>
      <c r="E44" t="s">
        <v>75</v>
      </c>
      <c r="F44" t="s">
        <v>76</v>
      </c>
      <c r="G44" t="s">
        <v>77</v>
      </c>
      <c r="H44" t="s">
        <v>75</v>
      </c>
      <c r="I44" t="s">
        <v>76</v>
      </c>
      <c r="J44" t="s">
        <v>77</v>
      </c>
      <c r="K44" t="s">
        <v>74</v>
      </c>
      <c r="L44" t="s">
        <v>75</v>
      </c>
      <c r="M44" t="s">
        <v>76</v>
      </c>
      <c r="N44" t="s">
        <v>77</v>
      </c>
      <c r="O44" t="s">
        <v>75</v>
      </c>
      <c r="P44" t="s">
        <v>76</v>
      </c>
      <c r="Q44" t="s">
        <v>77</v>
      </c>
      <c r="R44" t="s">
        <v>75</v>
      </c>
      <c r="S44" t="s">
        <v>76</v>
      </c>
      <c r="T44" t="s">
        <v>77</v>
      </c>
    </row>
    <row r="45" spans="1:20" x14ac:dyDescent="0.25">
      <c r="B45">
        <v>29.02</v>
      </c>
      <c r="C45">
        <v>29.42</v>
      </c>
      <c r="D45">
        <v>20.7</v>
      </c>
      <c r="E45">
        <v>161</v>
      </c>
      <c r="F45">
        <v>304</v>
      </c>
      <c r="G45">
        <v>7</v>
      </c>
      <c r="H45">
        <v>78</v>
      </c>
      <c r="I45">
        <v>86</v>
      </c>
      <c r="J45">
        <v>80</v>
      </c>
      <c r="L45">
        <v>29.05</v>
      </c>
      <c r="M45">
        <v>29.42</v>
      </c>
      <c r="N45">
        <v>21.52</v>
      </c>
      <c r="O45">
        <v>148</v>
      </c>
      <c r="P45">
        <v>250</v>
      </c>
      <c r="Q45">
        <v>5</v>
      </c>
      <c r="R45">
        <v>79</v>
      </c>
      <c r="S45">
        <v>87</v>
      </c>
      <c r="T45">
        <v>80</v>
      </c>
    </row>
    <row r="46" spans="1:20" x14ac:dyDescent="0.25">
      <c r="B46">
        <v>29.42</v>
      </c>
      <c r="C46">
        <v>28.67</v>
      </c>
      <c r="D46">
        <v>20.87</v>
      </c>
      <c r="E46">
        <v>130</v>
      </c>
      <c r="F46">
        <v>479</v>
      </c>
      <c r="G46">
        <v>12</v>
      </c>
      <c r="H46">
        <v>77</v>
      </c>
      <c r="I46">
        <v>86</v>
      </c>
      <c r="J46">
        <v>80</v>
      </c>
      <c r="L46">
        <v>29.37</v>
      </c>
      <c r="M46">
        <v>28.77</v>
      </c>
      <c r="N46">
        <v>21.57</v>
      </c>
      <c r="O46">
        <v>164</v>
      </c>
      <c r="P46">
        <v>331</v>
      </c>
      <c r="Q46">
        <v>4</v>
      </c>
      <c r="R46">
        <v>79</v>
      </c>
      <c r="S46">
        <v>86</v>
      </c>
      <c r="T46">
        <v>79</v>
      </c>
    </row>
    <row r="47" spans="1:20" x14ac:dyDescent="0.25">
      <c r="B47">
        <v>30</v>
      </c>
      <c r="C47">
        <v>29.02</v>
      </c>
      <c r="D47">
        <v>21.27</v>
      </c>
      <c r="E47">
        <v>90</v>
      </c>
      <c r="F47">
        <v>316</v>
      </c>
      <c r="G47">
        <v>1</v>
      </c>
      <c r="H47">
        <v>76</v>
      </c>
      <c r="I47">
        <v>86</v>
      </c>
      <c r="J47">
        <v>79</v>
      </c>
      <c r="L47">
        <v>29.77</v>
      </c>
      <c r="M47">
        <v>28.97</v>
      </c>
      <c r="N47">
        <v>21.95</v>
      </c>
      <c r="O47">
        <v>127</v>
      </c>
      <c r="P47">
        <v>365</v>
      </c>
      <c r="Q47">
        <v>1</v>
      </c>
      <c r="R47">
        <v>82</v>
      </c>
      <c r="S47">
        <v>87</v>
      </c>
      <c r="T47">
        <v>78</v>
      </c>
    </row>
    <row r="48" spans="1:20" x14ac:dyDescent="0.25">
      <c r="B48">
        <v>29.45</v>
      </c>
      <c r="C48">
        <v>29.22</v>
      </c>
      <c r="D48">
        <v>21.92</v>
      </c>
      <c r="E48">
        <v>142</v>
      </c>
      <c r="F48">
        <v>296</v>
      </c>
      <c r="G48">
        <v>20</v>
      </c>
      <c r="H48">
        <v>76</v>
      </c>
      <c r="I48">
        <v>86</v>
      </c>
      <c r="J48">
        <v>78</v>
      </c>
      <c r="L48">
        <v>29.37</v>
      </c>
      <c r="M48">
        <v>29.1</v>
      </c>
      <c r="N48">
        <v>22.62</v>
      </c>
      <c r="O48">
        <v>129</v>
      </c>
      <c r="P48">
        <v>386</v>
      </c>
      <c r="Q48">
        <v>14</v>
      </c>
      <c r="R48">
        <v>75</v>
      </c>
      <c r="S48">
        <v>86</v>
      </c>
      <c r="T48">
        <v>78</v>
      </c>
    </row>
    <row r="49" spans="1:20" x14ac:dyDescent="0.25">
      <c r="B49">
        <v>29.05</v>
      </c>
      <c r="C49">
        <v>29.1</v>
      </c>
      <c r="D49">
        <v>20.82</v>
      </c>
      <c r="E49">
        <v>132</v>
      </c>
      <c r="F49">
        <v>352</v>
      </c>
      <c r="G49">
        <v>54</v>
      </c>
      <c r="H49">
        <v>76</v>
      </c>
      <c r="I49">
        <v>85</v>
      </c>
      <c r="J49">
        <v>80</v>
      </c>
      <c r="L49">
        <v>28.92</v>
      </c>
      <c r="M49">
        <v>28.9</v>
      </c>
      <c r="N49">
        <v>21.42</v>
      </c>
      <c r="O49">
        <v>150</v>
      </c>
      <c r="P49">
        <v>336</v>
      </c>
      <c r="Q49">
        <v>54</v>
      </c>
      <c r="R49">
        <v>76</v>
      </c>
      <c r="S49">
        <v>88</v>
      </c>
      <c r="T49">
        <v>81</v>
      </c>
    </row>
    <row r="50" spans="1:20" x14ac:dyDescent="0.25">
      <c r="B50">
        <v>29.17</v>
      </c>
      <c r="C50">
        <v>29</v>
      </c>
      <c r="D50">
        <v>20.8</v>
      </c>
      <c r="E50">
        <v>131</v>
      </c>
      <c r="F50">
        <v>314</v>
      </c>
      <c r="G50">
        <v>1</v>
      </c>
      <c r="H50">
        <v>78</v>
      </c>
      <c r="I50">
        <v>86</v>
      </c>
      <c r="J50">
        <v>80</v>
      </c>
      <c r="L50">
        <v>29.3</v>
      </c>
      <c r="M50">
        <v>28.92</v>
      </c>
      <c r="N50">
        <v>21.47</v>
      </c>
      <c r="O50">
        <v>106</v>
      </c>
      <c r="P50">
        <v>267</v>
      </c>
      <c r="Q50">
        <v>2</v>
      </c>
      <c r="R50">
        <v>78</v>
      </c>
      <c r="S50">
        <v>86</v>
      </c>
      <c r="T50">
        <v>79</v>
      </c>
    </row>
    <row r="51" spans="1:20" x14ac:dyDescent="0.25">
      <c r="B51">
        <v>30</v>
      </c>
      <c r="C51">
        <v>29.2</v>
      </c>
      <c r="D51">
        <v>22.35</v>
      </c>
      <c r="E51">
        <v>97</v>
      </c>
      <c r="F51">
        <v>298</v>
      </c>
      <c r="G51">
        <v>2</v>
      </c>
      <c r="H51">
        <v>74</v>
      </c>
      <c r="I51">
        <v>84</v>
      </c>
      <c r="J51">
        <v>78</v>
      </c>
      <c r="L51">
        <v>30</v>
      </c>
      <c r="M51">
        <v>29.2</v>
      </c>
      <c r="N51">
        <v>22.35</v>
      </c>
      <c r="O51">
        <v>99</v>
      </c>
      <c r="P51">
        <v>346</v>
      </c>
      <c r="Q51">
        <v>5</v>
      </c>
      <c r="R51">
        <v>75</v>
      </c>
      <c r="S51">
        <v>85</v>
      </c>
      <c r="T51">
        <v>78</v>
      </c>
    </row>
    <row r="52" spans="1:20" x14ac:dyDescent="0.25">
      <c r="B52">
        <v>30.47</v>
      </c>
      <c r="C52">
        <v>29.7</v>
      </c>
      <c r="D52">
        <v>20.92</v>
      </c>
      <c r="E52">
        <v>130</v>
      </c>
      <c r="F52">
        <v>202</v>
      </c>
      <c r="G52">
        <v>18</v>
      </c>
      <c r="H52">
        <v>74</v>
      </c>
      <c r="I52">
        <v>82</v>
      </c>
      <c r="J52">
        <v>77</v>
      </c>
      <c r="L52">
        <v>30.4</v>
      </c>
      <c r="M52">
        <v>29.72</v>
      </c>
      <c r="N52">
        <v>21.75</v>
      </c>
      <c r="O52">
        <v>117</v>
      </c>
      <c r="P52">
        <v>218</v>
      </c>
      <c r="Q52">
        <v>3</v>
      </c>
      <c r="R52">
        <v>76</v>
      </c>
      <c r="S52">
        <v>84</v>
      </c>
      <c r="T52">
        <v>77</v>
      </c>
    </row>
    <row r="53" spans="1:20" x14ac:dyDescent="0.25">
      <c r="B53">
        <v>28.85</v>
      </c>
      <c r="C53">
        <v>29.12</v>
      </c>
      <c r="D53">
        <v>20.420000000000002</v>
      </c>
      <c r="E53">
        <v>128</v>
      </c>
      <c r="F53">
        <v>212</v>
      </c>
      <c r="G53">
        <v>9</v>
      </c>
      <c r="H53">
        <v>75</v>
      </c>
      <c r="I53">
        <v>83</v>
      </c>
      <c r="J53">
        <v>77</v>
      </c>
      <c r="L53">
        <v>28.95</v>
      </c>
      <c r="M53">
        <v>29.17</v>
      </c>
      <c r="N53">
        <v>21.35</v>
      </c>
      <c r="O53">
        <v>142</v>
      </c>
      <c r="P53">
        <v>342</v>
      </c>
      <c r="Q53">
        <v>22</v>
      </c>
      <c r="R53">
        <v>76</v>
      </c>
      <c r="S53">
        <v>85</v>
      </c>
      <c r="T53">
        <v>78</v>
      </c>
    </row>
    <row r="54" spans="1:20" x14ac:dyDescent="0.25">
      <c r="B54">
        <v>29.95</v>
      </c>
      <c r="C54">
        <v>29.25</v>
      </c>
      <c r="D54">
        <v>20.36</v>
      </c>
      <c r="E54">
        <v>86</v>
      </c>
      <c r="F54">
        <v>216</v>
      </c>
      <c r="G54">
        <v>21</v>
      </c>
      <c r="H54">
        <v>72</v>
      </c>
      <c r="I54">
        <v>84</v>
      </c>
      <c r="J54">
        <v>78</v>
      </c>
      <c r="L54">
        <v>30.22</v>
      </c>
      <c r="M54">
        <v>29.27</v>
      </c>
      <c r="N54">
        <v>21.3</v>
      </c>
      <c r="O54">
        <v>93</v>
      </c>
      <c r="P54">
        <v>277</v>
      </c>
      <c r="Q54">
        <v>22</v>
      </c>
      <c r="R54">
        <v>79</v>
      </c>
      <c r="S54">
        <v>89</v>
      </c>
      <c r="T54">
        <v>80</v>
      </c>
    </row>
    <row r="55" spans="1:20" x14ac:dyDescent="0.25">
      <c r="B55">
        <v>29.12</v>
      </c>
      <c r="C55">
        <v>29.17</v>
      </c>
      <c r="D55">
        <v>20.5</v>
      </c>
      <c r="E55">
        <v>138</v>
      </c>
      <c r="F55">
        <v>276</v>
      </c>
      <c r="G55">
        <v>5</v>
      </c>
      <c r="H55">
        <v>73</v>
      </c>
      <c r="I55">
        <v>84</v>
      </c>
      <c r="J55">
        <v>75</v>
      </c>
      <c r="L55">
        <v>29.25</v>
      </c>
      <c r="M55">
        <v>29.22</v>
      </c>
      <c r="N55">
        <v>21.47</v>
      </c>
      <c r="O55">
        <v>180</v>
      </c>
      <c r="P55">
        <v>333</v>
      </c>
      <c r="Q55">
        <v>6</v>
      </c>
      <c r="R55">
        <v>77</v>
      </c>
      <c r="S55">
        <v>89</v>
      </c>
      <c r="T55">
        <v>79</v>
      </c>
    </row>
    <row r="57" spans="1:20" x14ac:dyDescent="0.25">
      <c r="B57" t="s">
        <v>78</v>
      </c>
      <c r="E57" t="s">
        <v>79</v>
      </c>
      <c r="H57" t="s">
        <v>64</v>
      </c>
      <c r="L57" t="s">
        <v>78</v>
      </c>
      <c r="O57" t="s">
        <v>79</v>
      </c>
      <c r="R57" t="s">
        <v>64</v>
      </c>
    </row>
    <row r="58" spans="1:20" x14ac:dyDescent="0.25">
      <c r="A58" t="s">
        <v>11</v>
      </c>
      <c r="B58" t="s">
        <v>75</v>
      </c>
      <c r="C58" t="s">
        <v>76</v>
      </c>
      <c r="D58" t="s">
        <v>77</v>
      </c>
      <c r="E58" t="s">
        <v>75</v>
      </c>
      <c r="F58" t="s">
        <v>76</v>
      </c>
      <c r="G58" t="s">
        <v>77</v>
      </c>
      <c r="H58" t="s">
        <v>75</v>
      </c>
      <c r="I58" t="s">
        <v>76</v>
      </c>
      <c r="J58" t="s">
        <v>77</v>
      </c>
      <c r="K58" t="s">
        <v>7</v>
      </c>
      <c r="L58" t="s">
        <v>75</v>
      </c>
      <c r="M58" t="s">
        <v>76</v>
      </c>
      <c r="N58" t="s">
        <v>77</v>
      </c>
      <c r="O58" t="s">
        <v>75</v>
      </c>
      <c r="P58" t="s">
        <v>76</v>
      </c>
      <c r="Q58" t="s">
        <v>77</v>
      </c>
      <c r="R58" t="s">
        <v>75</v>
      </c>
      <c r="S58" t="s">
        <v>76</v>
      </c>
      <c r="T58" t="s">
        <v>77</v>
      </c>
    </row>
    <row r="59" spans="1:20" x14ac:dyDescent="0.25">
      <c r="B59">
        <v>28.45</v>
      </c>
      <c r="C59">
        <v>29.2</v>
      </c>
      <c r="D59">
        <v>19.7</v>
      </c>
      <c r="E59">
        <v>118</v>
      </c>
      <c r="F59">
        <v>228</v>
      </c>
      <c r="G59">
        <v>4</v>
      </c>
      <c r="H59">
        <v>74</v>
      </c>
      <c r="I59">
        <v>86</v>
      </c>
      <c r="J59">
        <v>79</v>
      </c>
      <c r="L59">
        <v>26.1</v>
      </c>
      <c r="M59">
        <v>28.77</v>
      </c>
      <c r="N59">
        <v>19.399999999999999</v>
      </c>
      <c r="O59">
        <v>246</v>
      </c>
      <c r="P59">
        <v>340</v>
      </c>
      <c r="Q59">
        <v>8</v>
      </c>
      <c r="R59">
        <v>80</v>
      </c>
      <c r="S59">
        <v>85</v>
      </c>
      <c r="T59">
        <v>81</v>
      </c>
    </row>
    <row r="60" spans="1:20" x14ac:dyDescent="0.25">
      <c r="B60">
        <v>29.25</v>
      </c>
      <c r="C60">
        <v>28.5</v>
      </c>
      <c r="D60">
        <v>20.12</v>
      </c>
      <c r="E60">
        <v>165</v>
      </c>
      <c r="F60">
        <v>279</v>
      </c>
      <c r="G60">
        <v>4</v>
      </c>
      <c r="H60">
        <v>72</v>
      </c>
      <c r="I60">
        <v>86</v>
      </c>
      <c r="J60">
        <v>77</v>
      </c>
      <c r="L60">
        <v>26.65</v>
      </c>
      <c r="M60">
        <v>27.95</v>
      </c>
      <c r="N60">
        <v>19.87</v>
      </c>
      <c r="O60">
        <v>233</v>
      </c>
      <c r="P60">
        <v>433</v>
      </c>
      <c r="Q60">
        <v>6</v>
      </c>
      <c r="R60">
        <v>80</v>
      </c>
      <c r="S60">
        <v>86</v>
      </c>
      <c r="T60">
        <v>79</v>
      </c>
    </row>
    <row r="61" spans="1:20" x14ac:dyDescent="0.25">
      <c r="B61">
        <v>29.17</v>
      </c>
      <c r="C61">
        <v>28.9</v>
      </c>
      <c r="D61">
        <v>20.420000000000002</v>
      </c>
      <c r="E61">
        <v>83</v>
      </c>
      <c r="F61">
        <v>265</v>
      </c>
      <c r="G61">
        <v>1</v>
      </c>
      <c r="H61">
        <v>73</v>
      </c>
      <c r="I61">
        <v>86</v>
      </c>
      <c r="J61">
        <v>76</v>
      </c>
      <c r="L61">
        <v>26.45</v>
      </c>
      <c r="M61">
        <v>28.27</v>
      </c>
      <c r="N61">
        <v>20.25</v>
      </c>
      <c r="O61">
        <v>213</v>
      </c>
      <c r="P61">
        <v>495</v>
      </c>
      <c r="Q61">
        <v>1</v>
      </c>
      <c r="R61">
        <v>80</v>
      </c>
      <c r="S61">
        <v>86</v>
      </c>
      <c r="T61">
        <v>78</v>
      </c>
    </row>
    <row r="62" spans="1:20" x14ac:dyDescent="0.25">
      <c r="B62">
        <v>28.72</v>
      </c>
      <c r="C62">
        <v>29.17</v>
      </c>
      <c r="D62">
        <v>21.07</v>
      </c>
      <c r="E62">
        <v>105</v>
      </c>
      <c r="F62">
        <v>179</v>
      </c>
      <c r="G62">
        <v>9</v>
      </c>
      <c r="H62">
        <v>72</v>
      </c>
      <c r="I62">
        <v>85</v>
      </c>
      <c r="J62">
        <v>77</v>
      </c>
      <c r="L62">
        <v>26.72</v>
      </c>
      <c r="M62">
        <v>28.87</v>
      </c>
      <c r="N62">
        <v>20.52</v>
      </c>
      <c r="O62">
        <v>231</v>
      </c>
      <c r="P62">
        <v>180</v>
      </c>
      <c r="Q62">
        <v>20</v>
      </c>
      <c r="R62">
        <v>77</v>
      </c>
      <c r="S62">
        <v>83</v>
      </c>
      <c r="T62">
        <v>81</v>
      </c>
    </row>
    <row r="63" spans="1:20" x14ac:dyDescent="0.25">
      <c r="B63">
        <v>28.47</v>
      </c>
      <c r="C63">
        <v>29.07</v>
      </c>
      <c r="D63">
        <v>20.02</v>
      </c>
      <c r="E63">
        <v>161</v>
      </c>
      <c r="F63">
        <v>336</v>
      </c>
      <c r="G63">
        <v>7</v>
      </c>
      <c r="H63">
        <v>74</v>
      </c>
      <c r="I63">
        <v>86</v>
      </c>
      <c r="J63">
        <v>78</v>
      </c>
      <c r="L63">
        <v>26.82</v>
      </c>
      <c r="M63">
        <v>28.62</v>
      </c>
      <c r="N63">
        <v>19.7</v>
      </c>
      <c r="O63">
        <v>214</v>
      </c>
      <c r="P63">
        <v>280</v>
      </c>
      <c r="Q63">
        <v>12</v>
      </c>
      <c r="R63">
        <v>77</v>
      </c>
      <c r="S63">
        <v>85</v>
      </c>
      <c r="T63">
        <v>80</v>
      </c>
    </row>
    <row r="64" spans="1:20" x14ac:dyDescent="0.25">
      <c r="B64">
        <v>28.85</v>
      </c>
      <c r="C64">
        <v>28.82</v>
      </c>
      <c r="D64">
        <v>19.850000000000001</v>
      </c>
      <c r="E64">
        <v>105</v>
      </c>
      <c r="F64">
        <v>217</v>
      </c>
      <c r="G64">
        <v>2</v>
      </c>
      <c r="H64">
        <v>74</v>
      </c>
      <c r="I64">
        <v>86</v>
      </c>
      <c r="J64">
        <v>79</v>
      </c>
      <c r="L64">
        <v>26.7</v>
      </c>
      <c r="M64">
        <v>28.32</v>
      </c>
      <c r="N64">
        <v>19.82</v>
      </c>
      <c r="O64">
        <v>210</v>
      </c>
      <c r="P64">
        <v>257</v>
      </c>
      <c r="Q64">
        <v>1</v>
      </c>
      <c r="R64">
        <v>79</v>
      </c>
      <c r="S64">
        <v>86</v>
      </c>
      <c r="T64">
        <v>81</v>
      </c>
    </row>
    <row r="65" spans="2:20" x14ac:dyDescent="0.25">
      <c r="B65">
        <v>29.42</v>
      </c>
      <c r="C65">
        <v>29.1</v>
      </c>
      <c r="D65">
        <v>20.399999999999999</v>
      </c>
      <c r="E65">
        <v>71</v>
      </c>
      <c r="F65">
        <v>187</v>
      </c>
      <c r="G65">
        <v>1</v>
      </c>
      <c r="H65">
        <v>69</v>
      </c>
      <c r="I65">
        <v>84</v>
      </c>
      <c r="J65">
        <v>77</v>
      </c>
      <c r="L65">
        <v>27</v>
      </c>
      <c r="M65">
        <v>28.82</v>
      </c>
      <c r="N65">
        <v>20.3</v>
      </c>
      <c r="O65">
        <v>193</v>
      </c>
      <c r="P65">
        <v>361</v>
      </c>
      <c r="Q65">
        <v>1</v>
      </c>
      <c r="R65">
        <v>76</v>
      </c>
      <c r="S65">
        <v>85</v>
      </c>
      <c r="T65">
        <v>80</v>
      </c>
    </row>
    <row r="66" spans="2:20" x14ac:dyDescent="0.25">
      <c r="B66">
        <v>30.27</v>
      </c>
      <c r="C66">
        <v>29.45</v>
      </c>
      <c r="D66">
        <v>19.850000000000001</v>
      </c>
      <c r="E66">
        <v>81</v>
      </c>
      <c r="F66">
        <v>106</v>
      </c>
      <c r="G66">
        <v>12</v>
      </c>
      <c r="H66">
        <v>71</v>
      </c>
      <c r="I66">
        <v>85</v>
      </c>
      <c r="J66">
        <v>77</v>
      </c>
      <c r="L66">
        <v>27.22</v>
      </c>
      <c r="M66">
        <v>28.82</v>
      </c>
      <c r="N66">
        <v>19.8</v>
      </c>
      <c r="O66">
        <v>264</v>
      </c>
      <c r="P66">
        <v>260</v>
      </c>
      <c r="Q66">
        <v>6</v>
      </c>
      <c r="R66">
        <v>78</v>
      </c>
      <c r="S66">
        <v>83</v>
      </c>
      <c r="T66">
        <v>79</v>
      </c>
    </row>
    <row r="67" spans="2:20" x14ac:dyDescent="0.25">
      <c r="B67">
        <v>28.47</v>
      </c>
      <c r="C67">
        <v>29.17</v>
      </c>
      <c r="D67">
        <v>19.37</v>
      </c>
      <c r="E67">
        <v>158</v>
      </c>
      <c r="F67">
        <v>209</v>
      </c>
      <c r="G67">
        <v>2</v>
      </c>
      <c r="H67">
        <v>76</v>
      </c>
      <c r="I67">
        <v>85</v>
      </c>
      <c r="J67">
        <v>79</v>
      </c>
      <c r="L67">
        <v>26.75</v>
      </c>
      <c r="M67">
        <v>28.9</v>
      </c>
      <c r="N67">
        <v>19.12</v>
      </c>
      <c r="O67">
        <v>152</v>
      </c>
      <c r="P67">
        <v>326</v>
      </c>
      <c r="Q67">
        <v>2</v>
      </c>
      <c r="R67">
        <v>77</v>
      </c>
      <c r="S67">
        <v>83</v>
      </c>
      <c r="T67">
        <v>80</v>
      </c>
    </row>
    <row r="68" spans="2:20" x14ac:dyDescent="0.25">
      <c r="B68">
        <v>29.62</v>
      </c>
      <c r="C68">
        <v>29.3</v>
      </c>
      <c r="D68">
        <v>19.37</v>
      </c>
      <c r="E68">
        <v>71</v>
      </c>
      <c r="F68">
        <v>193</v>
      </c>
      <c r="G68">
        <v>31</v>
      </c>
      <c r="H68">
        <v>69</v>
      </c>
      <c r="I68">
        <v>85</v>
      </c>
      <c r="J68">
        <v>77</v>
      </c>
      <c r="L68">
        <v>26.92</v>
      </c>
      <c r="M68">
        <v>28.62</v>
      </c>
      <c r="N68">
        <v>19.07</v>
      </c>
      <c r="O68">
        <v>193</v>
      </c>
      <c r="P68">
        <v>273</v>
      </c>
      <c r="Q68">
        <v>3</v>
      </c>
      <c r="R68">
        <v>74</v>
      </c>
      <c r="S68">
        <v>82</v>
      </c>
      <c r="T68">
        <v>78</v>
      </c>
    </row>
    <row r="69" spans="2:20" x14ac:dyDescent="0.25">
      <c r="B69">
        <v>28.92</v>
      </c>
      <c r="C69">
        <v>29.52</v>
      </c>
      <c r="D69">
        <v>19.75</v>
      </c>
      <c r="E69">
        <v>107</v>
      </c>
      <c r="F69">
        <v>199</v>
      </c>
      <c r="G69">
        <v>5</v>
      </c>
      <c r="H69">
        <v>73</v>
      </c>
      <c r="I69">
        <v>85</v>
      </c>
      <c r="J69">
        <v>78</v>
      </c>
      <c r="L69">
        <v>27.12</v>
      </c>
      <c r="M69">
        <v>28.77</v>
      </c>
      <c r="N69">
        <v>19.5</v>
      </c>
      <c r="O69">
        <v>207</v>
      </c>
      <c r="P69">
        <v>268</v>
      </c>
      <c r="Q69">
        <v>6</v>
      </c>
      <c r="R69">
        <v>75</v>
      </c>
      <c r="S69">
        <v>83</v>
      </c>
      <c r="T69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118" workbookViewId="0">
      <selection activeCell="A129" sqref="A129:C130"/>
    </sheetView>
  </sheetViews>
  <sheetFormatPr defaultRowHeight="15" x14ac:dyDescent="0.25"/>
  <cols>
    <col min="1" max="1" width="14.7109375" customWidth="1"/>
    <col min="2" max="2" width="9.85546875" customWidth="1"/>
    <col min="3" max="3" width="11.28515625" customWidth="1"/>
    <col min="4" max="4" width="12.85546875" customWidth="1"/>
  </cols>
  <sheetData>
    <row r="1" spans="1:12" x14ac:dyDescent="0.25">
      <c r="B1" t="s">
        <v>1</v>
      </c>
    </row>
    <row r="2" spans="1:12" x14ac:dyDescent="0.25">
      <c r="A2" t="s">
        <v>21</v>
      </c>
      <c r="B2" t="s">
        <v>22</v>
      </c>
      <c r="C2" t="s">
        <v>64</v>
      </c>
      <c r="D2" t="s">
        <v>23</v>
      </c>
      <c r="G2" t="s">
        <v>24</v>
      </c>
    </row>
    <row r="3" spans="1:12" ht="15.75" thickBot="1" x14ac:dyDescent="0.3">
      <c r="A3">
        <v>27.88</v>
      </c>
      <c r="B3">
        <v>208</v>
      </c>
      <c r="C3">
        <v>73</v>
      </c>
      <c r="D3">
        <v>0.43099999999999999</v>
      </c>
    </row>
    <row r="4" spans="1:12" x14ac:dyDescent="0.25">
      <c r="A4">
        <v>28.78</v>
      </c>
      <c r="B4">
        <v>203</v>
      </c>
      <c r="C4">
        <v>71</v>
      </c>
      <c r="D4">
        <v>0.39700000000000002</v>
      </c>
      <c r="G4" s="2" t="s">
        <v>27</v>
      </c>
      <c r="H4" s="2"/>
    </row>
    <row r="5" spans="1:12" x14ac:dyDescent="0.25">
      <c r="A5">
        <v>28.85</v>
      </c>
      <c r="B5">
        <v>199</v>
      </c>
      <c r="C5">
        <v>72</v>
      </c>
      <c r="D5">
        <v>0.48799999999999999</v>
      </c>
      <c r="G5" s="3" t="s">
        <v>28</v>
      </c>
      <c r="H5" s="3">
        <v>0.71976916841888772</v>
      </c>
    </row>
    <row r="6" spans="1:12" x14ac:dyDescent="0.25">
      <c r="A6">
        <v>28.78</v>
      </c>
      <c r="B6">
        <v>173</v>
      </c>
      <c r="C6">
        <v>69</v>
      </c>
      <c r="D6">
        <v>0.35499999999999998</v>
      </c>
      <c r="G6" s="3" t="s">
        <v>30</v>
      </c>
      <c r="H6" s="3">
        <v>0.51806765580641723</v>
      </c>
    </row>
    <row r="7" spans="1:12" x14ac:dyDescent="0.25">
      <c r="A7">
        <v>28.4</v>
      </c>
      <c r="B7">
        <v>246</v>
      </c>
      <c r="C7">
        <v>69</v>
      </c>
      <c r="D7">
        <v>0.41</v>
      </c>
      <c r="G7" s="3" t="s">
        <v>31</v>
      </c>
      <c r="H7" s="3">
        <v>0.2771014837096259</v>
      </c>
    </row>
    <row r="8" spans="1:12" x14ac:dyDescent="0.25">
      <c r="A8">
        <v>28.88</v>
      </c>
      <c r="B8">
        <v>229</v>
      </c>
      <c r="C8">
        <v>71</v>
      </c>
      <c r="D8">
        <v>0.53700000000000003</v>
      </c>
      <c r="G8" s="3" t="s">
        <v>32</v>
      </c>
      <c r="H8" s="3">
        <v>9.209786799927995E-2</v>
      </c>
    </row>
    <row r="9" spans="1:12" ht="15.75" thickBot="1" x14ac:dyDescent="0.3">
      <c r="A9">
        <v>29.65</v>
      </c>
      <c r="B9">
        <v>98</v>
      </c>
      <c r="C9">
        <v>66</v>
      </c>
      <c r="D9">
        <v>0.60799999999999998</v>
      </c>
      <c r="G9" s="4" t="s">
        <v>33</v>
      </c>
      <c r="H9" s="4">
        <v>10</v>
      </c>
    </row>
    <row r="10" spans="1:12" x14ac:dyDescent="0.25">
      <c r="A10">
        <v>29.93</v>
      </c>
      <c r="B10">
        <v>136</v>
      </c>
      <c r="C10">
        <v>69</v>
      </c>
      <c r="D10">
        <v>0.66800000000000004</v>
      </c>
    </row>
    <row r="11" spans="1:12" ht="15.75" thickBot="1" x14ac:dyDescent="0.3">
      <c r="A11">
        <v>28.4</v>
      </c>
      <c r="B11">
        <v>173</v>
      </c>
      <c r="C11">
        <v>70</v>
      </c>
      <c r="D11">
        <v>0.59699999999999998</v>
      </c>
      <c r="G11" t="s">
        <v>34</v>
      </c>
    </row>
    <row r="12" spans="1:12" x14ac:dyDescent="0.25">
      <c r="A12">
        <v>29.13</v>
      </c>
      <c r="B12">
        <v>154</v>
      </c>
      <c r="C12">
        <v>71</v>
      </c>
      <c r="D12">
        <v>0.60599999999999998</v>
      </c>
      <c r="G12" s="5"/>
      <c r="H12" s="5" t="s">
        <v>35</v>
      </c>
      <c r="I12" s="5" t="s">
        <v>36</v>
      </c>
      <c r="J12" s="5" t="s">
        <v>37</v>
      </c>
      <c r="K12" s="5" t="s">
        <v>38</v>
      </c>
      <c r="L12" s="5" t="s">
        <v>39</v>
      </c>
    </row>
    <row r="13" spans="1:12" x14ac:dyDescent="0.25">
      <c r="G13" s="3" t="s">
        <v>40</v>
      </c>
      <c r="H13" s="3">
        <v>3</v>
      </c>
      <c r="I13" s="3">
        <v>5.4707996259923251E-2</v>
      </c>
      <c r="J13" s="3">
        <v>1.8235998753307749E-2</v>
      </c>
      <c r="K13" s="3">
        <v>2.1499601014466032</v>
      </c>
      <c r="L13" s="3">
        <v>0.1951621751583868</v>
      </c>
    </row>
    <row r="14" spans="1:12" x14ac:dyDescent="0.25">
      <c r="G14" s="3" t="s">
        <v>41</v>
      </c>
      <c r="H14" s="3">
        <v>6</v>
      </c>
      <c r="I14" s="3">
        <v>5.0892103740076765E-2</v>
      </c>
      <c r="J14" s="3">
        <v>8.4820172900127947E-3</v>
      </c>
      <c r="K14" s="3"/>
      <c r="L14" s="3"/>
    </row>
    <row r="15" spans="1:12" ht="15.75" thickBot="1" x14ac:dyDescent="0.3">
      <c r="G15" s="4" t="s">
        <v>42</v>
      </c>
      <c r="H15" s="4">
        <v>9</v>
      </c>
      <c r="I15" s="4">
        <v>0.10560010000000002</v>
      </c>
      <c r="J15" s="4"/>
      <c r="K15" s="4"/>
      <c r="L15" s="4"/>
    </row>
    <row r="16" spans="1:12" ht="15.75" thickBot="1" x14ac:dyDescent="0.3">
      <c r="A16" t="s">
        <v>88</v>
      </c>
      <c r="B16" t="s">
        <v>89</v>
      </c>
      <c r="C16" t="s">
        <v>90</v>
      </c>
      <c r="D16" t="s">
        <v>82</v>
      </c>
    </row>
    <row r="17" spans="1:15" x14ac:dyDescent="0.25">
      <c r="A17">
        <v>28.93</v>
      </c>
      <c r="B17">
        <v>190</v>
      </c>
      <c r="C17">
        <v>69</v>
      </c>
      <c r="D17">
        <f>H18+H19*A17+H20*B17+H21*C17</f>
        <v>0.48993627672369389</v>
      </c>
      <c r="G17" s="5"/>
      <c r="H17" s="5" t="s">
        <v>43</v>
      </c>
      <c r="I17" s="5" t="s">
        <v>32</v>
      </c>
      <c r="J17" s="5" t="s">
        <v>44</v>
      </c>
      <c r="K17" s="5" t="s">
        <v>45</v>
      </c>
      <c r="L17" s="5" t="s">
        <v>46</v>
      </c>
      <c r="M17" s="5" t="s">
        <v>47</v>
      </c>
      <c r="N17" s="5" t="s">
        <v>48</v>
      </c>
      <c r="O17" s="5" t="s">
        <v>49</v>
      </c>
    </row>
    <row r="18" spans="1:15" x14ac:dyDescent="0.25">
      <c r="G18" s="3" t="s">
        <v>50</v>
      </c>
      <c r="H18" s="3">
        <v>-2.8940481805993246</v>
      </c>
      <c r="I18" s="3">
        <v>3.0787150664360117</v>
      </c>
      <c r="J18" s="3">
        <v>-0.94001819530169717</v>
      </c>
      <c r="K18" s="3">
        <v>0.38349359455866117</v>
      </c>
      <c r="L18" s="3">
        <v>-10.427392562960174</v>
      </c>
      <c r="M18" s="3">
        <v>4.6392962017615247</v>
      </c>
      <c r="N18" s="3">
        <v>-10.427392562960174</v>
      </c>
      <c r="O18" s="3">
        <v>4.6392962017615247</v>
      </c>
    </row>
    <row r="19" spans="1:15" x14ac:dyDescent="0.25">
      <c r="B19" t="s">
        <v>83</v>
      </c>
      <c r="G19" s="3" t="s">
        <v>21</v>
      </c>
      <c r="H19" s="3">
        <v>8.8361245383194065E-2</v>
      </c>
      <c r="I19" s="3">
        <v>7.7952088845651801E-2</v>
      </c>
      <c r="J19" s="3">
        <v>1.1335327467382279</v>
      </c>
      <c r="K19" s="3">
        <v>0.30024217991589236</v>
      </c>
      <c r="L19" s="3">
        <v>-0.10238064463473692</v>
      </c>
      <c r="M19" s="3">
        <v>0.27910313540112508</v>
      </c>
      <c r="N19" s="3">
        <v>-0.10238064463473692</v>
      </c>
      <c r="O19" s="3">
        <v>0.27910313540112508</v>
      </c>
    </row>
    <row r="20" spans="1:15" x14ac:dyDescent="0.25">
      <c r="B20" s="10">
        <v>0.38750000000000001</v>
      </c>
      <c r="G20" s="3" t="s">
        <v>22</v>
      </c>
      <c r="H20" s="3">
        <v>-1.0824890253789202E-3</v>
      </c>
      <c r="I20" s="3">
        <v>1.0513749096533794E-3</v>
      </c>
      <c r="J20" s="3">
        <v>-1.0295937400064061</v>
      </c>
      <c r="K20" s="3">
        <v>0.34290530291646465</v>
      </c>
      <c r="L20" s="3">
        <v>-3.6551107518062462E-3</v>
      </c>
      <c r="M20" s="3">
        <v>1.4901327010484059E-3</v>
      </c>
      <c r="N20" s="3">
        <v>-3.6551107518062462E-3</v>
      </c>
      <c r="O20" s="3">
        <v>1.4901327010484059E-3</v>
      </c>
    </row>
    <row r="21" spans="1:15" ht="15.75" thickBot="1" x14ac:dyDescent="0.3">
      <c r="G21" s="4" t="s">
        <v>64</v>
      </c>
      <c r="H21" s="4">
        <v>1.4976326713176946E-2</v>
      </c>
      <c r="I21" s="4">
        <v>2.0598996053802787E-2</v>
      </c>
      <c r="J21" s="4">
        <v>0.72704158368010185</v>
      </c>
      <c r="K21" s="4">
        <v>0.49457810424648641</v>
      </c>
      <c r="L21" s="4">
        <v>-3.5427600852561553E-2</v>
      </c>
      <c r="M21" s="4">
        <v>6.5380254278915445E-2</v>
      </c>
      <c r="N21" s="4">
        <v>-3.5427600852561553E-2</v>
      </c>
      <c r="O21" s="4">
        <v>6.5380254278915445E-2</v>
      </c>
    </row>
    <row r="23" spans="1:15" x14ac:dyDescent="0.25">
      <c r="B23" t="s">
        <v>2</v>
      </c>
    </row>
    <row r="24" spans="1:15" x14ac:dyDescent="0.25">
      <c r="A24" t="s">
        <v>78</v>
      </c>
      <c r="B24" t="s">
        <v>22</v>
      </c>
      <c r="C24" t="s">
        <v>95</v>
      </c>
      <c r="D24" t="s">
        <v>23</v>
      </c>
      <c r="G24" t="s">
        <v>24</v>
      </c>
    </row>
    <row r="25" spans="1:15" ht="15.75" thickBot="1" x14ac:dyDescent="0.3">
      <c r="A25">
        <v>28.83</v>
      </c>
      <c r="B25">
        <v>197</v>
      </c>
      <c r="C25">
        <v>81</v>
      </c>
      <c r="D25">
        <v>0.86399999999999999</v>
      </c>
    </row>
    <row r="26" spans="1:15" x14ac:dyDescent="0.25">
      <c r="A26">
        <v>28.25</v>
      </c>
      <c r="B26">
        <v>383</v>
      </c>
      <c r="C26">
        <v>80</v>
      </c>
      <c r="D26">
        <v>0.65900000000000003</v>
      </c>
      <c r="G26" s="2" t="s">
        <v>27</v>
      </c>
      <c r="H26" s="2"/>
    </row>
    <row r="27" spans="1:15" x14ac:dyDescent="0.25">
      <c r="A27">
        <v>28.73</v>
      </c>
      <c r="B27">
        <v>458</v>
      </c>
      <c r="C27">
        <v>82</v>
      </c>
      <c r="D27">
        <v>0.72099999999999997</v>
      </c>
      <c r="G27" s="3" t="s">
        <v>28</v>
      </c>
      <c r="H27" s="3">
        <v>0.87793607186199352</v>
      </c>
    </row>
    <row r="28" spans="1:15" x14ac:dyDescent="0.25">
      <c r="A28">
        <v>29.1</v>
      </c>
      <c r="B28">
        <v>305</v>
      </c>
      <c r="C28">
        <v>79</v>
      </c>
      <c r="D28">
        <v>0.56699999999999995</v>
      </c>
      <c r="G28" s="3" t="s">
        <v>30</v>
      </c>
      <c r="H28" s="3">
        <v>0.7707717462764675</v>
      </c>
    </row>
    <row r="29" spans="1:15" x14ac:dyDescent="0.25">
      <c r="A29">
        <v>28.78</v>
      </c>
      <c r="B29">
        <v>439</v>
      </c>
      <c r="C29">
        <v>81</v>
      </c>
      <c r="D29">
        <v>0.52900000000000003</v>
      </c>
      <c r="G29" s="3" t="s">
        <v>31</v>
      </c>
      <c r="H29" s="3">
        <v>0.65615761941470119</v>
      </c>
    </row>
    <row r="30" spans="1:15" x14ac:dyDescent="0.25">
      <c r="A30">
        <v>28.85</v>
      </c>
      <c r="B30">
        <v>347</v>
      </c>
      <c r="C30">
        <v>81</v>
      </c>
      <c r="D30">
        <v>0.72199999999999998</v>
      </c>
      <c r="G30" s="3" t="s">
        <v>32</v>
      </c>
      <c r="H30" s="3">
        <v>5.9552346760293681E-2</v>
      </c>
    </row>
    <row r="31" spans="1:15" ht="15.75" thickBot="1" x14ac:dyDescent="0.3">
      <c r="A31">
        <v>29.13</v>
      </c>
      <c r="B31">
        <v>382</v>
      </c>
      <c r="C31">
        <v>79</v>
      </c>
      <c r="D31">
        <v>0.57399999999999995</v>
      </c>
      <c r="G31" s="4" t="s">
        <v>33</v>
      </c>
      <c r="H31" s="4">
        <v>10</v>
      </c>
    </row>
    <row r="32" spans="1:15" x14ac:dyDescent="0.25">
      <c r="A32">
        <v>30.02</v>
      </c>
      <c r="B32">
        <v>212</v>
      </c>
      <c r="C32">
        <v>78</v>
      </c>
      <c r="D32">
        <v>0.58199999999999996</v>
      </c>
    </row>
    <row r="33" spans="1:15" ht="15.75" thickBot="1" x14ac:dyDescent="0.3">
      <c r="A33">
        <v>29.1</v>
      </c>
      <c r="B33">
        <v>271</v>
      </c>
      <c r="C33">
        <v>78</v>
      </c>
      <c r="D33">
        <v>0.60599999999999998</v>
      </c>
      <c r="G33" t="s">
        <v>34</v>
      </c>
    </row>
    <row r="34" spans="1:15" x14ac:dyDescent="0.25">
      <c r="A34">
        <v>29.33</v>
      </c>
      <c r="B34">
        <v>156</v>
      </c>
      <c r="C34">
        <v>74</v>
      </c>
      <c r="D34">
        <v>0.59</v>
      </c>
      <c r="G34" s="5"/>
      <c r="H34" s="5" t="s">
        <v>35</v>
      </c>
      <c r="I34" s="5" t="s">
        <v>36</v>
      </c>
      <c r="J34" s="5" t="s">
        <v>37</v>
      </c>
      <c r="K34" s="5" t="s">
        <v>38</v>
      </c>
      <c r="L34" s="5" t="s">
        <v>39</v>
      </c>
    </row>
    <row r="35" spans="1:15" x14ac:dyDescent="0.25">
      <c r="G35" s="3" t="s">
        <v>40</v>
      </c>
      <c r="H35" s="3">
        <v>3</v>
      </c>
      <c r="I35" s="3">
        <v>7.1549507972050452E-2</v>
      </c>
      <c r="J35" s="3">
        <v>2.3849835990683483E-2</v>
      </c>
      <c r="K35" s="3">
        <v>6.7249279594135851</v>
      </c>
      <c r="L35" s="3">
        <v>2.3968204661998758E-2</v>
      </c>
    </row>
    <row r="36" spans="1:15" x14ac:dyDescent="0.25">
      <c r="G36" s="3" t="s">
        <v>41</v>
      </c>
      <c r="H36" s="3">
        <v>6</v>
      </c>
      <c r="I36" s="3">
        <v>2.1278892027949567E-2</v>
      </c>
      <c r="J36" s="3">
        <v>3.5464820046582613E-3</v>
      </c>
      <c r="K36" s="3"/>
      <c r="L36" s="3"/>
    </row>
    <row r="37" spans="1:15" ht="15.75" thickBot="1" x14ac:dyDescent="0.3">
      <c r="G37" s="4" t="s">
        <v>42</v>
      </c>
      <c r="H37" s="4">
        <v>9</v>
      </c>
      <c r="I37" s="4">
        <v>9.2828400000000019E-2</v>
      </c>
      <c r="J37" s="4"/>
      <c r="K37" s="4"/>
      <c r="L37" s="4"/>
    </row>
    <row r="38" spans="1:15" ht="15.75" thickBot="1" x14ac:dyDescent="0.3">
      <c r="A38" s="6" t="s">
        <v>88</v>
      </c>
      <c r="B38" t="s">
        <v>89</v>
      </c>
      <c r="C38" t="s">
        <v>90</v>
      </c>
      <c r="D38" t="s">
        <v>82</v>
      </c>
    </row>
    <row r="39" spans="1:15" x14ac:dyDescent="0.25">
      <c r="A39">
        <v>29.1</v>
      </c>
      <c r="B39">
        <v>204</v>
      </c>
      <c r="C39">
        <v>80</v>
      </c>
      <c r="D39">
        <f>H40+H41*A39+H42*B39+H43*C39</f>
        <v>0.77887954740377019</v>
      </c>
      <c r="G39" s="5"/>
      <c r="H39" s="5" t="s">
        <v>43</v>
      </c>
      <c r="I39" s="5" t="s">
        <v>32</v>
      </c>
      <c r="J39" s="5" t="s">
        <v>44</v>
      </c>
      <c r="K39" s="5" t="s">
        <v>45</v>
      </c>
      <c r="L39" s="5" t="s">
        <v>46</v>
      </c>
      <c r="M39" s="5" t="s">
        <v>47</v>
      </c>
      <c r="N39" s="5" t="s">
        <v>48</v>
      </c>
      <c r="O39" s="5" t="s">
        <v>49</v>
      </c>
    </row>
    <row r="40" spans="1:15" x14ac:dyDescent="0.25">
      <c r="G40" s="3" t="s">
        <v>50</v>
      </c>
      <c r="H40" s="3">
        <v>0.61471861946861139</v>
      </c>
      <c r="I40" s="3">
        <v>2.0969653820220775</v>
      </c>
      <c r="J40" s="3">
        <v>0.29314676567328257</v>
      </c>
      <c r="K40" s="3">
        <v>0.77928461557952589</v>
      </c>
      <c r="L40" s="3">
        <v>-4.5163708252419488</v>
      </c>
      <c r="M40" s="3">
        <v>5.7458080641791716</v>
      </c>
      <c r="N40" s="3">
        <v>-4.5163708252419488</v>
      </c>
      <c r="O40" s="3">
        <v>5.7458080641791716</v>
      </c>
    </row>
    <row r="41" spans="1:15" x14ac:dyDescent="0.25">
      <c r="B41" t="s">
        <v>83</v>
      </c>
      <c r="G41" s="3" t="s">
        <v>78</v>
      </c>
      <c r="H41" s="3">
        <v>-0.10282525940916754</v>
      </c>
      <c r="I41" s="3">
        <v>5.5258974749008739E-2</v>
      </c>
      <c r="J41" s="3">
        <v>-1.8607884036250972</v>
      </c>
      <c r="K41" s="3">
        <v>0.11210118530106791</v>
      </c>
      <c r="L41" s="3">
        <v>-0.23803909960463765</v>
      </c>
      <c r="M41" s="3">
        <v>3.2388580786302579E-2</v>
      </c>
      <c r="N41" s="3">
        <v>-0.23803909960463765</v>
      </c>
      <c r="O41" s="3">
        <v>3.2388580786302579E-2</v>
      </c>
    </row>
    <row r="42" spans="1:15" x14ac:dyDescent="0.25">
      <c r="B42" s="10">
        <v>0.20619999999999999</v>
      </c>
      <c r="G42" s="3" t="s">
        <v>22</v>
      </c>
      <c r="H42" s="3">
        <v>-1.0543058069360774E-3</v>
      </c>
      <c r="I42" s="3">
        <v>2.8186399860192916E-4</v>
      </c>
      <c r="J42" s="3">
        <v>-3.7404770107765772</v>
      </c>
      <c r="K42" s="3">
        <v>9.6170658908964167E-3</v>
      </c>
      <c r="L42" s="3">
        <v>-1.7440021655262469E-3</v>
      </c>
      <c r="M42" s="3">
        <v>-3.6460944834590771E-4</v>
      </c>
      <c r="N42" s="3">
        <v>-1.7440021655262469E-3</v>
      </c>
      <c r="O42" s="3">
        <v>-3.6460944834590771E-4</v>
      </c>
    </row>
    <row r="43" spans="1:15" ht="15.75" thickBot="1" x14ac:dyDescent="0.3">
      <c r="G43" s="4" t="s">
        <v>95</v>
      </c>
      <c r="H43" s="4">
        <v>4.2143179516961178E-2</v>
      </c>
      <c r="I43" s="4">
        <v>1.245126353836185E-2</v>
      </c>
      <c r="J43" s="4">
        <v>3.3846508337984904</v>
      </c>
      <c r="K43" s="4">
        <v>1.4772769512993611E-2</v>
      </c>
      <c r="L43" s="4">
        <v>1.1676035203214318E-2</v>
      </c>
      <c r="M43" s="4">
        <v>7.2610323830708035E-2</v>
      </c>
      <c r="N43" s="4">
        <v>1.1676035203214318E-2</v>
      </c>
      <c r="O43" s="4">
        <v>7.2610323830708035E-2</v>
      </c>
    </row>
    <row r="46" spans="1:15" x14ac:dyDescent="0.25">
      <c r="B46" t="s">
        <v>3</v>
      </c>
    </row>
    <row r="47" spans="1:15" x14ac:dyDescent="0.25">
      <c r="A47" t="s">
        <v>21</v>
      </c>
      <c r="B47" t="s">
        <v>22</v>
      </c>
      <c r="C47" t="s">
        <v>95</v>
      </c>
      <c r="D47" t="s">
        <v>23</v>
      </c>
      <c r="G47" t="s">
        <v>24</v>
      </c>
    </row>
    <row r="48" spans="1:15" ht="15.75" thickBot="1" x14ac:dyDescent="0.3">
      <c r="A48">
        <v>21.25</v>
      </c>
      <c r="B48">
        <v>11</v>
      </c>
      <c r="C48">
        <v>70</v>
      </c>
      <c r="D48">
        <v>1.4490000000000001</v>
      </c>
    </row>
    <row r="49" spans="1:15" x14ac:dyDescent="0.25">
      <c r="A49">
        <v>21.65</v>
      </c>
      <c r="B49">
        <v>1</v>
      </c>
      <c r="C49">
        <v>69</v>
      </c>
      <c r="D49">
        <v>1.5429999999999999</v>
      </c>
      <c r="G49" s="2" t="s">
        <v>27</v>
      </c>
      <c r="H49" s="2"/>
    </row>
    <row r="50" spans="1:15" x14ac:dyDescent="0.25">
      <c r="A50">
        <v>22.23</v>
      </c>
      <c r="B50">
        <v>1</v>
      </c>
      <c r="C50">
        <v>67</v>
      </c>
      <c r="D50">
        <v>1.4430000000000001</v>
      </c>
      <c r="G50" s="3" t="s">
        <v>28</v>
      </c>
      <c r="H50" s="3">
        <v>0.62831406968980241</v>
      </c>
    </row>
    <row r="51" spans="1:15" x14ac:dyDescent="0.25">
      <c r="A51">
        <v>22.73</v>
      </c>
      <c r="B51">
        <v>9</v>
      </c>
      <c r="C51">
        <v>68</v>
      </c>
      <c r="D51">
        <v>1.532</v>
      </c>
      <c r="G51" s="3" t="s">
        <v>30</v>
      </c>
      <c r="H51" s="3">
        <v>0.39477857017016182</v>
      </c>
    </row>
    <row r="52" spans="1:15" x14ac:dyDescent="0.25">
      <c r="A52">
        <v>21.33</v>
      </c>
      <c r="B52">
        <v>47</v>
      </c>
      <c r="C52">
        <v>71</v>
      </c>
      <c r="D52">
        <v>1.794</v>
      </c>
      <c r="G52" s="3" t="s">
        <v>31</v>
      </c>
      <c r="H52" s="3">
        <v>9.2167855255242737E-2</v>
      </c>
    </row>
    <row r="53" spans="1:15" x14ac:dyDescent="0.25">
      <c r="A53">
        <v>21.43</v>
      </c>
      <c r="B53">
        <v>1</v>
      </c>
      <c r="C53">
        <v>70</v>
      </c>
      <c r="D53">
        <v>1.73</v>
      </c>
      <c r="G53" s="3" t="s">
        <v>32</v>
      </c>
      <c r="H53" s="3">
        <v>0.12468635049955126</v>
      </c>
    </row>
    <row r="54" spans="1:15" ht="15.75" thickBot="1" x14ac:dyDescent="0.3">
      <c r="A54">
        <v>22.45</v>
      </c>
      <c r="B54">
        <v>13</v>
      </c>
      <c r="C54">
        <v>66</v>
      </c>
      <c r="D54">
        <v>1.6279999999999999</v>
      </c>
      <c r="G54" s="4" t="s">
        <v>33</v>
      </c>
      <c r="H54" s="4">
        <v>10</v>
      </c>
    </row>
    <row r="55" spans="1:15" x14ac:dyDescent="0.25">
      <c r="A55">
        <v>21.8</v>
      </c>
      <c r="B55">
        <v>20</v>
      </c>
      <c r="C55">
        <v>65</v>
      </c>
      <c r="D55">
        <v>1.7969999999999999</v>
      </c>
    </row>
    <row r="56" spans="1:15" ht="15.75" thickBot="1" x14ac:dyDescent="0.3">
      <c r="A56">
        <v>21.28</v>
      </c>
      <c r="B56">
        <v>3</v>
      </c>
      <c r="C56">
        <v>66</v>
      </c>
      <c r="D56">
        <v>1.6990000000000001</v>
      </c>
      <c r="G56" t="s">
        <v>34</v>
      </c>
    </row>
    <row r="57" spans="1:15" x14ac:dyDescent="0.25">
      <c r="A57">
        <v>21.2</v>
      </c>
      <c r="B57">
        <v>20</v>
      </c>
      <c r="C57">
        <v>66</v>
      </c>
      <c r="D57">
        <v>1.627</v>
      </c>
      <c r="G57" s="5"/>
      <c r="H57" s="5" t="s">
        <v>35</v>
      </c>
      <c r="I57" s="5" t="s">
        <v>36</v>
      </c>
      <c r="J57" s="5" t="s">
        <v>37</v>
      </c>
      <c r="K57" s="5" t="s">
        <v>38</v>
      </c>
      <c r="L57" s="5" t="s">
        <v>39</v>
      </c>
    </row>
    <row r="58" spans="1:15" x14ac:dyDescent="0.25">
      <c r="G58" s="3" t="s">
        <v>40</v>
      </c>
      <c r="H58" s="3">
        <v>3</v>
      </c>
      <c r="I58" s="3">
        <v>6.0845483994618282E-2</v>
      </c>
      <c r="J58" s="3">
        <v>2.0281827998206093E-2</v>
      </c>
      <c r="K58" s="3">
        <v>1.3045756502084083</v>
      </c>
      <c r="L58" s="3">
        <v>0.3564148158880599</v>
      </c>
    </row>
    <row r="59" spans="1:15" x14ac:dyDescent="0.25">
      <c r="G59" s="3" t="s">
        <v>41</v>
      </c>
      <c r="H59" s="3">
        <v>6</v>
      </c>
      <c r="I59" s="3">
        <v>9.3280116005381691E-2</v>
      </c>
      <c r="J59" s="3">
        <v>1.5546686000896948E-2</v>
      </c>
      <c r="K59" s="3"/>
      <c r="L59" s="3"/>
    </row>
    <row r="60" spans="1:15" ht="15.75" thickBot="1" x14ac:dyDescent="0.3">
      <c r="G60" s="4" t="s">
        <v>42</v>
      </c>
      <c r="H60" s="4">
        <v>9</v>
      </c>
      <c r="I60" s="4">
        <v>0.15412559999999997</v>
      </c>
      <c r="J60" s="4"/>
      <c r="K60" s="4"/>
      <c r="L60" s="4"/>
    </row>
    <row r="61" spans="1:15" ht="15.75" thickBot="1" x14ac:dyDescent="0.3">
      <c r="A61" s="6" t="s">
        <v>88</v>
      </c>
      <c r="B61" t="s">
        <v>89</v>
      </c>
      <c r="C61" t="s">
        <v>90</v>
      </c>
      <c r="D61" t="s">
        <v>82</v>
      </c>
    </row>
    <row r="62" spans="1:15" x14ac:dyDescent="0.25">
      <c r="A62">
        <v>21.68</v>
      </c>
      <c r="B62">
        <v>4</v>
      </c>
      <c r="C62">
        <v>65</v>
      </c>
      <c r="D62">
        <f>H63+H64*A62+H65*B62+H66*C62</f>
        <v>1.635337151284787</v>
      </c>
      <c r="G62" s="5"/>
      <c r="H62" s="5" t="s">
        <v>43</v>
      </c>
      <c r="I62" s="5" t="s">
        <v>32</v>
      </c>
      <c r="J62" s="5" t="s">
        <v>44</v>
      </c>
      <c r="K62" s="5" t="s">
        <v>45</v>
      </c>
      <c r="L62" s="5" t="s">
        <v>46</v>
      </c>
      <c r="M62" s="5" t="s">
        <v>47</v>
      </c>
      <c r="N62" s="5" t="s">
        <v>48</v>
      </c>
      <c r="O62" s="5" t="s">
        <v>49</v>
      </c>
    </row>
    <row r="63" spans="1:15" x14ac:dyDescent="0.25">
      <c r="G63" s="3" t="s">
        <v>50</v>
      </c>
      <c r="H63" s="3">
        <v>4.2098402491601483</v>
      </c>
      <c r="I63" s="3">
        <v>2.5107570891007098</v>
      </c>
      <c r="J63" s="3">
        <v>1.6767214428808035</v>
      </c>
      <c r="K63" s="3">
        <v>0.14461082962783334</v>
      </c>
      <c r="L63" s="3">
        <v>-1.933761027506625</v>
      </c>
      <c r="M63" s="3">
        <v>10.353441525826922</v>
      </c>
      <c r="N63" s="3">
        <v>-1.933761027506625</v>
      </c>
      <c r="O63" s="3">
        <v>10.353441525826922</v>
      </c>
    </row>
    <row r="64" spans="1:15" x14ac:dyDescent="0.25">
      <c r="B64" t="s">
        <v>83</v>
      </c>
      <c r="G64" s="3" t="s">
        <v>21</v>
      </c>
      <c r="H64" s="3">
        <v>-6.7010453878779061E-2</v>
      </c>
      <c r="I64" s="3">
        <v>8.0079907002541986E-2</v>
      </c>
      <c r="J64" s="3">
        <v>-0.83679485138078324</v>
      </c>
      <c r="K64" s="3">
        <v>0.43476345432614033</v>
      </c>
      <c r="L64" s="3">
        <v>-0.26295892736188609</v>
      </c>
      <c r="M64" s="3">
        <v>0.12893801960432799</v>
      </c>
      <c r="N64" s="3">
        <v>-0.26295892736188609</v>
      </c>
      <c r="O64" s="3">
        <v>0.12893801960432799</v>
      </c>
    </row>
    <row r="65" spans="1:15" x14ac:dyDescent="0.25">
      <c r="B65" s="10">
        <v>5.0999999999999997E-2</v>
      </c>
      <c r="G65" s="3" t="s">
        <v>22</v>
      </c>
      <c r="H65" s="3">
        <v>4.8493129260661913E-3</v>
      </c>
      <c r="I65" s="3">
        <v>3.061918573853181E-3</v>
      </c>
      <c r="J65" s="3">
        <v>1.5837497990561247</v>
      </c>
      <c r="K65" s="3">
        <v>0.1643407381094181</v>
      </c>
      <c r="L65" s="3">
        <v>-2.6429319195360613E-3</v>
      </c>
      <c r="M65" s="3">
        <v>1.2341557771668444E-2</v>
      </c>
      <c r="N65" s="3">
        <v>-2.6429319195360613E-3</v>
      </c>
      <c r="O65" s="3">
        <v>1.2341557771668444E-2</v>
      </c>
    </row>
    <row r="66" spans="1:15" ht="15.75" thickBot="1" x14ac:dyDescent="0.3">
      <c r="G66" s="4" t="s">
        <v>95</v>
      </c>
      <c r="H66" s="4">
        <v>-1.7555595530579934E-2</v>
      </c>
      <c r="I66" s="4">
        <v>2.0971864741051692E-2</v>
      </c>
      <c r="J66" s="4">
        <v>-0.83710226760214934</v>
      </c>
      <c r="K66" s="4">
        <v>0.43460356832375019</v>
      </c>
      <c r="L66" s="4">
        <v>-6.8871899906068651E-2</v>
      </c>
      <c r="M66" s="4">
        <v>3.3760708844908782E-2</v>
      </c>
      <c r="N66" s="4">
        <v>-6.8871899906068651E-2</v>
      </c>
      <c r="O66" s="4">
        <v>3.3760708844908782E-2</v>
      </c>
    </row>
    <row r="69" spans="1:15" x14ac:dyDescent="0.25">
      <c r="B69" t="s">
        <v>53</v>
      </c>
    </row>
    <row r="70" spans="1:15" x14ac:dyDescent="0.25">
      <c r="A70" s="7" t="s">
        <v>21</v>
      </c>
      <c r="B70" s="7" t="s">
        <v>22</v>
      </c>
      <c r="C70" s="7" t="s">
        <v>64</v>
      </c>
      <c r="D70" s="11" t="s">
        <v>23</v>
      </c>
      <c r="G70" t="s">
        <v>24</v>
      </c>
    </row>
    <row r="71" spans="1:15" ht="15.75" thickBot="1" x14ac:dyDescent="0.3">
      <c r="A71" s="8">
        <v>27.88</v>
      </c>
      <c r="B71" s="8">
        <v>208</v>
      </c>
      <c r="C71" s="8">
        <v>73</v>
      </c>
      <c r="D71">
        <v>3.1</v>
      </c>
    </row>
    <row r="72" spans="1:15" x14ac:dyDescent="0.25">
      <c r="A72" s="8">
        <v>28.78</v>
      </c>
      <c r="B72" s="8">
        <v>203</v>
      </c>
      <c r="C72" s="8">
        <v>71</v>
      </c>
      <c r="D72">
        <v>3.1</v>
      </c>
      <c r="G72" s="2" t="s">
        <v>27</v>
      </c>
      <c r="H72" s="2"/>
    </row>
    <row r="73" spans="1:15" x14ac:dyDescent="0.25">
      <c r="A73" s="8">
        <v>28.85</v>
      </c>
      <c r="B73" s="8">
        <v>199</v>
      </c>
      <c r="C73" s="8">
        <v>72</v>
      </c>
      <c r="D73">
        <v>4.42</v>
      </c>
      <c r="G73" s="3" t="s">
        <v>28</v>
      </c>
      <c r="H73" s="3">
        <v>0.66600570069762211</v>
      </c>
    </row>
    <row r="74" spans="1:15" x14ac:dyDescent="0.25">
      <c r="A74" s="8">
        <v>28.78</v>
      </c>
      <c r="B74" s="8">
        <v>173</v>
      </c>
      <c r="C74" s="8">
        <v>69</v>
      </c>
      <c r="D74">
        <v>3.9</v>
      </c>
      <c r="G74" s="3" t="s">
        <v>30</v>
      </c>
      <c r="H74" s="3">
        <v>0.44356359336173062</v>
      </c>
    </row>
    <row r="75" spans="1:15" x14ac:dyDescent="0.25">
      <c r="A75" s="8">
        <v>28.4</v>
      </c>
      <c r="B75" s="8">
        <v>246</v>
      </c>
      <c r="C75" s="8">
        <v>69</v>
      </c>
      <c r="D75">
        <v>3.44</v>
      </c>
      <c r="G75" s="3" t="s">
        <v>31</v>
      </c>
      <c r="H75" s="3">
        <v>0.16534539004259594</v>
      </c>
    </row>
    <row r="76" spans="1:15" x14ac:dyDescent="0.25">
      <c r="A76" s="8">
        <v>28.88</v>
      </c>
      <c r="B76" s="8">
        <v>229</v>
      </c>
      <c r="C76" s="8">
        <v>71</v>
      </c>
      <c r="D76">
        <v>4.0199999999999996</v>
      </c>
      <c r="G76" s="3" t="s">
        <v>32</v>
      </c>
      <c r="H76" s="3">
        <v>0.43477023461946462</v>
      </c>
    </row>
    <row r="77" spans="1:15" ht="15.75" thickBot="1" x14ac:dyDescent="0.3">
      <c r="A77" s="8">
        <v>29.65</v>
      </c>
      <c r="B77" s="8">
        <v>98</v>
      </c>
      <c r="C77" s="8">
        <v>66</v>
      </c>
      <c r="D77">
        <v>4.37</v>
      </c>
      <c r="G77" s="4" t="s">
        <v>33</v>
      </c>
      <c r="H77" s="4">
        <v>10</v>
      </c>
    </row>
    <row r="78" spans="1:15" x14ac:dyDescent="0.25">
      <c r="A78" s="8">
        <v>29.93</v>
      </c>
      <c r="B78" s="8">
        <v>136</v>
      </c>
      <c r="C78" s="8">
        <v>69</v>
      </c>
      <c r="D78">
        <v>4.18</v>
      </c>
    </row>
    <row r="79" spans="1:15" ht="15.75" thickBot="1" x14ac:dyDescent="0.3">
      <c r="A79" s="8">
        <v>28.4</v>
      </c>
      <c r="B79" s="8">
        <v>173</v>
      </c>
      <c r="C79" s="8">
        <v>70</v>
      </c>
      <c r="D79">
        <v>3.85</v>
      </c>
      <c r="G79" t="s">
        <v>34</v>
      </c>
    </row>
    <row r="80" spans="1:15" x14ac:dyDescent="0.25">
      <c r="A80" s="9">
        <v>29.13</v>
      </c>
      <c r="B80" s="9">
        <v>154</v>
      </c>
      <c r="C80" s="9">
        <v>71</v>
      </c>
      <c r="D80">
        <v>3.68</v>
      </c>
      <c r="G80" s="5"/>
      <c r="H80" s="5" t="s">
        <v>35</v>
      </c>
      <c r="I80" s="5" t="s">
        <v>36</v>
      </c>
      <c r="J80" s="5" t="s">
        <v>37</v>
      </c>
      <c r="K80" s="5" t="s">
        <v>38</v>
      </c>
      <c r="L80" s="5" t="s">
        <v>39</v>
      </c>
    </row>
    <row r="81" spans="1:15" x14ac:dyDescent="0.25">
      <c r="G81" s="3" t="s">
        <v>40</v>
      </c>
      <c r="H81" s="3">
        <v>3</v>
      </c>
      <c r="I81" s="3">
        <v>0.90408905853361365</v>
      </c>
      <c r="J81" s="3">
        <v>0.30136301951120453</v>
      </c>
      <c r="K81" s="3">
        <v>1.5943011207391551</v>
      </c>
      <c r="L81" s="3">
        <v>0.2865130763125221</v>
      </c>
    </row>
    <row r="82" spans="1:15" x14ac:dyDescent="0.25">
      <c r="G82" s="3" t="s">
        <v>41</v>
      </c>
      <c r="H82" s="3">
        <v>6</v>
      </c>
      <c r="I82" s="3">
        <v>1.134150941466386</v>
      </c>
      <c r="J82" s="3">
        <v>0.18902515691106433</v>
      </c>
      <c r="K82" s="3"/>
      <c r="L82" s="3"/>
    </row>
    <row r="83" spans="1:15" ht="15.75" thickBot="1" x14ac:dyDescent="0.3">
      <c r="G83" s="4" t="s">
        <v>42</v>
      </c>
      <c r="H83" s="4">
        <v>9</v>
      </c>
      <c r="I83" s="4">
        <v>2.0382399999999996</v>
      </c>
      <c r="J83" s="4"/>
      <c r="K83" s="4"/>
      <c r="L83" s="4"/>
    </row>
    <row r="84" spans="1:15" ht="15.75" thickBot="1" x14ac:dyDescent="0.3"/>
    <row r="85" spans="1:15" x14ac:dyDescent="0.25">
      <c r="A85" s="6" t="s">
        <v>88</v>
      </c>
      <c r="B85" t="s">
        <v>89</v>
      </c>
      <c r="C85" t="s">
        <v>90</v>
      </c>
      <c r="D85" t="s">
        <v>82</v>
      </c>
      <c r="G85" s="5"/>
      <c r="H85" s="5" t="s">
        <v>43</v>
      </c>
      <c r="I85" s="5" t="s">
        <v>32</v>
      </c>
      <c r="J85" s="5" t="s">
        <v>44</v>
      </c>
      <c r="K85" s="5" t="s">
        <v>45</v>
      </c>
      <c r="L85" s="5" t="s">
        <v>46</v>
      </c>
      <c r="M85" s="5" t="s">
        <v>47</v>
      </c>
      <c r="N85" s="5" t="s">
        <v>48</v>
      </c>
      <c r="O85" s="5" t="s">
        <v>49</v>
      </c>
    </row>
    <row r="86" spans="1:15" x14ac:dyDescent="0.25">
      <c r="A86">
        <v>28.93</v>
      </c>
      <c r="B86">
        <v>190</v>
      </c>
      <c r="C86">
        <v>69</v>
      </c>
      <c r="D86">
        <f>H86+H87*A86+H88*B86+H89*C86</f>
        <v>3.8505291558678629</v>
      </c>
      <c r="G86" s="3" t="s">
        <v>50</v>
      </c>
      <c r="H86" s="3">
        <v>-8.0187079174968279</v>
      </c>
      <c r="I86" s="3">
        <v>14.53381821793454</v>
      </c>
      <c r="J86" s="3">
        <v>-0.55172754999796603</v>
      </c>
      <c r="K86" s="3">
        <v>0.60106378028115914</v>
      </c>
      <c r="L86" s="3">
        <v>-43.581679957347518</v>
      </c>
      <c r="M86" s="3">
        <v>27.544264122353866</v>
      </c>
      <c r="N86" s="3">
        <v>-43.581679957347518</v>
      </c>
      <c r="O86" s="3">
        <v>27.544264122353866</v>
      </c>
    </row>
    <row r="87" spans="1:15" x14ac:dyDescent="0.25">
      <c r="G87" s="3" t="s">
        <v>21</v>
      </c>
      <c r="H87" s="3">
        <v>0.45831136753958557</v>
      </c>
      <c r="I87" s="3">
        <v>0.36799166682953355</v>
      </c>
      <c r="J87" s="3">
        <v>1.2454395271724759</v>
      </c>
      <c r="K87" s="3">
        <v>0.25940076317747657</v>
      </c>
      <c r="L87" s="3">
        <v>-0.44213180314819134</v>
      </c>
      <c r="M87" s="3">
        <v>1.3587545382273625</v>
      </c>
      <c r="N87" s="3">
        <v>-0.44213180314819134</v>
      </c>
      <c r="O87" s="3">
        <v>1.3587545382273625</v>
      </c>
    </row>
    <row r="88" spans="1:15" x14ac:dyDescent="0.25">
      <c r="B88" t="s">
        <v>83</v>
      </c>
      <c r="G88" s="3" t="s">
        <v>22</v>
      </c>
      <c r="H88" s="3">
        <v>-5.4281305373465828E-4</v>
      </c>
      <c r="I88" s="3">
        <v>4.9632692490405089E-3</v>
      </c>
      <c r="J88" s="3">
        <v>-0.10936603002941943</v>
      </c>
      <c r="K88" s="3">
        <v>0.91647825079902467</v>
      </c>
      <c r="L88" s="3">
        <v>-1.2687495399635275E-2</v>
      </c>
      <c r="M88" s="3">
        <v>1.1601869292165957E-2</v>
      </c>
      <c r="N88" s="3">
        <v>-1.2687495399635275E-2</v>
      </c>
      <c r="O88" s="3">
        <v>1.1601869292165957E-2</v>
      </c>
    </row>
    <row r="89" spans="1:15" ht="15.75" thickBot="1" x14ac:dyDescent="0.3">
      <c r="B89" s="10">
        <v>1.5800000000000002E-2</v>
      </c>
      <c r="G89" s="4" t="s">
        <v>64</v>
      </c>
      <c r="H89" s="4">
        <v>-1.8646033468781669E-2</v>
      </c>
      <c r="I89" s="4">
        <v>9.724253711613913E-2</v>
      </c>
      <c r="J89" s="4">
        <v>-0.19174770652592349</v>
      </c>
      <c r="K89" s="4">
        <v>0.85426445492964942</v>
      </c>
      <c r="L89" s="4">
        <v>-0.25658994997366708</v>
      </c>
      <c r="M89" s="4">
        <v>0.21929788303610376</v>
      </c>
      <c r="N89" s="4">
        <v>-0.25658994997366708</v>
      </c>
      <c r="O89" s="4">
        <v>0.21929788303610376</v>
      </c>
    </row>
    <row r="92" spans="1:15" x14ac:dyDescent="0.25">
      <c r="B92" t="s">
        <v>86</v>
      </c>
    </row>
    <row r="93" spans="1:15" x14ac:dyDescent="0.25">
      <c r="A93" s="7" t="s">
        <v>21</v>
      </c>
      <c r="B93" s="7" t="s">
        <v>22</v>
      </c>
      <c r="C93" s="7" t="s">
        <v>95</v>
      </c>
      <c r="D93" s="11" t="s">
        <v>23</v>
      </c>
      <c r="G93" t="s">
        <v>24</v>
      </c>
    </row>
    <row r="94" spans="1:15" ht="15.75" thickBot="1" x14ac:dyDescent="0.3">
      <c r="A94" s="8">
        <v>21.25</v>
      </c>
      <c r="B94" s="8">
        <v>11</v>
      </c>
      <c r="C94" s="8">
        <v>70</v>
      </c>
      <c r="D94">
        <v>5.3979999999999997</v>
      </c>
    </row>
    <row r="95" spans="1:15" x14ac:dyDescent="0.25">
      <c r="A95" s="8">
        <v>21.65</v>
      </c>
      <c r="B95" s="8">
        <v>1</v>
      </c>
      <c r="C95" s="8">
        <v>69</v>
      </c>
      <c r="D95">
        <v>5.3979999999999997</v>
      </c>
      <c r="G95" s="2" t="s">
        <v>27</v>
      </c>
      <c r="H95" s="2"/>
    </row>
    <row r="96" spans="1:15" x14ac:dyDescent="0.25">
      <c r="A96" s="8">
        <v>22.23</v>
      </c>
      <c r="B96" s="8">
        <v>1</v>
      </c>
      <c r="C96" s="8">
        <v>67</v>
      </c>
      <c r="D96">
        <v>6.5469999999999997</v>
      </c>
      <c r="G96" s="3" t="s">
        <v>28</v>
      </c>
      <c r="H96" s="3">
        <v>0.77323285725713586</v>
      </c>
    </row>
    <row r="97" spans="1:15" x14ac:dyDescent="0.25">
      <c r="A97" s="8">
        <v>22.73</v>
      </c>
      <c r="B97" s="8">
        <v>9</v>
      </c>
      <c r="C97" s="8">
        <v>68</v>
      </c>
      <c r="D97">
        <v>8.0500000000000007</v>
      </c>
      <c r="G97" s="3" t="s">
        <v>30</v>
      </c>
      <c r="H97" s="3">
        <v>0.5978890515420342</v>
      </c>
    </row>
    <row r="98" spans="1:15" x14ac:dyDescent="0.25">
      <c r="A98" s="8">
        <v>21.33</v>
      </c>
      <c r="B98" s="8">
        <v>47</v>
      </c>
      <c r="C98" s="8">
        <v>71</v>
      </c>
      <c r="D98">
        <v>8.5259999999999998</v>
      </c>
      <c r="G98" s="3" t="s">
        <v>31</v>
      </c>
      <c r="H98" s="3">
        <v>0.3968335773130513</v>
      </c>
    </row>
    <row r="99" spans="1:15" x14ac:dyDescent="0.25">
      <c r="A99" s="8">
        <v>21.43</v>
      </c>
      <c r="B99" s="8">
        <v>1</v>
      </c>
      <c r="C99" s="8">
        <v>70</v>
      </c>
      <c r="D99">
        <v>6.6230000000000002</v>
      </c>
      <c r="G99" s="3" t="s">
        <v>32</v>
      </c>
      <c r="H99" s="3">
        <v>0.87039071830748871</v>
      </c>
    </row>
    <row r="100" spans="1:15" ht="15.75" thickBot="1" x14ac:dyDescent="0.3">
      <c r="A100" s="8">
        <v>22.45</v>
      </c>
      <c r="B100" s="8">
        <v>13</v>
      </c>
      <c r="C100" s="8">
        <v>66</v>
      </c>
      <c r="D100">
        <v>7.7549999999999999</v>
      </c>
      <c r="G100" s="4" t="s">
        <v>33</v>
      </c>
      <c r="H100" s="4">
        <v>10</v>
      </c>
    </row>
    <row r="101" spans="1:15" x14ac:dyDescent="0.25">
      <c r="A101" s="8">
        <v>21.8</v>
      </c>
      <c r="B101" s="8">
        <v>20</v>
      </c>
      <c r="C101" s="8">
        <v>65</v>
      </c>
      <c r="D101">
        <v>7.73</v>
      </c>
    </row>
    <row r="102" spans="1:15" ht="15.75" thickBot="1" x14ac:dyDescent="0.3">
      <c r="A102" s="8">
        <v>21.28</v>
      </c>
      <c r="B102" s="8">
        <v>3</v>
      </c>
      <c r="C102" s="8">
        <v>66</v>
      </c>
      <c r="D102">
        <v>8.0190000000000001</v>
      </c>
      <c r="G102" t="s">
        <v>34</v>
      </c>
    </row>
    <row r="103" spans="1:15" x14ac:dyDescent="0.25">
      <c r="A103" s="9">
        <v>21.2</v>
      </c>
      <c r="B103" s="9">
        <v>20</v>
      </c>
      <c r="C103" s="9">
        <v>66</v>
      </c>
      <c r="D103">
        <v>7.76</v>
      </c>
      <c r="G103" s="5"/>
      <c r="H103" s="5" t="s">
        <v>35</v>
      </c>
      <c r="I103" s="5" t="s">
        <v>36</v>
      </c>
      <c r="J103" s="5" t="s">
        <v>37</v>
      </c>
      <c r="K103" s="5" t="s">
        <v>38</v>
      </c>
      <c r="L103" s="5" t="s">
        <v>39</v>
      </c>
    </row>
    <row r="104" spans="1:15" x14ac:dyDescent="0.25">
      <c r="G104" s="3" t="s">
        <v>40</v>
      </c>
      <c r="H104" s="3">
        <v>3</v>
      </c>
      <c r="I104" s="3">
        <v>6.7585643849050445</v>
      </c>
      <c r="J104" s="3">
        <v>2.2528547949683482</v>
      </c>
      <c r="K104" s="3">
        <v>2.9737516664733832</v>
      </c>
      <c r="L104" s="3">
        <v>0.1186842423458588</v>
      </c>
    </row>
    <row r="105" spans="1:15" x14ac:dyDescent="0.25">
      <c r="G105" s="3" t="s">
        <v>41</v>
      </c>
      <c r="H105" s="3">
        <v>6</v>
      </c>
      <c r="I105" s="3">
        <v>4.5454800150949577</v>
      </c>
      <c r="J105" s="3">
        <v>0.75758000251582625</v>
      </c>
      <c r="K105" s="3"/>
      <c r="L105" s="3"/>
    </row>
    <row r="106" spans="1:15" ht="15.75" thickBot="1" x14ac:dyDescent="0.3">
      <c r="A106" s="6" t="s">
        <v>88</v>
      </c>
      <c r="B106" t="s">
        <v>89</v>
      </c>
      <c r="C106" t="s">
        <v>90</v>
      </c>
      <c r="D106" t="s">
        <v>82</v>
      </c>
      <c r="G106" s="4" t="s">
        <v>42</v>
      </c>
      <c r="H106" s="4">
        <v>9</v>
      </c>
      <c r="I106" s="4">
        <v>11.304044400000002</v>
      </c>
      <c r="J106" s="4"/>
      <c r="K106" s="4"/>
      <c r="L106" s="4"/>
    </row>
    <row r="107" spans="1:15" ht="15.75" thickBot="1" x14ac:dyDescent="0.3">
      <c r="A107">
        <v>21.68</v>
      </c>
      <c r="B107">
        <v>4</v>
      </c>
      <c r="C107">
        <v>65</v>
      </c>
      <c r="D107">
        <f>H109+H110*A107+H111*B107+H112*C107</f>
        <v>7.3365459204141406</v>
      </c>
    </row>
    <row r="108" spans="1:15" x14ac:dyDescent="0.25">
      <c r="G108" s="5"/>
      <c r="H108" s="5" t="s">
        <v>43</v>
      </c>
      <c r="I108" s="5" t="s">
        <v>32</v>
      </c>
      <c r="J108" s="5" t="s">
        <v>44</v>
      </c>
      <c r="K108" s="5" t="s">
        <v>45</v>
      </c>
      <c r="L108" s="5" t="s">
        <v>46</v>
      </c>
      <c r="M108" s="5" t="s">
        <v>47</v>
      </c>
      <c r="N108" s="5" t="s">
        <v>48</v>
      </c>
      <c r="O108" s="5" t="s">
        <v>49</v>
      </c>
    </row>
    <row r="109" spans="1:15" x14ac:dyDescent="0.25">
      <c r="B109" t="s">
        <v>83</v>
      </c>
      <c r="G109" s="3" t="s">
        <v>50</v>
      </c>
      <c r="H109" s="3">
        <v>13.260355301268355</v>
      </c>
      <c r="I109" s="3">
        <v>17.526695243885989</v>
      </c>
      <c r="J109" s="3">
        <v>0.75658046863649875</v>
      </c>
      <c r="K109" s="3">
        <v>0.47794648084586833</v>
      </c>
      <c r="L109" s="3">
        <v>-29.625923002402445</v>
      </c>
      <c r="M109" s="3">
        <v>56.146633604939154</v>
      </c>
      <c r="N109" s="3">
        <v>-29.625923002402445</v>
      </c>
      <c r="O109" s="3">
        <v>56.146633604939154</v>
      </c>
    </row>
    <row r="110" spans="1:15" x14ac:dyDescent="0.25">
      <c r="B110" s="10">
        <v>7.1800000000000003E-2</v>
      </c>
      <c r="G110" s="3" t="s">
        <v>21</v>
      </c>
      <c r="H110" s="3">
        <v>0.42961255796988496</v>
      </c>
      <c r="I110" s="3">
        <v>0.55900912568766103</v>
      </c>
      <c r="J110" s="3">
        <v>0.7685251245968483</v>
      </c>
      <c r="K110" s="3">
        <v>0.4713320259021746</v>
      </c>
      <c r="L110" s="3">
        <v>-0.93823349657344079</v>
      </c>
      <c r="M110" s="3">
        <v>1.7974586125132106</v>
      </c>
      <c r="N110" s="3">
        <v>-0.93823349657344079</v>
      </c>
      <c r="O110" s="3">
        <v>1.7974586125132106</v>
      </c>
    </row>
    <row r="111" spans="1:15" x14ac:dyDescent="0.25">
      <c r="G111" s="3" t="s">
        <v>22</v>
      </c>
      <c r="H111" s="3">
        <v>5.6578162219302675E-2</v>
      </c>
      <c r="I111" s="3">
        <v>2.1374156001981174E-2</v>
      </c>
      <c r="J111" s="3">
        <v>2.6470360847959769</v>
      </c>
      <c r="K111" s="3">
        <v>3.8179556824021237E-2</v>
      </c>
      <c r="L111" s="3">
        <v>4.277486589833554E-3</v>
      </c>
      <c r="M111" s="3">
        <v>0.1088788378487718</v>
      </c>
      <c r="N111" s="3">
        <v>4.277486589833554E-3</v>
      </c>
      <c r="O111" s="3">
        <v>0.1088788378487718</v>
      </c>
    </row>
    <row r="112" spans="1:15" ht="15.75" thickBot="1" x14ac:dyDescent="0.3">
      <c r="G112" s="4" t="s">
        <v>95</v>
      </c>
      <c r="H112" s="4">
        <v>-0.2379095736387466</v>
      </c>
      <c r="I112" s="4">
        <v>0.14639707027335902</v>
      </c>
      <c r="J112" s="4">
        <v>-1.62509791483198</v>
      </c>
      <c r="K112" s="4">
        <v>0.15526712269011475</v>
      </c>
      <c r="L112" s="4">
        <v>-0.59613029986353172</v>
      </c>
      <c r="M112" s="4">
        <v>0.12031115258603853</v>
      </c>
      <c r="N112" s="4">
        <v>-0.59613029986353172</v>
      </c>
      <c r="O112" s="4">
        <v>0.12031115258603853</v>
      </c>
    </row>
    <row r="114" spans="1:12" x14ac:dyDescent="0.25">
      <c r="B114" t="s">
        <v>87</v>
      </c>
    </row>
    <row r="115" spans="1:12" x14ac:dyDescent="0.25">
      <c r="A115" s="7" t="s">
        <v>21</v>
      </c>
      <c r="B115" s="7" t="s">
        <v>22</v>
      </c>
      <c r="C115" s="7" t="s">
        <v>95</v>
      </c>
      <c r="D115" s="11" t="s">
        <v>23</v>
      </c>
      <c r="G115" t="s">
        <v>24</v>
      </c>
    </row>
    <row r="116" spans="1:12" ht="15.75" thickBot="1" x14ac:dyDescent="0.3">
      <c r="A116" s="8">
        <v>21.25</v>
      </c>
      <c r="B116" s="8">
        <v>11</v>
      </c>
      <c r="C116" s="8">
        <v>70</v>
      </c>
      <c r="D116">
        <v>0.70899999999999996</v>
      </c>
    </row>
    <row r="117" spans="1:12" x14ac:dyDescent="0.25">
      <c r="A117" s="8">
        <v>21.65</v>
      </c>
      <c r="B117" s="8">
        <v>1</v>
      </c>
      <c r="C117" s="8">
        <v>69</v>
      </c>
      <c r="D117">
        <v>0.70899999999999996</v>
      </c>
      <c r="G117" s="2" t="s">
        <v>27</v>
      </c>
      <c r="H117" s="2"/>
    </row>
    <row r="118" spans="1:12" x14ac:dyDescent="0.25">
      <c r="A118" s="8">
        <v>22.23</v>
      </c>
      <c r="B118" s="8">
        <v>1</v>
      </c>
      <c r="C118" s="8">
        <v>67</v>
      </c>
      <c r="D118">
        <v>0.59599999999999997</v>
      </c>
      <c r="G118" s="3" t="s">
        <v>28</v>
      </c>
      <c r="H118" s="3">
        <v>0.62008677640876175</v>
      </c>
    </row>
    <row r="119" spans="1:12" x14ac:dyDescent="0.25">
      <c r="A119" s="8">
        <v>22.73</v>
      </c>
      <c r="B119" s="8">
        <v>9</v>
      </c>
      <c r="C119" s="8">
        <v>68</v>
      </c>
      <c r="D119">
        <v>0.56599999999999995</v>
      </c>
      <c r="G119" s="3" t="s">
        <v>30</v>
      </c>
      <c r="H119" s="3">
        <v>0.38450761027700964</v>
      </c>
    </row>
    <row r="120" spans="1:12" x14ac:dyDescent="0.25">
      <c r="A120" s="8">
        <v>21.33</v>
      </c>
      <c r="B120" s="8">
        <v>47</v>
      </c>
      <c r="C120" s="8">
        <v>71</v>
      </c>
      <c r="D120">
        <v>0.59599999999999997</v>
      </c>
      <c r="G120" s="3" t="s">
        <v>31</v>
      </c>
      <c r="H120" s="3">
        <v>7.6761415415514442E-2</v>
      </c>
    </row>
    <row r="121" spans="1:12" x14ac:dyDescent="0.25">
      <c r="A121" s="8">
        <v>21.43</v>
      </c>
      <c r="B121" s="8">
        <v>1</v>
      </c>
      <c r="C121" s="8">
        <v>70</v>
      </c>
      <c r="D121">
        <v>0.82199999999999995</v>
      </c>
      <c r="G121" s="3" t="s">
        <v>32</v>
      </c>
      <c r="H121" s="3">
        <v>0.26458542643516331</v>
      </c>
    </row>
    <row r="122" spans="1:12" ht="15.75" thickBot="1" x14ac:dyDescent="0.3">
      <c r="A122" s="8">
        <v>22.45</v>
      </c>
      <c r="B122" s="8">
        <v>13</v>
      </c>
      <c r="C122" s="8">
        <v>66</v>
      </c>
      <c r="D122">
        <v>0.45200000000000001</v>
      </c>
      <c r="G122" s="4" t="s">
        <v>33</v>
      </c>
      <c r="H122" s="4">
        <v>10</v>
      </c>
    </row>
    <row r="123" spans="1:12" x14ac:dyDescent="0.25">
      <c r="A123" s="8">
        <v>21.8</v>
      </c>
      <c r="B123" s="8">
        <v>20</v>
      </c>
      <c r="C123" s="8">
        <v>65</v>
      </c>
      <c r="D123">
        <v>1.448</v>
      </c>
    </row>
    <row r="124" spans="1:12" ht="15.75" thickBot="1" x14ac:dyDescent="0.3">
      <c r="A124" s="8">
        <v>21.28</v>
      </c>
      <c r="B124" s="8">
        <v>3</v>
      </c>
      <c r="C124" s="8">
        <v>66</v>
      </c>
      <c r="D124">
        <v>0.79</v>
      </c>
      <c r="G124" t="s">
        <v>34</v>
      </c>
    </row>
    <row r="125" spans="1:12" x14ac:dyDescent="0.25">
      <c r="A125" s="9">
        <v>21.2</v>
      </c>
      <c r="B125" s="9">
        <v>20</v>
      </c>
      <c r="C125" s="9">
        <v>66</v>
      </c>
      <c r="D125">
        <v>0.874</v>
      </c>
      <c r="G125" s="5"/>
      <c r="H125" s="5" t="s">
        <v>35</v>
      </c>
      <c r="I125" s="5" t="s">
        <v>36</v>
      </c>
      <c r="J125" s="5" t="s">
        <v>37</v>
      </c>
      <c r="K125" s="5" t="s">
        <v>38</v>
      </c>
      <c r="L125" s="5" t="s">
        <v>39</v>
      </c>
    </row>
    <row r="126" spans="1:12" x14ac:dyDescent="0.25">
      <c r="G126" s="3" t="s">
        <v>40</v>
      </c>
      <c r="H126" s="3">
        <v>3</v>
      </c>
      <c r="I126" s="3">
        <v>0.26240091270873667</v>
      </c>
      <c r="J126" s="3">
        <v>8.7466970902912222E-2</v>
      </c>
      <c r="K126" s="3">
        <v>1.2494309164409385</v>
      </c>
      <c r="L126" s="3">
        <v>0.37208855526956935</v>
      </c>
    </row>
    <row r="127" spans="1:12" x14ac:dyDescent="0.25">
      <c r="G127" s="3" t="s">
        <v>41</v>
      </c>
      <c r="H127" s="3">
        <v>6</v>
      </c>
      <c r="I127" s="3">
        <v>0.42003268729126331</v>
      </c>
      <c r="J127" s="3">
        <v>7.0005447881877222E-2</v>
      </c>
      <c r="K127" s="3"/>
      <c r="L127" s="3"/>
    </row>
    <row r="128" spans="1:12" ht="15.75" thickBot="1" x14ac:dyDescent="0.3">
      <c r="G128" s="4" t="s">
        <v>42</v>
      </c>
      <c r="H128" s="4">
        <v>9</v>
      </c>
      <c r="I128" s="4">
        <v>0.68243359999999997</v>
      </c>
      <c r="J128" s="4"/>
      <c r="K128" s="4"/>
      <c r="L128" s="4"/>
    </row>
    <row r="129" spans="1:15" ht="15.75" thickBot="1" x14ac:dyDescent="0.3">
      <c r="A129" s="6" t="s">
        <v>88</v>
      </c>
      <c r="B129" t="s">
        <v>89</v>
      </c>
      <c r="C129" t="s">
        <v>90</v>
      </c>
      <c r="D129" t="s">
        <v>82</v>
      </c>
    </row>
    <row r="130" spans="1:15" x14ac:dyDescent="0.25">
      <c r="A130">
        <v>21.68</v>
      </c>
      <c r="B130">
        <v>4</v>
      </c>
      <c r="C130">
        <v>65</v>
      </c>
      <c r="D130">
        <f>H131+H132*A130+H133*B130+H134*C130</f>
        <v>0.96081197060758861</v>
      </c>
      <c r="G130" s="5"/>
      <c r="H130" s="5" t="s">
        <v>43</v>
      </c>
      <c r="I130" s="5" t="s">
        <v>32</v>
      </c>
      <c r="J130" s="5" t="s">
        <v>44</v>
      </c>
      <c r="K130" s="5" t="s">
        <v>45</v>
      </c>
      <c r="L130" s="5" t="s">
        <v>46</v>
      </c>
      <c r="M130" s="5" t="s">
        <v>47</v>
      </c>
      <c r="N130" s="5" t="s">
        <v>48</v>
      </c>
      <c r="O130" s="5" t="s">
        <v>49</v>
      </c>
    </row>
    <row r="131" spans="1:15" x14ac:dyDescent="0.25">
      <c r="G131" s="3" t="s">
        <v>50</v>
      </c>
      <c r="H131" s="3">
        <v>10.793066699082139</v>
      </c>
      <c r="I131" s="3">
        <v>5.32784649188374</v>
      </c>
      <c r="J131" s="3">
        <v>2.0257840978571604</v>
      </c>
      <c r="K131" s="3">
        <v>8.9183023924497992E-2</v>
      </c>
      <c r="L131" s="3">
        <v>-2.2437040229893359</v>
      </c>
      <c r="M131" s="3">
        <v>23.829837421153613</v>
      </c>
      <c r="N131" s="3">
        <v>-2.2437040229893359</v>
      </c>
      <c r="O131" s="3">
        <v>23.829837421153613</v>
      </c>
    </row>
    <row r="132" spans="1:15" x14ac:dyDescent="0.25">
      <c r="B132" t="s">
        <v>83</v>
      </c>
      <c r="G132" s="3" t="s">
        <v>21</v>
      </c>
      <c r="H132" s="3">
        <v>-0.23441764696397757</v>
      </c>
      <c r="I132" s="3">
        <v>0.16993019892126882</v>
      </c>
      <c r="J132" s="3">
        <v>-1.379493747739251</v>
      </c>
      <c r="K132" s="3">
        <v>0.21695192520296266</v>
      </c>
      <c r="L132" s="3">
        <v>-0.65022186457185238</v>
      </c>
      <c r="M132" s="3">
        <v>0.18138657064389721</v>
      </c>
      <c r="N132" s="3">
        <v>-0.65022186457185238</v>
      </c>
      <c r="O132" s="3">
        <v>0.18138657064389721</v>
      </c>
    </row>
    <row r="133" spans="1:15" x14ac:dyDescent="0.25">
      <c r="B133" s="10">
        <v>5.0000000000000001E-3</v>
      </c>
      <c r="G133" s="3" t="s">
        <v>22</v>
      </c>
      <c r="H133" s="3">
        <v>1.530648771139857E-3</v>
      </c>
      <c r="I133" s="3">
        <v>6.4974155416924056E-3</v>
      </c>
      <c r="J133" s="3">
        <v>0.23557809429272908</v>
      </c>
      <c r="K133" s="3">
        <v>0.82159500234177396</v>
      </c>
      <c r="L133" s="3">
        <v>-1.4367954319640804E-2</v>
      </c>
      <c r="M133" s="3">
        <v>1.7429251861920517E-2</v>
      </c>
      <c r="N133" s="3">
        <v>-1.4367954319640804E-2</v>
      </c>
      <c r="O133" s="3">
        <v>1.7429251861920517E-2</v>
      </c>
    </row>
    <row r="134" spans="1:15" ht="15.75" thickBot="1" x14ac:dyDescent="0.3">
      <c r="G134" s="4" t="s">
        <v>95</v>
      </c>
      <c r="H134" s="4">
        <v>-7.3172349805847345E-2</v>
      </c>
      <c r="I134" s="4">
        <v>4.4502463609051565E-2</v>
      </c>
      <c r="J134" s="4">
        <v>-1.6442314396042668</v>
      </c>
      <c r="K134" s="4">
        <v>0.15123234599804875</v>
      </c>
      <c r="L134" s="4">
        <v>-0.18206595541598336</v>
      </c>
      <c r="M134" s="4">
        <v>3.5721255804288671E-2</v>
      </c>
      <c r="N134" s="4">
        <v>-0.18206595541598336</v>
      </c>
      <c r="O134" s="4">
        <v>3.5721255804288671E-2</v>
      </c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65" workbookViewId="0">
      <selection activeCell="O86" sqref="O86"/>
    </sheetView>
  </sheetViews>
  <sheetFormatPr defaultRowHeight="15" x14ac:dyDescent="0.25"/>
  <cols>
    <col min="1" max="1" width="14.7109375" customWidth="1"/>
    <col min="2" max="2" width="10.42578125" customWidth="1"/>
    <col min="3" max="3" width="11.85546875" customWidth="1"/>
    <col min="4" max="4" width="13" customWidth="1"/>
    <col min="6" max="6" width="10.28515625" customWidth="1"/>
    <col min="8" max="8" width="11.28515625" customWidth="1"/>
    <col min="9" max="9" width="9.85546875" customWidth="1"/>
    <col min="12" max="12" width="17.42578125" customWidth="1"/>
  </cols>
  <sheetData>
    <row r="1" spans="1:13" x14ac:dyDescent="0.25">
      <c r="B1" t="s">
        <v>1</v>
      </c>
    </row>
    <row r="2" spans="1:13" x14ac:dyDescent="0.25">
      <c r="A2" t="s">
        <v>21</v>
      </c>
      <c r="B2" t="s">
        <v>22</v>
      </c>
      <c r="C2" t="s">
        <v>64</v>
      </c>
      <c r="D2" t="s">
        <v>23</v>
      </c>
      <c r="F2" t="s">
        <v>88</v>
      </c>
      <c r="G2" s="6" t="s">
        <v>89</v>
      </c>
      <c r="H2" t="s">
        <v>90</v>
      </c>
      <c r="I2" t="s">
        <v>82</v>
      </c>
      <c r="K2" s="6" t="s">
        <v>91</v>
      </c>
      <c r="L2" t="s">
        <v>92</v>
      </c>
      <c r="M2" s="6" t="s">
        <v>93</v>
      </c>
    </row>
    <row r="3" spans="1:13" x14ac:dyDescent="0.25">
      <c r="A3">
        <v>27.88</v>
      </c>
      <c r="B3">
        <v>208</v>
      </c>
      <c r="C3">
        <v>73</v>
      </c>
      <c r="D3">
        <v>0.43099999999999999</v>
      </c>
      <c r="F3">
        <v>28.93</v>
      </c>
      <c r="G3">
        <v>190</v>
      </c>
      <c r="H3">
        <v>69</v>
      </c>
      <c r="I3">
        <v>0.48799999999999999</v>
      </c>
      <c r="K3">
        <f>RANK(L3,$L$3:$L$12,1)</f>
        <v>5</v>
      </c>
      <c r="L3">
        <f>SQRT((Table1927[[#This Row],[Temperature]]-$F$3)^2+(Table1927[[#This Row],[Rainfall]]-$G$3)^2+(Table1927[[#This Row],[humidity]]-$H$3)^2)</f>
        <v>18.468960447193556</v>
      </c>
      <c r="M3">
        <f>Table1927[[#This Row],[production]]</f>
        <v>0.43099999999999999</v>
      </c>
    </row>
    <row r="4" spans="1:13" x14ac:dyDescent="0.25">
      <c r="A4">
        <v>28.78</v>
      </c>
      <c r="B4">
        <v>203</v>
      </c>
      <c r="C4">
        <v>71</v>
      </c>
      <c r="D4">
        <v>0.39700000000000002</v>
      </c>
      <c r="K4">
        <f t="shared" ref="K4:K12" si="0">RANK(L4,$L$3:$L$12,1)</f>
        <v>2</v>
      </c>
      <c r="L4">
        <f>SQRT((Table1927[[#This Row],[Temperature]]-$F$3)^2+(Table1927[[#This Row],[Rainfall]]-$G$3)^2+(Table1927[[#This Row],[humidity]]-$H$3)^2)</f>
        <v>13.153801731818829</v>
      </c>
      <c r="M4">
        <f>Table1927[[#This Row],[production]]</f>
        <v>0.39700000000000002</v>
      </c>
    </row>
    <row r="5" spans="1:13" x14ac:dyDescent="0.25">
      <c r="A5">
        <v>28.85</v>
      </c>
      <c r="B5">
        <v>199</v>
      </c>
      <c r="C5">
        <v>72</v>
      </c>
      <c r="D5">
        <v>0.48799999999999999</v>
      </c>
      <c r="K5">
        <f t="shared" si="0"/>
        <v>1</v>
      </c>
      <c r="L5">
        <f>SQRT((Table1927[[#This Row],[Temperature]]-$F$3)^2+(Table1927[[#This Row],[Rainfall]]-$G$3)^2+(Table1927[[#This Row],[humidity]]-$H$3)^2)</f>
        <v>9.4871702841258205</v>
      </c>
      <c r="M5">
        <f>Table1927[[#This Row],[production]]</f>
        <v>0.48799999999999999</v>
      </c>
    </row>
    <row r="6" spans="1:13" x14ac:dyDescent="0.25">
      <c r="A6">
        <v>28.78</v>
      </c>
      <c r="B6">
        <v>173</v>
      </c>
      <c r="C6">
        <v>69</v>
      </c>
      <c r="D6">
        <v>0.35499999999999998</v>
      </c>
      <c r="G6" t="s">
        <v>83</v>
      </c>
      <c r="K6">
        <f t="shared" si="0"/>
        <v>3</v>
      </c>
      <c r="L6">
        <f>SQRT((Table1927[[#This Row],[Temperature]]-$F$3)^2+(Table1927[[#This Row],[Rainfall]]-$G$3)^2+(Table1927[[#This Row],[humidity]]-$H$3)^2)</f>
        <v>17.000661751826016</v>
      </c>
      <c r="M6">
        <f>Table1927[[#This Row],[production]]</f>
        <v>0.35499999999999998</v>
      </c>
    </row>
    <row r="7" spans="1:13" x14ac:dyDescent="0.25">
      <c r="A7">
        <v>28.4</v>
      </c>
      <c r="B7">
        <v>246</v>
      </c>
      <c r="C7">
        <v>69</v>
      </c>
      <c r="D7">
        <v>0.41</v>
      </c>
      <c r="G7" s="10">
        <v>0.39300000000000002</v>
      </c>
      <c r="K7">
        <f t="shared" si="0"/>
        <v>9</v>
      </c>
      <c r="L7">
        <f>SQRT((Table1927[[#This Row],[Temperature]]-$F$3)^2+(Table1927[[#This Row],[Rainfall]]-$G$3)^2+(Table1927[[#This Row],[humidity]]-$H$3)^2)</f>
        <v>56.002507979553918</v>
      </c>
      <c r="M7">
        <f>Table1927[[#This Row],[production]]</f>
        <v>0.41</v>
      </c>
    </row>
    <row r="8" spans="1:13" x14ac:dyDescent="0.25">
      <c r="A8">
        <v>28.88</v>
      </c>
      <c r="B8">
        <v>229</v>
      </c>
      <c r="C8">
        <v>71</v>
      </c>
      <c r="D8">
        <v>0.53700000000000003</v>
      </c>
      <c r="K8">
        <f t="shared" si="0"/>
        <v>7</v>
      </c>
      <c r="L8">
        <f>SQRT((Table1927[[#This Row],[Temperature]]-$F$3)^2+(Table1927[[#This Row],[Rainfall]]-$G$3)^2+(Table1927[[#This Row],[humidity]]-$H$3)^2)</f>
        <v>39.051280388740139</v>
      </c>
      <c r="M8">
        <f>Table1927[[#This Row],[production]]</f>
        <v>0.53700000000000003</v>
      </c>
    </row>
    <row r="9" spans="1:13" x14ac:dyDescent="0.25">
      <c r="A9">
        <v>29.65</v>
      </c>
      <c r="B9">
        <v>98</v>
      </c>
      <c r="C9">
        <v>66</v>
      </c>
      <c r="D9">
        <v>0.60799999999999998</v>
      </c>
      <c r="K9">
        <f t="shared" si="0"/>
        <v>10</v>
      </c>
      <c r="L9">
        <f>SQRT((Table1927[[#This Row],[Temperature]]-$F$3)^2+(Table1927[[#This Row],[Rainfall]]-$G$3)^2+(Table1927[[#This Row],[humidity]]-$H$3)^2)</f>
        <v>92.051715899270448</v>
      </c>
      <c r="M9">
        <f>Table1927[[#This Row],[production]]</f>
        <v>0.60799999999999998</v>
      </c>
    </row>
    <row r="10" spans="1:13" x14ac:dyDescent="0.25">
      <c r="A10">
        <v>29.93</v>
      </c>
      <c r="B10">
        <v>136</v>
      </c>
      <c r="C10">
        <v>69</v>
      </c>
      <c r="D10">
        <v>0.66800000000000004</v>
      </c>
      <c r="K10">
        <f t="shared" si="0"/>
        <v>8</v>
      </c>
      <c r="L10">
        <f>SQRT((Table1927[[#This Row],[Temperature]]-$F$3)^2+(Table1927[[#This Row],[Rainfall]]-$G$3)^2+(Table1927[[#This Row],[humidity]]-$H$3)^2)</f>
        <v>54.009258465563107</v>
      </c>
      <c r="M10">
        <f>Table1927[[#This Row],[production]]</f>
        <v>0.66800000000000004</v>
      </c>
    </row>
    <row r="11" spans="1:13" x14ac:dyDescent="0.25">
      <c r="A11">
        <v>28.4</v>
      </c>
      <c r="B11">
        <v>173</v>
      </c>
      <c r="C11">
        <v>70</v>
      </c>
      <c r="D11">
        <v>0.59699999999999998</v>
      </c>
      <c r="K11">
        <f t="shared" si="0"/>
        <v>4</v>
      </c>
      <c r="L11">
        <f>SQRT((Table1927[[#This Row],[Temperature]]-$F$3)^2+(Table1927[[#This Row],[Rainfall]]-$G$3)^2+(Table1927[[#This Row],[humidity]]-$H$3)^2)</f>
        <v>17.037631877699436</v>
      </c>
      <c r="M11">
        <f>Table1927[[#This Row],[production]]</f>
        <v>0.59699999999999998</v>
      </c>
    </row>
    <row r="12" spans="1:13" x14ac:dyDescent="0.25">
      <c r="A12">
        <v>29.13</v>
      </c>
      <c r="B12">
        <v>154</v>
      </c>
      <c r="C12">
        <v>71</v>
      </c>
      <c r="D12">
        <v>0.60599999999999998</v>
      </c>
      <c r="K12">
        <f t="shared" si="0"/>
        <v>6</v>
      </c>
      <c r="L12">
        <f>SQRT((Table1927[[#This Row],[Temperature]]-$F$3)^2+(Table1927[[#This Row],[Rainfall]]-$G$3)^2+(Table1927[[#This Row],[humidity]]-$H$3)^2)</f>
        <v>36.056067450569259</v>
      </c>
      <c r="M12">
        <f>Table1927[[#This Row],[production]]</f>
        <v>0.60599999999999998</v>
      </c>
    </row>
    <row r="15" spans="1:13" x14ac:dyDescent="0.25">
      <c r="B15" t="s">
        <v>2</v>
      </c>
    </row>
    <row r="16" spans="1:13" x14ac:dyDescent="0.25">
      <c r="A16" t="s">
        <v>78</v>
      </c>
      <c r="B16" t="s">
        <v>22</v>
      </c>
      <c r="C16" t="s">
        <v>95</v>
      </c>
      <c r="D16" t="s">
        <v>23</v>
      </c>
      <c r="F16" s="6" t="s">
        <v>88</v>
      </c>
      <c r="G16" t="s">
        <v>89</v>
      </c>
      <c r="H16" t="s">
        <v>90</v>
      </c>
      <c r="I16" t="s">
        <v>82</v>
      </c>
      <c r="K16" s="6" t="s">
        <v>91</v>
      </c>
      <c r="L16" t="s">
        <v>92</v>
      </c>
      <c r="M16" s="6" t="s">
        <v>93</v>
      </c>
    </row>
    <row r="17" spans="1:13" x14ac:dyDescent="0.25">
      <c r="A17">
        <v>28.83</v>
      </c>
      <c r="B17">
        <v>197</v>
      </c>
      <c r="C17">
        <v>81</v>
      </c>
      <c r="D17">
        <v>0.86399999999999999</v>
      </c>
      <c r="F17">
        <v>29.1</v>
      </c>
      <c r="G17">
        <v>204</v>
      </c>
      <c r="H17">
        <v>80</v>
      </c>
      <c r="I17">
        <v>0.86399999999999999</v>
      </c>
      <c r="K17">
        <f>RANK(L17,$L$17:$L$26,1)</f>
        <v>1</v>
      </c>
      <c r="L17">
        <f>SQRT((Table2029[[#This Row],[temperature]]-$F$17)^2+(Table2029[[#This Row],[Rainfall]]-$G$17)^2+(Table2029[[#This Row],[Humidity]]-$H$17)^2)</f>
        <v>7.0762207427411425</v>
      </c>
      <c r="M17">
        <f>Table2029[[#This Row],[production]]</f>
        <v>0.86399999999999999</v>
      </c>
    </row>
    <row r="18" spans="1:13" x14ac:dyDescent="0.25">
      <c r="A18">
        <v>28.25</v>
      </c>
      <c r="B18">
        <v>383</v>
      </c>
      <c r="C18">
        <v>80</v>
      </c>
      <c r="D18">
        <v>0.65900000000000003</v>
      </c>
      <c r="K18">
        <f t="shared" ref="K18:K26" si="1">RANK(L18,$L$17:$L$26,1)</f>
        <v>8</v>
      </c>
      <c r="L18">
        <f>SQRT((Table2029[[#This Row],[temperature]]-$F$17)^2+(Table2029[[#This Row],[Rainfall]]-$G$17)^2+(Table2029[[#This Row],[Humidity]]-$H$17)^2)</f>
        <v>179.00201814504774</v>
      </c>
      <c r="M18">
        <f>Table2029[[#This Row],[production]]</f>
        <v>0.65900000000000003</v>
      </c>
    </row>
    <row r="19" spans="1:13" x14ac:dyDescent="0.25">
      <c r="A19">
        <v>28.73</v>
      </c>
      <c r="B19">
        <v>458</v>
      </c>
      <c r="C19">
        <v>82</v>
      </c>
      <c r="D19">
        <v>0.72099999999999997</v>
      </c>
      <c r="G19" t="s">
        <v>83</v>
      </c>
      <c r="K19">
        <f t="shared" si="1"/>
        <v>10</v>
      </c>
      <c r="L19">
        <f>SQRT((Table2029[[#This Row],[temperature]]-$F$17)^2+(Table2029[[#This Row],[Rainfall]]-$G$17)^2+(Table2029[[#This Row],[Humidity]]-$H$17)^2)</f>
        <v>254.00814337339659</v>
      </c>
      <c r="M19">
        <f>Table2029[[#This Row],[production]]</f>
        <v>0.72099999999999997</v>
      </c>
    </row>
    <row r="20" spans="1:13" x14ac:dyDescent="0.25">
      <c r="A20">
        <v>29.1</v>
      </c>
      <c r="B20">
        <v>305</v>
      </c>
      <c r="C20">
        <v>79</v>
      </c>
      <c r="D20">
        <v>0.56699999999999995</v>
      </c>
      <c r="G20" s="10">
        <v>0.32300000000000001</v>
      </c>
      <c r="K20">
        <f t="shared" si="1"/>
        <v>5</v>
      </c>
      <c r="L20">
        <f>SQRT((Table2029[[#This Row],[temperature]]-$F$17)^2+(Table2029[[#This Row],[Rainfall]]-$G$17)^2+(Table2029[[#This Row],[Humidity]]-$H$17)^2)</f>
        <v>101.00495037373169</v>
      </c>
      <c r="M20">
        <f>Table2029[[#This Row],[production]]</f>
        <v>0.56699999999999995</v>
      </c>
    </row>
    <row r="21" spans="1:13" x14ac:dyDescent="0.25">
      <c r="A21">
        <v>28.78</v>
      </c>
      <c r="B21">
        <v>439</v>
      </c>
      <c r="C21">
        <v>81</v>
      </c>
      <c r="D21">
        <v>0.52900000000000003</v>
      </c>
      <c r="K21">
        <f t="shared" si="1"/>
        <v>9</v>
      </c>
      <c r="L21">
        <f>SQRT((Table2029[[#This Row],[temperature]]-$F$17)^2+(Table2029[[#This Row],[Rainfall]]-$G$17)^2+(Table2029[[#This Row],[Humidity]]-$H$17)^2)</f>
        <v>235.00234552020964</v>
      </c>
      <c r="M21">
        <f>Table2029[[#This Row],[production]]</f>
        <v>0.52900000000000003</v>
      </c>
    </row>
    <row r="22" spans="1:13" x14ac:dyDescent="0.25">
      <c r="A22">
        <v>28.85</v>
      </c>
      <c r="B22">
        <v>347</v>
      </c>
      <c r="C22">
        <v>81</v>
      </c>
      <c r="D22">
        <v>0.72199999999999998</v>
      </c>
      <c r="K22">
        <f t="shared" si="1"/>
        <v>6</v>
      </c>
      <c r="L22">
        <f>SQRT((Table2029[[#This Row],[temperature]]-$F$17)^2+(Table2029[[#This Row],[Rainfall]]-$G$17)^2+(Table2029[[#This Row],[Humidity]]-$H$17)^2)</f>
        <v>143.00371498670935</v>
      </c>
      <c r="M22">
        <f>Table2029[[#This Row],[production]]</f>
        <v>0.72199999999999998</v>
      </c>
    </row>
    <row r="23" spans="1:13" x14ac:dyDescent="0.25">
      <c r="A23">
        <v>29.13</v>
      </c>
      <c r="B23">
        <v>382</v>
      </c>
      <c r="C23">
        <v>79</v>
      </c>
      <c r="D23">
        <v>0.57399999999999995</v>
      </c>
      <c r="K23">
        <f t="shared" si="1"/>
        <v>7</v>
      </c>
      <c r="L23">
        <f>SQRT((Table2029[[#This Row],[temperature]]-$F$17)^2+(Table2029[[#This Row],[Rainfall]]-$G$17)^2+(Table2029[[#This Row],[Humidity]]-$H$17)^2)</f>
        <v>178.00281149465027</v>
      </c>
      <c r="M23">
        <f>Table2029[[#This Row],[production]]</f>
        <v>0.57399999999999995</v>
      </c>
    </row>
    <row r="24" spans="1:13" x14ac:dyDescent="0.25">
      <c r="A24">
        <v>30.02</v>
      </c>
      <c r="B24">
        <v>212</v>
      </c>
      <c r="C24">
        <v>78</v>
      </c>
      <c r="D24">
        <v>0.58199999999999996</v>
      </c>
      <c r="K24">
        <f t="shared" si="1"/>
        <v>2</v>
      </c>
      <c r="L24">
        <f>SQRT((Table2029[[#This Row],[temperature]]-$F$17)^2+(Table2029[[#This Row],[Rainfall]]-$G$17)^2+(Table2029[[#This Row],[Humidity]]-$H$17)^2)</f>
        <v>8.297373078270013</v>
      </c>
      <c r="M24">
        <f>Table2029[[#This Row],[production]]</f>
        <v>0.58199999999999996</v>
      </c>
    </row>
    <row r="25" spans="1:13" x14ac:dyDescent="0.25">
      <c r="A25">
        <v>29.1</v>
      </c>
      <c r="B25">
        <v>271</v>
      </c>
      <c r="C25">
        <v>78</v>
      </c>
      <c r="D25">
        <v>0.60599999999999998</v>
      </c>
      <c r="K25">
        <f t="shared" si="1"/>
        <v>4</v>
      </c>
      <c r="L25">
        <f>SQRT((Table2029[[#This Row],[temperature]]-$F$17)^2+(Table2029[[#This Row],[Rainfall]]-$G$17)^2+(Table2029[[#This Row],[Humidity]]-$H$17)^2)</f>
        <v>67.029844099475568</v>
      </c>
      <c r="M25">
        <f>Table2029[[#This Row],[production]]</f>
        <v>0.60599999999999998</v>
      </c>
    </row>
    <row r="26" spans="1:13" x14ac:dyDescent="0.25">
      <c r="A26">
        <v>29.33</v>
      </c>
      <c r="B26">
        <v>156</v>
      </c>
      <c r="C26">
        <v>74</v>
      </c>
      <c r="D26">
        <v>0.59</v>
      </c>
      <c r="K26">
        <f t="shared" si="1"/>
        <v>3</v>
      </c>
      <c r="L26">
        <f>SQRT((Table2029[[#This Row],[temperature]]-$F$17)^2+(Table2029[[#This Row],[Rainfall]]-$G$17)^2+(Table2029[[#This Row],[Humidity]]-$H$17)^2)</f>
        <v>48.374093273156035</v>
      </c>
      <c r="M26">
        <f>Table2029[[#This Row],[production]]</f>
        <v>0.59</v>
      </c>
    </row>
    <row r="29" spans="1:13" x14ac:dyDescent="0.25">
      <c r="B29" t="s">
        <v>3</v>
      </c>
    </row>
    <row r="30" spans="1:13" x14ac:dyDescent="0.25">
      <c r="A30" t="s">
        <v>21</v>
      </c>
      <c r="B30" t="s">
        <v>22</v>
      </c>
      <c r="C30" t="s">
        <v>95</v>
      </c>
      <c r="D30" t="s">
        <v>23</v>
      </c>
      <c r="F30" s="6" t="s">
        <v>88</v>
      </c>
      <c r="G30" t="s">
        <v>89</v>
      </c>
      <c r="H30" t="s">
        <v>90</v>
      </c>
      <c r="I30" t="s">
        <v>82</v>
      </c>
      <c r="K30" s="6" t="s">
        <v>91</v>
      </c>
      <c r="L30" t="s">
        <v>92</v>
      </c>
      <c r="M30" s="6" t="s">
        <v>93</v>
      </c>
    </row>
    <row r="31" spans="1:13" x14ac:dyDescent="0.25">
      <c r="A31">
        <v>21.25</v>
      </c>
      <c r="B31">
        <v>11</v>
      </c>
      <c r="C31">
        <v>70</v>
      </c>
      <c r="D31">
        <v>1.4490000000000001</v>
      </c>
      <c r="F31">
        <v>21.68</v>
      </c>
      <c r="G31">
        <v>4</v>
      </c>
      <c r="H31">
        <v>65</v>
      </c>
      <c r="I31">
        <v>1.6990000000000001</v>
      </c>
      <c r="K31">
        <f>RANK(L31,$L$31:$L$40,1)</f>
        <v>6</v>
      </c>
      <c r="L31">
        <f>SQRT((Table2130[[#This Row],[Temperature]]-$F$31)^2+(Table2130[[#This Row],[Rainfall]]-$G$31)^2+(Table2130[[#This Row],[Humidity]]-$H$31)^2)</f>
        <v>8.6130656563154098</v>
      </c>
      <c r="M31">
        <f>Table2130[[#This Row],[production]]</f>
        <v>1.4490000000000001</v>
      </c>
    </row>
    <row r="32" spans="1:13" x14ac:dyDescent="0.25">
      <c r="A32">
        <v>21.65</v>
      </c>
      <c r="B32">
        <v>1</v>
      </c>
      <c r="C32">
        <v>69</v>
      </c>
      <c r="D32">
        <v>1.5429999999999999</v>
      </c>
      <c r="K32">
        <f t="shared" ref="K32:K40" si="2">RANK(L32,$L$31:$L$40,1)</f>
        <v>3</v>
      </c>
      <c r="L32">
        <f>SQRT((Table2130[[#This Row],[Temperature]]-$F$31)^2+(Table2130[[#This Row],[Rainfall]]-$G$31)^2+(Table2130[[#This Row],[Humidity]]-$H$31)^2)</f>
        <v>5.0000899991900143</v>
      </c>
      <c r="M32">
        <f>Table2130[[#This Row],[production]]</f>
        <v>1.5429999999999999</v>
      </c>
    </row>
    <row r="33" spans="1:13" x14ac:dyDescent="0.25">
      <c r="A33">
        <v>22.23</v>
      </c>
      <c r="B33">
        <v>1</v>
      </c>
      <c r="C33">
        <v>67</v>
      </c>
      <c r="D33">
        <v>1.4430000000000001</v>
      </c>
      <c r="G33" t="s">
        <v>83</v>
      </c>
      <c r="K33">
        <f t="shared" si="2"/>
        <v>2</v>
      </c>
      <c r="L33">
        <f>SQRT((Table2130[[#This Row],[Temperature]]-$F$31)^2+(Table2130[[#This Row],[Rainfall]]-$G$31)^2+(Table2130[[#This Row],[Humidity]]-$H$31)^2)</f>
        <v>3.6472592449673771</v>
      </c>
      <c r="M33">
        <f>Table2130[[#This Row],[production]]</f>
        <v>1.4430000000000001</v>
      </c>
    </row>
    <row r="34" spans="1:13" x14ac:dyDescent="0.25">
      <c r="A34">
        <v>22.73</v>
      </c>
      <c r="B34">
        <v>9</v>
      </c>
      <c r="C34">
        <v>68</v>
      </c>
      <c r="D34">
        <v>1.532</v>
      </c>
      <c r="G34" s="10">
        <v>1.3899999999999999E-2</v>
      </c>
      <c r="K34">
        <f t="shared" si="2"/>
        <v>5</v>
      </c>
      <c r="L34">
        <f>SQRT((Table2130[[#This Row],[Temperature]]-$F$31)^2+(Table2130[[#This Row],[Rainfall]]-$G$31)^2+(Table2130[[#This Row],[Humidity]]-$H$31)^2)</f>
        <v>5.9247362810508291</v>
      </c>
      <c r="M34">
        <f>Table2130[[#This Row],[production]]</f>
        <v>1.532</v>
      </c>
    </row>
    <row r="35" spans="1:13" x14ac:dyDescent="0.25">
      <c r="A35">
        <v>21.33</v>
      </c>
      <c r="B35">
        <v>47</v>
      </c>
      <c r="C35">
        <v>71</v>
      </c>
      <c r="D35">
        <v>1.794</v>
      </c>
      <c r="K35">
        <f t="shared" si="2"/>
        <v>10</v>
      </c>
      <c r="L35">
        <f>SQRT((Table2130[[#This Row],[Temperature]]-$F$31)^2+(Table2130[[#This Row],[Rainfall]]-$G$31)^2+(Table2130[[#This Row],[Humidity]]-$H$31)^2)</f>
        <v>43.417997420424634</v>
      </c>
      <c r="M35">
        <f>Table2130[[#This Row],[production]]</f>
        <v>1.794</v>
      </c>
    </row>
    <row r="36" spans="1:13" x14ac:dyDescent="0.25">
      <c r="A36">
        <v>21.43</v>
      </c>
      <c r="B36">
        <v>1</v>
      </c>
      <c r="C36">
        <v>70</v>
      </c>
      <c r="D36">
        <v>1.73</v>
      </c>
      <c r="K36">
        <f t="shared" si="2"/>
        <v>4</v>
      </c>
      <c r="L36">
        <f>SQRT((Table2130[[#This Row],[Temperature]]-$F$31)^2+(Table2130[[#This Row],[Rainfall]]-$G$31)^2+(Table2130[[#This Row],[Humidity]]-$H$31)^2)</f>
        <v>5.8363087649643761</v>
      </c>
      <c r="M36">
        <f>Table2130[[#This Row],[production]]</f>
        <v>1.73</v>
      </c>
    </row>
    <row r="37" spans="1:13" x14ac:dyDescent="0.25">
      <c r="A37">
        <v>22.45</v>
      </c>
      <c r="B37">
        <v>13</v>
      </c>
      <c r="C37">
        <v>66</v>
      </c>
      <c r="D37">
        <v>1.6279999999999999</v>
      </c>
      <c r="K37">
        <f t="shared" si="2"/>
        <v>7</v>
      </c>
      <c r="L37">
        <f>SQRT((Table2130[[#This Row],[Temperature]]-$F$31)^2+(Table2130[[#This Row],[Rainfall]]-$G$31)^2+(Table2130[[#This Row],[Humidity]]-$H$31)^2)</f>
        <v>9.0880636001295674</v>
      </c>
      <c r="M37">
        <f>Table2130[[#This Row],[production]]</f>
        <v>1.6279999999999999</v>
      </c>
    </row>
    <row r="38" spans="1:13" x14ac:dyDescent="0.25">
      <c r="A38">
        <v>21.8</v>
      </c>
      <c r="B38">
        <v>20</v>
      </c>
      <c r="C38">
        <v>65</v>
      </c>
      <c r="D38">
        <v>1.7969999999999999</v>
      </c>
      <c r="K38">
        <f t="shared" si="2"/>
        <v>8</v>
      </c>
      <c r="L38">
        <f>SQRT((Table2130[[#This Row],[Temperature]]-$F$31)^2+(Table2130[[#This Row],[Rainfall]]-$G$31)^2+(Table2130[[#This Row],[Humidity]]-$H$31)^2)</f>
        <v>16.000449993672053</v>
      </c>
      <c r="M38">
        <f>Table2130[[#This Row],[production]]</f>
        <v>1.7969999999999999</v>
      </c>
    </row>
    <row r="39" spans="1:13" x14ac:dyDescent="0.25">
      <c r="A39">
        <v>21.28</v>
      </c>
      <c r="B39">
        <v>3</v>
      </c>
      <c r="C39">
        <v>66</v>
      </c>
      <c r="D39">
        <v>1.6990000000000001</v>
      </c>
      <c r="K39">
        <f t="shared" si="2"/>
        <v>1</v>
      </c>
      <c r="L39">
        <f>SQRT((Table2130[[#This Row],[Temperature]]-$F$31)^2+(Table2130[[#This Row],[Rainfall]]-$G$31)^2+(Table2130[[#This Row],[Humidity]]-$H$31)^2)</f>
        <v>1.4696938456699065</v>
      </c>
      <c r="M39">
        <f>Table2130[[#This Row],[production]]</f>
        <v>1.6990000000000001</v>
      </c>
    </row>
    <row r="40" spans="1:13" x14ac:dyDescent="0.25">
      <c r="A40">
        <v>21.2</v>
      </c>
      <c r="B40">
        <v>20</v>
      </c>
      <c r="C40">
        <v>66</v>
      </c>
      <c r="D40">
        <v>1.627</v>
      </c>
      <c r="K40">
        <f t="shared" si="2"/>
        <v>9</v>
      </c>
      <c r="L40">
        <f>SQRT((Table2130[[#This Row],[Temperature]]-$F$31)^2+(Table2130[[#This Row],[Rainfall]]-$G$31)^2+(Table2130[[#This Row],[Humidity]]-$H$31)^2)</f>
        <v>16.038403910614047</v>
      </c>
      <c r="M40">
        <f>Table2130[[#This Row],[production]]</f>
        <v>1.627</v>
      </c>
    </row>
    <row r="44" spans="1:13" x14ac:dyDescent="0.25">
      <c r="B44" t="s">
        <v>53</v>
      </c>
    </row>
    <row r="45" spans="1:13" x14ac:dyDescent="0.25">
      <c r="A45" s="7" t="s">
        <v>21</v>
      </c>
      <c r="B45" s="7" t="s">
        <v>22</v>
      </c>
      <c r="C45" s="7" t="s">
        <v>64</v>
      </c>
      <c r="D45" s="11" t="s">
        <v>23</v>
      </c>
      <c r="F45" s="6" t="s">
        <v>88</v>
      </c>
      <c r="G45" t="s">
        <v>89</v>
      </c>
      <c r="H45" t="s">
        <v>90</v>
      </c>
      <c r="I45" t="s">
        <v>82</v>
      </c>
      <c r="K45" s="6" t="s">
        <v>91</v>
      </c>
      <c r="L45" t="s">
        <v>92</v>
      </c>
      <c r="M45" s="6" t="s">
        <v>93</v>
      </c>
    </row>
    <row r="46" spans="1:13" x14ac:dyDescent="0.25">
      <c r="A46" s="8">
        <v>27.88</v>
      </c>
      <c r="B46" s="8">
        <v>208</v>
      </c>
      <c r="C46" s="8">
        <v>73</v>
      </c>
      <c r="D46">
        <v>3.1</v>
      </c>
      <c r="F46">
        <v>28.93</v>
      </c>
      <c r="G46">
        <v>190</v>
      </c>
      <c r="H46">
        <v>69</v>
      </c>
      <c r="I46">
        <v>4.42</v>
      </c>
      <c r="K46">
        <f>RANK(L46,$L$46:$L$55,1)</f>
        <v>5</v>
      </c>
      <c r="L46">
        <f>SQRT((Table2232[[#This Row],[Temperature]]-$F$46)^2+(Table2232[[#This Row],[Rainfall]]-$G$46)^2+(Table2232[[#This Row],[humidity]]-$H$46)^2)</f>
        <v>18.468960447193556</v>
      </c>
      <c r="M46">
        <f>Table2232[[#This Row],[production]]</f>
        <v>3.1</v>
      </c>
    </row>
    <row r="47" spans="1:13" x14ac:dyDescent="0.25">
      <c r="A47" s="8">
        <v>28.78</v>
      </c>
      <c r="B47" s="8">
        <v>203</v>
      </c>
      <c r="C47" s="8">
        <v>71</v>
      </c>
      <c r="D47">
        <v>3.1</v>
      </c>
      <c r="K47">
        <f t="shared" ref="K47:K55" si="3">RANK(L47,$L$46:$L$55,1)</f>
        <v>2</v>
      </c>
      <c r="L47">
        <f>SQRT((Table2232[[#This Row],[Temperature]]-$F$46)^2+(Table2232[[#This Row],[Rainfall]]-$G$46)^2+(Table2232[[#This Row],[humidity]]-$H$46)^2)</f>
        <v>13.153801731818829</v>
      </c>
      <c r="M47">
        <f>Table2232[[#This Row],[production]]</f>
        <v>3.1</v>
      </c>
    </row>
    <row r="48" spans="1:13" x14ac:dyDescent="0.25">
      <c r="A48" s="8">
        <v>28.85</v>
      </c>
      <c r="B48" s="8">
        <v>199</v>
      </c>
      <c r="C48" s="8">
        <v>72</v>
      </c>
      <c r="D48">
        <v>4.42</v>
      </c>
      <c r="G48" t="s">
        <v>83</v>
      </c>
      <c r="K48">
        <f t="shared" si="3"/>
        <v>1</v>
      </c>
      <c r="L48">
        <f>SQRT((Table2232[[#This Row],[Temperature]]-$F$46)^2+(Table2232[[#This Row],[Rainfall]]-$G$46)^2+(Table2232[[#This Row],[humidity]]-$H$46)^2)</f>
        <v>9.4871702841258205</v>
      </c>
      <c r="M48">
        <f>Table2232[[#This Row],[production]]</f>
        <v>4.42</v>
      </c>
    </row>
    <row r="49" spans="1:13" x14ac:dyDescent="0.25">
      <c r="A49" s="8">
        <v>28.78</v>
      </c>
      <c r="B49" s="8">
        <v>173</v>
      </c>
      <c r="C49" s="8">
        <v>69</v>
      </c>
      <c r="D49">
        <v>3.9</v>
      </c>
      <c r="G49" s="10">
        <v>0.16619999999999999</v>
      </c>
      <c r="K49">
        <f t="shared" si="3"/>
        <v>3</v>
      </c>
      <c r="L49">
        <f>SQRT((Table2232[[#This Row],[Temperature]]-$F$46)^2+(Table2232[[#This Row],[Rainfall]]-$G$46)^2+(Table2232[[#This Row],[humidity]]-$H$46)^2)</f>
        <v>17.000661751826016</v>
      </c>
      <c r="M49">
        <f>Table2232[[#This Row],[production]]</f>
        <v>3.9</v>
      </c>
    </row>
    <row r="50" spans="1:13" x14ac:dyDescent="0.25">
      <c r="A50" s="8">
        <v>28.4</v>
      </c>
      <c r="B50" s="8">
        <v>246</v>
      </c>
      <c r="C50" s="8">
        <v>69</v>
      </c>
      <c r="D50">
        <v>3.44</v>
      </c>
      <c r="K50">
        <f t="shared" si="3"/>
        <v>9</v>
      </c>
      <c r="L50">
        <f>SQRT((Table2232[[#This Row],[Temperature]]-$F$46)^2+(Table2232[[#This Row],[Rainfall]]-$G$46)^2+(Table2232[[#This Row],[humidity]]-$H$46)^2)</f>
        <v>56.002507979553918</v>
      </c>
      <c r="M50">
        <f>Table2232[[#This Row],[production]]</f>
        <v>3.44</v>
      </c>
    </row>
    <row r="51" spans="1:13" x14ac:dyDescent="0.25">
      <c r="A51" s="8">
        <v>28.88</v>
      </c>
      <c r="B51" s="8">
        <v>229</v>
      </c>
      <c r="C51" s="8">
        <v>71</v>
      </c>
      <c r="D51">
        <v>4.0199999999999996</v>
      </c>
      <c r="K51">
        <f t="shared" si="3"/>
        <v>7</v>
      </c>
      <c r="L51">
        <f>SQRT((Table2232[[#This Row],[Temperature]]-$F$46)^2+(Table2232[[#This Row],[Rainfall]]-$G$46)^2+(Table2232[[#This Row],[humidity]]-$H$46)^2)</f>
        <v>39.051280388740139</v>
      </c>
      <c r="M51">
        <f>Table2232[[#This Row],[production]]</f>
        <v>4.0199999999999996</v>
      </c>
    </row>
    <row r="52" spans="1:13" x14ac:dyDescent="0.25">
      <c r="A52" s="8">
        <v>29.65</v>
      </c>
      <c r="B52" s="8">
        <v>98</v>
      </c>
      <c r="C52" s="8">
        <v>66</v>
      </c>
      <c r="D52">
        <v>4.37</v>
      </c>
      <c r="K52">
        <f t="shared" si="3"/>
        <v>10</v>
      </c>
      <c r="L52">
        <f>SQRT((Table2232[[#This Row],[Temperature]]-$F$46)^2+(Table2232[[#This Row],[Rainfall]]-$G$46)^2+(Table2232[[#This Row],[humidity]]-$H$46)^2)</f>
        <v>92.051715899270448</v>
      </c>
      <c r="M52">
        <f>Table2232[[#This Row],[production]]</f>
        <v>4.37</v>
      </c>
    </row>
    <row r="53" spans="1:13" x14ac:dyDescent="0.25">
      <c r="A53" s="8">
        <v>29.93</v>
      </c>
      <c r="B53" s="8">
        <v>136</v>
      </c>
      <c r="C53" s="8">
        <v>69</v>
      </c>
      <c r="D53">
        <v>4.18</v>
      </c>
      <c r="K53">
        <f t="shared" si="3"/>
        <v>8</v>
      </c>
      <c r="L53">
        <f>SQRT((Table2232[[#This Row],[Temperature]]-$F$46)^2+(Table2232[[#This Row],[Rainfall]]-$G$46)^2+(Table2232[[#This Row],[humidity]]-$H$46)^2)</f>
        <v>54.009258465563107</v>
      </c>
      <c r="M53">
        <f>Table2232[[#This Row],[production]]</f>
        <v>4.18</v>
      </c>
    </row>
    <row r="54" spans="1:13" x14ac:dyDescent="0.25">
      <c r="A54" s="8">
        <v>28.4</v>
      </c>
      <c r="B54" s="8">
        <v>173</v>
      </c>
      <c r="C54" s="8">
        <v>70</v>
      </c>
      <c r="D54">
        <v>3.85</v>
      </c>
      <c r="K54">
        <f t="shared" si="3"/>
        <v>4</v>
      </c>
      <c r="L54">
        <f>SQRT((Table2232[[#This Row],[Temperature]]-$F$46)^2+(Table2232[[#This Row],[Rainfall]]-$G$46)^2+(Table2232[[#This Row],[humidity]]-$H$46)^2)</f>
        <v>17.037631877699436</v>
      </c>
      <c r="M54">
        <f>Table2232[[#This Row],[production]]</f>
        <v>3.85</v>
      </c>
    </row>
    <row r="55" spans="1:13" x14ac:dyDescent="0.25">
      <c r="A55" s="9">
        <v>29.13</v>
      </c>
      <c r="B55" s="9">
        <v>154</v>
      </c>
      <c r="C55" s="9">
        <v>71</v>
      </c>
      <c r="D55">
        <v>3.68</v>
      </c>
      <c r="K55">
        <f t="shared" si="3"/>
        <v>6</v>
      </c>
      <c r="L55">
        <f>SQRT((Table2232[[#This Row],[Temperature]]-$F$46)^2+(Table2232[[#This Row],[Rainfall]]-$G$46)^2+(Table2232[[#This Row],[humidity]]-$H$46)^2)</f>
        <v>36.056067450569259</v>
      </c>
      <c r="M55">
        <f>Table2232[[#This Row],[production]]</f>
        <v>3.68</v>
      </c>
    </row>
    <row r="58" spans="1:13" x14ac:dyDescent="0.25">
      <c r="B58" t="s">
        <v>86</v>
      </c>
    </row>
    <row r="59" spans="1:13" x14ac:dyDescent="0.25">
      <c r="A59" s="7" t="s">
        <v>21</v>
      </c>
      <c r="B59" s="7" t="s">
        <v>22</v>
      </c>
      <c r="C59" s="7" t="s">
        <v>95</v>
      </c>
      <c r="D59" s="11" t="s">
        <v>23</v>
      </c>
      <c r="F59" s="6" t="s">
        <v>88</v>
      </c>
      <c r="G59" t="s">
        <v>89</v>
      </c>
      <c r="H59" t="s">
        <v>90</v>
      </c>
      <c r="I59" t="s">
        <v>82</v>
      </c>
      <c r="K59" s="6" t="s">
        <v>91</v>
      </c>
      <c r="L59" t="s">
        <v>92</v>
      </c>
      <c r="M59" s="6" t="s">
        <v>93</v>
      </c>
    </row>
    <row r="60" spans="1:13" x14ac:dyDescent="0.25">
      <c r="A60" s="8">
        <v>21.25</v>
      </c>
      <c r="B60" s="8">
        <v>11</v>
      </c>
      <c r="C60" s="8">
        <v>70</v>
      </c>
      <c r="D60">
        <v>5.3979999999999997</v>
      </c>
      <c r="F60">
        <v>21.68</v>
      </c>
      <c r="G60">
        <v>4</v>
      </c>
      <c r="H60">
        <v>65</v>
      </c>
      <c r="I60">
        <v>8.0190000000000001</v>
      </c>
      <c r="K60">
        <f>RANK(L60,$L$60:$L$69,1)</f>
        <v>6</v>
      </c>
      <c r="L60">
        <f>SQRT((Table2333[[#This Row],[Temperature]]-$F$60)^2+(Table2333[[#This Row],[Rainfall]]-$G$60)^2+(Table2333[[#This Row],[Humidity]]-$H$60)^2)</f>
        <v>8.6130656563154098</v>
      </c>
      <c r="M60">
        <f>Table2333[[#This Row],[production]]</f>
        <v>5.3979999999999997</v>
      </c>
    </row>
    <row r="61" spans="1:13" x14ac:dyDescent="0.25">
      <c r="A61" s="8">
        <v>21.65</v>
      </c>
      <c r="B61" s="8">
        <v>1</v>
      </c>
      <c r="C61" s="8">
        <v>69</v>
      </c>
      <c r="D61">
        <v>5.3979999999999997</v>
      </c>
      <c r="K61">
        <f t="shared" ref="K61:K69" si="4">RANK(L61,$L$60:$L$69,1)</f>
        <v>3</v>
      </c>
      <c r="L61">
        <f>SQRT((Table2333[[#This Row],[Temperature]]-$F$60)^2+(Table2333[[#This Row],[Rainfall]]-$G$60)^2+(Table2333[[#This Row],[Humidity]]-$H$60)^2)</f>
        <v>5.0000899991900143</v>
      </c>
      <c r="M61">
        <f>Table2333[[#This Row],[production]]</f>
        <v>5.3979999999999997</v>
      </c>
    </row>
    <row r="62" spans="1:13" x14ac:dyDescent="0.25">
      <c r="A62" s="8">
        <v>22.23</v>
      </c>
      <c r="B62" s="8">
        <v>1</v>
      </c>
      <c r="C62" s="8">
        <v>67</v>
      </c>
      <c r="D62">
        <v>6.5469999999999997</v>
      </c>
      <c r="G62" t="s">
        <v>83</v>
      </c>
      <c r="K62">
        <f t="shared" si="4"/>
        <v>2</v>
      </c>
      <c r="L62">
        <f>SQRT((Table2333[[#This Row],[Temperature]]-$F$60)^2+(Table2333[[#This Row],[Rainfall]]-$G$60)^2+(Table2333[[#This Row],[Humidity]]-$H$60)^2)</f>
        <v>3.6472592449673771</v>
      </c>
      <c r="M62">
        <f>Table2333[[#This Row],[production]]</f>
        <v>6.5469999999999997</v>
      </c>
    </row>
    <row r="63" spans="1:13" x14ac:dyDescent="0.25">
      <c r="A63" s="8">
        <v>22.73</v>
      </c>
      <c r="B63" s="8">
        <v>9</v>
      </c>
      <c r="C63" s="8">
        <v>68</v>
      </c>
      <c r="D63">
        <v>8.0500000000000007</v>
      </c>
      <c r="G63" s="10">
        <v>1.4500000000000001E-2</v>
      </c>
      <c r="K63">
        <f t="shared" si="4"/>
        <v>5</v>
      </c>
      <c r="L63">
        <f>SQRT((Table2333[[#This Row],[Temperature]]-$F$60)^2+(Table2333[[#This Row],[Rainfall]]-$G$60)^2+(Table2333[[#This Row],[Humidity]]-$H$60)^2)</f>
        <v>5.9247362810508291</v>
      </c>
      <c r="M63">
        <f>Table2333[[#This Row],[production]]</f>
        <v>8.0500000000000007</v>
      </c>
    </row>
    <row r="64" spans="1:13" x14ac:dyDescent="0.25">
      <c r="A64" s="8">
        <v>21.33</v>
      </c>
      <c r="B64" s="8">
        <v>47</v>
      </c>
      <c r="C64" s="8">
        <v>71</v>
      </c>
      <c r="D64">
        <v>8.5259999999999998</v>
      </c>
      <c r="K64">
        <f t="shared" si="4"/>
        <v>10</v>
      </c>
      <c r="L64">
        <f>SQRT((Table2333[[#This Row],[Temperature]]-$F$60)^2+(Table2333[[#This Row],[Rainfall]]-$G$60)^2+(Table2333[[#This Row],[Humidity]]-$H$60)^2)</f>
        <v>43.417997420424634</v>
      </c>
      <c r="M64">
        <f>Table2333[[#This Row],[production]]</f>
        <v>8.5259999999999998</v>
      </c>
    </row>
    <row r="65" spans="1:13" x14ac:dyDescent="0.25">
      <c r="A65" s="8">
        <v>21.43</v>
      </c>
      <c r="B65" s="8">
        <v>1</v>
      </c>
      <c r="C65" s="8">
        <v>70</v>
      </c>
      <c r="D65">
        <v>6.6230000000000002</v>
      </c>
      <c r="K65">
        <f t="shared" si="4"/>
        <v>4</v>
      </c>
      <c r="L65">
        <f>SQRT((Table2333[[#This Row],[Temperature]]-$F$60)^2+(Table2333[[#This Row],[Rainfall]]-$G$60)^2+(Table2333[[#This Row],[Humidity]]-$H$60)^2)</f>
        <v>5.8363087649643761</v>
      </c>
      <c r="M65">
        <f>Table2333[[#This Row],[production]]</f>
        <v>6.6230000000000002</v>
      </c>
    </row>
    <row r="66" spans="1:13" x14ac:dyDescent="0.25">
      <c r="A66" s="8">
        <v>22.45</v>
      </c>
      <c r="B66" s="8">
        <v>13</v>
      </c>
      <c r="C66" s="8">
        <v>66</v>
      </c>
      <c r="D66">
        <v>7.7549999999999999</v>
      </c>
      <c r="K66">
        <f t="shared" si="4"/>
        <v>7</v>
      </c>
      <c r="L66">
        <f>SQRT((Table2333[[#This Row],[Temperature]]-$F$60)^2+(Table2333[[#This Row],[Rainfall]]-$G$60)^2+(Table2333[[#This Row],[Humidity]]-$H$60)^2)</f>
        <v>9.0880636001295674</v>
      </c>
      <c r="M66">
        <f>Table2333[[#This Row],[production]]</f>
        <v>7.7549999999999999</v>
      </c>
    </row>
    <row r="67" spans="1:13" x14ac:dyDescent="0.25">
      <c r="A67" s="8">
        <v>21.8</v>
      </c>
      <c r="B67" s="8">
        <v>20</v>
      </c>
      <c r="C67" s="8">
        <v>65</v>
      </c>
      <c r="D67">
        <v>7.73</v>
      </c>
      <c r="K67">
        <f t="shared" si="4"/>
        <v>8</v>
      </c>
      <c r="L67">
        <f>SQRT((Table2333[[#This Row],[Temperature]]-$F$60)^2+(Table2333[[#This Row],[Rainfall]]-$G$60)^2+(Table2333[[#This Row],[Humidity]]-$H$60)^2)</f>
        <v>16.000449993672053</v>
      </c>
      <c r="M67">
        <f>Table2333[[#This Row],[production]]</f>
        <v>7.73</v>
      </c>
    </row>
    <row r="68" spans="1:13" x14ac:dyDescent="0.25">
      <c r="A68" s="8">
        <v>21.28</v>
      </c>
      <c r="B68" s="8">
        <v>3</v>
      </c>
      <c r="C68" s="8">
        <v>66</v>
      </c>
      <c r="D68">
        <v>8.0190000000000001</v>
      </c>
      <c r="K68">
        <f t="shared" si="4"/>
        <v>1</v>
      </c>
      <c r="L68">
        <f>SQRT((Table2333[[#This Row],[Temperature]]-$F$60)^2+(Table2333[[#This Row],[Rainfall]]-$G$60)^2+(Table2333[[#This Row],[Humidity]]-$H$60)^2)</f>
        <v>1.4696938456699065</v>
      </c>
      <c r="M68">
        <f>Table2333[[#This Row],[production]]</f>
        <v>8.0190000000000001</v>
      </c>
    </row>
    <row r="69" spans="1:13" x14ac:dyDescent="0.25">
      <c r="A69" s="9">
        <v>21.2</v>
      </c>
      <c r="B69" s="9">
        <v>20</v>
      </c>
      <c r="C69" s="9">
        <v>66</v>
      </c>
      <c r="D69">
        <v>7.76</v>
      </c>
      <c r="K69">
        <f t="shared" si="4"/>
        <v>9</v>
      </c>
      <c r="L69">
        <f>SQRT((Table2333[[#This Row],[Temperature]]-$F$60)^2+(Table2333[[#This Row],[Rainfall]]-$G$60)^2+(Table2333[[#This Row],[Humidity]]-$H$60)^2)</f>
        <v>16.038403910614047</v>
      </c>
      <c r="M69">
        <f>Table2333[[#This Row],[production]]</f>
        <v>7.76</v>
      </c>
    </row>
    <row r="72" spans="1:13" x14ac:dyDescent="0.25">
      <c r="B72" t="s">
        <v>87</v>
      </c>
    </row>
    <row r="73" spans="1:13" x14ac:dyDescent="0.25">
      <c r="A73" s="7" t="s">
        <v>21</v>
      </c>
      <c r="B73" s="7" t="s">
        <v>22</v>
      </c>
      <c r="C73" s="7" t="s">
        <v>95</v>
      </c>
      <c r="D73" s="11" t="s">
        <v>23</v>
      </c>
      <c r="F73" s="6" t="s">
        <v>88</v>
      </c>
      <c r="G73" t="s">
        <v>89</v>
      </c>
      <c r="H73" t="s">
        <v>90</v>
      </c>
      <c r="I73" t="s">
        <v>82</v>
      </c>
      <c r="K73" s="6" t="s">
        <v>91</v>
      </c>
      <c r="L73" t="s">
        <v>92</v>
      </c>
      <c r="M73" s="6" t="s">
        <v>93</v>
      </c>
    </row>
    <row r="74" spans="1:13" x14ac:dyDescent="0.25">
      <c r="A74" s="8">
        <v>21.25</v>
      </c>
      <c r="B74" s="8">
        <v>11</v>
      </c>
      <c r="C74" s="8">
        <v>70</v>
      </c>
      <c r="D74">
        <v>0.70899999999999996</v>
      </c>
      <c r="F74">
        <v>21.68</v>
      </c>
      <c r="G74">
        <v>4</v>
      </c>
      <c r="H74">
        <v>65</v>
      </c>
      <c r="I74">
        <v>0.79</v>
      </c>
      <c r="K74">
        <f>RANK(L74,$L$74:$L$83,1)</f>
        <v>6</v>
      </c>
      <c r="L74">
        <f>SQRT((Table2434[[#This Row],[Temperature]]-$F$74)^2+(Table2434[[#This Row],[Rainfall]]-$G$74)^2+(Table2434[[#This Row],[Humidity]]-$H$74)^2)</f>
        <v>8.6130656563154098</v>
      </c>
      <c r="M74">
        <f>Table2434[[#This Row],[production]]</f>
        <v>0.70899999999999996</v>
      </c>
    </row>
    <row r="75" spans="1:13" x14ac:dyDescent="0.25">
      <c r="A75" s="8">
        <v>21.65</v>
      </c>
      <c r="B75" s="8">
        <v>1</v>
      </c>
      <c r="C75" s="8">
        <v>69</v>
      </c>
      <c r="D75">
        <v>0.70899999999999996</v>
      </c>
      <c r="K75">
        <f t="shared" ref="K75:K83" si="5">RANK(L75,$L$74:$L$83,1)</f>
        <v>3</v>
      </c>
      <c r="L75">
        <f>SQRT((Table2434[[#This Row],[Temperature]]-$F$74)^2+(Table2434[[#This Row],[Rainfall]]-$G$74)^2+(Table2434[[#This Row],[Humidity]]-$H$74)^2)</f>
        <v>5.0000899991900143</v>
      </c>
      <c r="M75">
        <f>Table2434[[#This Row],[production]]</f>
        <v>0.70899999999999996</v>
      </c>
    </row>
    <row r="76" spans="1:13" x14ac:dyDescent="0.25">
      <c r="A76" s="8">
        <v>22.23</v>
      </c>
      <c r="B76" s="8">
        <v>1</v>
      </c>
      <c r="C76" s="8">
        <v>67</v>
      </c>
      <c r="D76">
        <v>0.59599999999999997</v>
      </c>
      <c r="G76" t="s">
        <v>83</v>
      </c>
      <c r="K76">
        <f t="shared" si="5"/>
        <v>2</v>
      </c>
      <c r="L76">
        <f>SQRT((Table2434[[#This Row],[Temperature]]-$F$74)^2+(Table2434[[#This Row],[Rainfall]]-$G$74)^2+(Table2434[[#This Row],[Humidity]]-$H$74)^2)</f>
        <v>3.6472592449673771</v>
      </c>
      <c r="M76">
        <f>Table2434[[#This Row],[production]]</f>
        <v>0.59599999999999997</v>
      </c>
    </row>
    <row r="77" spans="1:13" x14ac:dyDescent="0.25">
      <c r="A77" s="8">
        <v>22.73</v>
      </c>
      <c r="B77" s="8">
        <v>9</v>
      </c>
      <c r="C77" s="8">
        <v>68</v>
      </c>
      <c r="D77">
        <v>0.56599999999999995</v>
      </c>
      <c r="G77" s="10">
        <v>0.1736</v>
      </c>
      <c r="K77">
        <f t="shared" si="5"/>
        <v>5</v>
      </c>
      <c r="L77">
        <f>SQRT((Table2434[[#This Row],[Temperature]]-$F$74)^2+(Table2434[[#This Row],[Rainfall]]-$G$74)^2+(Table2434[[#This Row],[Humidity]]-$H$74)^2)</f>
        <v>5.9247362810508291</v>
      </c>
      <c r="M77">
        <f>Table2434[[#This Row],[production]]</f>
        <v>0.56599999999999995</v>
      </c>
    </row>
    <row r="78" spans="1:13" x14ac:dyDescent="0.25">
      <c r="A78" s="8">
        <v>21.33</v>
      </c>
      <c r="B78" s="8">
        <v>47</v>
      </c>
      <c r="C78" s="8">
        <v>71</v>
      </c>
      <c r="D78">
        <v>0.59599999999999997</v>
      </c>
      <c r="K78">
        <f t="shared" si="5"/>
        <v>10</v>
      </c>
      <c r="L78">
        <f>SQRT((Table2434[[#This Row],[Temperature]]-$F$74)^2+(Table2434[[#This Row],[Rainfall]]-$G$74)^2+(Table2434[[#This Row],[Humidity]]-$H$74)^2)</f>
        <v>43.417997420424634</v>
      </c>
      <c r="M78">
        <f>Table2434[[#This Row],[production]]</f>
        <v>0.59599999999999997</v>
      </c>
    </row>
    <row r="79" spans="1:13" x14ac:dyDescent="0.25">
      <c r="A79" s="8">
        <v>21.43</v>
      </c>
      <c r="B79" s="8">
        <v>1</v>
      </c>
      <c r="C79" s="8">
        <v>70</v>
      </c>
      <c r="D79">
        <v>0.82199999999999995</v>
      </c>
      <c r="K79">
        <f t="shared" si="5"/>
        <v>4</v>
      </c>
      <c r="L79">
        <f>SQRT((Table2434[[#This Row],[Temperature]]-$F$74)^2+(Table2434[[#This Row],[Rainfall]]-$G$74)^2+(Table2434[[#This Row],[Humidity]]-$H$74)^2)</f>
        <v>5.8363087649643761</v>
      </c>
      <c r="M79">
        <f>Table2434[[#This Row],[production]]</f>
        <v>0.82199999999999995</v>
      </c>
    </row>
    <row r="80" spans="1:13" x14ac:dyDescent="0.25">
      <c r="A80" s="8">
        <v>22.45</v>
      </c>
      <c r="B80" s="8">
        <v>13</v>
      </c>
      <c r="C80" s="8">
        <v>66</v>
      </c>
      <c r="D80">
        <v>0.45200000000000001</v>
      </c>
      <c r="K80">
        <f t="shared" si="5"/>
        <v>7</v>
      </c>
      <c r="L80">
        <f>SQRT((Table2434[[#This Row],[Temperature]]-$F$74)^2+(Table2434[[#This Row],[Rainfall]]-$G$74)^2+(Table2434[[#This Row],[Humidity]]-$H$74)^2)</f>
        <v>9.0880636001295674</v>
      </c>
      <c r="M80">
        <f>Table2434[[#This Row],[production]]</f>
        <v>0.45200000000000001</v>
      </c>
    </row>
    <row r="81" spans="1:13" x14ac:dyDescent="0.25">
      <c r="A81" s="8">
        <v>21.8</v>
      </c>
      <c r="B81" s="8">
        <v>20</v>
      </c>
      <c r="C81" s="8">
        <v>65</v>
      </c>
      <c r="D81">
        <v>1.448</v>
      </c>
      <c r="K81">
        <f t="shared" si="5"/>
        <v>8</v>
      </c>
      <c r="L81">
        <f>SQRT((Table2434[[#This Row],[Temperature]]-$F$74)^2+(Table2434[[#This Row],[Rainfall]]-$G$74)^2+(Table2434[[#This Row],[Humidity]]-$H$74)^2)</f>
        <v>16.000449993672053</v>
      </c>
      <c r="M81">
        <f>Table2434[[#This Row],[production]]</f>
        <v>1.448</v>
      </c>
    </row>
    <row r="82" spans="1:13" x14ac:dyDescent="0.25">
      <c r="A82" s="8">
        <v>21.28</v>
      </c>
      <c r="B82" s="8">
        <v>3</v>
      </c>
      <c r="C82" s="8">
        <v>66</v>
      </c>
      <c r="D82">
        <v>0.79</v>
      </c>
      <c r="K82">
        <f t="shared" si="5"/>
        <v>1</v>
      </c>
      <c r="L82">
        <f>SQRT((Table2434[[#This Row],[Temperature]]-$F$74)^2+(Table2434[[#This Row],[Rainfall]]-$G$74)^2+(Table2434[[#This Row],[Humidity]]-$H$74)^2)</f>
        <v>1.4696938456699065</v>
      </c>
      <c r="M82">
        <f>Table2434[[#This Row],[production]]</f>
        <v>0.79</v>
      </c>
    </row>
    <row r="83" spans="1:13" x14ac:dyDescent="0.25">
      <c r="A83" s="9">
        <v>21.2</v>
      </c>
      <c r="B83" s="9">
        <v>20</v>
      </c>
      <c r="C83" s="9">
        <v>66</v>
      </c>
      <c r="D83">
        <v>0.874</v>
      </c>
      <c r="K83">
        <f t="shared" si="5"/>
        <v>9</v>
      </c>
      <c r="L83">
        <f>SQRT((Table2434[[#This Row],[Temperature]]-$F$74)^2+(Table2434[[#This Row],[Rainfall]]-$G$74)^2+(Table2434[[#This Row],[Humidity]]-$H$74)^2)</f>
        <v>16.038403910614047</v>
      </c>
      <c r="M83">
        <f>Table2434[[#This Row],[production]]</f>
        <v>0.874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topLeftCell="A109" workbookViewId="0">
      <selection activeCell="P113" sqref="P113:R114"/>
    </sheetView>
  </sheetViews>
  <sheetFormatPr defaultRowHeight="15" x14ac:dyDescent="0.25"/>
  <cols>
    <col min="1" max="1" width="12.28515625" customWidth="1"/>
    <col min="4" max="4" width="10.42578125" customWidth="1"/>
    <col min="15" max="15" width="11.140625" customWidth="1"/>
    <col min="16" max="16" width="10.140625" customWidth="1"/>
    <col min="17" max="17" width="9.28515625" customWidth="1"/>
    <col min="18" max="19" width="11.140625" customWidth="1"/>
  </cols>
  <sheetData>
    <row r="1" spans="1:18" x14ac:dyDescent="0.25">
      <c r="B1" t="s">
        <v>1</v>
      </c>
    </row>
    <row r="2" spans="1:18" x14ac:dyDescent="0.25">
      <c r="A2" t="s">
        <v>21</v>
      </c>
      <c r="B2" s="6" t="s">
        <v>22</v>
      </c>
      <c r="C2" t="s">
        <v>95</v>
      </c>
      <c r="D2" t="s">
        <v>23</v>
      </c>
      <c r="F2" t="s">
        <v>24</v>
      </c>
      <c r="O2" t="s">
        <v>88</v>
      </c>
      <c r="P2" t="s">
        <v>89</v>
      </c>
      <c r="Q2" t="s">
        <v>90</v>
      </c>
      <c r="R2" t="s">
        <v>82</v>
      </c>
    </row>
    <row r="3" spans="1:18" ht="15.75" thickBot="1" x14ac:dyDescent="0.3">
      <c r="A3">
        <v>26.4</v>
      </c>
      <c r="B3">
        <v>160</v>
      </c>
      <c r="C3">
        <v>79</v>
      </c>
      <c r="D3">
        <v>0.877</v>
      </c>
      <c r="O3">
        <v>27.47</v>
      </c>
      <c r="P3">
        <v>150</v>
      </c>
      <c r="Q3">
        <v>74</v>
      </c>
      <c r="R3">
        <f>G18+G19*O3+G20*P3+G21*Q3</f>
        <v>0.77807410432651958</v>
      </c>
    </row>
    <row r="4" spans="1:18" x14ac:dyDescent="0.25">
      <c r="A4">
        <v>27.05</v>
      </c>
      <c r="B4">
        <v>242</v>
      </c>
      <c r="C4">
        <v>78</v>
      </c>
      <c r="D4">
        <v>0.78</v>
      </c>
      <c r="F4" s="2" t="s">
        <v>27</v>
      </c>
      <c r="G4" s="2"/>
    </row>
    <row r="5" spans="1:18" x14ac:dyDescent="0.25">
      <c r="A5">
        <v>27.07</v>
      </c>
      <c r="B5">
        <v>213</v>
      </c>
      <c r="C5">
        <v>79</v>
      </c>
      <c r="D5">
        <v>0.85099999999999998</v>
      </c>
      <c r="F5" s="3" t="s">
        <v>28</v>
      </c>
      <c r="G5" s="3">
        <v>0.57458899863269774</v>
      </c>
      <c r="Q5" t="s">
        <v>83</v>
      </c>
    </row>
    <row r="6" spans="1:18" x14ac:dyDescent="0.25">
      <c r="A6">
        <v>27.07</v>
      </c>
      <c r="B6">
        <v>137</v>
      </c>
      <c r="C6">
        <v>74</v>
      </c>
      <c r="D6">
        <v>0.745</v>
      </c>
      <c r="F6" s="3" t="s">
        <v>30</v>
      </c>
      <c r="G6" s="3">
        <v>0.33015251734972634</v>
      </c>
      <c r="Q6" s="10">
        <v>0.189</v>
      </c>
    </row>
    <row r="7" spans="1:18" x14ac:dyDescent="0.25">
      <c r="A7">
        <v>27.2</v>
      </c>
      <c r="B7">
        <v>157</v>
      </c>
      <c r="C7">
        <v>74</v>
      </c>
      <c r="D7">
        <v>0.7</v>
      </c>
      <c r="F7" s="3" t="s">
        <v>31</v>
      </c>
      <c r="G7" s="3">
        <v>-4.7712239754105212E-3</v>
      </c>
    </row>
    <row r="8" spans="1:18" x14ac:dyDescent="0.25">
      <c r="A8">
        <v>27.17</v>
      </c>
      <c r="B8">
        <v>157</v>
      </c>
      <c r="C8">
        <v>77</v>
      </c>
      <c r="D8">
        <v>0.97799999999999998</v>
      </c>
      <c r="F8" s="3" t="s">
        <v>32</v>
      </c>
      <c r="G8" s="3">
        <v>0.1457081733576534</v>
      </c>
    </row>
    <row r="9" spans="1:18" ht="15.75" thickBot="1" x14ac:dyDescent="0.3">
      <c r="A9">
        <v>27.35</v>
      </c>
      <c r="B9">
        <v>219</v>
      </c>
      <c r="C9">
        <v>73</v>
      </c>
      <c r="D9">
        <v>0.81699999999999995</v>
      </c>
      <c r="F9" s="4" t="s">
        <v>33</v>
      </c>
      <c r="G9" s="4">
        <v>10</v>
      </c>
    </row>
    <row r="10" spans="1:18" x14ac:dyDescent="0.25">
      <c r="A10">
        <v>28.02</v>
      </c>
      <c r="B10">
        <v>201</v>
      </c>
      <c r="C10">
        <v>74</v>
      </c>
      <c r="D10">
        <v>0.80400000000000005</v>
      </c>
    </row>
    <row r="11" spans="1:18" ht="15.75" thickBot="1" x14ac:dyDescent="0.3">
      <c r="A11">
        <v>26.95</v>
      </c>
      <c r="B11">
        <v>171</v>
      </c>
      <c r="C11">
        <v>76</v>
      </c>
      <c r="D11">
        <v>1.095</v>
      </c>
      <c r="F11" t="s">
        <v>34</v>
      </c>
    </row>
    <row r="12" spans="1:18" x14ac:dyDescent="0.25">
      <c r="A12">
        <v>27.6</v>
      </c>
      <c r="B12">
        <v>129</v>
      </c>
      <c r="C12">
        <v>71</v>
      </c>
      <c r="D12">
        <v>0.56799999999999995</v>
      </c>
      <c r="F12" s="5"/>
      <c r="G12" s="5" t="s">
        <v>35</v>
      </c>
      <c r="H12" s="5" t="s">
        <v>36</v>
      </c>
      <c r="I12" s="5" t="s">
        <v>37</v>
      </c>
      <c r="J12" s="5" t="s">
        <v>38</v>
      </c>
      <c r="K12" s="5" t="s">
        <v>39</v>
      </c>
    </row>
    <row r="13" spans="1:18" x14ac:dyDescent="0.25">
      <c r="F13" s="3" t="s">
        <v>40</v>
      </c>
      <c r="G13" s="3">
        <v>3</v>
      </c>
      <c r="H13" s="3">
        <v>6.2785269300656144E-2</v>
      </c>
      <c r="I13" s="3">
        <v>2.0928423100218713E-2</v>
      </c>
      <c r="J13" s="3">
        <v>0.9857542975110305</v>
      </c>
      <c r="K13" s="3">
        <v>0.46009376029467064</v>
      </c>
    </row>
    <row r="14" spans="1:18" x14ac:dyDescent="0.25">
      <c r="F14" s="3" t="s">
        <v>41</v>
      </c>
      <c r="G14" s="3">
        <v>6</v>
      </c>
      <c r="H14" s="3">
        <v>0.12738523069934388</v>
      </c>
      <c r="I14" s="3">
        <v>2.1230871783223981E-2</v>
      </c>
      <c r="J14" s="3"/>
      <c r="K14" s="3"/>
    </row>
    <row r="15" spans="1:18" ht="15.75" thickBot="1" x14ac:dyDescent="0.3">
      <c r="F15" s="4" t="s">
        <v>42</v>
      </c>
      <c r="G15" s="4">
        <v>9</v>
      </c>
      <c r="H15" s="4">
        <v>0.19017050000000002</v>
      </c>
      <c r="I15" s="4"/>
      <c r="J15" s="4"/>
      <c r="K15" s="4"/>
    </row>
    <row r="16" spans="1:18" ht="15.75" thickBot="1" x14ac:dyDescent="0.3"/>
    <row r="17" spans="1:19" x14ac:dyDescent="0.25">
      <c r="F17" s="5"/>
      <c r="G17" s="5" t="s">
        <v>43</v>
      </c>
      <c r="H17" s="5" t="s">
        <v>32</v>
      </c>
      <c r="I17" s="5" t="s">
        <v>44</v>
      </c>
      <c r="J17" s="5" t="s">
        <v>45</v>
      </c>
      <c r="K17" s="5" t="s">
        <v>46</v>
      </c>
      <c r="L17" s="5" t="s">
        <v>47</v>
      </c>
      <c r="M17" s="5" t="s">
        <v>48</v>
      </c>
      <c r="N17" s="5" t="s">
        <v>49</v>
      </c>
    </row>
    <row r="18" spans="1:19" x14ac:dyDescent="0.25">
      <c r="F18" s="3" t="s">
        <v>50</v>
      </c>
      <c r="G18" s="3">
        <v>-1.5268957020996834</v>
      </c>
      <c r="H18" s="3">
        <v>6.7904731886604326</v>
      </c>
      <c r="I18" s="3">
        <v>-0.22485851275423363</v>
      </c>
      <c r="J18" s="3">
        <v>0.82955170564683234</v>
      </c>
      <c r="K18" s="3">
        <v>-18.142585022315068</v>
      </c>
      <c r="L18" s="3">
        <v>15.088793618115702</v>
      </c>
      <c r="M18" s="3">
        <v>-18.142585022315068</v>
      </c>
      <c r="N18" s="3">
        <v>15.088793618115702</v>
      </c>
    </row>
    <row r="19" spans="1:19" x14ac:dyDescent="0.25">
      <c r="F19" s="3" t="s">
        <v>21</v>
      </c>
      <c r="G19" s="3">
        <v>6.9383492448172405E-5</v>
      </c>
      <c r="H19" s="3">
        <v>0.18342587697664228</v>
      </c>
      <c r="I19" s="3">
        <v>3.7826447168633572E-4</v>
      </c>
      <c r="J19" s="3">
        <v>0.99971045158822602</v>
      </c>
      <c r="K19" s="3">
        <v>-0.44875756868835709</v>
      </c>
      <c r="L19" s="3">
        <v>0.44889633567325343</v>
      </c>
      <c r="M19" s="3">
        <v>-0.44875756868835709</v>
      </c>
      <c r="N19" s="3">
        <v>0.44889633567325343</v>
      </c>
    </row>
    <row r="20" spans="1:19" x14ac:dyDescent="0.25">
      <c r="F20" s="3" t="s">
        <v>22</v>
      </c>
      <c r="G20" s="3">
        <v>-1.2669535173682531E-4</v>
      </c>
      <c r="H20" s="3">
        <v>1.6423366806172345E-3</v>
      </c>
      <c r="I20" s="3">
        <v>-7.7143349005156348E-2</v>
      </c>
      <c r="J20" s="3">
        <v>0.94101766378710228</v>
      </c>
      <c r="K20" s="3">
        <v>-4.1453484391092274E-3</v>
      </c>
      <c r="L20" s="3">
        <v>3.8919577356355769E-3</v>
      </c>
      <c r="M20" s="3">
        <v>-4.1453484391092274E-3</v>
      </c>
      <c r="N20" s="3">
        <v>3.8919577356355769E-3</v>
      </c>
    </row>
    <row r="21" spans="1:19" ht="15.75" thickBot="1" x14ac:dyDescent="0.3">
      <c r="F21" s="4" t="s">
        <v>95</v>
      </c>
      <c r="G21" s="4">
        <v>3.1379299252015887E-2</v>
      </c>
      <c r="H21" s="4">
        <v>3.0894256547887858E-2</v>
      </c>
      <c r="I21" s="4">
        <v>1.015700093102295</v>
      </c>
      <c r="J21" s="4">
        <v>0.34896589295808617</v>
      </c>
      <c r="K21" s="4">
        <v>-4.4216223227323999E-2</v>
      </c>
      <c r="L21" s="4">
        <v>0.10697482173135578</v>
      </c>
      <c r="M21" s="4">
        <v>-4.4216223227323999E-2</v>
      </c>
      <c r="N21" s="4">
        <v>0.10697482173135578</v>
      </c>
    </row>
    <row r="23" spans="1:19" x14ac:dyDescent="0.25">
      <c r="B23" t="s">
        <v>2</v>
      </c>
    </row>
    <row r="24" spans="1:19" x14ac:dyDescent="0.25">
      <c r="A24" t="s">
        <v>21</v>
      </c>
      <c r="B24" t="s">
        <v>22</v>
      </c>
      <c r="C24" t="s">
        <v>95</v>
      </c>
      <c r="D24" t="s">
        <v>23</v>
      </c>
      <c r="G24" t="s">
        <v>24</v>
      </c>
    </row>
    <row r="25" spans="1:19" ht="15.75" thickBot="1" x14ac:dyDescent="0.3">
      <c r="A25">
        <v>28.83</v>
      </c>
      <c r="B25">
        <v>334</v>
      </c>
      <c r="C25">
        <v>85</v>
      </c>
      <c r="D25">
        <v>0.752</v>
      </c>
      <c r="P25" t="s">
        <v>88</v>
      </c>
      <c r="Q25" t="s">
        <v>89</v>
      </c>
      <c r="R25" t="s">
        <v>90</v>
      </c>
      <c r="S25" t="s">
        <v>82</v>
      </c>
    </row>
    <row r="26" spans="1:19" x14ac:dyDescent="0.25">
      <c r="A26">
        <v>28.1</v>
      </c>
      <c r="B26">
        <v>328</v>
      </c>
      <c r="C26">
        <v>85</v>
      </c>
      <c r="D26">
        <v>0.72799999999999998</v>
      </c>
      <c r="G26" s="2" t="s">
        <v>27</v>
      </c>
      <c r="H26" s="2"/>
      <c r="P26">
        <v>28.85</v>
      </c>
      <c r="Q26">
        <v>303</v>
      </c>
      <c r="R26">
        <v>84</v>
      </c>
      <c r="S26">
        <f>H40+H41*P26+H42*Q26+H43*R26</f>
        <v>0.92803709642564536</v>
      </c>
    </row>
    <row r="27" spans="1:19" x14ac:dyDescent="0.25">
      <c r="A27">
        <v>28.47</v>
      </c>
      <c r="B27">
        <v>524</v>
      </c>
      <c r="C27">
        <v>85</v>
      </c>
      <c r="D27">
        <v>0.81699999999999995</v>
      </c>
      <c r="G27" s="3" t="s">
        <v>28</v>
      </c>
      <c r="H27" s="3">
        <v>0.63199195825695131</v>
      </c>
    </row>
    <row r="28" spans="1:19" x14ac:dyDescent="0.25">
      <c r="A28">
        <v>28.87</v>
      </c>
      <c r="B28">
        <v>176</v>
      </c>
      <c r="C28">
        <v>82</v>
      </c>
      <c r="D28">
        <v>0.82599999999999996</v>
      </c>
      <c r="G28" s="3" t="s">
        <v>30</v>
      </c>
      <c r="H28" s="3">
        <v>0.39941383530145608</v>
      </c>
      <c r="Q28" t="s">
        <v>83</v>
      </c>
    </row>
    <row r="29" spans="1:19" x14ac:dyDescent="0.25">
      <c r="A29">
        <v>28.7</v>
      </c>
      <c r="B29">
        <v>229</v>
      </c>
      <c r="C29">
        <v>85</v>
      </c>
      <c r="D29">
        <v>0.95499999999999996</v>
      </c>
      <c r="G29" s="3" t="s">
        <v>31</v>
      </c>
      <c r="H29" s="3">
        <v>9.9120752952184102E-2</v>
      </c>
      <c r="Q29" s="10">
        <v>8.6599999999999996E-2</v>
      </c>
    </row>
    <row r="30" spans="1:19" x14ac:dyDescent="0.25">
      <c r="A30">
        <v>28.55</v>
      </c>
      <c r="B30">
        <v>277</v>
      </c>
      <c r="C30">
        <v>85</v>
      </c>
      <c r="D30">
        <v>0.996</v>
      </c>
      <c r="G30" s="3" t="s">
        <v>32</v>
      </c>
      <c r="H30" s="3">
        <v>0.11416133260383354</v>
      </c>
    </row>
    <row r="31" spans="1:19" ht="15.75" thickBot="1" x14ac:dyDescent="0.3">
      <c r="A31">
        <v>28.95</v>
      </c>
      <c r="B31">
        <v>286</v>
      </c>
      <c r="C31">
        <v>83</v>
      </c>
      <c r="D31">
        <v>0.95699999999999996</v>
      </c>
      <c r="G31" s="4" t="s">
        <v>33</v>
      </c>
      <c r="H31" s="4">
        <v>10</v>
      </c>
    </row>
    <row r="32" spans="1:19" x14ac:dyDescent="0.25">
      <c r="A32">
        <v>29.02</v>
      </c>
      <c r="B32">
        <v>208</v>
      </c>
      <c r="C32">
        <v>83</v>
      </c>
      <c r="D32">
        <v>1.0549999999999999</v>
      </c>
    </row>
    <row r="33" spans="1:19" ht="15.75" thickBot="1" x14ac:dyDescent="0.3">
      <c r="A33">
        <v>29</v>
      </c>
      <c r="B33">
        <v>231</v>
      </c>
      <c r="C33">
        <v>83</v>
      </c>
      <c r="D33">
        <v>0.99299999999999999</v>
      </c>
      <c r="G33" t="s">
        <v>34</v>
      </c>
    </row>
    <row r="34" spans="1:19" x14ac:dyDescent="0.25">
      <c r="A34">
        <v>28.87</v>
      </c>
      <c r="B34">
        <v>245</v>
      </c>
      <c r="C34">
        <v>82</v>
      </c>
      <c r="D34">
        <v>1.04</v>
      </c>
      <c r="G34" s="5"/>
      <c r="H34" s="5" t="s">
        <v>35</v>
      </c>
      <c r="I34" s="5" t="s">
        <v>36</v>
      </c>
      <c r="J34" s="5" t="s">
        <v>37</v>
      </c>
      <c r="K34" s="5" t="s">
        <v>38</v>
      </c>
      <c r="L34" s="5" t="s">
        <v>39</v>
      </c>
    </row>
    <row r="35" spans="1:19" x14ac:dyDescent="0.25">
      <c r="G35" s="3" t="s">
        <v>40</v>
      </c>
      <c r="H35" s="3">
        <v>3</v>
      </c>
      <c r="I35" s="3">
        <v>5.2004040828701359E-2</v>
      </c>
      <c r="J35" s="3">
        <v>1.7334680276233787E-2</v>
      </c>
      <c r="K35" s="3">
        <v>1.3300800410610074</v>
      </c>
      <c r="L35" s="3">
        <v>0.34944716989942359</v>
      </c>
    </row>
    <row r="36" spans="1:19" x14ac:dyDescent="0.25">
      <c r="G36" s="3" t="s">
        <v>41</v>
      </c>
      <c r="H36" s="3">
        <v>6</v>
      </c>
      <c r="I36" s="3">
        <v>7.8196859171298649E-2</v>
      </c>
      <c r="J36" s="3">
        <v>1.3032809861883108E-2</v>
      </c>
      <c r="K36" s="3"/>
      <c r="L36" s="3"/>
    </row>
    <row r="37" spans="1:19" ht="15.75" thickBot="1" x14ac:dyDescent="0.3">
      <c r="G37" s="4" t="s">
        <v>42</v>
      </c>
      <c r="H37" s="4">
        <v>9</v>
      </c>
      <c r="I37" s="4">
        <v>0.13020090000000001</v>
      </c>
      <c r="J37" s="4"/>
      <c r="K37" s="4"/>
      <c r="L37" s="4"/>
    </row>
    <row r="38" spans="1:19" ht="15.75" thickBot="1" x14ac:dyDescent="0.3"/>
    <row r="39" spans="1:19" x14ac:dyDescent="0.25">
      <c r="G39" s="5"/>
      <c r="H39" s="5" t="s">
        <v>43</v>
      </c>
      <c r="I39" s="5" t="s">
        <v>32</v>
      </c>
      <c r="J39" s="5" t="s">
        <v>44</v>
      </c>
      <c r="K39" s="5" t="s">
        <v>45</v>
      </c>
      <c r="L39" s="5" t="s">
        <v>46</v>
      </c>
      <c r="M39" s="5" t="s">
        <v>47</v>
      </c>
      <c r="N39" s="5" t="s">
        <v>48</v>
      </c>
      <c r="O39" s="5" t="s">
        <v>49</v>
      </c>
    </row>
    <row r="40" spans="1:19" x14ac:dyDescent="0.25">
      <c r="G40" s="3" t="s">
        <v>50</v>
      </c>
      <c r="H40" s="3">
        <v>-4.4432703482573555</v>
      </c>
      <c r="I40" s="3">
        <v>7.7883327781327187</v>
      </c>
      <c r="J40" s="3">
        <v>-0.57050340231130259</v>
      </c>
      <c r="K40" s="3">
        <v>0.58904722441189894</v>
      </c>
      <c r="L40" s="3">
        <v>-23.500634123731132</v>
      </c>
      <c r="M40" s="3">
        <v>14.614093427216419</v>
      </c>
      <c r="N40" s="3">
        <v>-23.500634123731132</v>
      </c>
      <c r="O40" s="3">
        <v>14.614093427216419</v>
      </c>
    </row>
    <row r="41" spans="1:19" x14ac:dyDescent="0.25">
      <c r="G41" s="3" t="s">
        <v>21</v>
      </c>
      <c r="H41" s="3">
        <v>0.19229972391713426</v>
      </c>
      <c r="I41" s="3">
        <v>0.18461362786812069</v>
      </c>
      <c r="J41" s="3">
        <v>1.0416334164371883</v>
      </c>
      <c r="K41" s="3">
        <v>0.33772247952955314</v>
      </c>
      <c r="L41" s="3">
        <v>-0.25943354999623747</v>
      </c>
      <c r="M41" s="3">
        <v>0.64403299783050605</v>
      </c>
      <c r="N41" s="3">
        <v>-0.25943354999623747</v>
      </c>
      <c r="O41" s="3">
        <v>0.64403299783050605</v>
      </c>
    </row>
    <row r="42" spans="1:19" x14ac:dyDescent="0.25">
      <c r="G42" s="3" t="s">
        <v>22</v>
      </c>
      <c r="H42" s="3">
        <v>-2.9032221260852495E-4</v>
      </c>
      <c r="I42" s="3">
        <v>4.9565610744575132E-4</v>
      </c>
      <c r="J42" s="3">
        <v>-0.58573314894601636</v>
      </c>
      <c r="K42" s="3">
        <v>0.57940407075602429</v>
      </c>
      <c r="L42" s="3">
        <v>-1.5031490160099183E-3</v>
      </c>
      <c r="M42" s="3">
        <v>9.2250459079286839E-4</v>
      </c>
      <c r="N42" s="3">
        <v>-1.5031490160099183E-3</v>
      </c>
      <c r="O42" s="3">
        <v>9.2250459079286839E-4</v>
      </c>
    </row>
    <row r="43" spans="1:19" ht="15.75" thickBot="1" x14ac:dyDescent="0.3">
      <c r="G43" s="4" t="s">
        <v>95</v>
      </c>
      <c r="H43" s="4">
        <v>-1.0544280941183267E-3</v>
      </c>
      <c r="I43" s="4">
        <v>4.2360927542297089E-2</v>
      </c>
      <c r="J43" s="4">
        <v>-2.4891525169402573E-2</v>
      </c>
      <c r="K43" s="4">
        <v>0.98094869030143084</v>
      </c>
      <c r="L43" s="4">
        <v>-0.10470788372285843</v>
      </c>
      <c r="M43" s="4">
        <v>0.10259902753462179</v>
      </c>
      <c r="N43" s="4">
        <v>-0.10470788372285843</v>
      </c>
      <c r="O43" s="4">
        <v>0.10259902753462179</v>
      </c>
    </row>
    <row r="45" spans="1:19" x14ac:dyDescent="0.25">
      <c r="B45" t="s">
        <v>3</v>
      </c>
    </row>
    <row r="46" spans="1:19" x14ac:dyDescent="0.25">
      <c r="A46" t="s">
        <v>21</v>
      </c>
      <c r="B46" t="s">
        <v>22</v>
      </c>
      <c r="C46" t="s">
        <v>95</v>
      </c>
      <c r="D46" t="s">
        <v>82</v>
      </c>
      <c r="G46" t="s">
        <v>24</v>
      </c>
    </row>
    <row r="47" spans="1:19" ht="15.75" thickBot="1" x14ac:dyDescent="0.3">
      <c r="A47">
        <v>18.88</v>
      </c>
      <c r="B47">
        <v>9</v>
      </c>
      <c r="C47">
        <v>82</v>
      </c>
      <c r="D47">
        <v>1.2689999999999999</v>
      </c>
    </row>
    <row r="48" spans="1:19" x14ac:dyDescent="0.25">
      <c r="A48">
        <v>19.27</v>
      </c>
      <c r="B48">
        <v>7</v>
      </c>
      <c r="C48">
        <v>80</v>
      </c>
      <c r="D48">
        <v>1.37</v>
      </c>
      <c r="G48" s="2" t="s">
        <v>27</v>
      </c>
      <c r="H48" s="2"/>
      <c r="P48" t="s">
        <v>88</v>
      </c>
      <c r="Q48" t="s">
        <v>89</v>
      </c>
      <c r="R48" t="s">
        <v>90</v>
      </c>
      <c r="S48" t="s">
        <v>82</v>
      </c>
    </row>
    <row r="49" spans="1:19" x14ac:dyDescent="0.25">
      <c r="A49">
        <v>19.82</v>
      </c>
      <c r="B49">
        <v>1</v>
      </c>
      <c r="C49">
        <v>78</v>
      </c>
      <c r="D49">
        <v>1.425</v>
      </c>
      <c r="G49" s="3" t="s">
        <v>28</v>
      </c>
      <c r="H49" s="3">
        <v>0.7682959762657332</v>
      </c>
      <c r="P49">
        <v>19.170000000000002</v>
      </c>
      <c r="Q49">
        <v>8</v>
      </c>
      <c r="R49">
        <v>77</v>
      </c>
      <c r="S49">
        <f>H62+H63*P49+H64*Q49+H65*R49</f>
        <v>1.5577159408587806</v>
      </c>
    </row>
    <row r="50" spans="1:19" x14ac:dyDescent="0.25">
      <c r="A50">
        <v>20.27</v>
      </c>
      <c r="B50">
        <v>15</v>
      </c>
      <c r="C50">
        <v>79</v>
      </c>
      <c r="D50">
        <v>1.5189999999999999</v>
      </c>
      <c r="G50" s="3" t="s">
        <v>30</v>
      </c>
      <c r="H50" s="3">
        <v>0.59027870714611608</v>
      </c>
    </row>
    <row r="51" spans="1:19" x14ac:dyDescent="0.25">
      <c r="A51">
        <v>19.52</v>
      </c>
      <c r="B51">
        <v>8</v>
      </c>
      <c r="C51">
        <v>78</v>
      </c>
      <c r="D51">
        <v>1.607</v>
      </c>
      <c r="G51" s="3" t="s">
        <v>31</v>
      </c>
      <c r="H51" s="3">
        <v>0.38541806071917417</v>
      </c>
      <c r="R51" t="s">
        <v>83</v>
      </c>
    </row>
    <row r="52" spans="1:19" x14ac:dyDescent="0.25">
      <c r="A52">
        <v>19.63</v>
      </c>
      <c r="B52">
        <v>1</v>
      </c>
      <c r="C52">
        <v>80</v>
      </c>
      <c r="D52">
        <v>1.542</v>
      </c>
      <c r="G52" s="3" t="s">
        <v>32</v>
      </c>
      <c r="H52" s="3">
        <v>8.7232962139652481E-2</v>
      </c>
      <c r="R52" s="10">
        <v>6.4399999999999999E-2</v>
      </c>
    </row>
    <row r="53" spans="1:19" ht="15.75" thickBot="1" x14ac:dyDescent="0.3">
      <c r="A53">
        <v>20.100000000000001</v>
      </c>
      <c r="B53">
        <v>1</v>
      </c>
      <c r="C53">
        <v>78</v>
      </c>
      <c r="D53">
        <v>1.528</v>
      </c>
      <c r="G53" s="4" t="s">
        <v>33</v>
      </c>
      <c r="H53" s="4">
        <v>10</v>
      </c>
    </row>
    <row r="54" spans="1:19" x14ac:dyDescent="0.25">
      <c r="A54">
        <v>19.600000000000001</v>
      </c>
      <c r="B54">
        <v>7</v>
      </c>
      <c r="C54">
        <v>76</v>
      </c>
      <c r="D54">
        <v>1.534</v>
      </c>
    </row>
    <row r="55" spans="1:19" ht="15.75" thickBot="1" x14ac:dyDescent="0.3">
      <c r="A55">
        <v>18.97</v>
      </c>
      <c r="B55">
        <v>3</v>
      </c>
      <c r="C55">
        <v>78</v>
      </c>
      <c r="D55">
        <v>1.5369999999999999</v>
      </c>
      <c r="G55" t="s">
        <v>34</v>
      </c>
    </row>
    <row r="56" spans="1:19" x14ac:dyDescent="0.25">
      <c r="A56">
        <v>18.73</v>
      </c>
      <c r="B56">
        <v>3</v>
      </c>
      <c r="C56">
        <v>76</v>
      </c>
      <c r="D56">
        <v>1.637</v>
      </c>
      <c r="G56" s="5"/>
      <c r="H56" s="5" t="s">
        <v>35</v>
      </c>
      <c r="I56" s="5" t="s">
        <v>36</v>
      </c>
      <c r="J56" s="5" t="s">
        <v>37</v>
      </c>
      <c r="K56" s="5" t="s">
        <v>38</v>
      </c>
      <c r="L56" s="5" t="s">
        <v>39</v>
      </c>
    </row>
    <row r="57" spans="1:19" x14ac:dyDescent="0.25">
      <c r="G57" s="3" t="s">
        <v>40</v>
      </c>
      <c r="H57" s="3">
        <v>3</v>
      </c>
      <c r="I57" s="3">
        <v>6.5778061898051729E-2</v>
      </c>
      <c r="J57" s="3">
        <v>2.192602063268391E-2</v>
      </c>
      <c r="K57" s="3">
        <v>2.8813670045536202</v>
      </c>
      <c r="L57" s="3">
        <v>0.12502693104358473</v>
      </c>
    </row>
    <row r="58" spans="1:19" x14ac:dyDescent="0.25">
      <c r="G58" s="3" t="s">
        <v>41</v>
      </c>
      <c r="H58" s="3">
        <v>6</v>
      </c>
      <c r="I58" s="3">
        <v>4.5657538101948267E-2</v>
      </c>
      <c r="J58" s="3">
        <v>7.6095896836580442E-3</v>
      </c>
      <c r="K58" s="3"/>
      <c r="L58" s="3"/>
    </row>
    <row r="59" spans="1:19" ht="15.75" thickBot="1" x14ac:dyDescent="0.3">
      <c r="G59" s="4" t="s">
        <v>42</v>
      </c>
      <c r="H59" s="4">
        <v>9</v>
      </c>
      <c r="I59" s="4">
        <v>0.1114356</v>
      </c>
      <c r="J59" s="4"/>
      <c r="K59" s="4"/>
      <c r="L59" s="4"/>
    </row>
    <row r="60" spans="1:19" ht="15.75" thickBot="1" x14ac:dyDescent="0.3"/>
    <row r="61" spans="1:19" x14ac:dyDescent="0.25">
      <c r="G61" s="5"/>
      <c r="H61" s="5" t="s">
        <v>43</v>
      </c>
      <c r="I61" s="5" t="s">
        <v>32</v>
      </c>
      <c r="J61" s="5" t="s">
        <v>44</v>
      </c>
      <c r="K61" s="5" t="s">
        <v>45</v>
      </c>
      <c r="L61" s="5" t="s">
        <v>46</v>
      </c>
      <c r="M61" s="5" t="s">
        <v>47</v>
      </c>
      <c r="N61" s="5" t="s">
        <v>48</v>
      </c>
      <c r="O61" s="5" t="s">
        <v>49</v>
      </c>
    </row>
    <row r="62" spans="1:19" x14ac:dyDescent="0.25">
      <c r="G62" s="3" t="s">
        <v>50</v>
      </c>
      <c r="H62" s="3">
        <v>4.6922956667542426</v>
      </c>
      <c r="I62" s="3">
        <v>1.7828446204187727</v>
      </c>
      <c r="J62" s="3">
        <v>2.6319150940097451</v>
      </c>
      <c r="K62" s="3">
        <v>3.8959611988126974E-2</v>
      </c>
      <c r="L62" s="3">
        <v>0.32983203630149305</v>
      </c>
      <c r="M62" s="3">
        <v>9.0547592972069921</v>
      </c>
      <c r="N62" s="3">
        <v>0.32983203630149305</v>
      </c>
      <c r="O62" s="3">
        <v>9.0547592972069921</v>
      </c>
    </row>
    <row r="63" spans="1:19" x14ac:dyDescent="0.25">
      <c r="G63" s="3" t="s">
        <v>21</v>
      </c>
      <c r="H63" s="3">
        <v>1.9453969176813947E-2</v>
      </c>
      <c r="I63" s="3">
        <v>5.7541590545301564E-2</v>
      </c>
      <c r="J63" s="3">
        <v>0.33808535691237368</v>
      </c>
      <c r="K63" s="3">
        <v>0.74681474214684429</v>
      </c>
      <c r="L63" s="3">
        <v>-0.12134523066221581</v>
      </c>
      <c r="M63" s="3">
        <v>0.16025316901584369</v>
      </c>
      <c r="N63" s="3">
        <v>-0.12134523066221581</v>
      </c>
      <c r="O63" s="3">
        <v>0.16025316901584369</v>
      </c>
    </row>
    <row r="64" spans="1:19" x14ac:dyDescent="0.25">
      <c r="G64" s="3" t="s">
        <v>22</v>
      </c>
      <c r="H64" s="3">
        <v>-5.2749505023229023E-4</v>
      </c>
      <c r="I64" s="3">
        <v>6.7321765206486027E-3</v>
      </c>
      <c r="J64" s="3">
        <v>-7.8354310617730127E-2</v>
      </c>
      <c r="K64" s="3">
        <v>0.94009397565701702</v>
      </c>
      <c r="L64" s="3">
        <v>-1.7000537562607262E-2</v>
      </c>
      <c r="M64" s="3">
        <v>1.5945547462142683E-2</v>
      </c>
      <c r="N64" s="3">
        <v>-1.7000537562607262E-2</v>
      </c>
      <c r="O64" s="3">
        <v>1.5945547462142683E-2</v>
      </c>
    </row>
    <row r="65" spans="1:19" ht="15.75" thickBot="1" x14ac:dyDescent="0.3">
      <c r="G65" s="4" t="s">
        <v>95</v>
      </c>
      <c r="H65" s="4">
        <v>-4.5497303306663989E-2</v>
      </c>
      <c r="I65" s="4">
        <v>1.6438003924989435E-2</v>
      </c>
      <c r="J65" s="4">
        <v>-2.7678119262094794</v>
      </c>
      <c r="K65" s="4">
        <v>3.2516378082848484E-2</v>
      </c>
      <c r="L65" s="4">
        <v>-8.5719649919888175E-2</v>
      </c>
      <c r="M65" s="4">
        <v>-5.2749566934398098E-3</v>
      </c>
      <c r="N65" s="4">
        <v>-8.5719649919888175E-2</v>
      </c>
      <c r="O65" s="4">
        <v>-5.2749566934398098E-3</v>
      </c>
    </row>
    <row r="66" spans="1:19" x14ac:dyDescent="0.25">
      <c r="B66" t="s">
        <v>53</v>
      </c>
    </row>
    <row r="67" spans="1:19" x14ac:dyDescent="0.25">
      <c r="A67" t="s">
        <v>21</v>
      </c>
      <c r="B67" s="6" t="s">
        <v>22</v>
      </c>
      <c r="C67" t="s">
        <v>95</v>
      </c>
      <c r="D67" t="s">
        <v>23</v>
      </c>
    </row>
    <row r="68" spans="1:19" x14ac:dyDescent="0.25">
      <c r="A68">
        <v>26.4</v>
      </c>
      <c r="B68">
        <v>160</v>
      </c>
      <c r="C68">
        <v>79</v>
      </c>
      <c r="D68">
        <v>4.43</v>
      </c>
      <c r="G68" t="s">
        <v>24</v>
      </c>
    </row>
    <row r="69" spans="1:19" ht="15.75" thickBot="1" x14ac:dyDescent="0.3">
      <c r="A69">
        <v>27.05</v>
      </c>
      <c r="B69">
        <v>242</v>
      </c>
      <c r="C69">
        <v>78</v>
      </c>
      <c r="D69">
        <v>4.43</v>
      </c>
      <c r="P69" t="s">
        <v>88</v>
      </c>
      <c r="Q69" t="s">
        <v>89</v>
      </c>
      <c r="R69" t="s">
        <v>90</v>
      </c>
      <c r="S69" t="s">
        <v>82</v>
      </c>
    </row>
    <row r="70" spans="1:19" x14ac:dyDescent="0.25">
      <c r="A70">
        <v>27.07</v>
      </c>
      <c r="B70">
        <v>213</v>
      </c>
      <c r="C70">
        <v>79</v>
      </c>
      <c r="D70">
        <v>4.07</v>
      </c>
      <c r="G70" s="2" t="s">
        <v>27</v>
      </c>
      <c r="H70" s="2"/>
      <c r="P70">
        <v>27.47</v>
      </c>
      <c r="Q70">
        <v>150</v>
      </c>
      <c r="R70">
        <v>74</v>
      </c>
      <c r="S70">
        <f>H84+H85*P70+H86*Q70+H87*R70</f>
        <v>4.3901980073363021</v>
      </c>
    </row>
    <row r="71" spans="1:19" x14ac:dyDescent="0.25">
      <c r="A71">
        <v>27.07</v>
      </c>
      <c r="B71">
        <v>137</v>
      </c>
      <c r="C71">
        <v>74</v>
      </c>
      <c r="D71">
        <v>4.17</v>
      </c>
      <c r="G71" s="3" t="s">
        <v>28</v>
      </c>
      <c r="H71" s="3">
        <v>0.37001255371374536</v>
      </c>
    </row>
    <row r="72" spans="1:19" x14ac:dyDescent="0.25">
      <c r="A72">
        <v>27.2</v>
      </c>
      <c r="B72">
        <v>157</v>
      </c>
      <c r="C72">
        <v>74</v>
      </c>
      <c r="D72">
        <v>3.8</v>
      </c>
      <c r="G72" s="3" t="s">
        <v>30</v>
      </c>
      <c r="H72" s="3">
        <v>0.13690928990576731</v>
      </c>
      <c r="Q72" t="s">
        <v>83</v>
      </c>
    </row>
    <row r="73" spans="1:19" x14ac:dyDescent="0.25">
      <c r="A73">
        <v>27.17</v>
      </c>
      <c r="B73">
        <v>157</v>
      </c>
      <c r="C73">
        <v>77</v>
      </c>
      <c r="D73">
        <v>4.1100000000000003</v>
      </c>
      <c r="G73" s="3" t="s">
        <v>31</v>
      </c>
      <c r="H73" s="3">
        <v>-0.29463606514134905</v>
      </c>
      <c r="Q73" s="10">
        <v>9.0999999999999998E-2</v>
      </c>
    </row>
    <row r="74" spans="1:19" x14ac:dyDescent="0.25">
      <c r="A74">
        <v>27.35</v>
      </c>
      <c r="B74">
        <v>219</v>
      </c>
      <c r="C74">
        <v>73</v>
      </c>
      <c r="D74">
        <v>4.34</v>
      </c>
      <c r="G74" s="3" t="s">
        <v>32</v>
      </c>
      <c r="H74" s="3">
        <v>0.36587813219722803</v>
      </c>
    </row>
    <row r="75" spans="1:19" ht="15.75" thickBot="1" x14ac:dyDescent="0.3">
      <c r="A75">
        <v>28.02</v>
      </c>
      <c r="B75">
        <v>201</v>
      </c>
      <c r="C75">
        <v>74</v>
      </c>
      <c r="D75">
        <v>4.4800000000000004</v>
      </c>
      <c r="G75" s="4" t="s">
        <v>33</v>
      </c>
      <c r="H75" s="4">
        <v>10</v>
      </c>
    </row>
    <row r="76" spans="1:19" x14ac:dyDescent="0.25">
      <c r="A76">
        <v>26.95</v>
      </c>
      <c r="B76">
        <v>171</v>
      </c>
      <c r="C76">
        <v>76</v>
      </c>
      <c r="D76">
        <v>4.3899999999999997</v>
      </c>
    </row>
    <row r="77" spans="1:19" ht="15.75" thickBot="1" x14ac:dyDescent="0.3">
      <c r="A77">
        <v>27.6</v>
      </c>
      <c r="B77">
        <v>129</v>
      </c>
      <c r="C77">
        <v>71</v>
      </c>
      <c r="D77">
        <v>5.01</v>
      </c>
      <c r="G77" t="s">
        <v>34</v>
      </c>
    </row>
    <row r="78" spans="1:19" x14ac:dyDescent="0.25">
      <c r="G78" s="5"/>
      <c r="H78" s="5" t="s">
        <v>35</v>
      </c>
      <c r="I78" s="5" t="s">
        <v>36</v>
      </c>
      <c r="J78" s="5" t="s">
        <v>37</v>
      </c>
      <c r="K78" s="5" t="s">
        <v>38</v>
      </c>
      <c r="L78" s="5" t="s">
        <v>39</v>
      </c>
    </row>
    <row r="79" spans="1:19" x14ac:dyDescent="0.25">
      <c r="G79" s="3" t="s">
        <v>40</v>
      </c>
      <c r="H79" s="3">
        <v>3</v>
      </c>
      <c r="I79" s="3">
        <v>0.12740915427920607</v>
      </c>
      <c r="J79" s="3">
        <v>4.2469718093068688E-2</v>
      </c>
      <c r="K79" s="3">
        <v>0.31725353616845087</v>
      </c>
      <c r="L79" s="3">
        <v>0.81300192593759502</v>
      </c>
    </row>
    <row r="80" spans="1:19" x14ac:dyDescent="0.25">
      <c r="G80" s="3" t="s">
        <v>41</v>
      </c>
      <c r="H80" s="3">
        <v>6</v>
      </c>
      <c r="I80" s="3">
        <v>0.80320084572079364</v>
      </c>
      <c r="J80" s="3">
        <v>0.13386680762013228</v>
      </c>
      <c r="K80" s="3"/>
      <c r="L80" s="3"/>
    </row>
    <row r="81" spans="1:19" ht="15.75" thickBot="1" x14ac:dyDescent="0.3">
      <c r="G81" s="4" t="s">
        <v>42</v>
      </c>
      <c r="H81" s="4">
        <v>9</v>
      </c>
      <c r="I81" s="4">
        <v>0.93060999999999972</v>
      </c>
      <c r="J81" s="4"/>
      <c r="K81" s="4"/>
      <c r="L81" s="4"/>
    </row>
    <row r="82" spans="1:19" ht="15.75" thickBot="1" x14ac:dyDescent="0.3"/>
    <row r="83" spans="1:19" x14ac:dyDescent="0.25">
      <c r="G83" s="5"/>
      <c r="H83" s="5" t="s">
        <v>43</v>
      </c>
      <c r="I83" s="5" t="s">
        <v>32</v>
      </c>
      <c r="J83" s="5" t="s">
        <v>44</v>
      </c>
      <c r="K83" s="5" t="s">
        <v>45</v>
      </c>
      <c r="L83" s="5" t="s">
        <v>46</v>
      </c>
      <c r="M83" s="5" t="s">
        <v>47</v>
      </c>
      <c r="N83" s="5" t="s">
        <v>48</v>
      </c>
      <c r="O83" s="5" t="s">
        <v>49</v>
      </c>
    </row>
    <row r="84" spans="1:19" x14ac:dyDescent="0.25">
      <c r="G84" s="3" t="s">
        <v>50</v>
      </c>
      <c r="H84" s="3">
        <v>6.2062869716893658</v>
      </c>
      <c r="I84" s="3">
        <v>17.051106947199507</v>
      </c>
      <c r="J84" s="3">
        <v>0.3639814699953362</v>
      </c>
      <c r="K84" s="3">
        <v>0.72835406539850622</v>
      </c>
      <c r="L84" s="3">
        <v>-35.516268692553432</v>
      </c>
      <c r="M84" s="3">
        <v>47.928842635932163</v>
      </c>
      <c r="N84" s="3">
        <v>-35.516268692553432</v>
      </c>
      <c r="O84" s="3">
        <v>47.928842635932163</v>
      </c>
    </row>
    <row r="85" spans="1:19" x14ac:dyDescent="0.25">
      <c r="G85" s="3" t="s">
        <v>21</v>
      </c>
      <c r="H85" s="3">
        <v>4.0542687430888971E-2</v>
      </c>
      <c r="I85" s="3">
        <v>0.46058855669078591</v>
      </c>
      <c r="J85" s="3">
        <v>8.8023653306061461E-2</v>
      </c>
      <c r="K85" s="3">
        <v>0.93272226207150155</v>
      </c>
      <c r="L85" s="3">
        <v>-1.0864769104375518</v>
      </c>
      <c r="M85" s="3">
        <v>1.1675622852993297</v>
      </c>
      <c r="N85" s="3">
        <v>-1.0864769104375518</v>
      </c>
      <c r="O85" s="3">
        <v>1.1675622852993297</v>
      </c>
    </row>
    <row r="86" spans="1:19" x14ac:dyDescent="0.25">
      <c r="G86" s="3" t="s">
        <v>22</v>
      </c>
      <c r="H86" s="3">
        <v>1.4174005527162249E-4</v>
      </c>
      <c r="I86" s="3">
        <v>4.1239627352151337E-3</v>
      </c>
      <c r="J86" s="3">
        <v>3.4369868103143367E-2</v>
      </c>
      <c r="K86" s="3">
        <v>0.9736970916186074</v>
      </c>
      <c r="L86" s="3">
        <v>-9.949233235206514E-3</v>
      </c>
      <c r="M86" s="3">
        <v>1.0232713345749758E-2</v>
      </c>
      <c r="N86" s="3">
        <v>-9.949233235206514E-3</v>
      </c>
      <c r="O86" s="3">
        <v>1.0232713345749758E-2</v>
      </c>
    </row>
    <row r="87" spans="1:19" ht="15.75" thickBot="1" x14ac:dyDescent="0.3">
      <c r="G87" s="4" t="s">
        <v>95</v>
      </c>
      <c r="H87" s="4">
        <v>-3.9879156707707114E-2</v>
      </c>
      <c r="I87" s="4">
        <v>7.7576519016662737E-2</v>
      </c>
      <c r="J87" s="4">
        <v>-0.51406220868380847</v>
      </c>
      <c r="K87" s="4">
        <v>0.62558595158244001</v>
      </c>
      <c r="L87" s="4">
        <v>-0.22970206046015226</v>
      </c>
      <c r="M87" s="4">
        <v>0.14994374704473803</v>
      </c>
      <c r="N87" s="4">
        <v>-0.22970206046015226</v>
      </c>
      <c r="O87" s="4">
        <v>0.14994374704473803</v>
      </c>
    </row>
    <row r="89" spans="1:19" x14ac:dyDescent="0.25">
      <c r="B89" t="s">
        <v>5</v>
      </c>
    </row>
    <row r="90" spans="1:19" x14ac:dyDescent="0.25">
      <c r="A90" t="s">
        <v>21</v>
      </c>
      <c r="B90" t="s">
        <v>22</v>
      </c>
      <c r="C90" t="s">
        <v>95</v>
      </c>
      <c r="D90" t="s">
        <v>23</v>
      </c>
      <c r="G90" t="s">
        <v>24</v>
      </c>
    </row>
    <row r="91" spans="1:19" ht="15.75" thickBot="1" x14ac:dyDescent="0.3">
      <c r="A91">
        <v>18.88</v>
      </c>
      <c r="B91">
        <v>9</v>
      </c>
      <c r="C91">
        <v>82</v>
      </c>
      <c r="D91">
        <v>5.1289999999999996</v>
      </c>
      <c r="P91" t="s">
        <v>88</v>
      </c>
      <c r="Q91" t="s">
        <v>89</v>
      </c>
      <c r="R91" t="s">
        <v>90</v>
      </c>
      <c r="S91" t="s">
        <v>82</v>
      </c>
    </row>
    <row r="92" spans="1:19" x14ac:dyDescent="0.25">
      <c r="A92">
        <v>19.27</v>
      </c>
      <c r="B92">
        <v>7</v>
      </c>
      <c r="C92">
        <v>80</v>
      </c>
      <c r="D92">
        <v>5.1289999999999996</v>
      </c>
      <c r="G92" s="2" t="s">
        <v>27</v>
      </c>
      <c r="H92" s="2"/>
      <c r="P92">
        <v>19.170000000000002</v>
      </c>
      <c r="Q92">
        <v>8</v>
      </c>
      <c r="R92">
        <v>77</v>
      </c>
      <c r="S92">
        <f>H106+H107*P92+Q92*H108+H109*R92</f>
        <v>6.8623974506674834</v>
      </c>
    </row>
    <row r="93" spans="1:19" x14ac:dyDescent="0.25">
      <c r="A93">
        <v>19.82</v>
      </c>
      <c r="B93">
        <v>1</v>
      </c>
      <c r="C93">
        <v>78</v>
      </c>
      <c r="D93">
        <v>5.4039999999999999</v>
      </c>
      <c r="G93" s="3" t="s">
        <v>28</v>
      </c>
      <c r="H93" s="3">
        <v>0.69608588452944198</v>
      </c>
    </row>
    <row r="94" spans="1:19" x14ac:dyDescent="0.25">
      <c r="A94">
        <v>20.27</v>
      </c>
      <c r="B94">
        <v>15</v>
      </c>
      <c r="C94">
        <v>79</v>
      </c>
      <c r="D94">
        <v>5.6559999999999997</v>
      </c>
      <c r="G94" s="3" t="s">
        <v>30</v>
      </c>
      <c r="H94" s="3">
        <v>0.48453555864113568</v>
      </c>
      <c r="R94" t="s">
        <v>83</v>
      </c>
    </row>
    <row r="95" spans="1:19" x14ac:dyDescent="0.25">
      <c r="A95">
        <v>19.52</v>
      </c>
      <c r="B95">
        <v>8</v>
      </c>
      <c r="C95">
        <v>78</v>
      </c>
      <c r="D95">
        <v>7.423</v>
      </c>
      <c r="G95" s="3" t="s">
        <v>31</v>
      </c>
      <c r="H95" s="3">
        <v>0.22680333796170352</v>
      </c>
      <c r="R95" s="10">
        <v>3.7999999999999999E-2</v>
      </c>
    </row>
    <row r="96" spans="1:19" x14ac:dyDescent="0.25">
      <c r="A96">
        <v>19.63</v>
      </c>
      <c r="B96">
        <v>1</v>
      </c>
      <c r="C96">
        <v>80</v>
      </c>
      <c r="D96">
        <v>4.4859999999999998</v>
      </c>
      <c r="G96" s="3" t="s">
        <v>32</v>
      </c>
      <c r="H96" s="3">
        <v>0.90728087000251478</v>
      </c>
    </row>
    <row r="97" spans="1:15" ht="15.75" thickBot="1" x14ac:dyDescent="0.3">
      <c r="A97">
        <v>20.100000000000001</v>
      </c>
      <c r="B97">
        <v>1</v>
      </c>
      <c r="C97">
        <v>78</v>
      </c>
      <c r="D97">
        <v>6.8</v>
      </c>
      <c r="G97" s="4" t="s">
        <v>33</v>
      </c>
      <c r="H97" s="4">
        <v>10</v>
      </c>
    </row>
    <row r="98" spans="1:15" x14ac:dyDescent="0.25">
      <c r="A98">
        <v>19.600000000000001</v>
      </c>
      <c r="B98">
        <v>7</v>
      </c>
      <c r="C98">
        <v>76</v>
      </c>
      <c r="D98">
        <v>6.3419999999999996</v>
      </c>
    </row>
    <row r="99" spans="1:15" ht="15.75" thickBot="1" x14ac:dyDescent="0.3">
      <c r="A99">
        <v>18.97</v>
      </c>
      <c r="B99">
        <v>3</v>
      </c>
      <c r="C99">
        <v>78</v>
      </c>
      <c r="D99">
        <v>7.3630000000000004</v>
      </c>
      <c r="G99" t="s">
        <v>34</v>
      </c>
    </row>
    <row r="100" spans="1:15" x14ac:dyDescent="0.25">
      <c r="A100">
        <v>18.73</v>
      </c>
      <c r="B100">
        <v>3</v>
      </c>
      <c r="C100">
        <v>76</v>
      </c>
      <c r="D100">
        <v>6.8310000000000004</v>
      </c>
      <c r="G100" s="5"/>
      <c r="H100" s="5" t="s">
        <v>35</v>
      </c>
      <c r="I100" s="5" t="s">
        <v>36</v>
      </c>
      <c r="J100" s="5" t="s">
        <v>37</v>
      </c>
      <c r="K100" s="5" t="s">
        <v>38</v>
      </c>
      <c r="L100" s="5" t="s">
        <v>39</v>
      </c>
    </row>
    <row r="101" spans="1:15" x14ac:dyDescent="0.25">
      <c r="G101" s="3" t="s">
        <v>40</v>
      </c>
      <c r="H101" s="3">
        <v>3</v>
      </c>
      <c r="I101" s="3">
        <v>4.6426046375648831</v>
      </c>
      <c r="J101" s="3">
        <v>1.5475348791882944</v>
      </c>
      <c r="K101" s="3">
        <v>1.8799960570075633</v>
      </c>
      <c r="L101" s="3">
        <v>0.23390899776109664</v>
      </c>
    </row>
    <row r="102" spans="1:15" x14ac:dyDescent="0.25">
      <c r="G102" s="3" t="s">
        <v>41</v>
      </c>
      <c r="H102" s="3">
        <v>6</v>
      </c>
      <c r="I102" s="3">
        <v>4.9389514624351207</v>
      </c>
      <c r="J102" s="3">
        <v>0.82315857707252016</v>
      </c>
      <c r="K102" s="3"/>
      <c r="L102" s="3"/>
    </row>
    <row r="103" spans="1:15" ht="15.75" thickBot="1" x14ac:dyDescent="0.3">
      <c r="G103" s="4" t="s">
        <v>42</v>
      </c>
      <c r="H103" s="4">
        <v>9</v>
      </c>
      <c r="I103" s="4">
        <v>9.5815561000000038</v>
      </c>
      <c r="J103" s="4"/>
      <c r="K103" s="4"/>
      <c r="L103" s="4"/>
    </row>
    <row r="104" spans="1:15" ht="15.75" thickBot="1" x14ac:dyDescent="0.3"/>
    <row r="105" spans="1:15" x14ac:dyDescent="0.25">
      <c r="G105" s="5"/>
      <c r="H105" s="5" t="s">
        <v>43</v>
      </c>
      <c r="I105" s="5" t="s">
        <v>32</v>
      </c>
      <c r="J105" s="5" t="s">
        <v>44</v>
      </c>
      <c r="K105" s="5" t="s">
        <v>45</v>
      </c>
      <c r="L105" s="5" t="s">
        <v>46</v>
      </c>
      <c r="M105" s="5" t="s">
        <v>47</v>
      </c>
      <c r="N105" s="5" t="s">
        <v>48</v>
      </c>
      <c r="O105" s="5" t="s">
        <v>49</v>
      </c>
    </row>
    <row r="106" spans="1:15" x14ac:dyDescent="0.25">
      <c r="G106" s="3" t="s">
        <v>50</v>
      </c>
      <c r="H106" s="3">
        <v>45.215273803593192</v>
      </c>
      <c r="I106" s="3">
        <v>18.542770744197629</v>
      </c>
      <c r="J106" s="3">
        <v>2.4384313664527117</v>
      </c>
      <c r="K106" s="3">
        <v>5.0579395314236338E-2</v>
      </c>
      <c r="L106" s="3">
        <v>-0.15725168344821583</v>
      </c>
      <c r="M106" s="3">
        <v>90.587799290634592</v>
      </c>
      <c r="N106" s="3">
        <v>-0.15725168344821583</v>
      </c>
      <c r="O106" s="3">
        <v>90.587799290634592</v>
      </c>
    </row>
    <row r="107" spans="1:15" x14ac:dyDescent="0.25">
      <c r="G107" s="3" t="s">
        <v>21</v>
      </c>
      <c r="H107" s="3">
        <v>-0.42623667465950732</v>
      </c>
      <c r="I107" s="3">
        <v>0.59847084233700265</v>
      </c>
      <c r="J107" s="3">
        <v>-0.71220959235887182</v>
      </c>
      <c r="K107" s="3">
        <v>0.50307549207251689</v>
      </c>
      <c r="L107" s="3">
        <v>-1.8906420713386316</v>
      </c>
      <c r="M107" s="3">
        <v>1.0381687220196172</v>
      </c>
      <c r="N107" s="3">
        <v>-1.8906420713386316</v>
      </c>
      <c r="O107" s="3">
        <v>1.0381687220196172</v>
      </c>
    </row>
    <row r="108" spans="1:15" x14ac:dyDescent="0.25">
      <c r="G108" s="3" t="s">
        <v>22</v>
      </c>
      <c r="H108" s="3">
        <v>3.2543645729428264E-2</v>
      </c>
      <c r="I108" s="3">
        <v>7.0019116866468709E-2</v>
      </c>
      <c r="J108" s="3">
        <v>0.46478229354836398</v>
      </c>
      <c r="K108" s="3">
        <v>0.65847566798888135</v>
      </c>
      <c r="L108" s="3">
        <v>-0.13878696113783867</v>
      </c>
      <c r="M108" s="3">
        <v>0.20387425259669517</v>
      </c>
      <c r="N108" s="3">
        <v>-0.13878696113783867</v>
      </c>
      <c r="O108" s="3">
        <v>0.20387425259669517</v>
      </c>
    </row>
    <row r="109" spans="1:15" ht="15.75" thickBot="1" x14ac:dyDescent="0.3">
      <c r="G109" s="4" t="s">
        <v>95</v>
      </c>
      <c r="H109" s="4">
        <v>-0.39535413591608287</v>
      </c>
      <c r="I109" s="4">
        <v>0.17096618223617485</v>
      </c>
      <c r="J109" s="4">
        <v>-2.3124698156383681</v>
      </c>
      <c r="K109" s="4">
        <v>6.0065252119552291E-2</v>
      </c>
      <c r="L109" s="4">
        <v>-0.81369331337478967</v>
      </c>
      <c r="M109" s="4">
        <v>2.2985041542623985E-2</v>
      </c>
      <c r="N109" s="4">
        <v>-0.81369331337478967</v>
      </c>
      <c r="O109" s="4">
        <v>2.2985041542623985E-2</v>
      </c>
    </row>
    <row r="111" spans="1:15" x14ac:dyDescent="0.25">
      <c r="B111" t="s">
        <v>6</v>
      </c>
    </row>
    <row r="112" spans="1:15" x14ac:dyDescent="0.25">
      <c r="A112" t="s">
        <v>21</v>
      </c>
      <c r="B112" t="s">
        <v>22</v>
      </c>
      <c r="C112" t="s">
        <v>95</v>
      </c>
      <c r="D112" t="s">
        <v>82</v>
      </c>
      <c r="G112" t="s">
        <v>24</v>
      </c>
    </row>
    <row r="113" spans="1:19" ht="15.75" thickBot="1" x14ac:dyDescent="0.3">
      <c r="A113">
        <v>18.88</v>
      </c>
      <c r="B113">
        <v>9</v>
      </c>
      <c r="C113">
        <v>82</v>
      </c>
      <c r="D113">
        <v>0.71899999999999997</v>
      </c>
      <c r="P113" t="s">
        <v>88</v>
      </c>
      <c r="Q113" t="s">
        <v>89</v>
      </c>
      <c r="R113" t="s">
        <v>90</v>
      </c>
      <c r="S113" t="s">
        <v>82</v>
      </c>
    </row>
    <row r="114" spans="1:19" x14ac:dyDescent="0.25">
      <c r="A114">
        <v>19.27</v>
      </c>
      <c r="B114">
        <v>7</v>
      </c>
      <c r="C114">
        <v>80</v>
      </c>
      <c r="D114">
        <v>0.65700000000000003</v>
      </c>
      <c r="G114" s="2" t="s">
        <v>27</v>
      </c>
      <c r="H114" s="2"/>
      <c r="P114">
        <v>19.170000000000002</v>
      </c>
      <c r="Q114">
        <v>8</v>
      </c>
      <c r="R114">
        <v>77</v>
      </c>
      <c r="S114">
        <f>H128+H129*P114+H130*Q114+H131*R114</f>
        <v>1.0504194788896655</v>
      </c>
    </row>
    <row r="115" spans="1:19" x14ac:dyDescent="0.25">
      <c r="A115">
        <v>19.82</v>
      </c>
      <c r="B115">
        <v>1</v>
      </c>
      <c r="C115">
        <v>78</v>
      </c>
      <c r="D115">
        <v>0.623</v>
      </c>
      <c r="G115" s="3" t="s">
        <v>28</v>
      </c>
      <c r="H115" s="3">
        <v>0.85776380430204158</v>
      </c>
    </row>
    <row r="116" spans="1:19" x14ac:dyDescent="0.25">
      <c r="A116">
        <v>20.27</v>
      </c>
      <c r="B116">
        <v>15</v>
      </c>
      <c r="C116">
        <v>79</v>
      </c>
      <c r="D116">
        <v>0.66500000000000004</v>
      </c>
      <c r="G116" s="3" t="s">
        <v>30</v>
      </c>
      <c r="H116" s="3">
        <v>0.73575874397071106</v>
      </c>
      <c r="R116" t="s">
        <v>83</v>
      </c>
    </row>
    <row r="117" spans="1:19" x14ac:dyDescent="0.25">
      <c r="A117">
        <v>19.52</v>
      </c>
      <c r="B117">
        <v>8</v>
      </c>
      <c r="C117">
        <v>78</v>
      </c>
      <c r="D117">
        <v>0.86699999999999999</v>
      </c>
      <c r="G117" s="3" t="s">
        <v>31</v>
      </c>
      <c r="H117" s="3">
        <v>0.60363811595606665</v>
      </c>
      <c r="R117" s="10">
        <v>0.1673</v>
      </c>
    </row>
    <row r="118" spans="1:19" x14ac:dyDescent="0.25">
      <c r="A118">
        <v>19.63</v>
      </c>
      <c r="B118">
        <v>1</v>
      </c>
      <c r="C118">
        <v>80</v>
      </c>
      <c r="D118">
        <v>0.80600000000000005</v>
      </c>
      <c r="G118" s="3" t="s">
        <v>32</v>
      </c>
      <c r="H118" s="3">
        <v>0.13801617702242644</v>
      </c>
    </row>
    <row r="119" spans="1:19" ht="15.75" thickBot="1" x14ac:dyDescent="0.3">
      <c r="A119">
        <v>20.100000000000001</v>
      </c>
      <c r="B119">
        <v>1</v>
      </c>
      <c r="C119">
        <v>78</v>
      </c>
      <c r="D119">
        <v>0.96599999999999997</v>
      </c>
      <c r="G119" s="4" t="s">
        <v>33</v>
      </c>
      <c r="H119" s="4">
        <v>10</v>
      </c>
    </row>
    <row r="120" spans="1:19" x14ac:dyDescent="0.25">
      <c r="A120">
        <v>19.600000000000001</v>
      </c>
      <c r="B120">
        <v>7</v>
      </c>
      <c r="C120">
        <v>76</v>
      </c>
      <c r="D120">
        <v>1.0569999999999999</v>
      </c>
    </row>
    <row r="121" spans="1:19" ht="15.75" thickBot="1" x14ac:dyDescent="0.3">
      <c r="A121">
        <v>18.97</v>
      </c>
      <c r="B121">
        <v>3</v>
      </c>
      <c r="C121">
        <v>78</v>
      </c>
      <c r="D121">
        <v>1.109</v>
      </c>
      <c r="G121" t="s">
        <v>34</v>
      </c>
    </row>
    <row r="122" spans="1:19" x14ac:dyDescent="0.25">
      <c r="A122">
        <v>18.73</v>
      </c>
      <c r="B122">
        <v>3</v>
      </c>
      <c r="C122">
        <v>76</v>
      </c>
      <c r="D122">
        <v>1.2649999999999999</v>
      </c>
      <c r="G122" s="5"/>
      <c r="H122" s="5" t="s">
        <v>35</v>
      </c>
      <c r="I122" s="5" t="s">
        <v>36</v>
      </c>
      <c r="J122" s="5" t="s">
        <v>37</v>
      </c>
      <c r="K122" s="5" t="s">
        <v>38</v>
      </c>
      <c r="L122" s="5" t="s">
        <v>39</v>
      </c>
    </row>
    <row r="123" spans="1:19" x14ac:dyDescent="0.25">
      <c r="G123" s="3" t="s">
        <v>40</v>
      </c>
      <c r="H123" s="3">
        <v>3</v>
      </c>
      <c r="I123" s="3">
        <v>0.31823360928068534</v>
      </c>
      <c r="J123" s="3">
        <v>0.10607786976022844</v>
      </c>
      <c r="K123" s="3">
        <v>5.568840801219614</v>
      </c>
      <c r="L123" s="3">
        <v>3.6122038129386622E-2</v>
      </c>
    </row>
    <row r="124" spans="1:19" x14ac:dyDescent="0.25">
      <c r="G124" s="3" t="s">
        <v>41</v>
      </c>
      <c r="H124" s="3">
        <v>6</v>
      </c>
      <c r="I124" s="3">
        <v>0.1142907907193145</v>
      </c>
      <c r="J124" s="3">
        <v>1.9048465119885751E-2</v>
      </c>
      <c r="K124" s="3"/>
      <c r="L124" s="3"/>
    </row>
    <row r="125" spans="1:19" ht="15.75" thickBot="1" x14ac:dyDescent="0.3">
      <c r="G125" s="4" t="s">
        <v>42</v>
      </c>
      <c r="H125" s="4">
        <v>9</v>
      </c>
      <c r="I125" s="4">
        <v>0.43252439999999981</v>
      </c>
      <c r="J125" s="4"/>
      <c r="K125" s="4"/>
      <c r="L125" s="4"/>
    </row>
    <row r="126" spans="1:19" ht="15.75" thickBot="1" x14ac:dyDescent="0.3"/>
    <row r="127" spans="1:19" x14ac:dyDescent="0.25">
      <c r="G127" s="5"/>
      <c r="H127" s="5" t="s">
        <v>43</v>
      </c>
      <c r="I127" s="5" t="s">
        <v>32</v>
      </c>
      <c r="J127" s="5" t="s">
        <v>44</v>
      </c>
      <c r="K127" s="5" t="s">
        <v>45</v>
      </c>
      <c r="L127" s="5" t="s">
        <v>46</v>
      </c>
      <c r="M127" s="5" t="s">
        <v>47</v>
      </c>
      <c r="N127" s="5" t="s">
        <v>48</v>
      </c>
      <c r="O127" s="5" t="s">
        <v>49</v>
      </c>
    </row>
    <row r="128" spans="1:19" x14ac:dyDescent="0.25">
      <c r="G128" s="3" t="s">
        <v>50</v>
      </c>
      <c r="H128" s="3">
        <v>11.386129645708024</v>
      </c>
      <c r="I128" s="3">
        <v>2.8207387746534942</v>
      </c>
      <c r="J128" s="3">
        <v>4.0365771364655068</v>
      </c>
      <c r="K128" s="3">
        <v>6.8291571204931482E-3</v>
      </c>
      <c r="L128" s="3">
        <v>4.4840305090242492</v>
      </c>
      <c r="M128" s="3">
        <v>18.288228782391798</v>
      </c>
      <c r="N128" s="3">
        <v>4.4840305090242492</v>
      </c>
      <c r="O128" s="3">
        <v>18.288228782391798</v>
      </c>
    </row>
    <row r="129" spans="7:15" x14ac:dyDescent="0.25">
      <c r="G129" s="3" t="s">
        <v>21</v>
      </c>
      <c r="H129" s="3">
        <v>-0.20102687621204651</v>
      </c>
      <c r="I129" s="3">
        <v>9.1039787622233748E-2</v>
      </c>
      <c r="J129" s="3">
        <v>-2.2081211024590717</v>
      </c>
      <c r="K129" s="3">
        <v>6.9322420329679155E-2</v>
      </c>
      <c r="L129" s="3">
        <v>-0.42379321147061139</v>
      </c>
      <c r="M129" s="3">
        <v>2.1739459046518361E-2</v>
      </c>
      <c r="N129" s="3">
        <v>-0.42379321147061139</v>
      </c>
      <c r="O129" s="3">
        <v>2.1739459046518361E-2</v>
      </c>
    </row>
    <row r="130" spans="7:15" x14ac:dyDescent="0.25">
      <c r="G130" s="3" t="s">
        <v>22</v>
      </c>
      <c r="H130" s="3">
        <v>-4.2815159704596116E-3</v>
      </c>
      <c r="I130" s="3">
        <v>1.0651355217452918E-2</v>
      </c>
      <c r="J130" s="3">
        <v>-0.40196912815789648</v>
      </c>
      <c r="K130" s="3">
        <v>0.7016341836251182</v>
      </c>
      <c r="L130" s="3">
        <v>-3.0344443282799963E-2</v>
      </c>
      <c r="M130" s="3">
        <v>2.178141134188074E-2</v>
      </c>
      <c r="N130" s="3">
        <v>-3.0344443282799963E-2</v>
      </c>
      <c r="O130" s="3">
        <v>2.178141134188074E-2</v>
      </c>
    </row>
    <row r="131" spans="7:15" ht="15.75" thickBot="1" x14ac:dyDescent="0.3">
      <c r="G131" s="4" t="s">
        <v>95</v>
      </c>
      <c r="H131" s="4">
        <v>-8.3737309377529226E-2</v>
      </c>
      <c r="I131" s="4">
        <v>2.6007490792009008E-2</v>
      </c>
      <c r="J131" s="4">
        <v>-3.219738114961022</v>
      </c>
      <c r="K131" s="4">
        <v>1.8143166182000521E-2</v>
      </c>
      <c r="L131" s="4">
        <v>-0.14737534681503975</v>
      </c>
      <c r="M131" s="4">
        <v>-2.0099271940018704E-2</v>
      </c>
      <c r="N131" s="4">
        <v>-0.14737534681503975</v>
      </c>
      <c r="O131" s="4">
        <v>-2.0099271940018704E-2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topLeftCell="A113" workbookViewId="0">
      <selection activeCell="D126" sqref="A115:D126"/>
    </sheetView>
  </sheetViews>
  <sheetFormatPr defaultRowHeight="15" x14ac:dyDescent="0.25"/>
  <cols>
    <col min="1" max="1" width="11.85546875" customWidth="1"/>
    <col min="2" max="2" width="8.28515625" customWidth="1"/>
    <col min="3" max="3" width="11" customWidth="1"/>
    <col min="4" max="4" width="10.140625" customWidth="1"/>
  </cols>
  <sheetData>
    <row r="1" spans="1:12" x14ac:dyDescent="0.25">
      <c r="B1" t="s">
        <v>1</v>
      </c>
    </row>
    <row r="2" spans="1:12" x14ac:dyDescent="0.25">
      <c r="A2" t="s">
        <v>21</v>
      </c>
      <c r="B2" t="s">
        <v>79</v>
      </c>
      <c r="C2" t="s">
        <v>64</v>
      </c>
      <c r="D2" t="s">
        <v>23</v>
      </c>
    </row>
    <row r="3" spans="1:12" x14ac:dyDescent="0.25">
      <c r="A3">
        <v>26.45</v>
      </c>
      <c r="B3">
        <v>469</v>
      </c>
      <c r="C3">
        <v>77</v>
      </c>
      <c r="D3">
        <v>0.73299999999999998</v>
      </c>
      <c r="G3" t="s">
        <v>24</v>
      </c>
    </row>
    <row r="4" spans="1:12" ht="15.75" thickBot="1" x14ac:dyDescent="0.3">
      <c r="A4">
        <v>27.08</v>
      </c>
      <c r="B4">
        <v>396</v>
      </c>
      <c r="C4">
        <v>77</v>
      </c>
      <c r="D4">
        <v>0.53700000000000003</v>
      </c>
    </row>
    <row r="5" spans="1:12" x14ac:dyDescent="0.25">
      <c r="A5">
        <v>26.5</v>
      </c>
      <c r="B5">
        <v>483</v>
      </c>
      <c r="C5">
        <v>79</v>
      </c>
      <c r="D5">
        <v>0.78200000000000003</v>
      </c>
      <c r="G5" s="2" t="s">
        <v>27</v>
      </c>
      <c r="H5" s="2"/>
    </row>
    <row r="6" spans="1:12" x14ac:dyDescent="0.25">
      <c r="A6">
        <v>27.13</v>
      </c>
      <c r="B6">
        <v>557</v>
      </c>
      <c r="C6">
        <v>75</v>
      </c>
      <c r="D6">
        <v>0.76300000000000001</v>
      </c>
      <c r="G6" s="3" t="s">
        <v>28</v>
      </c>
      <c r="H6" s="3">
        <v>0.3844945007564694</v>
      </c>
    </row>
    <row r="7" spans="1:12" x14ac:dyDescent="0.25">
      <c r="A7">
        <v>26.58</v>
      </c>
      <c r="B7">
        <v>515</v>
      </c>
      <c r="C7">
        <v>76</v>
      </c>
      <c r="D7">
        <v>0.69699999999999995</v>
      </c>
      <c r="G7" s="3" t="s">
        <v>30</v>
      </c>
      <c r="H7" s="3">
        <v>0.14783602111196667</v>
      </c>
    </row>
    <row r="8" spans="1:12" x14ac:dyDescent="0.25">
      <c r="A8">
        <v>27.2</v>
      </c>
      <c r="B8">
        <v>369</v>
      </c>
      <c r="C8">
        <v>77</v>
      </c>
      <c r="D8">
        <v>0.71299999999999997</v>
      </c>
      <c r="G8" s="3" t="s">
        <v>31</v>
      </c>
      <c r="H8" s="3">
        <v>-0.27824596833205001</v>
      </c>
    </row>
    <row r="9" spans="1:12" x14ac:dyDescent="0.25">
      <c r="A9">
        <v>27.55</v>
      </c>
      <c r="B9">
        <v>383</v>
      </c>
      <c r="C9">
        <v>74</v>
      </c>
      <c r="D9">
        <v>0.82699999999999996</v>
      </c>
      <c r="G9" s="3" t="s">
        <v>32</v>
      </c>
      <c r="H9" s="3">
        <v>0.12239271850840644</v>
      </c>
    </row>
    <row r="10" spans="1:12" ht="15.75" thickBot="1" x14ac:dyDescent="0.3">
      <c r="A10">
        <v>26.9</v>
      </c>
      <c r="B10">
        <v>656</v>
      </c>
      <c r="C10">
        <v>78</v>
      </c>
      <c r="D10">
        <v>0.78900000000000003</v>
      </c>
      <c r="G10" s="4" t="s">
        <v>33</v>
      </c>
      <c r="H10" s="4">
        <v>10</v>
      </c>
    </row>
    <row r="11" spans="1:12" x14ac:dyDescent="0.25">
      <c r="A11">
        <v>27.35</v>
      </c>
      <c r="B11">
        <v>289</v>
      </c>
      <c r="C11">
        <v>75</v>
      </c>
      <c r="D11">
        <v>0.91400000000000003</v>
      </c>
    </row>
    <row r="12" spans="1:12" ht="15.75" thickBot="1" x14ac:dyDescent="0.3">
      <c r="A12">
        <v>26.9</v>
      </c>
      <c r="B12">
        <v>587</v>
      </c>
      <c r="C12">
        <v>76</v>
      </c>
      <c r="D12">
        <v>0.9</v>
      </c>
      <c r="G12" t="s">
        <v>34</v>
      </c>
    </row>
    <row r="13" spans="1:12" x14ac:dyDescent="0.25">
      <c r="G13" s="5"/>
      <c r="H13" s="5" t="s">
        <v>35</v>
      </c>
      <c r="I13" s="5" t="s">
        <v>36</v>
      </c>
      <c r="J13" s="5" t="s">
        <v>37</v>
      </c>
      <c r="K13" s="5" t="s">
        <v>38</v>
      </c>
      <c r="L13" s="5" t="s">
        <v>39</v>
      </c>
    </row>
    <row r="14" spans="1:12" x14ac:dyDescent="0.25">
      <c r="A14" t="s">
        <v>88</v>
      </c>
      <c r="B14" t="s">
        <v>89</v>
      </c>
      <c r="C14" t="s">
        <v>90</v>
      </c>
      <c r="D14" t="s">
        <v>82</v>
      </c>
      <c r="G14" s="3" t="s">
        <v>40</v>
      </c>
      <c r="H14" s="3">
        <v>3</v>
      </c>
      <c r="I14" s="3">
        <v>1.5592634736731906E-2</v>
      </c>
      <c r="J14" s="3">
        <v>5.1975449122439689E-3</v>
      </c>
      <c r="K14" s="3">
        <v>0.34696613509731794</v>
      </c>
      <c r="L14" s="3">
        <v>0.79310371948938685</v>
      </c>
    </row>
    <row r="15" spans="1:12" x14ac:dyDescent="0.25">
      <c r="A15">
        <v>27.73</v>
      </c>
      <c r="B15">
        <v>483</v>
      </c>
      <c r="C15">
        <v>73</v>
      </c>
      <c r="D15">
        <f>H19+H20*A15+H21*B15+C15*H22</f>
        <v>0.8728578834873304</v>
      </c>
      <c r="G15" s="3" t="s">
        <v>41</v>
      </c>
      <c r="H15" s="3">
        <v>6</v>
      </c>
      <c r="I15" s="3">
        <v>8.9879865263268105E-2</v>
      </c>
      <c r="J15" s="3">
        <v>1.4979977543878017E-2</v>
      </c>
      <c r="K15" s="3"/>
      <c r="L15" s="3"/>
    </row>
    <row r="16" spans="1:12" ht="15.75" thickBot="1" x14ac:dyDescent="0.3">
      <c r="G16" s="4" t="s">
        <v>42</v>
      </c>
      <c r="H16" s="4">
        <v>9</v>
      </c>
      <c r="I16" s="4">
        <v>0.10547250000000001</v>
      </c>
      <c r="J16" s="4"/>
      <c r="K16" s="4"/>
      <c r="L16" s="4"/>
    </row>
    <row r="17" spans="1:15" ht="15.75" thickBot="1" x14ac:dyDescent="0.3">
      <c r="B17" t="s">
        <v>83</v>
      </c>
    </row>
    <row r="18" spans="1:15" x14ac:dyDescent="0.25">
      <c r="B18" s="10">
        <v>0.20899999999999999</v>
      </c>
      <c r="G18" s="5"/>
      <c r="H18" s="5" t="s">
        <v>43</v>
      </c>
      <c r="I18" s="5" t="s">
        <v>32</v>
      </c>
      <c r="J18" s="5" t="s">
        <v>44</v>
      </c>
      <c r="K18" s="5" t="s">
        <v>45</v>
      </c>
      <c r="L18" s="5" t="s">
        <v>46</v>
      </c>
      <c r="M18" s="5" t="s">
        <v>47</v>
      </c>
      <c r="N18" s="5" t="s">
        <v>48</v>
      </c>
      <c r="O18" s="5" t="s">
        <v>49</v>
      </c>
    </row>
    <row r="19" spans="1:15" x14ac:dyDescent="0.25">
      <c r="G19" s="3" t="s">
        <v>50</v>
      </c>
      <c r="H19" s="3">
        <v>1.7360631992557989</v>
      </c>
      <c r="I19" s="3">
        <v>6.6177202657495471</v>
      </c>
      <c r="J19" s="3">
        <v>0.26233553694327483</v>
      </c>
      <c r="K19" s="3">
        <v>0.80183734623107061</v>
      </c>
      <c r="L19" s="3">
        <v>-14.456914946569007</v>
      </c>
      <c r="M19" s="3">
        <v>17.929041345080606</v>
      </c>
      <c r="N19" s="3">
        <v>-14.456914946569007</v>
      </c>
      <c r="O19" s="3">
        <v>17.929041345080606</v>
      </c>
    </row>
    <row r="20" spans="1:15" x14ac:dyDescent="0.25">
      <c r="G20" s="3" t="s">
        <v>21</v>
      </c>
      <c r="H20" s="3">
        <v>2.8982418051913806E-2</v>
      </c>
      <c r="I20" s="3">
        <v>0.16318944968768778</v>
      </c>
      <c r="J20" s="3">
        <v>0.17759982711738045</v>
      </c>
      <c r="K20" s="3">
        <v>0.86488134974648834</v>
      </c>
      <c r="L20" s="3">
        <v>-0.37032778037071518</v>
      </c>
      <c r="M20" s="3">
        <v>0.42829261647454281</v>
      </c>
      <c r="N20" s="3">
        <v>-0.37032778037071518</v>
      </c>
      <c r="O20" s="3">
        <v>0.42829261647454281</v>
      </c>
    </row>
    <row r="21" spans="1:15" x14ac:dyDescent="0.25">
      <c r="G21" s="3" t="s">
        <v>79</v>
      </c>
      <c r="H21" s="3">
        <v>2.1431234565373437E-4</v>
      </c>
      <c r="I21" s="3">
        <v>4.1426282041571934E-4</v>
      </c>
      <c r="J21" s="3">
        <v>0.51733425036470448</v>
      </c>
      <c r="K21" s="3">
        <v>0.62343405808338703</v>
      </c>
      <c r="L21" s="3">
        <v>-7.9935225911022961E-4</v>
      </c>
      <c r="M21" s="3">
        <v>1.2279769504176983E-3</v>
      </c>
      <c r="N21" s="3">
        <v>-7.9935225911022961E-4</v>
      </c>
      <c r="O21" s="3">
        <v>1.2279769504176983E-3</v>
      </c>
    </row>
    <row r="22" spans="1:15" ht="15.75" thickBot="1" x14ac:dyDescent="0.3">
      <c r="G22" s="4" t="s">
        <v>64</v>
      </c>
      <c r="H22" s="4">
        <v>-2.4252063442449207E-2</v>
      </c>
      <c r="I22" s="4">
        <v>3.7030948653304627E-2</v>
      </c>
      <c r="J22" s="4">
        <v>-0.65491337177193709</v>
      </c>
      <c r="K22" s="4">
        <v>0.53680719383653974</v>
      </c>
      <c r="L22" s="4">
        <v>-0.11486353056136116</v>
      </c>
      <c r="M22" s="4">
        <v>6.6359403676462744E-2</v>
      </c>
      <c r="N22" s="4">
        <v>-0.11486353056136116</v>
      </c>
      <c r="O22" s="4">
        <v>6.6359403676462744E-2</v>
      </c>
    </row>
    <row r="24" spans="1:15" x14ac:dyDescent="0.25">
      <c r="B24" t="s">
        <v>2</v>
      </c>
    </row>
    <row r="25" spans="1:15" x14ac:dyDescent="0.25">
      <c r="A25" t="s">
        <v>78</v>
      </c>
      <c r="B25" t="s">
        <v>79</v>
      </c>
      <c r="C25" t="s">
        <v>64</v>
      </c>
      <c r="D25" t="s">
        <v>23</v>
      </c>
    </row>
    <row r="26" spans="1:15" x14ac:dyDescent="0.25">
      <c r="A26">
        <v>28.88</v>
      </c>
      <c r="B26">
        <v>417</v>
      </c>
      <c r="C26">
        <v>85</v>
      </c>
      <c r="D26">
        <v>0.84299999999999997</v>
      </c>
      <c r="G26" t="s">
        <v>24</v>
      </c>
    </row>
    <row r="27" spans="1:15" ht="15.75" thickBot="1" x14ac:dyDescent="0.3">
      <c r="A27">
        <v>27.93</v>
      </c>
      <c r="B27">
        <v>663</v>
      </c>
      <c r="C27">
        <v>85</v>
      </c>
      <c r="D27">
        <v>0.78400000000000003</v>
      </c>
    </row>
    <row r="28" spans="1:15" x14ac:dyDescent="0.25">
      <c r="A28">
        <v>28.77</v>
      </c>
      <c r="B28">
        <v>545</v>
      </c>
      <c r="C28">
        <v>85</v>
      </c>
      <c r="D28">
        <v>0.82599999999999996</v>
      </c>
      <c r="G28" s="2" t="s">
        <v>27</v>
      </c>
      <c r="H28" s="2"/>
    </row>
    <row r="29" spans="1:15" x14ac:dyDescent="0.25">
      <c r="A29">
        <v>29.13</v>
      </c>
      <c r="B29">
        <v>305</v>
      </c>
      <c r="C29">
        <v>81</v>
      </c>
      <c r="D29">
        <v>0.82499999999999996</v>
      </c>
      <c r="G29" s="3" t="s">
        <v>28</v>
      </c>
      <c r="H29" s="3">
        <v>0.22781136539652377</v>
      </c>
    </row>
    <row r="30" spans="1:15" x14ac:dyDescent="0.25">
      <c r="A30">
        <v>28.38</v>
      </c>
      <c r="B30">
        <v>525</v>
      </c>
      <c r="C30">
        <v>84</v>
      </c>
      <c r="D30">
        <v>0.77</v>
      </c>
      <c r="G30" s="3" t="s">
        <v>30</v>
      </c>
      <c r="H30" s="3">
        <v>5.1898018203828472E-2</v>
      </c>
    </row>
    <row r="31" spans="1:15" x14ac:dyDescent="0.25">
      <c r="A31">
        <v>28.33</v>
      </c>
      <c r="B31">
        <v>455</v>
      </c>
      <c r="C31">
        <v>85</v>
      </c>
      <c r="D31">
        <v>0.89200000000000002</v>
      </c>
      <c r="G31" s="3" t="s">
        <v>31</v>
      </c>
      <c r="H31" s="3">
        <v>-0.42215297269425728</v>
      </c>
    </row>
    <row r="32" spans="1:15" x14ac:dyDescent="0.25">
      <c r="A32">
        <v>28.93</v>
      </c>
      <c r="B32">
        <v>433</v>
      </c>
      <c r="C32">
        <v>83</v>
      </c>
      <c r="D32">
        <v>0.98799999999999999</v>
      </c>
      <c r="G32" s="3" t="s">
        <v>32</v>
      </c>
      <c r="H32" s="3">
        <v>9.6503396494058979E-2</v>
      </c>
    </row>
    <row r="33" spans="1:15" ht="15.75" thickBot="1" x14ac:dyDescent="0.3">
      <c r="A33">
        <v>28.93</v>
      </c>
      <c r="B33">
        <v>564</v>
      </c>
      <c r="C33">
        <v>84</v>
      </c>
      <c r="D33">
        <v>0.98699999999999999</v>
      </c>
      <c r="G33" s="4" t="s">
        <v>33</v>
      </c>
      <c r="H33" s="4">
        <v>10</v>
      </c>
    </row>
    <row r="34" spans="1:15" x14ac:dyDescent="0.25">
      <c r="A34">
        <v>27.78</v>
      </c>
      <c r="B34">
        <v>485</v>
      </c>
      <c r="C34">
        <v>83</v>
      </c>
      <c r="D34">
        <v>0.96499999999999997</v>
      </c>
    </row>
    <row r="35" spans="1:15" ht="15.75" thickBot="1" x14ac:dyDescent="0.3">
      <c r="A35">
        <v>28.7</v>
      </c>
      <c r="B35">
        <v>550</v>
      </c>
      <c r="C35">
        <v>84</v>
      </c>
      <c r="D35">
        <v>0.873</v>
      </c>
      <c r="G35" t="s">
        <v>34</v>
      </c>
    </row>
    <row r="36" spans="1:15" x14ac:dyDescent="0.25">
      <c r="G36" s="5"/>
      <c r="H36" s="5" t="s">
        <v>35</v>
      </c>
      <c r="I36" s="5" t="s">
        <v>36</v>
      </c>
      <c r="J36" s="5" t="s">
        <v>37</v>
      </c>
      <c r="K36" s="5" t="s">
        <v>38</v>
      </c>
      <c r="L36" s="5" t="s">
        <v>39</v>
      </c>
    </row>
    <row r="37" spans="1:15" x14ac:dyDescent="0.25">
      <c r="G37" s="3" t="s">
        <v>40</v>
      </c>
      <c r="H37" s="3">
        <v>3</v>
      </c>
      <c r="I37" s="3">
        <v>3.058666790662655E-3</v>
      </c>
      <c r="J37" s="3">
        <v>1.0195555968875517E-3</v>
      </c>
      <c r="K37" s="3">
        <v>0.10947771273615123</v>
      </c>
      <c r="L37" s="3">
        <v>0.95143618711362821</v>
      </c>
    </row>
    <row r="38" spans="1:15" x14ac:dyDescent="0.25">
      <c r="A38" t="s">
        <v>88</v>
      </c>
      <c r="B38" t="s">
        <v>89</v>
      </c>
      <c r="C38" t="s">
        <v>90</v>
      </c>
      <c r="D38" t="s">
        <v>82</v>
      </c>
      <c r="G38" s="3" t="s">
        <v>41</v>
      </c>
      <c r="H38" s="3">
        <v>6</v>
      </c>
      <c r="I38" s="3">
        <v>5.5877433209337336E-2</v>
      </c>
      <c r="J38" s="3">
        <v>9.3129055348895561E-3</v>
      </c>
      <c r="K38" s="3"/>
      <c r="L38" s="3"/>
    </row>
    <row r="39" spans="1:15" ht="15.75" thickBot="1" x14ac:dyDescent="0.3">
      <c r="A39">
        <v>28.75</v>
      </c>
      <c r="B39">
        <v>471</v>
      </c>
      <c r="C39">
        <v>83</v>
      </c>
      <c r="D39">
        <f>H42+H43*A39+H44*B39+H45*C39</f>
        <v>0.88946194455149774</v>
      </c>
      <c r="G39" s="4" t="s">
        <v>42</v>
      </c>
      <c r="H39" s="4">
        <v>9</v>
      </c>
      <c r="I39" s="4">
        <v>5.8936099999999991E-2</v>
      </c>
      <c r="J39" s="4"/>
      <c r="K39" s="4"/>
      <c r="L39" s="4"/>
    </row>
    <row r="40" spans="1:15" ht="15.75" thickBot="1" x14ac:dyDescent="0.3"/>
    <row r="41" spans="1:15" x14ac:dyDescent="0.25">
      <c r="B41" t="s">
        <v>83</v>
      </c>
      <c r="G41" s="5"/>
      <c r="H41" s="5" t="s">
        <v>43</v>
      </c>
      <c r="I41" s="5" t="s">
        <v>32</v>
      </c>
      <c r="J41" s="5" t="s">
        <v>44</v>
      </c>
      <c r="K41" s="5" t="s">
        <v>45</v>
      </c>
      <c r="L41" s="5" t="s">
        <v>46</v>
      </c>
      <c r="M41" s="5" t="s">
        <v>47</v>
      </c>
      <c r="N41" s="5" t="s">
        <v>48</v>
      </c>
      <c r="O41" s="5" t="s">
        <v>49</v>
      </c>
    </row>
    <row r="42" spans="1:15" x14ac:dyDescent="0.25">
      <c r="B42" s="10">
        <v>0.12540000000000001</v>
      </c>
      <c r="G42" s="3" t="s">
        <v>50</v>
      </c>
      <c r="H42" s="3">
        <v>1.7724222758718571</v>
      </c>
      <c r="I42" s="3">
        <v>3.5265869155398861</v>
      </c>
      <c r="J42" s="3">
        <v>0.50258857028638315</v>
      </c>
      <c r="K42" s="3">
        <v>0.63316359533465183</v>
      </c>
      <c r="L42" s="3">
        <v>-6.8568250418554744</v>
      </c>
      <c r="M42" s="3">
        <v>10.401669593599189</v>
      </c>
      <c r="N42" s="3">
        <v>-6.8568250418554744</v>
      </c>
      <c r="O42" s="3">
        <v>10.401669593599189</v>
      </c>
    </row>
    <row r="43" spans="1:15" x14ac:dyDescent="0.25">
      <c r="G43" s="3" t="s">
        <v>78</v>
      </c>
      <c r="H43" s="3">
        <v>1.080770876087867E-2</v>
      </c>
      <c r="I43" s="3">
        <v>8.2730887330867475E-2</v>
      </c>
      <c r="J43" s="3">
        <v>0.130636925452705</v>
      </c>
      <c r="K43" s="3">
        <v>0.90033249784314973</v>
      </c>
      <c r="L43" s="3">
        <v>-0.1916274799047602</v>
      </c>
      <c r="M43" s="3">
        <v>0.21324289742651753</v>
      </c>
      <c r="N43" s="3">
        <v>-0.1916274799047602</v>
      </c>
      <c r="O43" s="3">
        <v>0.21324289742651753</v>
      </c>
    </row>
    <row r="44" spans="1:15" x14ac:dyDescent="0.25">
      <c r="G44" s="3" t="s">
        <v>79</v>
      </c>
      <c r="H44" s="3">
        <v>3.6596720068174087E-5</v>
      </c>
      <c r="I44" s="3">
        <v>4.780251374697838E-4</v>
      </c>
      <c r="J44" s="3">
        <v>7.6558149769869341E-2</v>
      </c>
      <c r="K44" s="3">
        <v>0.94146407377117591</v>
      </c>
      <c r="L44" s="3">
        <v>-1.1330886539518434E-3</v>
      </c>
      <c r="M44" s="3">
        <v>1.2062820940881914E-3</v>
      </c>
      <c r="N44" s="3">
        <v>-1.1330886539518434E-3</v>
      </c>
      <c r="O44" s="3">
        <v>1.2062820940881914E-3</v>
      </c>
    </row>
    <row r="45" spans="1:15" ht="15.75" thickBot="1" x14ac:dyDescent="0.3">
      <c r="G45" s="4" t="s">
        <v>64</v>
      </c>
      <c r="H45" s="4">
        <v>-1.4589385702984715E-2</v>
      </c>
      <c r="I45" s="4">
        <v>3.2946132055034542E-2</v>
      </c>
      <c r="J45" s="4">
        <v>-0.44282544848099376</v>
      </c>
      <c r="K45" s="4">
        <v>0.6734102150944723</v>
      </c>
      <c r="L45" s="4">
        <v>-9.5205666677835921E-2</v>
      </c>
      <c r="M45" s="4">
        <v>6.6026895271866476E-2</v>
      </c>
      <c r="N45" s="4">
        <v>-9.5205666677835921E-2</v>
      </c>
      <c r="O45" s="4">
        <v>6.6026895271866476E-2</v>
      </c>
    </row>
    <row r="48" spans="1:15" x14ac:dyDescent="0.25">
      <c r="B48" t="s">
        <v>3</v>
      </c>
    </row>
    <row r="49" spans="1:15" x14ac:dyDescent="0.25">
      <c r="A49" t="s">
        <v>78</v>
      </c>
      <c r="B49" t="s">
        <v>79</v>
      </c>
      <c r="C49" t="s">
        <v>64</v>
      </c>
      <c r="D49" t="s">
        <v>23</v>
      </c>
      <c r="G49" t="s">
        <v>24</v>
      </c>
    </row>
    <row r="50" spans="1:15" ht="15.75" thickBot="1" x14ac:dyDescent="0.3">
      <c r="A50">
        <v>21.2</v>
      </c>
      <c r="B50">
        <v>4</v>
      </c>
      <c r="C50">
        <v>74</v>
      </c>
      <c r="D50">
        <v>0.99</v>
      </c>
    </row>
    <row r="51" spans="1:15" x14ac:dyDescent="0.25">
      <c r="A51">
        <v>21.7</v>
      </c>
      <c r="B51">
        <v>16</v>
      </c>
      <c r="C51">
        <v>71</v>
      </c>
      <c r="D51">
        <v>1.0940000000000001</v>
      </c>
      <c r="G51" s="2" t="s">
        <v>27</v>
      </c>
      <c r="H51" s="2"/>
    </row>
    <row r="52" spans="1:15" x14ac:dyDescent="0.25">
      <c r="A52">
        <v>22.05</v>
      </c>
      <c r="B52">
        <v>15</v>
      </c>
      <c r="C52">
        <v>73</v>
      </c>
      <c r="D52">
        <v>1.0840000000000001</v>
      </c>
      <c r="G52" s="3" t="s">
        <v>28</v>
      </c>
      <c r="H52" s="3">
        <v>0.62095631634971016</v>
      </c>
    </row>
    <row r="53" spans="1:15" x14ac:dyDescent="0.25">
      <c r="A53">
        <v>22.55</v>
      </c>
      <c r="B53">
        <v>12</v>
      </c>
      <c r="C53">
        <v>74</v>
      </c>
      <c r="D53">
        <v>0.80800000000000005</v>
      </c>
      <c r="G53" s="3" t="s">
        <v>30</v>
      </c>
      <c r="H53" s="3">
        <v>0.38558674681460137</v>
      </c>
    </row>
    <row r="54" spans="1:15" x14ac:dyDescent="0.25">
      <c r="A54">
        <v>21.43</v>
      </c>
      <c r="B54">
        <v>49</v>
      </c>
      <c r="C54">
        <v>75</v>
      </c>
      <c r="D54">
        <v>0.96899999999999997</v>
      </c>
      <c r="G54" s="3" t="s">
        <v>31</v>
      </c>
      <c r="H54" s="3">
        <v>7.8380120221902036E-2</v>
      </c>
    </row>
    <row r="55" spans="1:15" x14ac:dyDescent="0.25">
      <c r="A55">
        <v>21.38</v>
      </c>
      <c r="B55">
        <v>5</v>
      </c>
      <c r="C55">
        <v>74</v>
      </c>
      <c r="D55">
        <v>0.90900000000000003</v>
      </c>
      <c r="G55" s="3" t="s">
        <v>32</v>
      </c>
      <c r="H55" s="3">
        <v>0.13215332821233872</v>
      </c>
    </row>
    <row r="56" spans="1:15" ht="15.75" thickBot="1" x14ac:dyDescent="0.3">
      <c r="A56">
        <v>22.35</v>
      </c>
      <c r="B56">
        <v>1</v>
      </c>
      <c r="C56">
        <v>73</v>
      </c>
      <c r="D56">
        <v>1.165</v>
      </c>
      <c r="G56" s="4" t="s">
        <v>33</v>
      </c>
      <c r="H56" s="4">
        <v>10</v>
      </c>
    </row>
    <row r="57" spans="1:15" x14ac:dyDescent="0.25">
      <c r="A57">
        <v>22.15</v>
      </c>
      <c r="B57">
        <v>14</v>
      </c>
      <c r="C57">
        <v>71</v>
      </c>
      <c r="D57">
        <v>1.2150000000000001</v>
      </c>
    </row>
    <row r="58" spans="1:15" ht="15.75" thickBot="1" x14ac:dyDescent="0.3">
      <c r="A58">
        <v>21.45</v>
      </c>
      <c r="B58">
        <v>2</v>
      </c>
      <c r="C58">
        <v>72</v>
      </c>
      <c r="D58">
        <v>1.1259999999999999</v>
      </c>
      <c r="G58" t="s">
        <v>34</v>
      </c>
    </row>
    <row r="59" spans="1:15" x14ac:dyDescent="0.25">
      <c r="A59">
        <v>21.1</v>
      </c>
      <c r="B59">
        <v>14</v>
      </c>
      <c r="C59">
        <v>74</v>
      </c>
      <c r="D59">
        <v>1.2330000000000001</v>
      </c>
      <c r="G59" s="5"/>
      <c r="H59" s="5" t="s">
        <v>35</v>
      </c>
      <c r="I59" s="5" t="s">
        <v>36</v>
      </c>
      <c r="J59" s="5" t="s">
        <v>37</v>
      </c>
      <c r="K59" s="5" t="s">
        <v>38</v>
      </c>
      <c r="L59" s="5" t="s">
        <v>39</v>
      </c>
    </row>
    <row r="60" spans="1:15" x14ac:dyDescent="0.25">
      <c r="G60" s="3" t="s">
        <v>40</v>
      </c>
      <c r="H60" s="3">
        <v>3</v>
      </c>
      <c r="I60" s="3">
        <v>6.5761087054411332E-2</v>
      </c>
      <c r="J60" s="3">
        <v>2.1920362351470445E-2</v>
      </c>
      <c r="K60" s="3">
        <v>1.2551381169450488</v>
      </c>
      <c r="L60" s="3">
        <v>0.3704267268523852</v>
      </c>
    </row>
    <row r="61" spans="1:15" x14ac:dyDescent="0.25">
      <c r="G61" s="3" t="s">
        <v>41</v>
      </c>
      <c r="H61" s="3">
        <v>6</v>
      </c>
      <c r="I61" s="3">
        <v>0.1047870129455887</v>
      </c>
      <c r="J61" s="3">
        <v>1.7464502157598118E-2</v>
      </c>
      <c r="K61" s="3"/>
      <c r="L61" s="3"/>
    </row>
    <row r="62" spans="1:15" ht="15.75" thickBot="1" x14ac:dyDescent="0.3">
      <c r="A62" t="s">
        <v>88</v>
      </c>
      <c r="B62" t="s">
        <v>89</v>
      </c>
      <c r="C62" t="s">
        <v>90</v>
      </c>
      <c r="D62" t="s">
        <v>82</v>
      </c>
      <c r="G62" s="4" t="s">
        <v>42</v>
      </c>
      <c r="H62" s="4">
        <v>9</v>
      </c>
      <c r="I62" s="4">
        <v>0.17054810000000004</v>
      </c>
      <c r="J62" s="4"/>
      <c r="K62" s="4"/>
      <c r="L62" s="4"/>
    </row>
    <row r="63" spans="1:15" ht="15.75" thickBot="1" x14ac:dyDescent="0.3">
      <c r="A63">
        <v>21.58</v>
      </c>
      <c r="B63">
        <v>8</v>
      </c>
      <c r="C63">
        <v>72</v>
      </c>
      <c r="D63">
        <f>H65+H66*A63+H67*B63+H68*C63</f>
        <v>1.1422007105789627</v>
      </c>
    </row>
    <row r="64" spans="1:15" x14ac:dyDescent="0.25">
      <c r="G64" s="5"/>
      <c r="H64" s="5" t="s">
        <v>43</v>
      </c>
      <c r="I64" s="5" t="s">
        <v>32</v>
      </c>
      <c r="J64" s="5" t="s">
        <v>44</v>
      </c>
      <c r="K64" s="5" t="s">
        <v>45</v>
      </c>
      <c r="L64" s="5" t="s">
        <v>46</v>
      </c>
      <c r="M64" s="5" t="s">
        <v>47</v>
      </c>
      <c r="N64" s="5" t="s">
        <v>48</v>
      </c>
      <c r="O64" s="5" t="s">
        <v>49</v>
      </c>
    </row>
    <row r="65" spans="1:15" x14ac:dyDescent="0.25">
      <c r="B65" t="s">
        <v>83</v>
      </c>
      <c r="G65" s="3" t="s">
        <v>50</v>
      </c>
      <c r="H65" s="3">
        <v>7.5925325938843589</v>
      </c>
      <c r="I65" s="3">
        <v>3.6359745839116466</v>
      </c>
      <c r="J65" s="3">
        <v>2.0881698754110034</v>
      </c>
      <c r="K65" s="3">
        <v>8.1805076885877986E-2</v>
      </c>
      <c r="L65" s="3">
        <v>-1.3043767059509488</v>
      </c>
      <c r="M65" s="3">
        <v>16.489441893719665</v>
      </c>
      <c r="N65" s="3">
        <v>-1.3043767059509488</v>
      </c>
      <c r="O65" s="3">
        <v>16.489441893719665</v>
      </c>
    </row>
    <row r="66" spans="1:15" x14ac:dyDescent="0.25">
      <c r="B66" s="10">
        <v>2.5600000000000001E-2</v>
      </c>
      <c r="G66" s="3" t="s">
        <v>78</v>
      </c>
      <c r="H66" s="3">
        <v>-8.4153601918855597E-2</v>
      </c>
      <c r="I66" s="3">
        <v>9.0945635347414747E-2</v>
      </c>
      <c r="J66" s="3">
        <v>-0.92531765375420816</v>
      </c>
      <c r="K66" s="3">
        <v>0.39049957978466138</v>
      </c>
      <c r="L66" s="3">
        <v>-0.3066895548603536</v>
      </c>
      <c r="M66" s="3">
        <v>0.1383823510226424</v>
      </c>
      <c r="N66" s="3">
        <v>-0.3066895548603536</v>
      </c>
      <c r="O66" s="3">
        <v>0.1383823510226424</v>
      </c>
    </row>
    <row r="67" spans="1:15" x14ac:dyDescent="0.25">
      <c r="G67" s="3" t="s">
        <v>79</v>
      </c>
      <c r="H67" s="3">
        <v>2.0265034013503103E-4</v>
      </c>
      <c r="I67" s="3">
        <v>3.3872801750175021E-3</v>
      </c>
      <c r="J67" s="3">
        <v>5.982686098116579E-2</v>
      </c>
      <c r="K67" s="3">
        <v>0.9542364456667517</v>
      </c>
      <c r="L67" s="3">
        <v>-8.0857256632637011E-3</v>
      </c>
      <c r="M67" s="3">
        <v>8.4910263435337644E-3</v>
      </c>
      <c r="N67" s="3">
        <v>-8.0857256632637011E-3</v>
      </c>
      <c r="O67" s="3">
        <v>8.4910263435337644E-3</v>
      </c>
    </row>
    <row r="68" spans="1:15" ht="15.75" thickBot="1" x14ac:dyDescent="0.3">
      <c r="G68" s="4" t="s">
        <v>64</v>
      </c>
      <c r="H68" s="4">
        <v>-6.4387754953021847E-2</v>
      </c>
      <c r="I68" s="4">
        <v>3.5403000371788708E-2</v>
      </c>
      <c r="J68" s="4">
        <v>-1.8187089872848736</v>
      </c>
      <c r="K68" s="4">
        <v>0.1188326725973869</v>
      </c>
      <c r="L68" s="4">
        <v>-0.1510157761288414</v>
      </c>
      <c r="M68" s="4">
        <v>2.2240266222797705E-2</v>
      </c>
      <c r="N68" s="4">
        <v>-0.1510157761288414</v>
      </c>
      <c r="O68" s="4">
        <v>2.2240266222797705E-2</v>
      </c>
    </row>
    <row r="70" spans="1:15" x14ac:dyDescent="0.25">
      <c r="B70" t="s">
        <v>53</v>
      </c>
    </row>
    <row r="71" spans="1:15" x14ac:dyDescent="0.25">
      <c r="A71" t="s">
        <v>21</v>
      </c>
      <c r="B71" t="s">
        <v>79</v>
      </c>
      <c r="C71" t="s">
        <v>64</v>
      </c>
      <c r="D71" t="s">
        <v>23</v>
      </c>
      <c r="G71" t="s">
        <v>24</v>
      </c>
    </row>
    <row r="72" spans="1:15" ht="15.75" thickBot="1" x14ac:dyDescent="0.3">
      <c r="A72">
        <v>26.45</v>
      </c>
      <c r="B72">
        <v>469</v>
      </c>
      <c r="C72">
        <v>77</v>
      </c>
      <c r="D72">
        <v>2.99</v>
      </c>
    </row>
    <row r="73" spans="1:15" x14ac:dyDescent="0.25">
      <c r="A73">
        <v>27.08</v>
      </c>
      <c r="B73">
        <v>396</v>
      </c>
      <c r="C73">
        <v>77</v>
      </c>
      <c r="D73">
        <v>2.99</v>
      </c>
      <c r="G73" s="2" t="s">
        <v>27</v>
      </c>
      <c r="H73" s="2"/>
    </row>
    <row r="74" spans="1:15" x14ac:dyDescent="0.25">
      <c r="A74">
        <v>26.5</v>
      </c>
      <c r="B74">
        <v>483</v>
      </c>
      <c r="C74">
        <v>79</v>
      </c>
      <c r="D74">
        <v>3.032</v>
      </c>
      <c r="G74" s="3" t="s">
        <v>28</v>
      </c>
      <c r="H74" s="3">
        <v>0.47494976590391996</v>
      </c>
    </row>
    <row r="75" spans="1:15" x14ac:dyDescent="0.25">
      <c r="A75">
        <v>27.13</v>
      </c>
      <c r="B75">
        <v>557</v>
      </c>
      <c r="C75">
        <v>75</v>
      </c>
      <c r="D75">
        <v>3.1059999999999999</v>
      </c>
      <c r="G75" s="3" t="s">
        <v>30</v>
      </c>
      <c r="H75" s="3">
        <v>0.22557728013218839</v>
      </c>
    </row>
    <row r="76" spans="1:15" x14ac:dyDescent="0.25">
      <c r="A76">
        <v>26.58</v>
      </c>
      <c r="B76">
        <v>515</v>
      </c>
      <c r="C76">
        <v>76</v>
      </c>
      <c r="D76">
        <v>3.306</v>
      </c>
      <c r="G76" s="3" t="s">
        <v>31</v>
      </c>
      <c r="H76" s="3">
        <v>-0.16163407980171743</v>
      </c>
    </row>
    <row r="77" spans="1:15" x14ac:dyDescent="0.25">
      <c r="A77">
        <v>27.2</v>
      </c>
      <c r="B77">
        <v>369</v>
      </c>
      <c r="C77">
        <v>77</v>
      </c>
      <c r="D77">
        <v>3.133</v>
      </c>
      <c r="G77" s="3" t="s">
        <v>32</v>
      </c>
      <c r="H77" s="3">
        <v>0.14762270099752789</v>
      </c>
    </row>
    <row r="78" spans="1:15" ht="15.75" thickBot="1" x14ac:dyDescent="0.3">
      <c r="A78">
        <v>27.55</v>
      </c>
      <c r="B78">
        <v>383</v>
      </c>
      <c r="C78">
        <v>74</v>
      </c>
      <c r="D78">
        <v>3.012</v>
      </c>
      <c r="G78" s="4" t="s">
        <v>33</v>
      </c>
      <c r="H78" s="4">
        <v>10</v>
      </c>
    </row>
    <row r="79" spans="1:15" x14ac:dyDescent="0.25">
      <c r="A79">
        <v>26.9</v>
      </c>
      <c r="B79">
        <v>656</v>
      </c>
      <c r="C79">
        <v>78</v>
      </c>
      <c r="D79">
        <v>3.01</v>
      </c>
    </row>
    <row r="80" spans="1:15" ht="15.75" thickBot="1" x14ac:dyDescent="0.3">
      <c r="A80">
        <v>27.35</v>
      </c>
      <c r="B80">
        <v>289</v>
      </c>
      <c r="C80">
        <v>75</v>
      </c>
      <c r="D80">
        <v>3.19</v>
      </c>
      <c r="G80" t="s">
        <v>34</v>
      </c>
    </row>
    <row r="81" spans="1:15" x14ac:dyDescent="0.25">
      <c r="A81">
        <v>26.9</v>
      </c>
      <c r="B81">
        <v>587</v>
      </c>
      <c r="C81">
        <v>76</v>
      </c>
      <c r="D81">
        <v>3.3730000000000002</v>
      </c>
      <c r="G81" s="5"/>
      <c r="H81" s="5" t="s">
        <v>35</v>
      </c>
      <c r="I81" s="5" t="s">
        <v>36</v>
      </c>
      <c r="J81" s="5" t="s">
        <v>37</v>
      </c>
      <c r="K81" s="5" t="s">
        <v>38</v>
      </c>
      <c r="L81" s="5" t="s">
        <v>39</v>
      </c>
    </row>
    <row r="82" spans="1:15" x14ac:dyDescent="0.25">
      <c r="G82" s="3" t="s">
        <v>40</v>
      </c>
      <c r="H82" s="3">
        <v>3</v>
      </c>
      <c r="I82" s="3">
        <v>3.8086828901166908E-2</v>
      </c>
      <c r="J82" s="3">
        <v>1.2695609633722302E-2</v>
      </c>
      <c r="K82" s="3">
        <v>0.58256885895778687</v>
      </c>
      <c r="L82" s="3">
        <v>0.64793113246772216</v>
      </c>
    </row>
    <row r="83" spans="1:15" x14ac:dyDescent="0.25">
      <c r="G83" s="3" t="s">
        <v>41</v>
      </c>
      <c r="H83" s="3">
        <v>6</v>
      </c>
      <c r="I83" s="3">
        <v>0.13075477109883313</v>
      </c>
      <c r="J83" s="3">
        <v>2.179246184980552E-2</v>
      </c>
      <c r="K83" s="3"/>
      <c r="L83" s="3"/>
    </row>
    <row r="84" spans="1:15" ht="15.75" thickBot="1" x14ac:dyDescent="0.3">
      <c r="G84" s="4" t="s">
        <v>42</v>
      </c>
      <c r="H84" s="4">
        <v>9</v>
      </c>
      <c r="I84" s="4">
        <v>0.16884160000000004</v>
      </c>
      <c r="J84" s="4"/>
      <c r="K84" s="4"/>
      <c r="L84" s="4"/>
    </row>
    <row r="85" spans="1:15" ht="15.75" thickBot="1" x14ac:dyDescent="0.3">
      <c r="A85" t="s">
        <v>88</v>
      </c>
      <c r="B85" t="s">
        <v>89</v>
      </c>
      <c r="C85" t="s">
        <v>90</v>
      </c>
      <c r="D85" t="s">
        <v>82</v>
      </c>
    </row>
    <row r="86" spans="1:15" x14ac:dyDescent="0.25">
      <c r="A86">
        <v>27.73</v>
      </c>
      <c r="B86">
        <v>483</v>
      </c>
      <c r="C86">
        <v>73</v>
      </c>
      <c r="D86">
        <f>H87+H88*A86+H89*B86+C86*H90</f>
        <v>3.1947885234981692</v>
      </c>
      <c r="G86" s="5"/>
      <c r="H86" s="5" t="s">
        <v>43</v>
      </c>
      <c r="I86" s="5" t="s">
        <v>32</v>
      </c>
      <c r="J86" s="5" t="s">
        <v>44</v>
      </c>
      <c r="K86" s="5" t="s">
        <v>45</v>
      </c>
      <c r="L86" s="5" t="s">
        <v>46</v>
      </c>
      <c r="M86" s="5" t="s">
        <v>47</v>
      </c>
      <c r="N86" s="5" t="s">
        <v>48</v>
      </c>
      <c r="O86" s="5" t="s">
        <v>49</v>
      </c>
    </row>
    <row r="87" spans="1:15" x14ac:dyDescent="0.25">
      <c r="G87" s="3" t="s">
        <v>50</v>
      </c>
      <c r="H87" s="3">
        <v>11.272447510781431</v>
      </c>
      <c r="I87" s="3">
        <v>7.9818942824521599</v>
      </c>
      <c r="J87" s="3">
        <v>1.412252168706795</v>
      </c>
      <c r="K87" s="3">
        <v>0.20758045168390515</v>
      </c>
      <c r="L87" s="3">
        <v>-8.2585442035370331</v>
      </c>
      <c r="M87" s="3">
        <v>30.803439225099893</v>
      </c>
      <c r="N87" s="3">
        <v>-8.2585442035370331</v>
      </c>
      <c r="O87" s="3">
        <v>30.803439225099893</v>
      </c>
    </row>
    <row r="88" spans="1:15" x14ac:dyDescent="0.25">
      <c r="B88" t="s">
        <v>83</v>
      </c>
      <c r="G88" s="3" t="s">
        <v>21</v>
      </c>
      <c r="H88" s="3">
        <v>-0.14695195029648164</v>
      </c>
      <c r="I88" s="3">
        <v>0.19682925284106684</v>
      </c>
      <c r="J88" s="3">
        <v>-0.74659608861666782</v>
      </c>
      <c r="K88" s="3">
        <v>0.48352450994992968</v>
      </c>
      <c r="L88" s="3">
        <v>-0.62857578172529782</v>
      </c>
      <c r="M88" s="3">
        <v>0.33467188113233448</v>
      </c>
      <c r="N88" s="3">
        <v>-0.62857578172529782</v>
      </c>
      <c r="O88" s="3">
        <v>0.33467188113233448</v>
      </c>
    </row>
    <row r="89" spans="1:15" x14ac:dyDescent="0.25">
      <c r="B89" s="10">
        <v>5.3900000000000003E-2</v>
      </c>
      <c r="G89" s="3" t="s">
        <v>79</v>
      </c>
      <c r="H89" s="3">
        <v>1.9168797546243211E-4</v>
      </c>
      <c r="I89" s="3">
        <v>4.9965878050516532E-4</v>
      </c>
      <c r="J89" s="3">
        <v>0.38363776029039581</v>
      </c>
      <c r="K89" s="3">
        <v>0.714472869343733</v>
      </c>
      <c r="L89" s="3">
        <v>-1.0309330160843001E-3</v>
      </c>
      <c r="M89" s="3">
        <v>1.4143089670091641E-3</v>
      </c>
      <c r="N89" s="3">
        <v>-1.0309330160843001E-3</v>
      </c>
      <c r="O89" s="3">
        <v>1.4143089670091641E-3</v>
      </c>
    </row>
    <row r="90" spans="1:15" ht="15.75" thickBot="1" x14ac:dyDescent="0.3">
      <c r="G90" s="4" t="s">
        <v>64</v>
      </c>
      <c r="H90" s="4">
        <v>-5.6099543804249058E-2</v>
      </c>
      <c r="I90" s="4">
        <v>4.4664492523108119E-2</v>
      </c>
      <c r="J90" s="4">
        <v>-1.2560210725605978</v>
      </c>
      <c r="K90" s="4">
        <v>0.25580070226170204</v>
      </c>
      <c r="L90" s="4">
        <v>-0.16538961988441819</v>
      </c>
      <c r="M90" s="4">
        <v>5.3190532275920091E-2</v>
      </c>
      <c r="N90" s="4">
        <v>-0.16538961988441819</v>
      </c>
      <c r="O90" s="4">
        <v>5.3190532275920091E-2</v>
      </c>
    </row>
    <row r="93" spans="1:15" x14ac:dyDescent="0.25">
      <c r="B93" t="s">
        <v>86</v>
      </c>
    </row>
    <row r="94" spans="1:15" x14ac:dyDescent="0.25">
      <c r="A94" t="s">
        <v>78</v>
      </c>
      <c r="B94" t="s">
        <v>79</v>
      </c>
      <c r="C94" t="s">
        <v>64</v>
      </c>
      <c r="D94" t="s">
        <v>23</v>
      </c>
      <c r="F94" t="s">
        <v>24</v>
      </c>
    </row>
    <row r="95" spans="1:15" ht="15.75" thickBot="1" x14ac:dyDescent="0.3">
      <c r="A95">
        <v>21.2</v>
      </c>
      <c r="B95">
        <v>4</v>
      </c>
      <c r="C95">
        <v>74</v>
      </c>
      <c r="D95">
        <v>3.883</v>
      </c>
    </row>
    <row r="96" spans="1:15" x14ac:dyDescent="0.25">
      <c r="A96">
        <v>21.7</v>
      </c>
      <c r="B96">
        <v>16</v>
      </c>
      <c r="C96">
        <v>71</v>
      </c>
      <c r="D96">
        <v>3.883</v>
      </c>
      <c r="F96" s="2" t="s">
        <v>27</v>
      </c>
      <c r="G96" s="2"/>
    </row>
    <row r="97" spans="1:14" x14ac:dyDescent="0.25">
      <c r="A97">
        <v>22.05</v>
      </c>
      <c r="B97">
        <v>15</v>
      </c>
      <c r="C97">
        <v>73</v>
      </c>
      <c r="D97">
        <v>4.1500000000000004</v>
      </c>
      <c r="F97" s="3" t="s">
        <v>28</v>
      </c>
      <c r="G97" s="3">
        <v>0.57827183684090278</v>
      </c>
    </row>
    <row r="98" spans="1:14" x14ac:dyDescent="0.25">
      <c r="A98">
        <v>22.55</v>
      </c>
      <c r="B98">
        <v>12</v>
      </c>
      <c r="C98">
        <v>74</v>
      </c>
      <c r="D98">
        <v>4.4039999999999999</v>
      </c>
      <c r="F98" s="3" t="s">
        <v>30</v>
      </c>
      <c r="G98" s="3">
        <v>0.33439831728335173</v>
      </c>
    </row>
    <row r="99" spans="1:14" x14ac:dyDescent="0.25">
      <c r="A99">
        <v>21.43</v>
      </c>
      <c r="B99">
        <v>49</v>
      </c>
      <c r="C99">
        <v>75</v>
      </c>
      <c r="D99">
        <v>4.4189999999999996</v>
      </c>
      <c r="F99" s="3" t="s">
        <v>31</v>
      </c>
      <c r="G99" s="3">
        <v>1.5974759250276065E-3</v>
      </c>
    </row>
    <row r="100" spans="1:14" x14ac:dyDescent="0.25">
      <c r="A100">
        <v>21.38</v>
      </c>
      <c r="B100">
        <v>5</v>
      </c>
      <c r="C100">
        <v>74</v>
      </c>
      <c r="D100">
        <v>5.3150000000000004</v>
      </c>
      <c r="F100" s="3" t="s">
        <v>32</v>
      </c>
      <c r="G100" s="3">
        <v>0.5352076106188639</v>
      </c>
    </row>
    <row r="101" spans="1:14" ht="15.75" thickBot="1" x14ac:dyDescent="0.3">
      <c r="A101">
        <v>22.35</v>
      </c>
      <c r="B101">
        <v>1</v>
      </c>
      <c r="C101">
        <v>73</v>
      </c>
      <c r="D101">
        <v>5.3330000000000002</v>
      </c>
      <c r="F101" s="4" t="s">
        <v>33</v>
      </c>
      <c r="G101" s="4">
        <v>10</v>
      </c>
    </row>
    <row r="102" spans="1:14" x14ac:dyDescent="0.25">
      <c r="A102">
        <v>22.15</v>
      </c>
      <c r="B102">
        <v>14</v>
      </c>
      <c r="C102">
        <v>71</v>
      </c>
      <c r="D102">
        <v>4.0780000000000003</v>
      </c>
    </row>
    <row r="103" spans="1:14" ht="15.75" thickBot="1" x14ac:dyDescent="0.3">
      <c r="A103">
        <v>21.45</v>
      </c>
      <c r="B103">
        <v>2</v>
      </c>
      <c r="C103">
        <v>72</v>
      </c>
      <c r="D103">
        <v>3.988</v>
      </c>
      <c r="F103" t="s">
        <v>34</v>
      </c>
    </row>
    <row r="104" spans="1:14" x14ac:dyDescent="0.25">
      <c r="A104">
        <v>21.1</v>
      </c>
      <c r="B104">
        <v>14</v>
      </c>
      <c r="C104">
        <v>74</v>
      </c>
      <c r="D104">
        <v>4.4649999999999999</v>
      </c>
      <c r="F104" s="5"/>
      <c r="G104" s="5" t="s">
        <v>35</v>
      </c>
      <c r="H104" s="5" t="s">
        <v>36</v>
      </c>
      <c r="I104" s="5" t="s">
        <v>37</v>
      </c>
      <c r="J104" s="5" t="s">
        <v>38</v>
      </c>
      <c r="K104" s="5" t="s">
        <v>39</v>
      </c>
    </row>
    <row r="105" spans="1:14" x14ac:dyDescent="0.25">
      <c r="F105" s="3" t="s">
        <v>40</v>
      </c>
      <c r="G105" s="3">
        <v>3</v>
      </c>
      <c r="H105" s="3">
        <v>0.86346648121388014</v>
      </c>
      <c r="I105" s="3">
        <v>0.28782216040462671</v>
      </c>
      <c r="J105" s="3">
        <v>1.0048000958125813</v>
      </c>
      <c r="K105" s="3">
        <v>0.452932813233071</v>
      </c>
    </row>
    <row r="106" spans="1:14" x14ac:dyDescent="0.25">
      <c r="F106" s="3" t="s">
        <v>41</v>
      </c>
      <c r="G106" s="3">
        <v>6</v>
      </c>
      <c r="H106" s="3">
        <v>1.7186831187861209</v>
      </c>
      <c r="I106" s="3">
        <v>0.28644718646435346</v>
      </c>
      <c r="J106" s="3"/>
      <c r="K106" s="3"/>
    </row>
    <row r="107" spans="1:14" ht="15.75" thickBot="1" x14ac:dyDescent="0.3">
      <c r="A107" t="s">
        <v>88</v>
      </c>
      <c r="B107" t="s">
        <v>89</v>
      </c>
      <c r="C107" t="s">
        <v>90</v>
      </c>
      <c r="D107" t="s">
        <v>82</v>
      </c>
      <c r="F107" s="4" t="s">
        <v>42</v>
      </c>
      <c r="G107" s="4">
        <v>9</v>
      </c>
      <c r="H107" s="4">
        <v>2.582149600000001</v>
      </c>
      <c r="I107" s="4"/>
      <c r="J107" s="4"/>
      <c r="K107" s="4"/>
    </row>
    <row r="108" spans="1:14" ht="15.75" thickBot="1" x14ac:dyDescent="0.3">
      <c r="A108">
        <v>21.58</v>
      </c>
      <c r="B108">
        <v>8</v>
      </c>
      <c r="C108">
        <v>72</v>
      </c>
      <c r="D108">
        <f>G110+G111*A108+G112*B108+G113*C108</f>
        <v>4.1556865440914112</v>
      </c>
    </row>
    <row r="109" spans="1:14" x14ac:dyDescent="0.25">
      <c r="F109" s="5"/>
      <c r="G109" s="5" t="s">
        <v>43</v>
      </c>
      <c r="H109" s="5" t="s">
        <v>32</v>
      </c>
      <c r="I109" s="5" t="s">
        <v>44</v>
      </c>
      <c r="J109" s="5" t="s">
        <v>45</v>
      </c>
      <c r="K109" s="5" t="s">
        <v>46</v>
      </c>
      <c r="L109" s="5" t="s">
        <v>47</v>
      </c>
      <c r="M109" s="5" t="s">
        <v>48</v>
      </c>
      <c r="N109" s="5" t="s">
        <v>49</v>
      </c>
    </row>
    <row r="110" spans="1:14" x14ac:dyDescent="0.25">
      <c r="B110" t="s">
        <v>83</v>
      </c>
      <c r="F110" s="3" t="s">
        <v>50</v>
      </c>
      <c r="G110" s="3">
        <v>-19.029953464160457</v>
      </c>
      <c r="H110" s="3">
        <v>14.725329249366411</v>
      </c>
      <c r="I110" s="3">
        <v>-1.2923278754516991</v>
      </c>
      <c r="J110" s="3">
        <v>0.24378031156730995</v>
      </c>
      <c r="K110" s="3">
        <v>-55.061536116446788</v>
      </c>
      <c r="L110" s="3">
        <v>17.001629188125875</v>
      </c>
      <c r="M110" s="3">
        <v>-55.061536116446788</v>
      </c>
      <c r="N110" s="3">
        <v>17.001629188125875</v>
      </c>
    </row>
    <row r="111" spans="1:14" x14ac:dyDescent="0.25">
      <c r="B111" s="10">
        <v>7.1000000000000004E-3</v>
      </c>
      <c r="F111" s="3" t="s">
        <v>78</v>
      </c>
      <c r="G111" s="3">
        <v>0.3108501606135966</v>
      </c>
      <c r="H111" s="3">
        <v>0.36832062308938313</v>
      </c>
      <c r="I111" s="3">
        <v>0.84396621076023826</v>
      </c>
      <c r="J111" s="3">
        <v>0.43104485174824059</v>
      </c>
      <c r="K111" s="3">
        <v>-0.5903979370449145</v>
      </c>
      <c r="L111" s="3">
        <v>1.2120982582721078</v>
      </c>
      <c r="M111" s="3">
        <v>-0.5903979370449145</v>
      </c>
      <c r="N111" s="3">
        <v>1.2120982582721078</v>
      </c>
    </row>
    <row r="112" spans="1:14" x14ac:dyDescent="0.25">
      <c r="F112" s="3" t="s">
        <v>79</v>
      </c>
      <c r="G112" s="3">
        <v>-1.2627306003897155E-2</v>
      </c>
      <c r="H112" s="3">
        <v>1.3718142051291149E-2</v>
      </c>
      <c r="I112" s="3">
        <v>-0.92048223124418471</v>
      </c>
      <c r="J112" s="3">
        <v>0.39282545004961339</v>
      </c>
      <c r="K112" s="3">
        <v>-4.6194390364891633E-2</v>
      </c>
      <c r="L112" s="3">
        <v>2.093977835709732E-2</v>
      </c>
      <c r="M112" s="3">
        <v>-4.6194390364891633E-2</v>
      </c>
      <c r="N112" s="3">
        <v>2.093977835709732E-2</v>
      </c>
    </row>
    <row r="113" spans="1:14" ht="15.75" thickBot="1" x14ac:dyDescent="0.3">
      <c r="F113" s="4" t="s">
        <v>64</v>
      </c>
      <c r="G113" s="4">
        <v>0.23025711097557822</v>
      </c>
      <c r="H113" s="4">
        <v>0.14337857013543365</v>
      </c>
      <c r="I113" s="4">
        <v>1.6059381172380236</v>
      </c>
      <c r="J113" s="4">
        <v>0.15941057332752295</v>
      </c>
      <c r="K113" s="4">
        <v>-0.12057761148903462</v>
      </c>
      <c r="L113" s="4">
        <v>0.58109183344019111</v>
      </c>
      <c r="M113" s="4">
        <v>-0.12057761148903462</v>
      </c>
      <c r="N113" s="4">
        <v>0.58109183344019111</v>
      </c>
    </row>
    <row r="115" spans="1:14" x14ac:dyDescent="0.25">
      <c r="B115" t="s">
        <v>6</v>
      </c>
    </row>
    <row r="116" spans="1:14" x14ac:dyDescent="0.25">
      <c r="A116" t="s">
        <v>78</v>
      </c>
      <c r="B116" t="s">
        <v>79</v>
      </c>
      <c r="C116" t="s">
        <v>64</v>
      </c>
      <c r="D116" t="s">
        <v>23</v>
      </c>
      <c r="G116" t="s">
        <v>24</v>
      </c>
    </row>
    <row r="117" spans="1:14" ht="15.75" thickBot="1" x14ac:dyDescent="0.3">
      <c r="A117">
        <v>21.2</v>
      </c>
      <c r="B117">
        <v>4</v>
      </c>
      <c r="C117">
        <v>74</v>
      </c>
      <c r="D117">
        <v>0.84599999999999997</v>
      </c>
    </row>
    <row r="118" spans="1:14" x14ac:dyDescent="0.25">
      <c r="A118">
        <v>21.7</v>
      </c>
      <c r="B118">
        <v>16</v>
      </c>
      <c r="C118">
        <v>71</v>
      </c>
      <c r="D118">
        <v>0.76200000000000001</v>
      </c>
      <c r="G118" s="2" t="s">
        <v>27</v>
      </c>
      <c r="H118" s="2"/>
    </row>
    <row r="119" spans="1:14" x14ac:dyDescent="0.25">
      <c r="A119">
        <v>22.05</v>
      </c>
      <c r="B119">
        <v>15</v>
      </c>
      <c r="C119">
        <v>73</v>
      </c>
      <c r="D119">
        <v>0.60299999999999998</v>
      </c>
      <c r="G119" s="3" t="s">
        <v>28</v>
      </c>
      <c r="H119" s="3">
        <v>0.79766399989015779</v>
      </c>
    </row>
    <row r="120" spans="1:14" x14ac:dyDescent="0.25">
      <c r="A120">
        <v>22.55</v>
      </c>
      <c r="B120">
        <v>12</v>
      </c>
      <c r="C120">
        <v>74</v>
      </c>
      <c r="D120">
        <v>0.49</v>
      </c>
      <c r="G120" s="3" t="s">
        <v>30</v>
      </c>
      <c r="H120" s="3">
        <v>0.63626785672076569</v>
      </c>
    </row>
    <row r="121" spans="1:14" x14ac:dyDescent="0.25">
      <c r="A121">
        <v>21.43</v>
      </c>
      <c r="B121">
        <v>49</v>
      </c>
      <c r="C121">
        <v>75</v>
      </c>
      <c r="D121">
        <v>0.78300000000000003</v>
      </c>
      <c r="G121" s="3" t="s">
        <v>31</v>
      </c>
      <c r="H121" s="3">
        <v>0.45440178508114853</v>
      </c>
    </row>
    <row r="122" spans="1:14" x14ac:dyDescent="0.25">
      <c r="A122">
        <v>21.38</v>
      </c>
      <c r="B122">
        <v>5</v>
      </c>
      <c r="C122">
        <v>74</v>
      </c>
      <c r="D122">
        <v>0.84</v>
      </c>
      <c r="G122" s="3" t="s">
        <v>32</v>
      </c>
      <c r="H122" s="3">
        <v>9.8067350196449701E-2</v>
      </c>
    </row>
    <row r="123" spans="1:14" ht="15.75" thickBot="1" x14ac:dyDescent="0.3">
      <c r="A123">
        <v>22.35</v>
      </c>
      <c r="B123">
        <v>1</v>
      </c>
      <c r="C123">
        <v>73</v>
      </c>
      <c r="D123">
        <v>0.83</v>
      </c>
      <c r="G123" s="4" t="s">
        <v>33</v>
      </c>
      <c r="H123" s="4">
        <v>10</v>
      </c>
    </row>
    <row r="124" spans="1:14" x14ac:dyDescent="0.25">
      <c r="A124">
        <v>22.15</v>
      </c>
      <c r="B124">
        <v>14</v>
      </c>
      <c r="C124">
        <v>71</v>
      </c>
      <c r="D124">
        <v>0.71799999999999997</v>
      </c>
    </row>
    <row r="125" spans="1:14" ht="15.75" thickBot="1" x14ac:dyDescent="0.3">
      <c r="A125">
        <v>21.45</v>
      </c>
      <c r="B125">
        <v>2</v>
      </c>
      <c r="C125">
        <v>72</v>
      </c>
      <c r="D125">
        <v>0.81100000000000005</v>
      </c>
      <c r="G125" t="s">
        <v>34</v>
      </c>
    </row>
    <row r="126" spans="1:14" x14ac:dyDescent="0.25">
      <c r="A126">
        <v>21.1</v>
      </c>
      <c r="B126">
        <v>14</v>
      </c>
      <c r="C126">
        <v>74</v>
      </c>
      <c r="D126">
        <v>0.95399999999999996</v>
      </c>
      <c r="G126" s="5"/>
      <c r="H126" s="5" t="s">
        <v>35</v>
      </c>
      <c r="I126" s="5" t="s">
        <v>36</v>
      </c>
      <c r="J126" s="5" t="s">
        <v>37</v>
      </c>
      <c r="K126" s="5" t="s">
        <v>38</v>
      </c>
      <c r="L126" s="5" t="s">
        <v>39</v>
      </c>
    </row>
    <row r="127" spans="1:14" x14ac:dyDescent="0.25">
      <c r="G127" s="3" t="s">
        <v>40</v>
      </c>
      <c r="H127" s="3">
        <v>3</v>
      </c>
      <c r="I127" s="3">
        <v>0.10093886895268139</v>
      </c>
      <c r="J127" s="3">
        <v>3.36462896508938E-2</v>
      </c>
      <c r="K127" s="3">
        <v>3.4985517143713523</v>
      </c>
      <c r="L127" s="3">
        <v>8.9666009796635623E-2</v>
      </c>
    </row>
    <row r="128" spans="1:14" x14ac:dyDescent="0.25">
      <c r="G128" s="3" t="s">
        <v>41</v>
      </c>
      <c r="H128" s="3">
        <v>6</v>
      </c>
      <c r="I128" s="3">
        <v>5.7703231047318615E-2</v>
      </c>
      <c r="J128" s="3">
        <v>9.6172051745531031E-3</v>
      </c>
      <c r="K128" s="3"/>
      <c r="L128" s="3"/>
    </row>
    <row r="129" spans="1:15" ht="15.75" thickBot="1" x14ac:dyDescent="0.3">
      <c r="G129" s="4" t="s">
        <v>42</v>
      </c>
      <c r="H129" s="4">
        <v>9</v>
      </c>
      <c r="I129" s="4">
        <v>0.15864210000000001</v>
      </c>
      <c r="J129" s="4"/>
      <c r="K129" s="4"/>
      <c r="L129" s="4"/>
    </row>
    <row r="130" spans="1:15" ht="15.75" thickBot="1" x14ac:dyDescent="0.3"/>
    <row r="131" spans="1:15" x14ac:dyDescent="0.25">
      <c r="A131" t="s">
        <v>88</v>
      </c>
      <c r="B131" t="s">
        <v>89</v>
      </c>
      <c r="C131" t="s">
        <v>90</v>
      </c>
      <c r="D131" t="s">
        <v>82</v>
      </c>
      <c r="G131" s="5"/>
      <c r="H131" s="5" t="s">
        <v>43</v>
      </c>
      <c r="I131" s="5" t="s">
        <v>32</v>
      </c>
      <c r="J131" s="5" t="s">
        <v>44</v>
      </c>
      <c r="K131" s="5" t="s">
        <v>45</v>
      </c>
      <c r="L131" s="5" t="s">
        <v>46</v>
      </c>
      <c r="M131" s="5" t="s">
        <v>47</v>
      </c>
      <c r="N131" s="5" t="s">
        <v>48</v>
      </c>
      <c r="O131" s="5" t="s">
        <v>49</v>
      </c>
    </row>
    <row r="132" spans="1:15" x14ac:dyDescent="0.25">
      <c r="A132">
        <v>21.58</v>
      </c>
      <c r="B132">
        <v>8</v>
      </c>
      <c r="C132">
        <v>72</v>
      </c>
      <c r="D132">
        <f>H132+H133*A132+H134*B132+H135*C132</f>
        <v>0.81392800296203038</v>
      </c>
      <c r="G132" s="3" t="s">
        <v>50</v>
      </c>
      <c r="H132" s="3">
        <v>5.8992709491291819</v>
      </c>
      <c r="I132" s="3">
        <v>2.6981567369452155</v>
      </c>
      <c r="J132" s="3">
        <v>2.1864078051329909</v>
      </c>
      <c r="K132" s="3">
        <v>7.1427568236540617E-2</v>
      </c>
      <c r="L132" s="3">
        <v>-0.70288074674870593</v>
      </c>
      <c r="M132" s="3">
        <v>12.50142264500707</v>
      </c>
      <c r="N132" s="3">
        <v>-0.70288074674870593</v>
      </c>
      <c r="O132" s="3">
        <v>12.50142264500707</v>
      </c>
    </row>
    <row r="133" spans="1:15" x14ac:dyDescent="0.25">
      <c r="G133" s="3" t="s">
        <v>78</v>
      </c>
      <c r="H133" s="3">
        <v>-0.21268960479246063</v>
      </c>
      <c r="I133" s="3">
        <v>6.7488254674321707E-2</v>
      </c>
      <c r="J133" s="3">
        <v>-3.1515054851964619</v>
      </c>
      <c r="K133" s="3">
        <v>1.9776910283980889E-2</v>
      </c>
      <c r="L133" s="3">
        <v>-0.37782741496814831</v>
      </c>
      <c r="M133" s="3">
        <v>-4.7551794616772947E-2</v>
      </c>
      <c r="N133" s="3">
        <v>-0.37782741496814831</v>
      </c>
      <c r="O133" s="3">
        <v>-4.7551794616772947E-2</v>
      </c>
    </row>
    <row r="134" spans="1:15" x14ac:dyDescent="0.25">
      <c r="B134" t="s">
        <v>83</v>
      </c>
      <c r="G134" s="3" t="s">
        <v>79</v>
      </c>
      <c r="H134" s="3">
        <v>-1.8666169858229937E-3</v>
      </c>
      <c r="I134" s="3">
        <v>2.5136074560543542E-3</v>
      </c>
      <c r="J134" s="3">
        <v>-0.7426048094053036</v>
      </c>
      <c r="K134" s="3">
        <v>0.48576681577826097</v>
      </c>
      <c r="L134" s="3">
        <v>-8.0171928591687511E-3</v>
      </c>
      <c r="M134" s="3">
        <v>4.2839588875227645E-3</v>
      </c>
      <c r="N134" s="3">
        <v>-8.0171928591687511E-3</v>
      </c>
      <c r="O134" s="3">
        <v>4.2839588875227645E-3</v>
      </c>
    </row>
    <row r="135" spans="1:15" ht="15.75" thickBot="1" x14ac:dyDescent="0.3">
      <c r="B135" s="10">
        <v>8.7499999999999994E-2</v>
      </c>
      <c r="G135" s="4" t="s">
        <v>64</v>
      </c>
      <c r="H135" s="4">
        <v>-6.6745602619342759E-3</v>
      </c>
      <c r="I135" s="4">
        <v>2.6271592871931052E-2</v>
      </c>
      <c r="J135" s="4">
        <v>-0.25405997628204235</v>
      </c>
      <c r="K135" s="4">
        <v>0.80793167446800618</v>
      </c>
      <c r="L135" s="4">
        <v>-7.095883220871807E-2</v>
      </c>
      <c r="M135" s="4">
        <v>5.7609711684849518E-2</v>
      </c>
      <c r="N135" s="4">
        <v>-7.095883220871807E-2</v>
      </c>
      <c r="O135" s="4">
        <v>5.7609711684849518E-2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60" workbookViewId="0">
      <selection activeCell="Q77" sqref="Q77"/>
    </sheetView>
  </sheetViews>
  <sheetFormatPr defaultRowHeight="15" x14ac:dyDescent="0.25"/>
  <cols>
    <col min="1" max="1" width="14.7109375" customWidth="1"/>
    <col min="2" max="2" width="9.42578125" customWidth="1"/>
    <col min="3" max="3" width="11.140625" customWidth="1"/>
    <col min="4" max="4" width="12.85546875" customWidth="1"/>
    <col min="6" max="6" width="10.28515625" customWidth="1"/>
    <col min="8" max="8" width="10.7109375" customWidth="1"/>
    <col min="9" max="9" width="9.7109375" customWidth="1"/>
    <col min="11" max="11" width="7.140625" customWidth="1"/>
    <col min="12" max="12" width="17.7109375" customWidth="1"/>
  </cols>
  <sheetData>
    <row r="1" spans="1:13" x14ac:dyDescent="0.25">
      <c r="B1" t="s">
        <v>1</v>
      </c>
    </row>
    <row r="2" spans="1:13" x14ac:dyDescent="0.25">
      <c r="A2" t="s">
        <v>21</v>
      </c>
      <c r="B2" t="s">
        <v>79</v>
      </c>
      <c r="C2" t="s">
        <v>64</v>
      </c>
      <c r="D2" t="s">
        <v>23</v>
      </c>
      <c r="F2" t="s">
        <v>88</v>
      </c>
      <c r="G2" t="s">
        <v>89</v>
      </c>
      <c r="H2" t="s">
        <v>90</v>
      </c>
      <c r="I2" t="s">
        <v>82</v>
      </c>
      <c r="K2" s="6" t="s">
        <v>91</v>
      </c>
      <c r="L2" t="s">
        <v>92</v>
      </c>
      <c r="M2" t="s">
        <v>93</v>
      </c>
    </row>
    <row r="3" spans="1:13" x14ac:dyDescent="0.25">
      <c r="A3">
        <v>26.45</v>
      </c>
      <c r="B3">
        <v>469</v>
      </c>
      <c r="C3">
        <v>77</v>
      </c>
      <c r="D3">
        <v>0.73299999999999998</v>
      </c>
      <c r="F3">
        <v>27.73</v>
      </c>
      <c r="G3">
        <v>483</v>
      </c>
      <c r="H3">
        <v>73</v>
      </c>
      <c r="I3">
        <v>0.78200000000000003</v>
      </c>
      <c r="K3">
        <f>RANK(L3,$L$3:$L$12,1)</f>
        <v>2</v>
      </c>
      <c r="L3">
        <f>SQRT((Table4[[#This Row],[Temperature]]-$F$3)^2+(Table4[[#This Row],[rainfall]]-$G$3)^2+(Table4[[#This Row],[humidity]]-$H$3)^2)</f>
        <v>14.616374379441709</v>
      </c>
      <c r="M3">
        <f>D3</f>
        <v>0.73299999999999998</v>
      </c>
    </row>
    <row r="4" spans="1:13" x14ac:dyDescent="0.25">
      <c r="A4">
        <v>27.08</v>
      </c>
      <c r="B4">
        <v>396</v>
      </c>
      <c r="C4">
        <v>77</v>
      </c>
      <c r="D4">
        <v>0.53700000000000003</v>
      </c>
      <c r="K4">
        <f t="shared" ref="K4:K12" si="0">RANK(L4,$L$3:$L$12,1)</f>
        <v>5</v>
      </c>
      <c r="L4">
        <f>SQRT((Table4[[#This Row],[Temperature]]-$F$3)^2+(Table4[[#This Row],[rainfall]]-$G$3)^2+(Table4[[#This Row],[humidity]]-$H$3)^2)</f>
        <v>87.094331043989314</v>
      </c>
      <c r="M4">
        <f t="shared" ref="M4:M12" si="1">D4</f>
        <v>0.53700000000000003</v>
      </c>
    </row>
    <row r="5" spans="1:13" x14ac:dyDescent="0.25">
      <c r="A5">
        <v>26.5</v>
      </c>
      <c r="B5">
        <v>483</v>
      </c>
      <c r="C5">
        <v>79</v>
      </c>
      <c r="D5">
        <v>0.78200000000000003</v>
      </c>
      <c r="G5" t="s">
        <v>83</v>
      </c>
      <c r="K5">
        <f t="shared" si="0"/>
        <v>1</v>
      </c>
      <c r="L5">
        <f>SQRT((Table4[[#This Row],[Temperature]]-$F$3)^2+(Table4[[#This Row],[rainfall]]-$G$3)^2+(Table4[[#This Row],[humidity]]-$H$3)^2)</f>
        <v>6.1247775469807886</v>
      </c>
      <c r="M5">
        <f t="shared" si="1"/>
        <v>0.78200000000000003</v>
      </c>
    </row>
    <row r="6" spans="1:13" x14ac:dyDescent="0.25">
      <c r="A6">
        <v>27.13</v>
      </c>
      <c r="B6">
        <v>557</v>
      </c>
      <c r="C6">
        <v>75</v>
      </c>
      <c r="D6">
        <v>0.76300000000000001</v>
      </c>
      <c r="G6" s="10">
        <v>0.29160000000000003</v>
      </c>
      <c r="K6">
        <f t="shared" si="0"/>
        <v>4</v>
      </c>
      <c r="L6">
        <f>SQRT((Table4[[#This Row],[Temperature]]-$F$3)^2+(Table4[[#This Row],[rainfall]]-$G$3)^2+(Table4[[#This Row],[humidity]]-$H$3)^2)</f>
        <v>74.029453597875488</v>
      </c>
      <c r="M6">
        <f t="shared" si="1"/>
        <v>0.76300000000000001</v>
      </c>
    </row>
    <row r="7" spans="1:13" x14ac:dyDescent="0.25">
      <c r="A7">
        <v>26.58</v>
      </c>
      <c r="B7">
        <v>515</v>
      </c>
      <c r="C7">
        <v>76</v>
      </c>
      <c r="D7">
        <v>0.69699999999999995</v>
      </c>
      <c r="K7">
        <f t="shared" si="0"/>
        <v>3</v>
      </c>
      <c r="L7">
        <f>SQRT((Table4[[#This Row],[Temperature]]-$F$3)^2+(Table4[[#This Row],[rainfall]]-$G$3)^2+(Table4[[#This Row],[humidity]]-$H$3)^2)</f>
        <v>32.160884627136738</v>
      </c>
      <c r="M7">
        <f t="shared" si="1"/>
        <v>0.69699999999999995</v>
      </c>
    </row>
    <row r="8" spans="1:13" x14ac:dyDescent="0.25">
      <c r="A8">
        <v>27.2</v>
      </c>
      <c r="B8">
        <v>369</v>
      </c>
      <c r="C8">
        <v>77</v>
      </c>
      <c r="D8">
        <v>0.71299999999999997</v>
      </c>
      <c r="K8">
        <f t="shared" si="0"/>
        <v>8</v>
      </c>
      <c r="L8">
        <f>SQRT((Table4[[#This Row],[Temperature]]-$F$3)^2+(Table4[[#This Row],[rainfall]]-$G$3)^2+(Table4[[#This Row],[humidity]]-$H$3)^2)</f>
        <v>114.07138510599404</v>
      </c>
      <c r="M8">
        <f t="shared" si="1"/>
        <v>0.71299999999999997</v>
      </c>
    </row>
    <row r="9" spans="1:13" x14ac:dyDescent="0.25">
      <c r="A9">
        <v>27.55</v>
      </c>
      <c r="B9">
        <v>383</v>
      </c>
      <c r="C9">
        <v>74</v>
      </c>
      <c r="D9">
        <v>0.82699999999999996</v>
      </c>
      <c r="K9">
        <f t="shared" si="0"/>
        <v>6</v>
      </c>
      <c r="L9">
        <f>SQRT((Table4[[#This Row],[Temperature]]-$F$3)^2+(Table4[[#This Row],[rainfall]]-$G$3)^2+(Table4[[#This Row],[humidity]]-$H$3)^2)</f>
        <v>100.00516186677565</v>
      </c>
      <c r="M9">
        <f t="shared" si="1"/>
        <v>0.82699999999999996</v>
      </c>
    </row>
    <row r="10" spans="1:13" x14ac:dyDescent="0.25">
      <c r="A10">
        <v>26.9</v>
      </c>
      <c r="B10">
        <v>656</v>
      </c>
      <c r="C10">
        <v>78</v>
      </c>
      <c r="D10">
        <v>0.78900000000000003</v>
      </c>
      <c r="K10">
        <f t="shared" si="0"/>
        <v>9</v>
      </c>
      <c r="L10">
        <f>SQRT((Table4[[#This Row],[Temperature]]-$F$3)^2+(Table4[[#This Row],[rainfall]]-$G$3)^2+(Table4[[#This Row],[humidity]]-$H$3)^2)</f>
        <v>173.0742294508342</v>
      </c>
      <c r="M10">
        <f t="shared" si="1"/>
        <v>0.78900000000000003</v>
      </c>
    </row>
    <row r="11" spans="1:13" x14ac:dyDescent="0.25">
      <c r="A11">
        <v>27.35</v>
      </c>
      <c r="B11">
        <v>289</v>
      </c>
      <c r="C11">
        <v>75</v>
      </c>
      <c r="D11">
        <v>0.91400000000000003</v>
      </c>
      <c r="K11">
        <f t="shared" si="0"/>
        <v>10</v>
      </c>
      <c r="L11">
        <f>SQRT((Table4[[#This Row],[Temperature]]-$F$3)^2+(Table4[[#This Row],[rainfall]]-$G$3)^2+(Table4[[#This Row],[humidity]]-$H$3)^2)</f>
        <v>194.01068114926042</v>
      </c>
      <c r="M11">
        <f t="shared" si="1"/>
        <v>0.91400000000000003</v>
      </c>
    </row>
    <row r="12" spans="1:13" x14ac:dyDescent="0.25">
      <c r="A12">
        <v>26.9</v>
      </c>
      <c r="B12">
        <v>587</v>
      </c>
      <c r="C12">
        <v>76</v>
      </c>
      <c r="D12">
        <v>0.9</v>
      </c>
      <c r="K12">
        <f t="shared" si="0"/>
        <v>7</v>
      </c>
      <c r="L12">
        <f>SQRT((Table4[[#This Row],[Temperature]]-$F$3)^2+(Table4[[#This Row],[rainfall]]-$G$3)^2+(Table4[[#This Row],[humidity]]-$H$3)^2)</f>
        <v>104.04657082287719</v>
      </c>
      <c r="M12">
        <f t="shared" si="1"/>
        <v>0.9</v>
      </c>
    </row>
    <row r="15" spans="1:13" x14ac:dyDescent="0.25">
      <c r="B15" t="s">
        <v>2</v>
      </c>
    </row>
    <row r="16" spans="1:13" x14ac:dyDescent="0.25">
      <c r="A16" t="s">
        <v>78</v>
      </c>
      <c r="B16" t="s">
        <v>79</v>
      </c>
      <c r="C16" t="s">
        <v>64</v>
      </c>
      <c r="D16" t="s">
        <v>23</v>
      </c>
      <c r="F16" t="s">
        <v>88</v>
      </c>
      <c r="G16" t="s">
        <v>89</v>
      </c>
      <c r="H16" t="s">
        <v>90</v>
      </c>
      <c r="I16" t="s">
        <v>82</v>
      </c>
      <c r="K16" t="s">
        <v>91</v>
      </c>
      <c r="L16" t="s">
        <v>92</v>
      </c>
      <c r="M16" t="s">
        <v>93</v>
      </c>
    </row>
    <row r="17" spans="1:13" x14ac:dyDescent="0.25">
      <c r="A17">
        <v>28.88</v>
      </c>
      <c r="B17">
        <v>417</v>
      </c>
      <c r="C17">
        <v>85</v>
      </c>
      <c r="D17">
        <v>0.84299999999999997</v>
      </c>
      <c r="F17">
        <v>28.75</v>
      </c>
      <c r="G17">
        <v>471</v>
      </c>
      <c r="H17">
        <v>83</v>
      </c>
      <c r="I17">
        <v>0.96499999999999997</v>
      </c>
      <c r="K17">
        <f>RANK(L17,$L$17:$L$26,1)</f>
        <v>5</v>
      </c>
      <c r="L17">
        <f>SQRT((Table11[[#This Row],[temperature]]-$F$17)^2+(Table11[[#This Row],[rainfall]]-$G$17)^2+(Table11[[#This Row],[humidity]]-$H$17)^2)</f>
        <v>54.037180718464576</v>
      </c>
      <c r="M17">
        <f>Table11[[#This Row],[production]]</f>
        <v>0.84299999999999997</v>
      </c>
    </row>
    <row r="18" spans="1:13" x14ac:dyDescent="0.25">
      <c r="A18">
        <v>27.93</v>
      </c>
      <c r="B18">
        <v>663</v>
      </c>
      <c r="C18">
        <v>85</v>
      </c>
      <c r="D18">
        <v>0.78400000000000003</v>
      </c>
      <c r="K18">
        <f t="shared" ref="K18:K26" si="2">RANK(L18,$L$17:$L$26,1)</f>
        <v>10</v>
      </c>
      <c r="L18">
        <f>SQRT((Table11[[#This Row],[temperature]]-$F$17)^2+(Table11[[#This Row],[rainfall]]-$G$17)^2+(Table11[[#This Row],[humidity]]-$H$17)^2)</f>
        <v>192.01216732280275</v>
      </c>
      <c r="M18">
        <f>Table11[[#This Row],[production]]</f>
        <v>0.78400000000000003</v>
      </c>
    </row>
    <row r="19" spans="1:13" x14ac:dyDescent="0.25">
      <c r="A19">
        <v>28.77</v>
      </c>
      <c r="B19">
        <v>545</v>
      </c>
      <c r="C19">
        <v>85</v>
      </c>
      <c r="D19">
        <v>0.82599999999999996</v>
      </c>
      <c r="G19" t="s">
        <v>83</v>
      </c>
      <c r="K19">
        <f t="shared" si="2"/>
        <v>6</v>
      </c>
      <c r="L19">
        <f>SQRT((Table11[[#This Row],[temperature]]-$F$17)^2+(Table11[[#This Row],[rainfall]]-$G$17)^2+(Table11[[#This Row],[humidity]]-$H$17)^2)</f>
        <v>74.027024795003072</v>
      </c>
      <c r="M19">
        <f>Table11[[#This Row],[production]]</f>
        <v>0.82599999999999996</v>
      </c>
    </row>
    <row r="20" spans="1:13" x14ac:dyDescent="0.25">
      <c r="A20">
        <v>29.13</v>
      </c>
      <c r="B20">
        <v>305</v>
      </c>
      <c r="C20">
        <v>81</v>
      </c>
      <c r="D20">
        <v>0.82499999999999996</v>
      </c>
      <c r="G20" s="10">
        <v>5.11E-2</v>
      </c>
      <c r="K20">
        <f t="shared" si="2"/>
        <v>9</v>
      </c>
      <c r="L20">
        <f>SQRT((Table11[[#This Row],[temperature]]-$F$17)^2+(Table11[[#This Row],[rainfall]]-$G$17)^2+(Table11[[#This Row],[humidity]]-$H$17)^2)</f>
        <v>166.01248266320218</v>
      </c>
      <c r="M20">
        <f>Table11[[#This Row],[production]]</f>
        <v>0.82499999999999996</v>
      </c>
    </row>
    <row r="21" spans="1:13" x14ac:dyDescent="0.25">
      <c r="A21">
        <v>28.38</v>
      </c>
      <c r="B21">
        <v>525</v>
      </c>
      <c r="C21">
        <v>84</v>
      </c>
      <c r="D21">
        <v>0.77</v>
      </c>
      <c r="K21">
        <f t="shared" si="2"/>
        <v>4</v>
      </c>
      <c r="L21">
        <f>SQRT((Table11[[#This Row],[temperature]]-$F$17)^2+(Table11[[#This Row],[rainfall]]-$G$17)^2+(Table11[[#This Row],[humidity]]-$H$17)^2)</f>
        <v>54.010525825990619</v>
      </c>
      <c r="M21">
        <f>Table11[[#This Row],[production]]</f>
        <v>0.77</v>
      </c>
    </row>
    <row r="22" spans="1:13" x14ac:dyDescent="0.25">
      <c r="A22">
        <v>28.33</v>
      </c>
      <c r="B22">
        <v>455</v>
      </c>
      <c r="C22">
        <v>85</v>
      </c>
      <c r="D22">
        <v>0.89200000000000002</v>
      </c>
      <c r="K22">
        <f t="shared" si="2"/>
        <v>2</v>
      </c>
      <c r="L22">
        <f>SQRT((Table11[[#This Row],[temperature]]-$F$17)^2+(Table11[[#This Row],[rainfall]]-$G$17)^2+(Table11[[#This Row],[humidity]]-$H$17)^2)</f>
        <v>16.129984500922497</v>
      </c>
      <c r="M22">
        <f>Table11[[#This Row],[production]]</f>
        <v>0.89200000000000002</v>
      </c>
    </row>
    <row r="23" spans="1:13" x14ac:dyDescent="0.25">
      <c r="A23">
        <v>28.93</v>
      </c>
      <c r="B23">
        <v>433</v>
      </c>
      <c r="C23">
        <v>83</v>
      </c>
      <c r="D23">
        <v>0.98799999999999999</v>
      </c>
      <c r="K23">
        <f t="shared" si="2"/>
        <v>3</v>
      </c>
      <c r="L23">
        <f>SQRT((Table11[[#This Row],[temperature]]-$F$17)^2+(Table11[[#This Row],[rainfall]]-$G$17)^2+(Table11[[#This Row],[humidity]]-$H$17)^2)</f>
        <v>38.000426313398115</v>
      </c>
      <c r="M23">
        <f>Table11[[#This Row],[production]]</f>
        <v>0.98799999999999999</v>
      </c>
    </row>
    <row r="24" spans="1:13" x14ac:dyDescent="0.25">
      <c r="A24">
        <v>28.93</v>
      </c>
      <c r="B24">
        <v>564</v>
      </c>
      <c r="C24">
        <v>84</v>
      </c>
      <c r="D24">
        <v>0.98699999999999999</v>
      </c>
      <c r="K24">
        <f t="shared" si="2"/>
        <v>8</v>
      </c>
      <c r="L24">
        <f>SQRT((Table11[[#This Row],[temperature]]-$F$17)^2+(Table11[[#This Row],[rainfall]]-$G$17)^2+(Table11[[#This Row],[humidity]]-$H$17)^2)</f>
        <v>93.005550372007363</v>
      </c>
      <c r="M24">
        <f>Table11[[#This Row],[production]]</f>
        <v>0.98699999999999999</v>
      </c>
    </row>
    <row r="25" spans="1:13" x14ac:dyDescent="0.25">
      <c r="A25">
        <v>27.78</v>
      </c>
      <c r="B25">
        <v>485</v>
      </c>
      <c r="C25">
        <v>83</v>
      </c>
      <c r="D25">
        <v>0.96499999999999997</v>
      </c>
      <c r="K25">
        <f t="shared" si="2"/>
        <v>1</v>
      </c>
      <c r="L25">
        <f>SQRT((Table11[[#This Row],[temperature]]-$F$17)^2+(Table11[[#This Row],[rainfall]]-$G$17)^2+(Table11[[#This Row],[humidity]]-$H$17)^2)</f>
        <v>14.033563339366093</v>
      </c>
      <c r="M25">
        <f>Table11[[#This Row],[production]]</f>
        <v>0.96499999999999997</v>
      </c>
    </row>
    <row r="26" spans="1:13" x14ac:dyDescent="0.25">
      <c r="A26">
        <v>28.7</v>
      </c>
      <c r="B26">
        <v>550</v>
      </c>
      <c r="C26">
        <v>84</v>
      </c>
      <c r="D26">
        <v>0.873</v>
      </c>
      <c r="K26">
        <f t="shared" si="2"/>
        <v>7</v>
      </c>
      <c r="L26">
        <f>SQRT((Table11[[#This Row],[temperature]]-$F$17)^2+(Table11[[#This Row],[rainfall]]-$G$17)^2+(Table11[[#This Row],[humidity]]-$H$17)^2)</f>
        <v>79.006344681930443</v>
      </c>
      <c r="M26">
        <f>Table11[[#This Row],[production]]</f>
        <v>0.873</v>
      </c>
    </row>
    <row r="29" spans="1:13" x14ac:dyDescent="0.25">
      <c r="B29" t="s">
        <v>3</v>
      </c>
    </row>
    <row r="30" spans="1:13" x14ac:dyDescent="0.25">
      <c r="A30" t="s">
        <v>78</v>
      </c>
      <c r="B30" t="s">
        <v>79</v>
      </c>
      <c r="C30" t="s">
        <v>64</v>
      </c>
      <c r="D30" t="s">
        <v>23</v>
      </c>
      <c r="F30" t="s">
        <v>88</v>
      </c>
      <c r="G30" t="s">
        <v>89</v>
      </c>
      <c r="H30" t="s">
        <v>90</v>
      </c>
      <c r="I30" t="s">
        <v>82</v>
      </c>
      <c r="K30" t="s">
        <v>91</v>
      </c>
      <c r="L30" t="s">
        <v>92</v>
      </c>
      <c r="M30" t="s">
        <v>93</v>
      </c>
    </row>
    <row r="31" spans="1:13" x14ac:dyDescent="0.25">
      <c r="A31">
        <v>21.2</v>
      </c>
      <c r="B31">
        <v>4</v>
      </c>
      <c r="C31">
        <v>74</v>
      </c>
      <c r="D31">
        <v>0.99</v>
      </c>
      <c r="F31">
        <v>21.58</v>
      </c>
      <c r="G31">
        <v>8</v>
      </c>
      <c r="H31">
        <v>72</v>
      </c>
      <c r="I31">
        <v>0.90900000000000003</v>
      </c>
      <c r="K31">
        <f>RANK(L31,$L$31:$L$40,1)</f>
        <v>2</v>
      </c>
      <c r="L31">
        <f>SQRT((Table13[[#This Row],[temperature]]-$F$31)^2+(Table13[[#This Row],[rainfall]]-$G$31)^2+(Table13[[#This Row],[humidity]]-$H$31)^2)</f>
        <v>4.4882513298611073</v>
      </c>
      <c r="M31">
        <f>Table13[[#This Row],[production]]</f>
        <v>0.99</v>
      </c>
    </row>
    <row r="32" spans="1:13" x14ac:dyDescent="0.25">
      <c r="A32">
        <v>21.7</v>
      </c>
      <c r="B32">
        <v>16</v>
      </c>
      <c r="C32">
        <v>71</v>
      </c>
      <c r="D32">
        <v>1.0940000000000001</v>
      </c>
      <c r="K32">
        <f t="shared" ref="K32:K40" si="3">RANK(L32,$L$31:$L$40,1)</f>
        <v>9</v>
      </c>
      <c r="L32">
        <f>SQRT((Table13[[#This Row],[temperature]]-$F$31)^2+(Table13[[#This Row],[rainfall]]-$G$31)^2+(Table13[[#This Row],[humidity]]-$H$31)^2)</f>
        <v>8.0631507489318341</v>
      </c>
      <c r="M32">
        <f>Table13[[#This Row],[production]]</f>
        <v>1.0940000000000001</v>
      </c>
    </row>
    <row r="33" spans="1:13" x14ac:dyDescent="0.25">
      <c r="A33">
        <v>22.05</v>
      </c>
      <c r="B33">
        <v>15</v>
      </c>
      <c r="C33">
        <v>73</v>
      </c>
      <c r="D33">
        <v>1.0840000000000001</v>
      </c>
      <c r="G33" t="s">
        <v>83</v>
      </c>
      <c r="K33">
        <f t="shared" si="3"/>
        <v>7</v>
      </c>
      <c r="L33">
        <f>SQRT((Table13[[#This Row],[temperature]]-$F$31)^2+(Table13[[#This Row],[rainfall]]-$G$31)^2+(Table13[[#This Row],[humidity]]-$H$31)^2)</f>
        <v>7.0866705863896344</v>
      </c>
      <c r="M33">
        <f>Table13[[#This Row],[production]]</f>
        <v>1.0840000000000001</v>
      </c>
    </row>
    <row r="34" spans="1:13" x14ac:dyDescent="0.25">
      <c r="A34">
        <v>22.55</v>
      </c>
      <c r="B34">
        <v>12</v>
      </c>
      <c r="C34">
        <v>74</v>
      </c>
      <c r="D34">
        <v>0.80800000000000005</v>
      </c>
      <c r="G34" s="10">
        <v>0.223</v>
      </c>
      <c r="K34">
        <f t="shared" si="3"/>
        <v>3</v>
      </c>
      <c r="L34">
        <f>SQRT((Table13[[#This Row],[temperature]]-$F$31)^2+(Table13[[#This Row],[rainfall]]-$G$31)^2+(Table13[[#This Row],[humidity]]-$H$31)^2)</f>
        <v>4.576122813037256</v>
      </c>
      <c r="M34">
        <f>Table13[[#This Row],[production]]</f>
        <v>0.80800000000000005</v>
      </c>
    </row>
    <row r="35" spans="1:13" x14ac:dyDescent="0.25">
      <c r="A35">
        <v>21.43</v>
      </c>
      <c r="B35">
        <v>49</v>
      </c>
      <c r="C35">
        <v>75</v>
      </c>
      <c r="D35">
        <v>0.96899999999999997</v>
      </c>
      <c r="K35">
        <f t="shared" si="3"/>
        <v>10</v>
      </c>
      <c r="L35">
        <f>SQRT((Table13[[#This Row],[temperature]]-$F$31)^2+(Table13[[#This Row],[rainfall]]-$G$31)^2+(Table13[[#This Row],[humidity]]-$H$31)^2)</f>
        <v>41.109883239921757</v>
      </c>
      <c r="M35">
        <f>Table13[[#This Row],[production]]</f>
        <v>0.96899999999999997</v>
      </c>
    </row>
    <row r="36" spans="1:13" x14ac:dyDescent="0.25">
      <c r="A36">
        <v>21.38</v>
      </c>
      <c r="B36">
        <v>5</v>
      </c>
      <c r="C36">
        <v>74</v>
      </c>
      <c r="D36">
        <v>0.90900000000000003</v>
      </c>
      <c r="K36">
        <f t="shared" si="3"/>
        <v>1</v>
      </c>
      <c r="L36">
        <f>SQRT((Table13[[#This Row],[temperature]]-$F$31)^2+(Table13[[#This Row],[rainfall]]-$G$31)^2+(Table13[[#This Row],[humidity]]-$H$31)^2)</f>
        <v>3.6110940170535577</v>
      </c>
      <c r="M36">
        <f>Table13[[#This Row],[production]]</f>
        <v>0.90900000000000003</v>
      </c>
    </row>
    <row r="37" spans="1:13" x14ac:dyDescent="0.25">
      <c r="A37">
        <v>22.35</v>
      </c>
      <c r="B37">
        <v>1</v>
      </c>
      <c r="C37">
        <v>73</v>
      </c>
      <c r="D37">
        <v>1.165</v>
      </c>
      <c r="K37">
        <f t="shared" si="3"/>
        <v>8</v>
      </c>
      <c r="L37">
        <f>SQRT((Table13[[#This Row],[temperature]]-$F$31)^2+(Table13[[#This Row],[rainfall]]-$G$31)^2+(Table13[[#This Row],[humidity]]-$H$31)^2)</f>
        <v>7.1128686196217634</v>
      </c>
      <c r="M37">
        <f>Table13[[#This Row],[production]]</f>
        <v>1.165</v>
      </c>
    </row>
    <row r="38" spans="1:13" x14ac:dyDescent="0.25">
      <c r="A38">
        <v>22.15</v>
      </c>
      <c r="B38">
        <v>14</v>
      </c>
      <c r="C38">
        <v>71</v>
      </c>
      <c r="D38">
        <v>1.2150000000000001</v>
      </c>
      <c r="K38">
        <f t="shared" si="3"/>
        <v>5</v>
      </c>
      <c r="L38">
        <f>SQRT((Table13[[#This Row],[temperature]]-$F$31)^2+(Table13[[#This Row],[rainfall]]-$G$31)^2+(Table13[[#This Row],[humidity]]-$H$31)^2)</f>
        <v>6.1094107735525522</v>
      </c>
      <c r="M38">
        <f>Table13[[#This Row],[production]]</f>
        <v>1.2150000000000001</v>
      </c>
    </row>
    <row r="39" spans="1:13" x14ac:dyDescent="0.25">
      <c r="A39">
        <v>21.45</v>
      </c>
      <c r="B39">
        <v>2</v>
      </c>
      <c r="C39">
        <v>72</v>
      </c>
      <c r="D39">
        <v>1.1259999999999999</v>
      </c>
      <c r="K39">
        <f t="shared" si="3"/>
        <v>4</v>
      </c>
      <c r="L39">
        <f>SQRT((Table13[[#This Row],[temperature]]-$F$31)^2+(Table13[[#This Row],[rainfall]]-$G$31)^2+(Table13[[#This Row],[humidity]]-$H$31)^2)</f>
        <v>6.0014081680885525</v>
      </c>
      <c r="M39">
        <f>Table13[[#This Row],[production]]</f>
        <v>1.1259999999999999</v>
      </c>
    </row>
    <row r="40" spans="1:13" x14ac:dyDescent="0.25">
      <c r="A40">
        <v>21.1</v>
      </c>
      <c r="B40">
        <v>14</v>
      </c>
      <c r="C40">
        <v>74</v>
      </c>
      <c r="D40">
        <v>1.2330000000000001</v>
      </c>
      <c r="K40">
        <f t="shared" si="3"/>
        <v>6</v>
      </c>
      <c r="L40">
        <f>SQRT((Table13[[#This Row],[temperature]]-$F$31)^2+(Table13[[#This Row],[rainfall]]-$G$31)^2+(Table13[[#This Row],[humidity]]-$H$31)^2)</f>
        <v>6.3427438857327347</v>
      </c>
      <c r="M40">
        <f>Table13[[#This Row],[production]]</f>
        <v>1.2330000000000001</v>
      </c>
    </row>
    <row r="43" spans="1:13" x14ac:dyDescent="0.25">
      <c r="B43" t="s">
        <v>53</v>
      </c>
    </row>
    <row r="44" spans="1:13" x14ac:dyDescent="0.25">
      <c r="A44" t="s">
        <v>21</v>
      </c>
      <c r="B44" t="s">
        <v>79</v>
      </c>
      <c r="C44" t="s">
        <v>64</v>
      </c>
      <c r="D44" t="s">
        <v>23</v>
      </c>
      <c r="F44" t="s">
        <v>88</v>
      </c>
      <c r="G44" t="s">
        <v>89</v>
      </c>
      <c r="H44" t="s">
        <v>90</v>
      </c>
      <c r="I44" t="s">
        <v>82</v>
      </c>
      <c r="K44" t="s">
        <v>91</v>
      </c>
      <c r="L44" t="s">
        <v>92</v>
      </c>
      <c r="M44" t="s">
        <v>93</v>
      </c>
    </row>
    <row r="45" spans="1:13" x14ac:dyDescent="0.25">
      <c r="A45">
        <v>26.45</v>
      </c>
      <c r="B45">
        <v>469</v>
      </c>
      <c r="C45">
        <v>77</v>
      </c>
      <c r="D45">
        <v>2.99</v>
      </c>
      <c r="F45">
        <v>27.73</v>
      </c>
      <c r="G45">
        <v>483</v>
      </c>
      <c r="H45">
        <v>73</v>
      </c>
      <c r="I45">
        <v>3.032</v>
      </c>
      <c r="K45">
        <f>RANK(L45,$L$45:$L$54,1)</f>
        <v>2</v>
      </c>
      <c r="L45">
        <f>SQRT((Table16[[#This Row],[Temperature]]-$F$45)^2+(Table16[[#This Row],[rainfall]]-$G$45)^2+(Table16[[#This Row],[humidity]]-$H$45)^2)</f>
        <v>14.616374379441709</v>
      </c>
      <c r="M45">
        <f>Table16[[#This Row],[production]]</f>
        <v>2.99</v>
      </c>
    </row>
    <row r="46" spans="1:13" x14ac:dyDescent="0.25">
      <c r="A46">
        <v>27.08</v>
      </c>
      <c r="B46">
        <v>396</v>
      </c>
      <c r="C46">
        <v>77</v>
      </c>
      <c r="D46">
        <v>2.99</v>
      </c>
      <c r="K46">
        <f t="shared" ref="K46:K54" si="4">RANK(L46,$L$45:$L$54,1)</f>
        <v>5</v>
      </c>
      <c r="L46">
        <f>SQRT((Table16[[#This Row],[Temperature]]-$F$45)^2+(Table16[[#This Row],[rainfall]]-$G$45)^2+(Table16[[#This Row],[humidity]]-$H$45)^2)</f>
        <v>87.094331043989314</v>
      </c>
      <c r="M46">
        <f>Table16[[#This Row],[production]]</f>
        <v>2.99</v>
      </c>
    </row>
    <row r="47" spans="1:13" x14ac:dyDescent="0.25">
      <c r="A47">
        <v>26.5</v>
      </c>
      <c r="B47">
        <v>483</v>
      </c>
      <c r="C47">
        <v>79</v>
      </c>
      <c r="D47">
        <v>3.032</v>
      </c>
      <c r="G47" t="s">
        <v>83</v>
      </c>
      <c r="K47">
        <f t="shared" si="4"/>
        <v>1</v>
      </c>
      <c r="L47">
        <f>SQRT((Table16[[#This Row],[Temperature]]-$F$45)^2+(Table16[[#This Row],[rainfall]]-$G$45)^2+(Table16[[#This Row],[humidity]]-$H$45)^2)</f>
        <v>6.1247775469807886</v>
      </c>
      <c r="M47">
        <f>Table16[[#This Row],[production]]</f>
        <v>3.032</v>
      </c>
    </row>
    <row r="48" spans="1:13" x14ac:dyDescent="0.25">
      <c r="A48">
        <v>27.13</v>
      </c>
      <c r="B48">
        <v>557</v>
      </c>
      <c r="C48">
        <v>75</v>
      </c>
      <c r="D48">
        <v>3.1059999999999999</v>
      </c>
      <c r="G48" s="10">
        <v>0.10100000000000001</v>
      </c>
      <c r="K48">
        <f t="shared" si="4"/>
        <v>4</v>
      </c>
      <c r="L48">
        <f>SQRT((Table16[[#This Row],[Temperature]]-$F$45)^2+(Table16[[#This Row],[rainfall]]-$G$45)^2+(Table16[[#This Row],[humidity]]-$H$45)^2)</f>
        <v>74.029453597875488</v>
      </c>
      <c r="M48">
        <f>Table16[[#This Row],[production]]</f>
        <v>3.1059999999999999</v>
      </c>
    </row>
    <row r="49" spans="1:13" x14ac:dyDescent="0.25">
      <c r="A49">
        <v>26.58</v>
      </c>
      <c r="B49">
        <v>515</v>
      </c>
      <c r="C49">
        <v>76</v>
      </c>
      <c r="D49">
        <v>3.306</v>
      </c>
      <c r="K49">
        <f t="shared" si="4"/>
        <v>3</v>
      </c>
      <c r="L49">
        <f>SQRT((Table16[[#This Row],[Temperature]]-$F$45)^2+(Table16[[#This Row],[rainfall]]-$G$45)^2+(Table16[[#This Row],[humidity]]-$H$45)^2)</f>
        <v>32.160884627136738</v>
      </c>
      <c r="M49">
        <f>Table16[[#This Row],[production]]</f>
        <v>3.306</v>
      </c>
    </row>
    <row r="50" spans="1:13" x14ac:dyDescent="0.25">
      <c r="A50">
        <v>27.2</v>
      </c>
      <c r="B50">
        <v>369</v>
      </c>
      <c r="C50">
        <v>77</v>
      </c>
      <c r="D50">
        <v>3.133</v>
      </c>
      <c r="K50">
        <f t="shared" si="4"/>
        <v>8</v>
      </c>
      <c r="L50">
        <f>SQRT((Table16[[#This Row],[Temperature]]-$F$45)^2+(Table16[[#This Row],[rainfall]]-$G$45)^2+(Table16[[#This Row],[humidity]]-$H$45)^2)</f>
        <v>114.07138510599404</v>
      </c>
      <c r="M50">
        <f>Table16[[#This Row],[production]]</f>
        <v>3.133</v>
      </c>
    </row>
    <row r="51" spans="1:13" x14ac:dyDescent="0.25">
      <c r="A51">
        <v>27.55</v>
      </c>
      <c r="B51">
        <v>383</v>
      </c>
      <c r="C51">
        <v>74</v>
      </c>
      <c r="D51">
        <v>3.012</v>
      </c>
      <c r="K51">
        <f t="shared" si="4"/>
        <v>6</v>
      </c>
      <c r="L51">
        <f>SQRT((Table16[[#This Row],[Temperature]]-$F$45)^2+(Table16[[#This Row],[rainfall]]-$G$45)^2+(Table16[[#This Row],[humidity]]-$H$45)^2)</f>
        <v>100.00516186677565</v>
      </c>
      <c r="M51">
        <f>Table16[[#This Row],[production]]</f>
        <v>3.012</v>
      </c>
    </row>
    <row r="52" spans="1:13" x14ac:dyDescent="0.25">
      <c r="A52">
        <v>26.9</v>
      </c>
      <c r="B52">
        <v>656</v>
      </c>
      <c r="C52">
        <v>78</v>
      </c>
      <c r="D52">
        <v>3.01</v>
      </c>
      <c r="K52">
        <f t="shared" si="4"/>
        <v>9</v>
      </c>
      <c r="L52">
        <f>SQRT((Table16[[#This Row],[Temperature]]-$F$45)^2+(Table16[[#This Row],[rainfall]]-$G$45)^2+(Table16[[#This Row],[humidity]]-$H$45)^2)</f>
        <v>173.0742294508342</v>
      </c>
      <c r="M52">
        <f>Table16[[#This Row],[production]]</f>
        <v>3.01</v>
      </c>
    </row>
    <row r="53" spans="1:13" x14ac:dyDescent="0.25">
      <c r="A53">
        <v>27.35</v>
      </c>
      <c r="B53">
        <v>289</v>
      </c>
      <c r="C53">
        <v>75</v>
      </c>
      <c r="D53">
        <v>3.19</v>
      </c>
      <c r="K53">
        <f t="shared" si="4"/>
        <v>10</v>
      </c>
      <c r="L53">
        <f>SQRT((Table16[[#This Row],[Temperature]]-$F$45)^2+(Table16[[#This Row],[rainfall]]-$G$45)^2+(Table16[[#This Row],[humidity]]-$H$45)^2)</f>
        <v>194.01068114926042</v>
      </c>
      <c r="M53">
        <f>Table16[[#This Row],[production]]</f>
        <v>3.19</v>
      </c>
    </row>
    <row r="54" spans="1:13" x14ac:dyDescent="0.25">
      <c r="A54">
        <v>26.9</v>
      </c>
      <c r="B54">
        <v>587</v>
      </c>
      <c r="C54">
        <v>76</v>
      </c>
      <c r="D54">
        <v>3.3730000000000002</v>
      </c>
      <c r="K54">
        <f t="shared" si="4"/>
        <v>7</v>
      </c>
      <c r="L54">
        <f>SQRT((Table16[[#This Row],[Temperature]]-$F$45)^2+(Table16[[#This Row],[rainfall]]-$G$45)^2+(Table16[[#This Row],[humidity]]-$H$45)^2)</f>
        <v>104.04657082287719</v>
      </c>
      <c r="M54">
        <f>Table16[[#This Row],[production]]</f>
        <v>3.3730000000000002</v>
      </c>
    </row>
    <row r="57" spans="1:13" x14ac:dyDescent="0.25">
      <c r="B57" t="s">
        <v>86</v>
      </c>
    </row>
    <row r="58" spans="1:13" x14ac:dyDescent="0.25">
      <c r="A58" t="s">
        <v>78</v>
      </c>
      <c r="B58" t="s">
        <v>79</v>
      </c>
      <c r="C58" t="s">
        <v>64</v>
      </c>
      <c r="D58" t="s">
        <v>23</v>
      </c>
      <c r="F58" t="s">
        <v>88</v>
      </c>
      <c r="G58" t="s">
        <v>89</v>
      </c>
      <c r="H58" t="s">
        <v>90</v>
      </c>
      <c r="I58" t="s">
        <v>82</v>
      </c>
      <c r="K58" t="s">
        <v>91</v>
      </c>
      <c r="L58" t="s">
        <v>92</v>
      </c>
      <c r="M58" t="s">
        <v>93</v>
      </c>
    </row>
    <row r="59" spans="1:13" x14ac:dyDescent="0.25">
      <c r="A59">
        <v>21.2</v>
      </c>
      <c r="B59">
        <v>4</v>
      </c>
      <c r="C59">
        <v>74</v>
      </c>
      <c r="D59">
        <v>3.883</v>
      </c>
      <c r="F59">
        <v>21.58</v>
      </c>
      <c r="G59">
        <v>8</v>
      </c>
      <c r="H59">
        <v>72</v>
      </c>
      <c r="I59">
        <v>5.3150000000000004</v>
      </c>
      <c r="K59">
        <f>RANK(L59,$L$59:$L$68,1)</f>
        <v>2</v>
      </c>
      <c r="L59">
        <f>SQRT((Table17[[#This Row],[temperature]]-$F$59)^2+(Table17[[#This Row],[rainfall]]-$G$59)^2+(Table17[[#This Row],[humidity]]-$H$59)^2)</f>
        <v>4.4882513298611073</v>
      </c>
      <c r="M59">
        <f>Table17[[#This Row],[production]]</f>
        <v>3.883</v>
      </c>
    </row>
    <row r="60" spans="1:13" x14ac:dyDescent="0.25">
      <c r="A60">
        <v>21.7</v>
      </c>
      <c r="B60">
        <v>16</v>
      </c>
      <c r="C60">
        <v>71</v>
      </c>
      <c r="D60">
        <v>3.883</v>
      </c>
      <c r="K60">
        <f t="shared" ref="K60:K68" si="5">RANK(L60,$L$59:$L$68,1)</f>
        <v>9</v>
      </c>
      <c r="L60">
        <f>SQRT((Table17[[#This Row],[temperature]]-$F$59)^2+(Table17[[#This Row],[rainfall]]-$G$59)^2+(Table17[[#This Row],[humidity]]-$H$59)^2)</f>
        <v>8.0631507489318341</v>
      </c>
      <c r="M60">
        <f>Table17[[#This Row],[production]]</f>
        <v>3.883</v>
      </c>
    </row>
    <row r="61" spans="1:13" x14ac:dyDescent="0.25">
      <c r="A61">
        <v>22.05</v>
      </c>
      <c r="B61">
        <v>15</v>
      </c>
      <c r="C61">
        <v>73</v>
      </c>
      <c r="D61">
        <v>4.1500000000000004</v>
      </c>
      <c r="G61" t="s">
        <v>83</v>
      </c>
      <c r="K61">
        <f t="shared" si="5"/>
        <v>7</v>
      </c>
      <c r="L61">
        <f>SQRT((Table17[[#This Row],[temperature]]-$F$59)^2+(Table17[[#This Row],[rainfall]]-$G$59)^2+(Table17[[#This Row],[humidity]]-$H$59)^2)</f>
        <v>7.0866705863896344</v>
      </c>
      <c r="M61">
        <f>Table17[[#This Row],[production]]</f>
        <v>4.1500000000000004</v>
      </c>
    </row>
    <row r="62" spans="1:13" x14ac:dyDescent="0.25">
      <c r="A62">
        <v>22.55</v>
      </c>
      <c r="B62">
        <v>12</v>
      </c>
      <c r="C62">
        <v>74</v>
      </c>
      <c r="D62">
        <v>4.4039999999999999</v>
      </c>
      <c r="G62" s="10">
        <v>0.22800000000000001</v>
      </c>
      <c r="K62">
        <f t="shared" si="5"/>
        <v>3</v>
      </c>
      <c r="L62">
        <f>SQRT((Table17[[#This Row],[temperature]]-$F$59)^2+(Table17[[#This Row],[rainfall]]-$G$59)^2+(Table17[[#This Row],[humidity]]-$H$59)^2)</f>
        <v>4.576122813037256</v>
      </c>
      <c r="M62">
        <f>Table17[[#This Row],[production]]</f>
        <v>4.4039999999999999</v>
      </c>
    </row>
    <row r="63" spans="1:13" x14ac:dyDescent="0.25">
      <c r="A63">
        <v>21.43</v>
      </c>
      <c r="B63">
        <v>49</v>
      </c>
      <c r="C63">
        <v>75</v>
      </c>
      <c r="D63">
        <v>4.4189999999999996</v>
      </c>
      <c r="K63">
        <f t="shared" si="5"/>
        <v>10</v>
      </c>
      <c r="L63">
        <f>SQRT((Table17[[#This Row],[temperature]]-$F$59)^2+(Table17[[#This Row],[rainfall]]-$G$59)^2+(Table17[[#This Row],[humidity]]-$H$59)^2)</f>
        <v>41.109883239921757</v>
      </c>
      <c r="M63">
        <f>Table17[[#This Row],[production]]</f>
        <v>4.4189999999999996</v>
      </c>
    </row>
    <row r="64" spans="1:13" x14ac:dyDescent="0.25">
      <c r="A64">
        <v>21.38</v>
      </c>
      <c r="B64">
        <v>5</v>
      </c>
      <c r="C64">
        <v>74</v>
      </c>
      <c r="D64">
        <v>5.3150000000000004</v>
      </c>
      <c r="K64">
        <f t="shared" si="5"/>
        <v>1</v>
      </c>
      <c r="L64">
        <f>SQRT((Table17[[#This Row],[temperature]]-$F$59)^2+(Table17[[#This Row],[rainfall]]-$G$59)^2+(Table17[[#This Row],[humidity]]-$H$59)^2)</f>
        <v>3.6110940170535577</v>
      </c>
      <c r="M64">
        <f>Table17[[#This Row],[production]]</f>
        <v>5.3150000000000004</v>
      </c>
    </row>
    <row r="65" spans="1:13" x14ac:dyDescent="0.25">
      <c r="A65">
        <v>22.35</v>
      </c>
      <c r="B65">
        <v>1</v>
      </c>
      <c r="C65">
        <v>73</v>
      </c>
      <c r="D65">
        <v>5.3330000000000002</v>
      </c>
      <c r="K65">
        <f t="shared" si="5"/>
        <v>8</v>
      </c>
      <c r="L65">
        <f>SQRT((Table17[[#This Row],[temperature]]-$F$59)^2+(Table17[[#This Row],[rainfall]]-$G$59)^2+(Table17[[#This Row],[humidity]]-$H$59)^2)</f>
        <v>7.1128686196217634</v>
      </c>
      <c r="M65">
        <f>Table17[[#This Row],[production]]</f>
        <v>5.3330000000000002</v>
      </c>
    </row>
    <row r="66" spans="1:13" x14ac:dyDescent="0.25">
      <c r="A66">
        <v>22.15</v>
      </c>
      <c r="B66">
        <v>14</v>
      </c>
      <c r="C66">
        <v>71</v>
      </c>
      <c r="D66">
        <v>4.0780000000000003</v>
      </c>
      <c r="K66">
        <f t="shared" si="5"/>
        <v>5</v>
      </c>
      <c r="L66">
        <f>SQRT((Table17[[#This Row],[temperature]]-$F$59)^2+(Table17[[#This Row],[rainfall]]-$G$59)^2+(Table17[[#This Row],[humidity]]-$H$59)^2)</f>
        <v>6.1094107735525522</v>
      </c>
      <c r="M66">
        <f>Table17[[#This Row],[production]]</f>
        <v>4.0780000000000003</v>
      </c>
    </row>
    <row r="67" spans="1:13" x14ac:dyDescent="0.25">
      <c r="A67">
        <v>21.45</v>
      </c>
      <c r="B67">
        <v>2</v>
      </c>
      <c r="C67">
        <v>72</v>
      </c>
      <c r="D67">
        <v>3.988</v>
      </c>
      <c r="K67">
        <f t="shared" si="5"/>
        <v>4</v>
      </c>
      <c r="L67">
        <f>SQRT((Table17[[#This Row],[temperature]]-$F$59)^2+(Table17[[#This Row],[rainfall]]-$G$59)^2+(Table17[[#This Row],[humidity]]-$H$59)^2)</f>
        <v>6.0014081680885525</v>
      </c>
      <c r="M67">
        <f>Table17[[#This Row],[production]]</f>
        <v>3.988</v>
      </c>
    </row>
    <row r="68" spans="1:13" x14ac:dyDescent="0.25">
      <c r="A68">
        <v>21.1</v>
      </c>
      <c r="B68">
        <v>14</v>
      </c>
      <c r="C68">
        <v>74</v>
      </c>
      <c r="D68">
        <v>4.4649999999999999</v>
      </c>
      <c r="K68">
        <f t="shared" si="5"/>
        <v>6</v>
      </c>
      <c r="L68">
        <f>SQRT((Table17[[#This Row],[temperature]]-$F$59)^2+(Table17[[#This Row],[rainfall]]-$G$59)^2+(Table17[[#This Row],[humidity]]-$H$59)^2)</f>
        <v>6.3427438857327347</v>
      </c>
      <c r="M68">
        <f>Table17[[#This Row],[production]]</f>
        <v>4.4649999999999999</v>
      </c>
    </row>
    <row r="71" spans="1:13" x14ac:dyDescent="0.25">
      <c r="B71" t="s">
        <v>6</v>
      </c>
    </row>
    <row r="72" spans="1:13" x14ac:dyDescent="0.25">
      <c r="A72" t="s">
        <v>78</v>
      </c>
      <c r="B72" t="s">
        <v>79</v>
      </c>
      <c r="C72" t="s">
        <v>64</v>
      </c>
      <c r="D72" t="s">
        <v>23</v>
      </c>
      <c r="F72" t="s">
        <v>88</v>
      </c>
      <c r="G72" t="s">
        <v>89</v>
      </c>
      <c r="H72" t="s">
        <v>90</v>
      </c>
      <c r="I72" t="s">
        <v>82</v>
      </c>
      <c r="K72" t="s">
        <v>91</v>
      </c>
      <c r="L72" t="s">
        <v>92</v>
      </c>
      <c r="M72" t="s">
        <v>93</v>
      </c>
    </row>
    <row r="73" spans="1:13" x14ac:dyDescent="0.25">
      <c r="A73">
        <v>21.2</v>
      </c>
      <c r="B73">
        <v>4</v>
      </c>
      <c r="C73">
        <v>74</v>
      </c>
      <c r="D73">
        <v>0.84599999999999997</v>
      </c>
      <c r="F73">
        <v>21.58</v>
      </c>
      <c r="G73">
        <v>8</v>
      </c>
      <c r="H73">
        <v>72</v>
      </c>
      <c r="I73">
        <v>0.84</v>
      </c>
      <c r="K73">
        <f>RANK(L73,$L$73:$L$82,1)</f>
        <v>2</v>
      </c>
      <c r="L73">
        <f>SQRT((Table18[[#This Row],[temperature]]-$F$73)^2+(Table18[[#This Row],[rainfall]]-$G$73)^2+(Table18[[#This Row],[humidity]]-$H$73)^2)</f>
        <v>4.4882513298611073</v>
      </c>
      <c r="M73">
        <f>Table18[[#This Row],[production]]</f>
        <v>0.84599999999999997</v>
      </c>
    </row>
    <row r="74" spans="1:13" x14ac:dyDescent="0.25">
      <c r="A74">
        <v>21.7</v>
      </c>
      <c r="B74">
        <v>16</v>
      </c>
      <c r="C74">
        <v>71</v>
      </c>
      <c r="D74">
        <v>0.76200000000000001</v>
      </c>
      <c r="K74">
        <f t="shared" ref="K74:K82" si="6">RANK(L74,$L$73:$L$82,1)</f>
        <v>9</v>
      </c>
      <c r="L74">
        <f>SQRT((Table18[[#This Row],[temperature]]-$F$73)^2+(Table18[[#This Row],[rainfall]]-$G$73)^2+(Table18[[#This Row],[humidity]]-$H$73)^2)</f>
        <v>8.0631507489318341</v>
      </c>
      <c r="M74">
        <f>Table18[[#This Row],[production]]</f>
        <v>0.76200000000000001</v>
      </c>
    </row>
    <row r="75" spans="1:13" x14ac:dyDescent="0.25">
      <c r="A75">
        <v>22.05</v>
      </c>
      <c r="B75">
        <v>15</v>
      </c>
      <c r="C75">
        <v>73</v>
      </c>
      <c r="D75">
        <v>0.60299999999999998</v>
      </c>
      <c r="G75" t="s">
        <v>83</v>
      </c>
      <c r="K75">
        <f t="shared" si="6"/>
        <v>7</v>
      </c>
      <c r="L75">
        <f>SQRT((Table18[[#This Row],[temperature]]-$F$73)^2+(Table18[[#This Row],[rainfall]]-$G$73)^2+(Table18[[#This Row],[humidity]]-$H$73)^2)</f>
        <v>7.0866705863896344</v>
      </c>
      <c r="M75">
        <f>Table18[[#This Row],[production]]</f>
        <v>0.60299999999999998</v>
      </c>
    </row>
    <row r="76" spans="1:13" x14ac:dyDescent="0.25">
      <c r="A76">
        <v>22.55</v>
      </c>
      <c r="B76">
        <v>12</v>
      </c>
      <c r="C76">
        <v>74</v>
      </c>
      <c r="D76">
        <v>0.49</v>
      </c>
      <c r="G76" s="10">
        <v>5.8200000000000002E-2</v>
      </c>
      <c r="K76">
        <f t="shared" si="6"/>
        <v>3</v>
      </c>
      <c r="L76">
        <f>SQRT((Table18[[#This Row],[temperature]]-$F$73)^2+(Table18[[#This Row],[rainfall]]-$G$73)^2+(Table18[[#This Row],[humidity]]-$H$73)^2)</f>
        <v>4.576122813037256</v>
      </c>
      <c r="M76">
        <f>Table18[[#This Row],[production]]</f>
        <v>0.49</v>
      </c>
    </row>
    <row r="77" spans="1:13" x14ac:dyDescent="0.25">
      <c r="A77">
        <v>21.43</v>
      </c>
      <c r="B77">
        <v>49</v>
      </c>
      <c r="C77">
        <v>75</v>
      </c>
      <c r="D77">
        <v>0.78300000000000003</v>
      </c>
      <c r="K77">
        <f t="shared" si="6"/>
        <v>10</v>
      </c>
      <c r="L77">
        <f>SQRT((Table18[[#This Row],[temperature]]-$F$73)^2+(Table18[[#This Row],[rainfall]]-$G$73)^2+(Table18[[#This Row],[humidity]]-$H$73)^2)</f>
        <v>41.109883239921757</v>
      </c>
      <c r="M77">
        <f>Table18[[#This Row],[production]]</f>
        <v>0.78300000000000003</v>
      </c>
    </row>
    <row r="78" spans="1:13" x14ac:dyDescent="0.25">
      <c r="A78">
        <v>21.38</v>
      </c>
      <c r="B78">
        <v>5</v>
      </c>
      <c r="C78">
        <v>74</v>
      </c>
      <c r="D78">
        <v>0.84</v>
      </c>
      <c r="K78">
        <f t="shared" si="6"/>
        <v>1</v>
      </c>
      <c r="L78">
        <f>SQRT((Table18[[#This Row],[temperature]]-$F$73)^2+(Table18[[#This Row],[rainfall]]-$G$73)^2+(Table18[[#This Row],[humidity]]-$H$73)^2)</f>
        <v>3.6110940170535577</v>
      </c>
      <c r="M78">
        <f>Table18[[#This Row],[production]]</f>
        <v>0.84</v>
      </c>
    </row>
    <row r="79" spans="1:13" x14ac:dyDescent="0.25">
      <c r="A79">
        <v>22.35</v>
      </c>
      <c r="B79">
        <v>1</v>
      </c>
      <c r="C79">
        <v>73</v>
      </c>
      <c r="D79">
        <v>0.83</v>
      </c>
      <c r="K79">
        <f t="shared" si="6"/>
        <v>8</v>
      </c>
      <c r="L79">
        <f>SQRT((Table18[[#This Row],[temperature]]-$F$73)^2+(Table18[[#This Row],[rainfall]]-$G$73)^2+(Table18[[#This Row],[humidity]]-$H$73)^2)</f>
        <v>7.1128686196217634</v>
      </c>
      <c r="M79">
        <f>Table18[[#This Row],[production]]</f>
        <v>0.83</v>
      </c>
    </row>
    <row r="80" spans="1:13" x14ac:dyDescent="0.25">
      <c r="A80">
        <v>22.15</v>
      </c>
      <c r="B80">
        <v>14</v>
      </c>
      <c r="C80">
        <v>71</v>
      </c>
      <c r="D80">
        <v>0.71799999999999997</v>
      </c>
      <c r="K80">
        <f t="shared" si="6"/>
        <v>5</v>
      </c>
      <c r="L80">
        <f>SQRT((Table18[[#This Row],[temperature]]-$F$73)^2+(Table18[[#This Row],[rainfall]]-$G$73)^2+(Table18[[#This Row],[humidity]]-$H$73)^2)</f>
        <v>6.1094107735525522</v>
      </c>
      <c r="M80">
        <f>Table18[[#This Row],[production]]</f>
        <v>0.71799999999999997</v>
      </c>
    </row>
    <row r="81" spans="1:13" x14ac:dyDescent="0.25">
      <c r="A81">
        <v>21.45</v>
      </c>
      <c r="B81">
        <v>2</v>
      </c>
      <c r="C81">
        <v>72</v>
      </c>
      <c r="D81">
        <v>0.81100000000000005</v>
      </c>
      <c r="K81">
        <f t="shared" si="6"/>
        <v>4</v>
      </c>
      <c r="L81">
        <f>SQRT((Table18[[#This Row],[temperature]]-$F$73)^2+(Table18[[#This Row],[rainfall]]-$G$73)^2+(Table18[[#This Row],[humidity]]-$H$73)^2)</f>
        <v>6.0014081680885525</v>
      </c>
      <c r="M81">
        <f>Table18[[#This Row],[production]]</f>
        <v>0.81100000000000005</v>
      </c>
    </row>
    <row r="82" spans="1:13" x14ac:dyDescent="0.25">
      <c r="A82">
        <v>21.1</v>
      </c>
      <c r="B82">
        <v>14</v>
      </c>
      <c r="C82">
        <v>74</v>
      </c>
      <c r="D82">
        <v>0.95399999999999996</v>
      </c>
      <c r="K82">
        <f t="shared" si="6"/>
        <v>6</v>
      </c>
      <c r="L82">
        <f>SQRT((Table18[[#This Row],[temperature]]-$F$73)^2+(Table18[[#This Row],[rainfall]]-$G$73)^2+(Table18[[#This Row],[humidity]]-$H$73)^2)</f>
        <v>6.3427438857327347</v>
      </c>
      <c r="M82">
        <f>Table18[[#This Row],[production]]</f>
        <v>0.95399999999999996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DATA</vt:lpstr>
      <vt:lpstr>jessore MLR</vt:lpstr>
      <vt:lpstr>Jessore KNN</vt:lpstr>
      <vt:lpstr>data final</vt:lpstr>
      <vt:lpstr>Dhaka MLR</vt:lpstr>
      <vt:lpstr>Dhaka KNN</vt:lpstr>
      <vt:lpstr>Dinajpur MLR</vt:lpstr>
      <vt:lpstr>Sylhet MLR</vt:lpstr>
      <vt:lpstr>sylhet KNN</vt:lpstr>
      <vt:lpstr>COMILLA MLR</vt:lpstr>
      <vt:lpstr>Faridpur KNN</vt:lpstr>
      <vt:lpstr>Dinajpur KNNR</vt:lpstr>
      <vt:lpstr>Faridpur MLR</vt:lpstr>
      <vt:lpstr>comilla KNN</vt:lpstr>
      <vt:lpstr> Mymensingh MLR</vt:lpstr>
      <vt:lpstr>DATA2</vt:lpstr>
      <vt:lpstr>COMILLA</vt:lpstr>
      <vt:lpstr>Mymensingh KNN</vt:lpstr>
      <vt:lpstr>SYLHET</vt:lpstr>
      <vt:lpstr>DHAKA</vt:lpstr>
      <vt:lpstr>FARIDPUR</vt:lpstr>
      <vt:lpstr>Mymensingh</vt:lpstr>
      <vt:lpstr>dinajpur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NAZMUL-ISLAM</dc:creator>
  <cp:lastModifiedBy>nhnayon</cp:lastModifiedBy>
  <dcterms:created xsi:type="dcterms:W3CDTF">2018-07-24T16:31:46Z</dcterms:created>
  <dcterms:modified xsi:type="dcterms:W3CDTF">2019-03-26T08:08:26Z</dcterms:modified>
</cp:coreProperties>
</file>