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2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drawings/drawing3.xml" ContentType="application/vnd.openxmlformats-officedocument.drawing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5040" yWindow="2940" windowWidth="29240" windowHeight="17400" tabRatio="670" activeTab="1"/>
  </bookViews>
  <sheets>
    <sheet name="Req-traceability" sheetId="9" r:id="rId1"/>
    <sheet name="Individual components" sheetId="1" r:id="rId2"/>
    <sheet name="Imaging" sheetId="3" r:id="rId3"/>
    <sheet name="Spectroscopy" sheetId="2" r:id="rId4"/>
    <sheet name="SOW6-Requirement" sheetId="5" r:id="rId5"/>
    <sheet name="All bands figures" sheetId="4" r:id="rId6"/>
    <sheet name="Tablas auxiliares" sheetId="6" r:id="rId7"/>
    <sheet name="ImagingA" sheetId="7" r:id="rId8"/>
    <sheet name="SpectroscopyA" sheetId="8" r:id="rId9"/>
  </sheets>
  <definedNames>
    <definedName name="_xlnm._FilterDatabase" localSheetId="1" hidden="1">'Individual components'!$A$2:$B$236</definedName>
    <definedName name="_xlnm.Print_Area" localSheetId="5">'All bands figures'!$A:$I</definedName>
    <definedName name="_xlnm.Print_Area" localSheetId="2">Imaging!$G$126:$N$164</definedName>
    <definedName name="_xlnm.Print_Area" localSheetId="4">'SOW6-Requirement'!$H$16:$Q$26</definedName>
    <definedName name="_xlnm.Print_Area" localSheetId="3">Spectroscopy!$G$144:$M$163</definedName>
    <definedName name="_xlnm.Print_Area" localSheetId="6">'Tablas auxiliares'!$F$18:$O$25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63" i="1" l="1"/>
  <c r="B90" i="3"/>
  <c r="B84" i="7"/>
  <c r="D159" i="2"/>
  <c r="D120" i="2"/>
  <c r="D84" i="2"/>
  <c r="D41" i="2"/>
  <c r="D20" i="2"/>
  <c r="B20" i="2"/>
  <c r="B157" i="3"/>
  <c r="B160" i="3"/>
  <c r="B136" i="3"/>
  <c r="B139" i="3"/>
  <c r="C117" i="3"/>
  <c r="C120" i="3"/>
  <c r="B117" i="3"/>
  <c r="B120" i="3"/>
  <c r="B98" i="3"/>
  <c r="B101" i="3"/>
  <c r="F84" i="3"/>
  <c r="E84" i="3"/>
  <c r="B84" i="3"/>
  <c r="B61" i="3"/>
  <c r="B40" i="3"/>
  <c r="C20" i="3"/>
  <c r="D80" i="3"/>
  <c r="D84" i="3"/>
  <c r="C80" i="3"/>
  <c r="C84" i="3"/>
  <c r="G7" i="5"/>
  <c r="E146" i="3"/>
  <c r="M156" i="8"/>
  <c r="L156" i="8"/>
  <c r="J156" i="8"/>
  <c r="I156" i="8"/>
  <c r="G156" i="8"/>
  <c r="F156" i="8"/>
  <c r="D156" i="8"/>
  <c r="C156" i="8"/>
  <c r="M136" i="8"/>
  <c r="L136" i="8"/>
  <c r="J136" i="8"/>
  <c r="I136" i="8"/>
  <c r="G136" i="8"/>
  <c r="F136" i="8"/>
  <c r="D136" i="8"/>
  <c r="C136" i="8"/>
  <c r="M117" i="8"/>
  <c r="L117" i="8"/>
  <c r="J117" i="8"/>
  <c r="I117" i="8"/>
  <c r="G117" i="8"/>
  <c r="F117" i="8"/>
  <c r="D117" i="8"/>
  <c r="C117" i="8"/>
  <c r="F99" i="2"/>
  <c r="N99" i="8"/>
  <c r="M99" i="8"/>
  <c r="L99" i="8"/>
  <c r="J99" i="8"/>
  <c r="I99" i="8"/>
  <c r="G99" i="8"/>
  <c r="F99" i="8"/>
  <c r="D99" i="8"/>
  <c r="C99" i="8"/>
  <c r="M80" i="8"/>
  <c r="L80" i="8"/>
  <c r="J80" i="8"/>
  <c r="I80" i="8"/>
  <c r="G80" i="8"/>
  <c r="F80" i="8"/>
  <c r="D80" i="8"/>
  <c r="C80" i="8"/>
  <c r="M58" i="8"/>
  <c r="L58" i="8"/>
  <c r="J58" i="8"/>
  <c r="I58" i="8"/>
  <c r="G58" i="8"/>
  <c r="F58" i="8"/>
  <c r="D58" i="8"/>
  <c r="C58" i="8"/>
  <c r="M37" i="8"/>
  <c r="L37" i="8"/>
  <c r="J37" i="8"/>
  <c r="I37" i="8"/>
  <c r="G37" i="8"/>
  <c r="F37" i="8"/>
  <c r="D37" i="8"/>
  <c r="C37" i="8"/>
  <c r="M16" i="8"/>
  <c r="L16" i="8"/>
  <c r="J16" i="8"/>
  <c r="I16" i="8"/>
  <c r="G16" i="8"/>
  <c r="F16" i="8"/>
  <c r="D16" i="8"/>
  <c r="C16" i="8"/>
  <c r="B60" i="2"/>
  <c r="B60" i="8"/>
  <c r="C60" i="2"/>
  <c r="E60" i="8"/>
  <c r="C60" i="8"/>
  <c r="C62" i="8"/>
  <c r="B62" i="8"/>
  <c r="D60" i="2"/>
  <c r="H60" i="8"/>
  <c r="F60" i="8"/>
  <c r="F62" i="8"/>
  <c r="B38" i="3"/>
  <c r="B38" i="7"/>
  <c r="C38" i="3"/>
  <c r="E38" i="7"/>
  <c r="D38" i="7"/>
  <c r="D40" i="7"/>
  <c r="D43" i="1"/>
  <c r="E43" i="1"/>
  <c r="F43" i="1"/>
  <c r="G43" i="1"/>
  <c r="D40" i="1"/>
  <c r="E40" i="1"/>
  <c r="F40" i="1"/>
  <c r="G40" i="1"/>
  <c r="D37" i="1"/>
  <c r="E37" i="1"/>
  <c r="F37" i="1"/>
  <c r="G37" i="1"/>
  <c r="D34" i="1"/>
  <c r="E34" i="1"/>
  <c r="F34" i="1"/>
  <c r="G34" i="1"/>
  <c r="D31" i="1"/>
  <c r="E31" i="1"/>
  <c r="F31" i="1"/>
  <c r="G31" i="1"/>
  <c r="D28" i="1"/>
  <c r="E28" i="1"/>
  <c r="F28" i="1"/>
  <c r="G28" i="1"/>
  <c r="D25" i="1"/>
  <c r="E25" i="1"/>
  <c r="F25" i="1"/>
  <c r="G25" i="1"/>
  <c r="H25" i="1"/>
  <c r="I25" i="1"/>
  <c r="J25" i="1"/>
  <c r="K25" i="1"/>
  <c r="D22" i="1"/>
  <c r="E22" i="1"/>
  <c r="F22" i="1"/>
  <c r="G22" i="1"/>
  <c r="H22" i="1"/>
  <c r="I22" i="1"/>
  <c r="J22" i="1"/>
  <c r="K22" i="1"/>
  <c r="D19" i="1"/>
  <c r="E19" i="1"/>
  <c r="F19" i="1"/>
  <c r="G19" i="1"/>
  <c r="H19" i="1"/>
  <c r="I19" i="1"/>
  <c r="J19" i="1"/>
  <c r="K19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I169" i="1"/>
  <c r="I166" i="1"/>
  <c r="D49" i="1"/>
  <c r="E49" i="1"/>
  <c r="D46" i="1"/>
  <c r="E46" i="1"/>
  <c r="I172" i="1"/>
  <c r="G160" i="1"/>
  <c r="E160" i="1"/>
  <c r="G154" i="1"/>
  <c r="C154" i="1"/>
  <c r="E157" i="1"/>
  <c r="I160" i="1"/>
  <c r="I157" i="1"/>
  <c r="I154" i="1"/>
  <c r="I151" i="1"/>
  <c r="F160" i="1"/>
  <c r="D160" i="1"/>
  <c r="C160" i="1"/>
  <c r="G157" i="1"/>
  <c r="F157" i="1"/>
  <c r="D157" i="1"/>
  <c r="C157" i="1"/>
  <c r="D154" i="1"/>
  <c r="F154" i="1"/>
  <c r="E154" i="1"/>
  <c r="C151" i="1"/>
  <c r="D151" i="1"/>
  <c r="G151" i="1"/>
  <c r="F151" i="1"/>
  <c r="E151" i="1"/>
  <c r="G172" i="1"/>
  <c r="F172" i="1"/>
  <c r="E172" i="1"/>
  <c r="D172" i="1"/>
  <c r="C172" i="1"/>
  <c r="G169" i="1"/>
  <c r="F169" i="1"/>
  <c r="E169" i="1"/>
  <c r="D169" i="1"/>
  <c r="C169" i="1"/>
  <c r="G166" i="1"/>
  <c r="F166" i="1"/>
  <c r="C166" i="1"/>
  <c r="D166" i="1"/>
  <c r="E166" i="1"/>
  <c r="J166" i="1"/>
  <c r="C163" i="1"/>
  <c r="I163" i="1"/>
  <c r="D163" i="1"/>
  <c r="F163" i="1"/>
  <c r="E163" i="1"/>
  <c r="D70" i="1"/>
  <c r="E70" i="1"/>
  <c r="F70" i="1"/>
  <c r="G70" i="1"/>
  <c r="D67" i="1"/>
  <c r="E67" i="1"/>
  <c r="F67" i="1"/>
  <c r="G67" i="1"/>
  <c r="D64" i="1"/>
  <c r="E64" i="1"/>
  <c r="F64" i="1"/>
  <c r="G64" i="1"/>
  <c r="D61" i="1"/>
  <c r="E61" i="1"/>
  <c r="F61" i="1"/>
  <c r="G61" i="1"/>
  <c r="D58" i="1"/>
  <c r="E58" i="1"/>
  <c r="F58" i="1"/>
  <c r="G58" i="1"/>
  <c r="D55" i="1"/>
  <c r="E55" i="1"/>
  <c r="F55" i="1"/>
  <c r="G55" i="1"/>
  <c r="D52" i="1"/>
  <c r="E52" i="1"/>
  <c r="F52" i="1"/>
  <c r="G52" i="1"/>
  <c r="H52" i="1"/>
  <c r="I52" i="1"/>
  <c r="J52" i="1"/>
  <c r="K52" i="1"/>
  <c r="L52" i="1"/>
  <c r="F49" i="1"/>
  <c r="G49" i="1"/>
  <c r="H49" i="1"/>
  <c r="I49" i="1"/>
  <c r="J49" i="1"/>
  <c r="K49" i="1"/>
  <c r="L49" i="1"/>
  <c r="F46" i="1"/>
  <c r="G46" i="1"/>
  <c r="H46" i="1"/>
  <c r="I46" i="1"/>
  <c r="J46" i="1"/>
  <c r="K46" i="1"/>
  <c r="L46" i="1"/>
  <c r="D39" i="2"/>
  <c r="D30" i="2"/>
  <c r="D33" i="2"/>
  <c r="D35" i="2"/>
  <c r="D36" i="2"/>
  <c r="D26" i="2"/>
  <c r="D27" i="2"/>
  <c r="D28" i="2"/>
  <c r="D29" i="2"/>
  <c r="D31" i="2"/>
  <c r="D32" i="2"/>
  <c r="D34" i="2"/>
  <c r="D37" i="2"/>
  <c r="D38" i="2"/>
  <c r="D40" i="2"/>
  <c r="D148" i="3"/>
  <c r="D150" i="3"/>
  <c r="D153" i="3"/>
  <c r="D146" i="3"/>
  <c r="D147" i="3"/>
  <c r="J124" i="1"/>
  <c r="D149" i="3"/>
  <c r="D151" i="3"/>
  <c r="D152" i="3"/>
  <c r="D154" i="3"/>
  <c r="D155" i="3"/>
  <c r="D156" i="3"/>
  <c r="D157" i="3"/>
  <c r="D158" i="3"/>
  <c r="D159" i="3"/>
  <c r="D160" i="3"/>
  <c r="C148" i="3"/>
  <c r="C150" i="3"/>
  <c r="C153" i="3"/>
  <c r="C146" i="3"/>
  <c r="C147" i="3"/>
  <c r="I124" i="1"/>
  <c r="C149" i="3"/>
  <c r="C151" i="3"/>
  <c r="C152" i="3"/>
  <c r="C154" i="3"/>
  <c r="C155" i="3"/>
  <c r="C156" i="3"/>
  <c r="C157" i="3"/>
  <c r="C158" i="3"/>
  <c r="C159" i="3"/>
  <c r="C160" i="3"/>
  <c r="G11" i="5"/>
  <c r="F98" i="2"/>
  <c r="E98" i="2"/>
  <c r="D98" i="2"/>
  <c r="C98" i="2"/>
  <c r="B98" i="2"/>
  <c r="F101" i="2"/>
  <c r="N101" i="8"/>
  <c r="E101" i="2"/>
  <c r="K101" i="8"/>
  <c r="M101" i="8"/>
  <c r="L101" i="8"/>
  <c r="D101" i="2"/>
  <c r="H101" i="8"/>
  <c r="J101" i="8"/>
  <c r="I101" i="8"/>
  <c r="C101" i="2"/>
  <c r="E101" i="8"/>
  <c r="G101" i="8"/>
  <c r="F101" i="8"/>
  <c r="B101" i="2"/>
  <c r="B101" i="8"/>
  <c r="D101" i="8"/>
  <c r="C101" i="8"/>
  <c r="F100" i="2"/>
  <c r="N100" i="8"/>
  <c r="E100" i="2"/>
  <c r="K100" i="8"/>
  <c r="M100" i="8"/>
  <c r="L100" i="8"/>
  <c r="D100" i="2"/>
  <c r="H100" i="8"/>
  <c r="J100" i="8"/>
  <c r="I100" i="8"/>
  <c r="C100" i="2"/>
  <c r="E100" i="8"/>
  <c r="G100" i="8"/>
  <c r="F100" i="8"/>
  <c r="B100" i="2"/>
  <c r="B100" i="8"/>
  <c r="D100" i="8"/>
  <c r="C100" i="8"/>
  <c r="E99" i="2"/>
  <c r="K99" i="8"/>
  <c r="D99" i="2"/>
  <c r="H99" i="8"/>
  <c r="C99" i="2"/>
  <c r="E99" i="8"/>
  <c r="B99" i="2"/>
  <c r="B99" i="8"/>
  <c r="N98" i="8"/>
  <c r="K98" i="8"/>
  <c r="M98" i="8"/>
  <c r="L98" i="8"/>
  <c r="H98" i="8"/>
  <c r="J98" i="8"/>
  <c r="I98" i="8"/>
  <c r="E98" i="8"/>
  <c r="G98" i="8"/>
  <c r="F98" i="8"/>
  <c r="B98" i="8"/>
  <c r="D98" i="8"/>
  <c r="C98" i="8"/>
  <c r="F97" i="2"/>
  <c r="N97" i="8"/>
  <c r="E97" i="2"/>
  <c r="K97" i="8"/>
  <c r="M97" i="8"/>
  <c r="L97" i="8"/>
  <c r="D97" i="2"/>
  <c r="H97" i="8"/>
  <c r="J97" i="8"/>
  <c r="I97" i="8"/>
  <c r="C97" i="2"/>
  <c r="E97" i="8"/>
  <c r="G97" i="8"/>
  <c r="F97" i="8"/>
  <c r="B97" i="2"/>
  <c r="B97" i="8"/>
  <c r="D97" i="8"/>
  <c r="C97" i="8"/>
  <c r="F96" i="2"/>
  <c r="N96" i="8"/>
  <c r="E96" i="2"/>
  <c r="K96" i="8"/>
  <c r="M96" i="8"/>
  <c r="L96" i="8"/>
  <c r="D96" i="2"/>
  <c r="H96" i="8"/>
  <c r="J96" i="8"/>
  <c r="I96" i="8"/>
  <c r="C96" i="2"/>
  <c r="E96" i="8"/>
  <c r="G96" i="8"/>
  <c r="F96" i="8"/>
  <c r="B96" i="2"/>
  <c r="B96" i="8"/>
  <c r="D96" i="8"/>
  <c r="C96" i="8"/>
  <c r="F95" i="2"/>
  <c r="N95" i="8"/>
  <c r="E95" i="2"/>
  <c r="K95" i="8"/>
  <c r="M95" i="8"/>
  <c r="L95" i="8"/>
  <c r="D95" i="2"/>
  <c r="H95" i="8"/>
  <c r="J95" i="8"/>
  <c r="I95" i="8"/>
  <c r="C95" i="2"/>
  <c r="E95" i="8"/>
  <c r="G95" i="8"/>
  <c r="F95" i="8"/>
  <c r="B95" i="2"/>
  <c r="B95" i="8"/>
  <c r="D95" i="8"/>
  <c r="C95" i="8"/>
  <c r="F94" i="2"/>
  <c r="N94" i="8"/>
  <c r="E94" i="2"/>
  <c r="K94" i="8"/>
  <c r="M94" i="8"/>
  <c r="L94" i="8"/>
  <c r="D94" i="2"/>
  <c r="H94" i="8"/>
  <c r="J94" i="8"/>
  <c r="I94" i="8"/>
  <c r="C94" i="2"/>
  <c r="E94" i="8"/>
  <c r="G94" i="8"/>
  <c r="F94" i="8"/>
  <c r="B94" i="2"/>
  <c r="B94" i="8"/>
  <c r="D94" i="8"/>
  <c r="C94" i="8"/>
  <c r="G121" i="1"/>
  <c r="F93" i="2"/>
  <c r="N93" i="8"/>
  <c r="F121" i="1"/>
  <c r="E93" i="2"/>
  <c r="K93" i="8"/>
  <c r="M93" i="8"/>
  <c r="L93" i="8"/>
  <c r="E121" i="1"/>
  <c r="D93" i="2"/>
  <c r="H93" i="8"/>
  <c r="J93" i="8"/>
  <c r="I93" i="8"/>
  <c r="D121" i="1"/>
  <c r="C93" i="2"/>
  <c r="E93" i="8"/>
  <c r="G93" i="8"/>
  <c r="F93" i="8"/>
  <c r="C121" i="1"/>
  <c r="B93" i="2"/>
  <c r="B93" i="8"/>
  <c r="D93" i="8"/>
  <c r="C93" i="8"/>
  <c r="F92" i="2"/>
  <c r="N92" i="8"/>
  <c r="E92" i="2"/>
  <c r="K92" i="8"/>
  <c r="M92" i="8"/>
  <c r="L92" i="8"/>
  <c r="D92" i="2"/>
  <c r="H92" i="8"/>
  <c r="J92" i="8"/>
  <c r="I92" i="8"/>
  <c r="C92" i="2"/>
  <c r="E92" i="8"/>
  <c r="G92" i="8"/>
  <c r="F92" i="8"/>
  <c r="B92" i="2"/>
  <c r="B92" i="8"/>
  <c r="D92" i="8"/>
  <c r="C92" i="8"/>
  <c r="M10" i="1"/>
  <c r="F91" i="2"/>
  <c r="N91" i="8"/>
  <c r="L10" i="1"/>
  <c r="E91" i="2"/>
  <c r="K91" i="8"/>
  <c r="M91" i="8"/>
  <c r="L91" i="8"/>
  <c r="K10" i="1"/>
  <c r="D91" i="2"/>
  <c r="H91" i="8"/>
  <c r="J91" i="8"/>
  <c r="I91" i="8"/>
  <c r="J10" i="1"/>
  <c r="C91" i="2"/>
  <c r="E91" i="8"/>
  <c r="G91" i="8"/>
  <c r="F91" i="8"/>
  <c r="I10" i="1"/>
  <c r="B91" i="2"/>
  <c r="B91" i="8"/>
  <c r="D91" i="8"/>
  <c r="C91" i="8"/>
  <c r="F90" i="2"/>
  <c r="N90" i="8"/>
  <c r="E90" i="2"/>
  <c r="K90" i="8"/>
  <c r="M90" i="8"/>
  <c r="L90" i="8"/>
  <c r="D90" i="2"/>
  <c r="H90" i="8"/>
  <c r="J90" i="8"/>
  <c r="I90" i="8"/>
  <c r="C90" i="2"/>
  <c r="E90" i="8"/>
  <c r="G90" i="8"/>
  <c r="F90" i="8"/>
  <c r="B90" i="2"/>
  <c r="B90" i="8"/>
  <c r="D90" i="8"/>
  <c r="C90" i="8"/>
  <c r="F135" i="2"/>
  <c r="N135" i="8"/>
  <c r="E135" i="2"/>
  <c r="K135" i="8"/>
  <c r="M135" i="8"/>
  <c r="L135" i="8"/>
  <c r="D135" i="2"/>
  <c r="H135" i="8"/>
  <c r="J135" i="8"/>
  <c r="I135" i="8"/>
  <c r="C135" i="2"/>
  <c r="E135" i="8"/>
  <c r="G135" i="8"/>
  <c r="F135" i="8"/>
  <c r="B135" i="2"/>
  <c r="B135" i="8"/>
  <c r="D135" i="8"/>
  <c r="C135" i="8"/>
  <c r="F136" i="3"/>
  <c r="N136" i="7"/>
  <c r="E136" i="3"/>
  <c r="K136" i="7"/>
  <c r="M136" i="7"/>
  <c r="L136" i="7"/>
  <c r="D136" i="3"/>
  <c r="H136" i="7"/>
  <c r="J136" i="7"/>
  <c r="I136" i="7"/>
  <c r="C136" i="3"/>
  <c r="E136" i="7"/>
  <c r="G136" i="7"/>
  <c r="F136" i="7"/>
  <c r="B136" i="7"/>
  <c r="D136" i="7"/>
  <c r="C136" i="7"/>
  <c r="F117" i="3"/>
  <c r="N117" i="7"/>
  <c r="E117" i="3"/>
  <c r="K117" i="7"/>
  <c r="M117" i="7"/>
  <c r="L117" i="7"/>
  <c r="D117" i="3"/>
  <c r="H117" i="7"/>
  <c r="J117" i="7"/>
  <c r="I117" i="7"/>
  <c r="E117" i="7"/>
  <c r="G117" i="7"/>
  <c r="F117" i="7"/>
  <c r="B117" i="7"/>
  <c r="D117" i="7"/>
  <c r="C117" i="7"/>
  <c r="C98" i="3"/>
  <c r="E98" i="7"/>
  <c r="B98" i="7"/>
  <c r="C89" i="7"/>
  <c r="C98" i="7"/>
  <c r="F98" i="3"/>
  <c r="N98" i="7"/>
  <c r="E98" i="3"/>
  <c r="K98" i="7"/>
  <c r="M98" i="7"/>
  <c r="L98" i="7"/>
  <c r="D98" i="3"/>
  <c r="H98" i="7"/>
  <c r="J98" i="7"/>
  <c r="I98" i="7"/>
  <c r="G98" i="7"/>
  <c r="F98" i="7"/>
  <c r="D89" i="7"/>
  <c r="D98" i="7"/>
  <c r="D102" i="2"/>
  <c r="M8" i="5"/>
  <c r="D110" i="2"/>
  <c r="D114" i="2"/>
  <c r="D113" i="2"/>
  <c r="D116" i="2"/>
  <c r="D112" i="2"/>
  <c r="D119" i="2"/>
  <c r="D108" i="2"/>
  <c r="D109" i="2"/>
  <c r="J121" i="1"/>
  <c r="D111" i="2"/>
  <c r="D115" i="2"/>
  <c r="D117" i="2"/>
  <c r="D118" i="2"/>
  <c r="M9" i="5"/>
  <c r="D128" i="2"/>
  <c r="D130" i="2"/>
  <c r="D133" i="2"/>
  <c r="D131" i="2"/>
  <c r="D132" i="2"/>
  <c r="D138" i="2"/>
  <c r="D126" i="2"/>
  <c r="Q10" i="1"/>
  <c r="D127" i="2"/>
  <c r="E124" i="1"/>
  <c r="D129" i="2"/>
  <c r="D134" i="2"/>
  <c r="D136" i="2"/>
  <c r="D137" i="2"/>
  <c r="D139" i="2"/>
  <c r="M10" i="5"/>
  <c r="D147" i="2"/>
  <c r="D149" i="2"/>
  <c r="D152" i="2"/>
  <c r="D150" i="2"/>
  <c r="D151" i="2"/>
  <c r="D154" i="2"/>
  <c r="D158" i="2"/>
  <c r="D145" i="2"/>
  <c r="D146" i="2"/>
  <c r="D148" i="2"/>
  <c r="D153" i="2"/>
  <c r="D155" i="2"/>
  <c r="D156" i="2"/>
  <c r="D157" i="2"/>
  <c r="M11" i="5"/>
  <c r="D53" i="2"/>
  <c r="D56" i="2"/>
  <c r="D51" i="2"/>
  <c r="D54" i="2"/>
  <c r="D55" i="2"/>
  <c r="D57" i="2"/>
  <c r="D47" i="2"/>
  <c r="D48" i="2"/>
  <c r="D49" i="2"/>
  <c r="H13" i="1"/>
  <c r="D50" i="2"/>
  <c r="E118" i="1"/>
  <c r="D52" i="2"/>
  <c r="D58" i="2"/>
  <c r="E133" i="1"/>
  <c r="D59" i="2"/>
  <c r="D61" i="2"/>
  <c r="D62" i="2"/>
  <c r="M6" i="5"/>
  <c r="D74" i="2"/>
  <c r="D77" i="2"/>
  <c r="D72" i="2"/>
  <c r="D75" i="2"/>
  <c r="D76" i="2"/>
  <c r="D78" i="2"/>
  <c r="D79" i="2"/>
  <c r="D68" i="2"/>
  <c r="D69" i="2"/>
  <c r="D70" i="2"/>
  <c r="Q13" i="1"/>
  <c r="D71" i="2"/>
  <c r="I118" i="1"/>
  <c r="D73" i="2"/>
  <c r="D80" i="2"/>
  <c r="E136" i="1"/>
  <c r="D81" i="2"/>
  <c r="D82" i="2"/>
  <c r="D83" i="2"/>
  <c r="M7" i="5"/>
  <c r="D12" i="2"/>
  <c r="D14" i="2"/>
  <c r="D10" i="2"/>
  <c r="D13" i="2"/>
  <c r="D15" i="2"/>
  <c r="D6" i="2"/>
  <c r="E10" i="1"/>
  <c r="D7" i="2"/>
  <c r="D8" i="2"/>
  <c r="E13" i="1"/>
  <c r="D9" i="2"/>
  <c r="E115" i="1"/>
  <c r="D11" i="2"/>
  <c r="D16" i="2"/>
  <c r="E127" i="1"/>
  <c r="D17" i="2"/>
  <c r="E199" i="1"/>
  <c r="D18" i="2"/>
  <c r="D19" i="2"/>
  <c r="M4" i="5"/>
  <c r="G10" i="1"/>
  <c r="I13" i="1"/>
  <c r="I115" i="1"/>
  <c r="E130" i="1"/>
  <c r="M5" i="5"/>
  <c r="D92" i="3"/>
  <c r="D95" i="3"/>
  <c r="D97" i="3"/>
  <c r="D94" i="3"/>
  <c r="D96" i="3"/>
  <c r="D100" i="3"/>
  <c r="D90" i="3"/>
  <c r="D91" i="3"/>
  <c r="D93" i="3"/>
  <c r="D99" i="3"/>
  <c r="D101" i="3"/>
  <c r="G8" i="5"/>
  <c r="D110" i="3"/>
  <c r="D114" i="3"/>
  <c r="D113" i="3"/>
  <c r="D116" i="3"/>
  <c r="D112" i="3"/>
  <c r="D119" i="3"/>
  <c r="D108" i="3"/>
  <c r="D109" i="3"/>
  <c r="D111" i="3"/>
  <c r="D115" i="3"/>
  <c r="D118" i="3"/>
  <c r="D120" i="3"/>
  <c r="G9" i="5"/>
  <c r="D129" i="3"/>
  <c r="D131" i="3"/>
  <c r="D134" i="3"/>
  <c r="D132" i="3"/>
  <c r="D133" i="3"/>
  <c r="D138" i="3"/>
  <c r="D127" i="3"/>
  <c r="D128" i="3"/>
  <c r="D130" i="3"/>
  <c r="D135" i="3"/>
  <c r="D137" i="3"/>
  <c r="D139" i="3"/>
  <c r="G10" i="5"/>
  <c r="D53" i="3"/>
  <c r="D56" i="3"/>
  <c r="D51" i="3"/>
  <c r="D54" i="3"/>
  <c r="D55" i="3"/>
  <c r="D57" i="3"/>
  <c r="D47" i="3"/>
  <c r="D48" i="3"/>
  <c r="D49" i="3"/>
  <c r="D50" i="3"/>
  <c r="D52" i="3"/>
  <c r="D58" i="3"/>
  <c r="D59" i="3"/>
  <c r="D60" i="3"/>
  <c r="D61" i="3"/>
  <c r="G6" i="5"/>
  <c r="D74" i="3"/>
  <c r="D77" i="3"/>
  <c r="D72" i="3"/>
  <c r="D75" i="3"/>
  <c r="D76" i="3"/>
  <c r="D78" i="3"/>
  <c r="D79" i="3"/>
  <c r="D68" i="3"/>
  <c r="D69" i="3"/>
  <c r="D70" i="3"/>
  <c r="D71" i="3"/>
  <c r="D73" i="3"/>
  <c r="D81" i="3"/>
  <c r="D82" i="3"/>
  <c r="D83" i="3"/>
  <c r="C74" i="3"/>
  <c r="C77" i="3"/>
  <c r="C72" i="3"/>
  <c r="C75" i="3"/>
  <c r="C76" i="3"/>
  <c r="C78" i="3"/>
  <c r="C79" i="3"/>
  <c r="C68" i="3"/>
  <c r="C69" i="3"/>
  <c r="C70" i="3"/>
  <c r="P13" i="1"/>
  <c r="C71" i="3"/>
  <c r="H118" i="1"/>
  <c r="C73" i="3"/>
  <c r="D136" i="1"/>
  <c r="C81" i="3"/>
  <c r="D208" i="1"/>
  <c r="C82" i="3"/>
  <c r="C83" i="3"/>
  <c r="E12" i="3"/>
  <c r="E14" i="3"/>
  <c r="E10" i="3"/>
  <c r="E13" i="3"/>
  <c r="E15" i="3"/>
  <c r="E16" i="3"/>
  <c r="E6" i="3"/>
  <c r="F10" i="1"/>
  <c r="E7" i="3"/>
  <c r="E8" i="3"/>
  <c r="F13" i="1"/>
  <c r="E9" i="3"/>
  <c r="F115" i="1"/>
  <c r="E11" i="3"/>
  <c r="F127" i="1"/>
  <c r="E17" i="3"/>
  <c r="F199" i="1"/>
  <c r="E18" i="3"/>
  <c r="E19" i="3"/>
  <c r="E20" i="3"/>
  <c r="D12" i="3"/>
  <c r="D14" i="3"/>
  <c r="D10" i="3"/>
  <c r="D13" i="3"/>
  <c r="D15" i="3"/>
  <c r="D16" i="3"/>
  <c r="D6" i="3"/>
  <c r="D7" i="3"/>
  <c r="D8" i="3"/>
  <c r="D9" i="3"/>
  <c r="D11" i="3"/>
  <c r="D17" i="3"/>
  <c r="D18" i="3"/>
  <c r="D19" i="3"/>
  <c r="D20" i="3"/>
  <c r="G4" i="5"/>
  <c r="D32" i="3"/>
  <c r="D34" i="3"/>
  <c r="D30" i="3"/>
  <c r="D33" i="3"/>
  <c r="D35" i="3"/>
  <c r="D36" i="3"/>
  <c r="D26" i="3"/>
  <c r="D27" i="3"/>
  <c r="D28" i="3"/>
  <c r="D29" i="3"/>
  <c r="D31" i="3"/>
  <c r="D37" i="3"/>
  <c r="D38" i="3"/>
  <c r="D39" i="3"/>
  <c r="D40" i="3"/>
  <c r="G5" i="5"/>
  <c r="B150" i="2"/>
  <c r="B151" i="2"/>
  <c r="B154" i="2"/>
  <c r="B147" i="2"/>
  <c r="B149" i="2"/>
  <c r="B152" i="2"/>
  <c r="B145" i="2"/>
  <c r="B146" i="2"/>
  <c r="H124" i="1"/>
  <c r="B148" i="2"/>
  <c r="B153" i="2"/>
  <c r="B155" i="2"/>
  <c r="B156" i="2"/>
  <c r="B157" i="2"/>
  <c r="B158" i="2"/>
  <c r="B159" i="2"/>
  <c r="B131" i="2"/>
  <c r="B132" i="2"/>
  <c r="B128" i="2"/>
  <c r="B130" i="2"/>
  <c r="B133" i="2"/>
  <c r="B126" i="2"/>
  <c r="O10" i="1"/>
  <c r="B127" i="2"/>
  <c r="C124" i="1"/>
  <c r="B129" i="2"/>
  <c r="B134" i="2"/>
  <c r="B136" i="2"/>
  <c r="B137" i="2"/>
  <c r="B138" i="2"/>
  <c r="B139" i="2"/>
  <c r="B113" i="2"/>
  <c r="B110" i="2"/>
  <c r="B114" i="2"/>
  <c r="B116" i="2"/>
  <c r="B112" i="2"/>
  <c r="B108" i="2"/>
  <c r="B109" i="2"/>
  <c r="H121" i="1"/>
  <c r="B111" i="2"/>
  <c r="B115" i="2"/>
  <c r="B117" i="2"/>
  <c r="B118" i="2"/>
  <c r="B119" i="2"/>
  <c r="B120" i="2"/>
  <c r="F102" i="2"/>
  <c r="E102" i="2"/>
  <c r="C102" i="2"/>
  <c r="B102" i="2"/>
  <c r="B95" i="3"/>
  <c r="B97" i="3"/>
  <c r="B92" i="3"/>
  <c r="B94" i="3"/>
  <c r="B96" i="3"/>
  <c r="B91" i="3"/>
  <c r="B93" i="3"/>
  <c r="B99" i="3"/>
  <c r="B100" i="3"/>
  <c r="F113" i="3"/>
  <c r="F110" i="3"/>
  <c r="F114" i="3"/>
  <c r="F116" i="3"/>
  <c r="F112" i="3"/>
  <c r="F108" i="3"/>
  <c r="F109" i="3"/>
  <c r="L121" i="1"/>
  <c r="F111" i="3"/>
  <c r="F115" i="3"/>
  <c r="F118" i="3"/>
  <c r="F119" i="3"/>
  <c r="F120" i="3"/>
  <c r="E113" i="3"/>
  <c r="E110" i="3"/>
  <c r="E114" i="3"/>
  <c r="E116" i="3"/>
  <c r="E112" i="3"/>
  <c r="E108" i="3"/>
  <c r="N10" i="1"/>
  <c r="E109" i="3"/>
  <c r="K121" i="1"/>
  <c r="E111" i="3"/>
  <c r="E115" i="3"/>
  <c r="E118" i="3"/>
  <c r="E119" i="3"/>
  <c r="E120" i="3"/>
  <c r="C113" i="3"/>
  <c r="C110" i="3"/>
  <c r="C114" i="3"/>
  <c r="C116" i="3"/>
  <c r="C112" i="3"/>
  <c r="C108" i="3"/>
  <c r="C109" i="3"/>
  <c r="I121" i="1"/>
  <c r="C111" i="3"/>
  <c r="C115" i="3"/>
  <c r="C118" i="3"/>
  <c r="C119" i="3"/>
  <c r="B113" i="3"/>
  <c r="B110" i="3"/>
  <c r="B114" i="3"/>
  <c r="B116" i="3"/>
  <c r="B112" i="3"/>
  <c r="B108" i="3"/>
  <c r="B109" i="3"/>
  <c r="B111" i="3"/>
  <c r="B115" i="3"/>
  <c r="B118" i="3"/>
  <c r="B119" i="3"/>
  <c r="B132" i="3"/>
  <c r="B133" i="3"/>
  <c r="B129" i="3"/>
  <c r="B131" i="3"/>
  <c r="B134" i="3"/>
  <c r="B127" i="3"/>
  <c r="B128" i="3"/>
  <c r="B130" i="3"/>
  <c r="B135" i="3"/>
  <c r="B137" i="3"/>
  <c r="B138" i="3"/>
  <c r="F157" i="3"/>
  <c r="F151" i="3"/>
  <c r="F152" i="3"/>
  <c r="F155" i="3"/>
  <c r="F148" i="3"/>
  <c r="F150" i="3"/>
  <c r="F153" i="3"/>
  <c r="F146" i="3"/>
  <c r="F147" i="3"/>
  <c r="L124" i="1"/>
  <c r="F149" i="3"/>
  <c r="F154" i="3"/>
  <c r="F156" i="3"/>
  <c r="F158" i="3"/>
  <c r="F159" i="3"/>
  <c r="F160" i="3"/>
  <c r="E157" i="3"/>
  <c r="E151" i="3"/>
  <c r="E152" i="3"/>
  <c r="E155" i="3"/>
  <c r="E148" i="3"/>
  <c r="E150" i="3"/>
  <c r="E153" i="3"/>
  <c r="E147" i="3"/>
  <c r="K124" i="1"/>
  <c r="E149" i="3"/>
  <c r="E154" i="3"/>
  <c r="E156" i="3"/>
  <c r="E158" i="3"/>
  <c r="E159" i="3"/>
  <c r="E160" i="3"/>
  <c r="B151" i="3"/>
  <c r="B152" i="3"/>
  <c r="B155" i="3"/>
  <c r="B148" i="3"/>
  <c r="B150" i="3"/>
  <c r="B153" i="3"/>
  <c r="B146" i="3"/>
  <c r="B147" i="3"/>
  <c r="B149" i="3"/>
  <c r="B154" i="3"/>
  <c r="B156" i="3"/>
  <c r="B158" i="3"/>
  <c r="B159" i="3"/>
  <c r="F95" i="3"/>
  <c r="F97" i="3"/>
  <c r="F92" i="3"/>
  <c r="F94" i="3"/>
  <c r="F96" i="3"/>
  <c r="F90" i="3"/>
  <c r="F91" i="3"/>
  <c r="F93" i="3"/>
  <c r="F99" i="3"/>
  <c r="F100" i="3"/>
  <c r="F101" i="3"/>
  <c r="E95" i="3"/>
  <c r="E97" i="3"/>
  <c r="E92" i="3"/>
  <c r="E94" i="3"/>
  <c r="E96" i="3"/>
  <c r="E90" i="3"/>
  <c r="E91" i="3"/>
  <c r="E93" i="3"/>
  <c r="E99" i="3"/>
  <c r="E100" i="3"/>
  <c r="E101" i="3"/>
  <c r="C95" i="3"/>
  <c r="C97" i="3"/>
  <c r="C92" i="3"/>
  <c r="C94" i="3"/>
  <c r="C96" i="3"/>
  <c r="C90" i="3"/>
  <c r="C91" i="3"/>
  <c r="C93" i="3"/>
  <c r="C99" i="3"/>
  <c r="C100" i="3"/>
  <c r="C101" i="3"/>
  <c r="F6" i="3"/>
  <c r="N6" i="7"/>
  <c r="F7" i="3"/>
  <c r="N7" i="7"/>
  <c r="F8" i="3"/>
  <c r="N8" i="7"/>
  <c r="G13" i="1"/>
  <c r="F9" i="3"/>
  <c r="N9" i="7"/>
  <c r="F10" i="3"/>
  <c r="N10" i="7"/>
  <c r="G115" i="1"/>
  <c r="F11" i="3"/>
  <c r="N11" i="7"/>
  <c r="F12" i="3"/>
  <c r="N12" i="7"/>
  <c r="F13" i="3"/>
  <c r="N13" i="7"/>
  <c r="F14" i="3"/>
  <c r="N14" i="7"/>
  <c r="F15" i="3"/>
  <c r="N15" i="7"/>
  <c r="F16" i="3"/>
  <c r="N16" i="7"/>
  <c r="G127" i="1"/>
  <c r="F17" i="3"/>
  <c r="N17" i="7"/>
  <c r="G199" i="1"/>
  <c r="F18" i="3"/>
  <c r="N18" i="7"/>
  <c r="F19" i="3"/>
  <c r="N19" i="7"/>
  <c r="N20" i="7"/>
  <c r="K6" i="7"/>
  <c r="M6" i="7"/>
  <c r="K7" i="7"/>
  <c r="M7" i="7"/>
  <c r="K8" i="7"/>
  <c r="M8" i="7"/>
  <c r="K9" i="7"/>
  <c r="M9" i="7"/>
  <c r="K10" i="7"/>
  <c r="M10" i="7"/>
  <c r="K11" i="7"/>
  <c r="M11" i="7"/>
  <c r="K12" i="7"/>
  <c r="M12" i="7"/>
  <c r="K13" i="7"/>
  <c r="M13" i="7"/>
  <c r="K14" i="7"/>
  <c r="M14" i="7"/>
  <c r="K15" i="7"/>
  <c r="M15" i="7"/>
  <c r="K16" i="7"/>
  <c r="M16" i="7"/>
  <c r="K17" i="7"/>
  <c r="M17" i="7"/>
  <c r="K18" i="7"/>
  <c r="M18" i="7"/>
  <c r="M20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20" i="7"/>
  <c r="K19" i="7"/>
  <c r="K20" i="7"/>
  <c r="H6" i="7"/>
  <c r="J6" i="7"/>
  <c r="H7" i="7"/>
  <c r="J7" i="7"/>
  <c r="H8" i="7"/>
  <c r="J8" i="7"/>
  <c r="H9" i="7"/>
  <c r="J9" i="7"/>
  <c r="H10" i="7"/>
  <c r="J10" i="7"/>
  <c r="H11" i="7"/>
  <c r="J11" i="7"/>
  <c r="H12" i="7"/>
  <c r="J12" i="7"/>
  <c r="H13" i="7"/>
  <c r="J13" i="7"/>
  <c r="H14" i="7"/>
  <c r="J14" i="7"/>
  <c r="H15" i="7"/>
  <c r="J15" i="7"/>
  <c r="H16" i="7"/>
  <c r="J16" i="7"/>
  <c r="H17" i="7"/>
  <c r="J17" i="7"/>
  <c r="H18" i="7"/>
  <c r="J18" i="7"/>
  <c r="H19" i="7"/>
  <c r="J19" i="7"/>
  <c r="J20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H20" i="7"/>
  <c r="C15" i="3"/>
  <c r="E15" i="7"/>
  <c r="G15" i="7"/>
  <c r="C13" i="3"/>
  <c r="E13" i="7"/>
  <c r="G13" i="7"/>
  <c r="C10" i="3"/>
  <c r="E10" i="7"/>
  <c r="G10" i="7"/>
  <c r="C6" i="3"/>
  <c r="E6" i="7"/>
  <c r="G6" i="7"/>
  <c r="D10" i="1"/>
  <c r="C7" i="3"/>
  <c r="E7" i="7"/>
  <c r="G7" i="7"/>
  <c r="C8" i="3"/>
  <c r="E8" i="7"/>
  <c r="G8" i="7"/>
  <c r="D13" i="1"/>
  <c r="C9" i="3"/>
  <c r="E9" i="7"/>
  <c r="G9" i="7"/>
  <c r="D115" i="1"/>
  <c r="C11" i="3"/>
  <c r="E11" i="7"/>
  <c r="G11" i="7"/>
  <c r="C12" i="3"/>
  <c r="E12" i="7"/>
  <c r="G12" i="7"/>
  <c r="C14" i="3"/>
  <c r="E14" i="7"/>
  <c r="G14" i="7"/>
  <c r="C16" i="3"/>
  <c r="E16" i="7"/>
  <c r="G16" i="7"/>
  <c r="D127" i="1"/>
  <c r="C17" i="3"/>
  <c r="E17" i="7"/>
  <c r="G17" i="7"/>
  <c r="D199" i="1"/>
  <c r="C18" i="3"/>
  <c r="E18" i="7"/>
  <c r="G18" i="7"/>
  <c r="G20" i="7"/>
  <c r="F15" i="7"/>
  <c r="F13" i="7"/>
  <c r="F10" i="7"/>
  <c r="F6" i="7"/>
  <c r="F7" i="7"/>
  <c r="F8" i="7"/>
  <c r="F9" i="7"/>
  <c r="F11" i="7"/>
  <c r="F12" i="7"/>
  <c r="F14" i="7"/>
  <c r="F16" i="7"/>
  <c r="F17" i="7"/>
  <c r="F18" i="7"/>
  <c r="F20" i="7"/>
  <c r="C19" i="3"/>
  <c r="E19" i="7"/>
  <c r="E20" i="7"/>
  <c r="C26" i="3"/>
  <c r="E26" i="7"/>
  <c r="C27" i="3"/>
  <c r="E27" i="7"/>
  <c r="C28" i="3"/>
  <c r="E28" i="7"/>
  <c r="C29" i="3"/>
  <c r="E29" i="7"/>
  <c r="C30" i="3"/>
  <c r="E30" i="7"/>
  <c r="H115" i="1"/>
  <c r="C31" i="3"/>
  <c r="E31" i="7"/>
  <c r="C32" i="3"/>
  <c r="E32" i="7"/>
  <c r="C33" i="3"/>
  <c r="E33" i="7"/>
  <c r="C34" i="3"/>
  <c r="E34" i="7"/>
  <c r="C35" i="3"/>
  <c r="E35" i="7"/>
  <c r="C36" i="3"/>
  <c r="E36" i="7"/>
  <c r="D130" i="1"/>
  <c r="C37" i="3"/>
  <c r="E37" i="7"/>
  <c r="C39" i="3"/>
  <c r="E39" i="7"/>
  <c r="E40" i="7"/>
  <c r="B26" i="3"/>
  <c r="B26" i="7"/>
  <c r="D26" i="7"/>
  <c r="B27" i="3"/>
  <c r="B27" i="7"/>
  <c r="D27" i="7"/>
  <c r="B28" i="3"/>
  <c r="B28" i="7"/>
  <c r="D28" i="7"/>
  <c r="B29" i="3"/>
  <c r="B29" i="7"/>
  <c r="D29" i="7"/>
  <c r="B30" i="3"/>
  <c r="B30" i="7"/>
  <c r="D30" i="7"/>
  <c r="B31" i="3"/>
  <c r="B31" i="7"/>
  <c r="D31" i="7"/>
  <c r="B32" i="3"/>
  <c r="B32" i="7"/>
  <c r="D32" i="7"/>
  <c r="B33" i="3"/>
  <c r="B33" i="7"/>
  <c r="D33" i="7"/>
  <c r="B34" i="3"/>
  <c r="B34" i="7"/>
  <c r="D34" i="7"/>
  <c r="B35" i="3"/>
  <c r="B35" i="7"/>
  <c r="D35" i="7"/>
  <c r="B36" i="3"/>
  <c r="B36" i="7"/>
  <c r="D36" i="7"/>
  <c r="C130" i="1"/>
  <c r="B37" i="3"/>
  <c r="B37" i="7"/>
  <c r="D37" i="7"/>
  <c r="B39" i="3"/>
  <c r="B39" i="7"/>
  <c r="D39" i="7"/>
  <c r="F126" i="2"/>
  <c r="N126" i="8"/>
  <c r="S10" i="1"/>
  <c r="F127" i="2"/>
  <c r="N127" i="8"/>
  <c r="F128" i="2"/>
  <c r="N128" i="8"/>
  <c r="G124" i="1"/>
  <c r="F129" i="2"/>
  <c r="N129" i="8"/>
  <c r="F130" i="2"/>
  <c r="N130" i="8"/>
  <c r="F131" i="2"/>
  <c r="N131" i="8"/>
  <c r="F132" i="2"/>
  <c r="N132" i="8"/>
  <c r="F133" i="2"/>
  <c r="N133" i="8"/>
  <c r="F134" i="2"/>
  <c r="N134" i="8"/>
  <c r="F136" i="2"/>
  <c r="N136" i="8"/>
  <c r="F137" i="2"/>
  <c r="N137" i="8"/>
  <c r="F138" i="2"/>
  <c r="N138" i="8"/>
  <c r="N139" i="8"/>
  <c r="E126" i="2"/>
  <c r="K126" i="8"/>
  <c r="M126" i="8"/>
  <c r="R10" i="1"/>
  <c r="E127" i="2"/>
  <c r="K127" i="8"/>
  <c r="M127" i="8"/>
  <c r="E128" i="2"/>
  <c r="K128" i="8"/>
  <c r="M128" i="8"/>
  <c r="F124" i="1"/>
  <c r="E129" i="2"/>
  <c r="K129" i="8"/>
  <c r="M129" i="8"/>
  <c r="E130" i="2"/>
  <c r="K130" i="8"/>
  <c r="M130" i="8"/>
  <c r="E131" i="2"/>
  <c r="K131" i="8"/>
  <c r="M131" i="8"/>
  <c r="E132" i="2"/>
  <c r="K132" i="8"/>
  <c r="M132" i="8"/>
  <c r="E133" i="2"/>
  <c r="K133" i="8"/>
  <c r="M133" i="8"/>
  <c r="E134" i="2"/>
  <c r="K134" i="8"/>
  <c r="M134" i="8"/>
  <c r="E137" i="2"/>
  <c r="K137" i="8"/>
  <c r="M137" i="8"/>
  <c r="E138" i="2"/>
  <c r="K138" i="8"/>
  <c r="M138" i="8"/>
  <c r="M139" i="8"/>
  <c r="L126" i="8"/>
  <c r="L127" i="8"/>
  <c r="L128" i="8"/>
  <c r="L129" i="8"/>
  <c r="L130" i="8"/>
  <c r="L131" i="8"/>
  <c r="L132" i="8"/>
  <c r="L133" i="8"/>
  <c r="L134" i="8"/>
  <c r="L137" i="8"/>
  <c r="L138" i="8"/>
  <c r="L139" i="8"/>
  <c r="E136" i="2"/>
  <c r="K136" i="8"/>
  <c r="K139" i="8"/>
  <c r="H126" i="8"/>
  <c r="J126" i="8"/>
  <c r="H127" i="8"/>
  <c r="J127" i="8"/>
  <c r="H128" i="8"/>
  <c r="J128" i="8"/>
  <c r="H129" i="8"/>
  <c r="J129" i="8"/>
  <c r="H130" i="8"/>
  <c r="J130" i="8"/>
  <c r="H131" i="8"/>
  <c r="J131" i="8"/>
  <c r="H132" i="8"/>
  <c r="J132" i="8"/>
  <c r="H133" i="8"/>
  <c r="J133" i="8"/>
  <c r="H134" i="8"/>
  <c r="J134" i="8"/>
  <c r="H137" i="8"/>
  <c r="J137" i="8"/>
  <c r="H138" i="8"/>
  <c r="J138" i="8"/>
  <c r="J139" i="8"/>
  <c r="I126" i="8"/>
  <c r="I127" i="8"/>
  <c r="I128" i="8"/>
  <c r="I129" i="8"/>
  <c r="I130" i="8"/>
  <c r="I131" i="8"/>
  <c r="I132" i="8"/>
  <c r="I133" i="8"/>
  <c r="I134" i="8"/>
  <c r="I137" i="8"/>
  <c r="I138" i="8"/>
  <c r="I139" i="8"/>
  <c r="H136" i="8"/>
  <c r="H139" i="8"/>
  <c r="C126" i="2"/>
  <c r="E126" i="8"/>
  <c r="G126" i="8"/>
  <c r="P10" i="1"/>
  <c r="C127" i="2"/>
  <c r="E127" i="8"/>
  <c r="G127" i="8"/>
  <c r="C128" i="2"/>
  <c r="E128" i="8"/>
  <c r="G128" i="8"/>
  <c r="D124" i="1"/>
  <c r="C129" i="2"/>
  <c r="E129" i="8"/>
  <c r="G129" i="8"/>
  <c r="C130" i="2"/>
  <c r="E130" i="8"/>
  <c r="G130" i="8"/>
  <c r="C131" i="2"/>
  <c r="E131" i="8"/>
  <c r="G131" i="8"/>
  <c r="C132" i="2"/>
  <c r="E132" i="8"/>
  <c r="G132" i="8"/>
  <c r="C133" i="2"/>
  <c r="E133" i="8"/>
  <c r="G133" i="8"/>
  <c r="C134" i="2"/>
  <c r="E134" i="8"/>
  <c r="G134" i="8"/>
  <c r="C137" i="2"/>
  <c r="E137" i="8"/>
  <c r="G137" i="8"/>
  <c r="C138" i="2"/>
  <c r="E138" i="8"/>
  <c r="G138" i="8"/>
  <c r="G139" i="8"/>
  <c r="F126" i="8"/>
  <c r="F127" i="8"/>
  <c r="F128" i="8"/>
  <c r="F129" i="8"/>
  <c r="F130" i="8"/>
  <c r="F131" i="8"/>
  <c r="F132" i="8"/>
  <c r="F133" i="8"/>
  <c r="F134" i="8"/>
  <c r="F137" i="8"/>
  <c r="F138" i="8"/>
  <c r="F139" i="8"/>
  <c r="C136" i="2"/>
  <c r="E136" i="8"/>
  <c r="E139" i="8"/>
  <c r="B126" i="8"/>
  <c r="D126" i="8"/>
  <c r="B127" i="8"/>
  <c r="D127" i="8"/>
  <c r="B128" i="8"/>
  <c r="D128" i="8"/>
  <c r="B129" i="8"/>
  <c r="D129" i="8"/>
  <c r="B130" i="8"/>
  <c r="D130" i="8"/>
  <c r="B131" i="8"/>
  <c r="D131" i="8"/>
  <c r="B132" i="8"/>
  <c r="D132" i="8"/>
  <c r="B133" i="8"/>
  <c r="D133" i="8"/>
  <c r="B134" i="8"/>
  <c r="D134" i="8"/>
  <c r="B137" i="8"/>
  <c r="D137" i="8"/>
  <c r="B138" i="8"/>
  <c r="D138" i="8"/>
  <c r="D139" i="8"/>
  <c r="C126" i="8"/>
  <c r="C127" i="8"/>
  <c r="C128" i="8"/>
  <c r="C129" i="8"/>
  <c r="C130" i="8"/>
  <c r="C131" i="8"/>
  <c r="C132" i="8"/>
  <c r="C133" i="8"/>
  <c r="C134" i="8"/>
  <c r="C137" i="8"/>
  <c r="C138" i="8"/>
  <c r="C139" i="8"/>
  <c r="B136" i="8"/>
  <c r="B139" i="8"/>
  <c r="F127" i="3"/>
  <c r="N127" i="7"/>
  <c r="F128" i="3"/>
  <c r="N128" i="7"/>
  <c r="F129" i="3"/>
  <c r="N129" i="7"/>
  <c r="F130" i="3"/>
  <c r="N130" i="7"/>
  <c r="F131" i="3"/>
  <c r="N131" i="7"/>
  <c r="F132" i="3"/>
  <c r="N132" i="7"/>
  <c r="F133" i="3"/>
  <c r="N133" i="7"/>
  <c r="F134" i="3"/>
  <c r="N134" i="7"/>
  <c r="F135" i="3"/>
  <c r="N135" i="7"/>
  <c r="F137" i="3"/>
  <c r="N137" i="7"/>
  <c r="F138" i="3"/>
  <c r="N138" i="7"/>
  <c r="N139" i="7"/>
  <c r="E127" i="3"/>
  <c r="K127" i="7"/>
  <c r="M127" i="7"/>
  <c r="E128" i="3"/>
  <c r="K128" i="7"/>
  <c r="M128" i="7"/>
  <c r="E129" i="3"/>
  <c r="K129" i="7"/>
  <c r="M129" i="7"/>
  <c r="E130" i="3"/>
  <c r="K130" i="7"/>
  <c r="M130" i="7"/>
  <c r="E131" i="3"/>
  <c r="K131" i="7"/>
  <c r="M131" i="7"/>
  <c r="E132" i="3"/>
  <c r="K132" i="7"/>
  <c r="M132" i="7"/>
  <c r="E133" i="3"/>
  <c r="K133" i="7"/>
  <c r="M133" i="7"/>
  <c r="E134" i="3"/>
  <c r="K134" i="7"/>
  <c r="M134" i="7"/>
  <c r="E135" i="3"/>
  <c r="K135" i="7"/>
  <c r="M135" i="7"/>
  <c r="E137" i="3"/>
  <c r="K137" i="7"/>
  <c r="M137" i="7"/>
  <c r="E138" i="3"/>
  <c r="K138" i="7"/>
  <c r="M138" i="7"/>
  <c r="M139" i="7"/>
  <c r="L127" i="7"/>
  <c r="L128" i="7"/>
  <c r="L129" i="7"/>
  <c r="L130" i="7"/>
  <c r="L131" i="7"/>
  <c r="L132" i="7"/>
  <c r="L133" i="7"/>
  <c r="L134" i="7"/>
  <c r="L135" i="7"/>
  <c r="L137" i="7"/>
  <c r="L138" i="7"/>
  <c r="L139" i="7"/>
  <c r="K139" i="7"/>
  <c r="H127" i="7"/>
  <c r="J127" i="7"/>
  <c r="H128" i="7"/>
  <c r="J128" i="7"/>
  <c r="H129" i="7"/>
  <c r="J129" i="7"/>
  <c r="H130" i="7"/>
  <c r="J130" i="7"/>
  <c r="H131" i="7"/>
  <c r="J131" i="7"/>
  <c r="H132" i="7"/>
  <c r="J132" i="7"/>
  <c r="H133" i="7"/>
  <c r="J133" i="7"/>
  <c r="H134" i="7"/>
  <c r="J134" i="7"/>
  <c r="H135" i="7"/>
  <c r="J135" i="7"/>
  <c r="H137" i="7"/>
  <c r="J137" i="7"/>
  <c r="H138" i="7"/>
  <c r="J138" i="7"/>
  <c r="J139" i="7"/>
  <c r="I127" i="7"/>
  <c r="I128" i="7"/>
  <c r="I129" i="7"/>
  <c r="I130" i="7"/>
  <c r="I131" i="7"/>
  <c r="I132" i="7"/>
  <c r="I133" i="7"/>
  <c r="I134" i="7"/>
  <c r="I135" i="7"/>
  <c r="I137" i="7"/>
  <c r="I138" i="7"/>
  <c r="I139" i="7"/>
  <c r="H139" i="7"/>
  <c r="C127" i="3"/>
  <c r="E127" i="7"/>
  <c r="G127" i="7"/>
  <c r="C128" i="3"/>
  <c r="E128" i="7"/>
  <c r="G128" i="7"/>
  <c r="C129" i="3"/>
  <c r="E129" i="7"/>
  <c r="G129" i="7"/>
  <c r="C130" i="3"/>
  <c r="E130" i="7"/>
  <c r="G130" i="7"/>
  <c r="C131" i="3"/>
  <c r="E131" i="7"/>
  <c r="G131" i="7"/>
  <c r="C132" i="3"/>
  <c r="E132" i="7"/>
  <c r="G132" i="7"/>
  <c r="C133" i="3"/>
  <c r="E133" i="7"/>
  <c r="G133" i="7"/>
  <c r="C134" i="3"/>
  <c r="E134" i="7"/>
  <c r="G134" i="7"/>
  <c r="C135" i="3"/>
  <c r="E135" i="7"/>
  <c r="G135" i="7"/>
  <c r="C137" i="3"/>
  <c r="E137" i="7"/>
  <c r="G137" i="7"/>
  <c r="C138" i="3"/>
  <c r="E138" i="7"/>
  <c r="G138" i="7"/>
  <c r="G139" i="7"/>
  <c r="F127" i="7"/>
  <c r="F128" i="7"/>
  <c r="F129" i="7"/>
  <c r="F130" i="7"/>
  <c r="F131" i="7"/>
  <c r="F132" i="7"/>
  <c r="F133" i="7"/>
  <c r="F134" i="7"/>
  <c r="F135" i="7"/>
  <c r="F137" i="7"/>
  <c r="F138" i="7"/>
  <c r="F139" i="7"/>
  <c r="E139" i="7"/>
  <c r="B127" i="7"/>
  <c r="D127" i="7"/>
  <c r="B128" i="7"/>
  <c r="D128" i="7"/>
  <c r="B129" i="7"/>
  <c r="D129" i="7"/>
  <c r="B130" i="7"/>
  <c r="D130" i="7"/>
  <c r="B131" i="7"/>
  <c r="D131" i="7"/>
  <c r="B132" i="7"/>
  <c r="D132" i="7"/>
  <c r="B133" i="7"/>
  <c r="D133" i="7"/>
  <c r="B134" i="7"/>
  <c r="D134" i="7"/>
  <c r="B135" i="7"/>
  <c r="D135" i="7"/>
  <c r="B137" i="7"/>
  <c r="D137" i="7"/>
  <c r="B138" i="7"/>
  <c r="D138" i="7"/>
  <c r="D139" i="7"/>
  <c r="C127" i="7"/>
  <c r="C128" i="7"/>
  <c r="C129" i="7"/>
  <c r="C130" i="7"/>
  <c r="C131" i="7"/>
  <c r="C132" i="7"/>
  <c r="C133" i="7"/>
  <c r="C134" i="7"/>
  <c r="C135" i="7"/>
  <c r="C137" i="7"/>
  <c r="C138" i="7"/>
  <c r="C139" i="7"/>
  <c r="B139" i="7"/>
  <c r="F139" i="2"/>
  <c r="E139" i="2"/>
  <c r="C139" i="2"/>
  <c r="F139" i="3"/>
  <c r="E139" i="3"/>
  <c r="C139" i="3"/>
  <c r="N156" i="7"/>
  <c r="K156" i="7"/>
  <c r="H156" i="7"/>
  <c r="J156" i="7"/>
  <c r="I156" i="7"/>
  <c r="E156" i="7"/>
  <c r="G156" i="7"/>
  <c r="F156" i="7"/>
  <c r="B156" i="7"/>
  <c r="D156" i="7"/>
  <c r="C156" i="7"/>
  <c r="B155" i="8"/>
  <c r="F155" i="2"/>
  <c r="E155" i="2"/>
  <c r="C155" i="2"/>
  <c r="F156" i="2"/>
  <c r="N156" i="8"/>
  <c r="E156" i="2"/>
  <c r="K156" i="8"/>
  <c r="H156" i="8"/>
  <c r="C156" i="2"/>
  <c r="E156" i="8"/>
  <c r="B156" i="8"/>
  <c r="E117" i="2"/>
  <c r="K117" i="8"/>
  <c r="F117" i="2"/>
  <c r="N117" i="8"/>
  <c r="H117" i="8"/>
  <c r="C117" i="2"/>
  <c r="E117" i="8"/>
  <c r="B117" i="8"/>
  <c r="F30" i="2"/>
  <c r="E30" i="2"/>
  <c r="C30" i="2"/>
  <c r="B30" i="2"/>
  <c r="F30" i="3"/>
  <c r="E30" i="3"/>
  <c r="F158" i="2"/>
  <c r="N158" i="8"/>
  <c r="F157" i="2"/>
  <c r="N157" i="8"/>
  <c r="N155" i="8"/>
  <c r="F154" i="2"/>
  <c r="N154" i="8"/>
  <c r="F153" i="2"/>
  <c r="N153" i="8"/>
  <c r="F152" i="2"/>
  <c r="N152" i="8"/>
  <c r="F151" i="2"/>
  <c r="N151" i="8"/>
  <c r="F150" i="2"/>
  <c r="N150" i="8"/>
  <c r="F149" i="2"/>
  <c r="N149" i="8"/>
  <c r="F148" i="2"/>
  <c r="N148" i="8"/>
  <c r="F147" i="2"/>
  <c r="N147" i="8"/>
  <c r="F146" i="2"/>
  <c r="N146" i="8"/>
  <c r="F145" i="2"/>
  <c r="N145" i="8"/>
  <c r="F119" i="2"/>
  <c r="N119" i="8"/>
  <c r="F118" i="2"/>
  <c r="N118" i="8"/>
  <c r="F116" i="2"/>
  <c r="N116" i="8"/>
  <c r="F115" i="2"/>
  <c r="N115" i="8"/>
  <c r="F114" i="2"/>
  <c r="N114" i="8"/>
  <c r="F113" i="2"/>
  <c r="N113" i="8"/>
  <c r="F112" i="2"/>
  <c r="N112" i="8"/>
  <c r="F111" i="2"/>
  <c r="N111" i="8"/>
  <c r="F110" i="2"/>
  <c r="N110" i="8"/>
  <c r="F109" i="2"/>
  <c r="N109" i="8"/>
  <c r="F108" i="2"/>
  <c r="N108" i="8"/>
  <c r="F83" i="2"/>
  <c r="N83" i="8"/>
  <c r="G208" i="1"/>
  <c r="F82" i="2"/>
  <c r="N82" i="8"/>
  <c r="G136" i="1"/>
  <c r="F81" i="2"/>
  <c r="N81" i="8"/>
  <c r="F80" i="2"/>
  <c r="N80" i="8"/>
  <c r="F79" i="2"/>
  <c r="N79" i="8"/>
  <c r="F78" i="2"/>
  <c r="N78" i="8"/>
  <c r="F77" i="2"/>
  <c r="N77" i="8"/>
  <c r="F76" i="2"/>
  <c r="N76" i="8"/>
  <c r="F75" i="2"/>
  <c r="N75" i="8"/>
  <c r="F74" i="2"/>
  <c r="N74" i="8"/>
  <c r="K118" i="1"/>
  <c r="F73" i="2"/>
  <c r="N73" i="8"/>
  <c r="F72" i="2"/>
  <c r="N72" i="8"/>
  <c r="S13" i="1"/>
  <c r="F71" i="2"/>
  <c r="N71" i="8"/>
  <c r="F70" i="2"/>
  <c r="N70" i="8"/>
  <c r="F69" i="2"/>
  <c r="N69" i="8"/>
  <c r="F68" i="2"/>
  <c r="N68" i="8"/>
  <c r="F61" i="2"/>
  <c r="N61" i="8"/>
  <c r="F60" i="2"/>
  <c r="N60" i="8"/>
  <c r="G133" i="1"/>
  <c r="F59" i="2"/>
  <c r="N59" i="8"/>
  <c r="F58" i="2"/>
  <c r="N58" i="8"/>
  <c r="F57" i="2"/>
  <c r="N57" i="8"/>
  <c r="F56" i="2"/>
  <c r="N56" i="8"/>
  <c r="F55" i="2"/>
  <c r="N55" i="8"/>
  <c r="F54" i="2"/>
  <c r="N54" i="8"/>
  <c r="F53" i="2"/>
  <c r="N53" i="8"/>
  <c r="G118" i="1"/>
  <c r="F52" i="2"/>
  <c r="N52" i="8"/>
  <c r="F51" i="2"/>
  <c r="N51" i="8"/>
  <c r="J13" i="1"/>
  <c r="F50" i="2"/>
  <c r="N50" i="8"/>
  <c r="F49" i="2"/>
  <c r="N49" i="8"/>
  <c r="F48" i="2"/>
  <c r="N48" i="8"/>
  <c r="F47" i="2"/>
  <c r="N47" i="8"/>
  <c r="F40" i="2"/>
  <c r="N40" i="8"/>
  <c r="F39" i="2"/>
  <c r="N39" i="8"/>
  <c r="G130" i="1"/>
  <c r="F38" i="2"/>
  <c r="N38" i="8"/>
  <c r="F37" i="2"/>
  <c r="N37" i="8"/>
  <c r="F36" i="2"/>
  <c r="N36" i="8"/>
  <c r="F35" i="2"/>
  <c r="N35" i="8"/>
  <c r="F34" i="2"/>
  <c r="N34" i="8"/>
  <c r="F33" i="2"/>
  <c r="N33" i="8"/>
  <c r="F32" i="2"/>
  <c r="N32" i="8"/>
  <c r="K115" i="1"/>
  <c r="F31" i="2"/>
  <c r="N31" i="8"/>
  <c r="N30" i="8"/>
  <c r="K13" i="1"/>
  <c r="F29" i="2"/>
  <c r="N29" i="8"/>
  <c r="F28" i="2"/>
  <c r="N28" i="8"/>
  <c r="F27" i="2"/>
  <c r="N27" i="8"/>
  <c r="F26" i="2"/>
  <c r="N26" i="8"/>
  <c r="F19" i="2"/>
  <c r="N19" i="8"/>
  <c r="F18" i="2"/>
  <c r="N18" i="8"/>
  <c r="F17" i="2"/>
  <c r="N17" i="8"/>
  <c r="F16" i="2"/>
  <c r="N16" i="8"/>
  <c r="F15" i="2"/>
  <c r="N15" i="8"/>
  <c r="F14" i="2"/>
  <c r="N14" i="8"/>
  <c r="F13" i="2"/>
  <c r="N13" i="8"/>
  <c r="F12" i="2"/>
  <c r="N12" i="8"/>
  <c r="F11" i="2"/>
  <c r="N11" i="8"/>
  <c r="F10" i="2"/>
  <c r="N10" i="8"/>
  <c r="F9" i="2"/>
  <c r="N9" i="8"/>
  <c r="F8" i="2"/>
  <c r="N8" i="8"/>
  <c r="F7" i="2"/>
  <c r="N7" i="8"/>
  <c r="E158" i="2"/>
  <c r="K158" i="8"/>
  <c r="E157" i="2"/>
  <c r="K157" i="8"/>
  <c r="K155" i="8"/>
  <c r="E154" i="2"/>
  <c r="K154" i="8"/>
  <c r="E153" i="2"/>
  <c r="K153" i="8"/>
  <c r="E152" i="2"/>
  <c r="K152" i="8"/>
  <c r="E151" i="2"/>
  <c r="K151" i="8"/>
  <c r="E150" i="2"/>
  <c r="K150" i="8"/>
  <c r="E149" i="2"/>
  <c r="K149" i="8"/>
  <c r="E148" i="2"/>
  <c r="K148" i="8"/>
  <c r="E147" i="2"/>
  <c r="K147" i="8"/>
  <c r="E146" i="2"/>
  <c r="K146" i="8"/>
  <c r="E145" i="2"/>
  <c r="K145" i="8"/>
  <c r="E119" i="2"/>
  <c r="K119" i="8"/>
  <c r="E118" i="2"/>
  <c r="K118" i="8"/>
  <c r="E116" i="2"/>
  <c r="K116" i="8"/>
  <c r="E115" i="2"/>
  <c r="K115" i="8"/>
  <c r="E114" i="2"/>
  <c r="K114" i="8"/>
  <c r="E113" i="2"/>
  <c r="K113" i="8"/>
  <c r="E112" i="2"/>
  <c r="K112" i="8"/>
  <c r="E111" i="2"/>
  <c r="K111" i="8"/>
  <c r="E110" i="2"/>
  <c r="K110" i="8"/>
  <c r="E109" i="2"/>
  <c r="K109" i="8"/>
  <c r="E108" i="2"/>
  <c r="K108" i="8"/>
  <c r="E83" i="2"/>
  <c r="K83" i="8"/>
  <c r="F208" i="1"/>
  <c r="E82" i="2"/>
  <c r="K82" i="8"/>
  <c r="F136" i="1"/>
  <c r="E81" i="2"/>
  <c r="K81" i="8"/>
  <c r="E80" i="2"/>
  <c r="K80" i="8"/>
  <c r="E79" i="2"/>
  <c r="K79" i="8"/>
  <c r="E78" i="2"/>
  <c r="K78" i="8"/>
  <c r="E77" i="2"/>
  <c r="K77" i="8"/>
  <c r="E76" i="2"/>
  <c r="K76" i="8"/>
  <c r="E75" i="2"/>
  <c r="K75" i="8"/>
  <c r="E74" i="2"/>
  <c r="K74" i="8"/>
  <c r="J118" i="1"/>
  <c r="E73" i="2"/>
  <c r="K73" i="8"/>
  <c r="E72" i="2"/>
  <c r="K72" i="8"/>
  <c r="R13" i="1"/>
  <c r="E71" i="2"/>
  <c r="K71" i="8"/>
  <c r="E70" i="2"/>
  <c r="K70" i="8"/>
  <c r="E69" i="2"/>
  <c r="K69" i="8"/>
  <c r="E68" i="2"/>
  <c r="K68" i="8"/>
  <c r="E61" i="2"/>
  <c r="K61" i="8"/>
  <c r="E60" i="2"/>
  <c r="K60" i="8"/>
  <c r="F133" i="1"/>
  <c r="E59" i="2"/>
  <c r="K59" i="8"/>
  <c r="E58" i="2"/>
  <c r="K58" i="8"/>
  <c r="E57" i="2"/>
  <c r="K57" i="8"/>
  <c r="E56" i="2"/>
  <c r="K56" i="8"/>
  <c r="E55" i="2"/>
  <c r="K55" i="8"/>
  <c r="E54" i="2"/>
  <c r="K54" i="8"/>
  <c r="E53" i="2"/>
  <c r="K53" i="8"/>
  <c r="F118" i="1"/>
  <c r="E52" i="2"/>
  <c r="K52" i="8"/>
  <c r="E51" i="2"/>
  <c r="K51" i="8"/>
  <c r="E50" i="2"/>
  <c r="K50" i="8"/>
  <c r="E49" i="2"/>
  <c r="K49" i="8"/>
  <c r="E48" i="2"/>
  <c r="K48" i="8"/>
  <c r="E47" i="2"/>
  <c r="K47" i="8"/>
  <c r="E40" i="2"/>
  <c r="K40" i="8"/>
  <c r="E39" i="2"/>
  <c r="K39" i="8"/>
  <c r="F130" i="1"/>
  <c r="E38" i="2"/>
  <c r="K38" i="8"/>
  <c r="E37" i="2"/>
  <c r="K37" i="8"/>
  <c r="E36" i="2"/>
  <c r="K36" i="8"/>
  <c r="E35" i="2"/>
  <c r="K35" i="8"/>
  <c r="E34" i="2"/>
  <c r="K34" i="8"/>
  <c r="E33" i="2"/>
  <c r="K33" i="8"/>
  <c r="E32" i="2"/>
  <c r="K32" i="8"/>
  <c r="J115" i="1"/>
  <c r="E31" i="2"/>
  <c r="K31" i="8"/>
  <c r="K30" i="8"/>
  <c r="E29" i="2"/>
  <c r="K29" i="8"/>
  <c r="E28" i="2"/>
  <c r="K28" i="8"/>
  <c r="H10" i="1"/>
  <c r="E27" i="2"/>
  <c r="K27" i="8"/>
  <c r="E26" i="2"/>
  <c r="K26" i="8"/>
  <c r="E19" i="2"/>
  <c r="K19" i="8"/>
  <c r="E18" i="2"/>
  <c r="K18" i="8"/>
  <c r="E17" i="2"/>
  <c r="K17" i="8"/>
  <c r="E16" i="2"/>
  <c r="K16" i="8"/>
  <c r="E15" i="2"/>
  <c r="K15" i="8"/>
  <c r="E14" i="2"/>
  <c r="K14" i="8"/>
  <c r="E13" i="2"/>
  <c r="K13" i="8"/>
  <c r="E12" i="2"/>
  <c r="K12" i="8"/>
  <c r="E11" i="2"/>
  <c r="K11" i="8"/>
  <c r="E10" i="2"/>
  <c r="K10" i="8"/>
  <c r="E9" i="2"/>
  <c r="K9" i="8"/>
  <c r="E8" i="2"/>
  <c r="K8" i="8"/>
  <c r="E7" i="2"/>
  <c r="K7" i="8"/>
  <c r="H158" i="8"/>
  <c r="H157" i="8"/>
  <c r="H155" i="8"/>
  <c r="H154" i="8"/>
  <c r="H153" i="8"/>
  <c r="H152" i="8"/>
  <c r="H151" i="8"/>
  <c r="H150" i="8"/>
  <c r="H149" i="8"/>
  <c r="H148" i="8"/>
  <c r="H147" i="8"/>
  <c r="H146" i="8"/>
  <c r="H145" i="8"/>
  <c r="H119" i="8"/>
  <c r="H118" i="8"/>
  <c r="H116" i="8"/>
  <c r="H115" i="8"/>
  <c r="H114" i="8"/>
  <c r="H113" i="8"/>
  <c r="H112" i="8"/>
  <c r="H111" i="8"/>
  <c r="H110" i="8"/>
  <c r="H109" i="8"/>
  <c r="H108" i="8"/>
  <c r="H83" i="8"/>
  <c r="H82" i="8"/>
  <c r="H81" i="8"/>
  <c r="H80" i="8"/>
  <c r="H79" i="8"/>
  <c r="H78" i="8"/>
  <c r="H77" i="8"/>
  <c r="H76" i="8"/>
  <c r="H75" i="8"/>
  <c r="H74" i="8"/>
  <c r="H73" i="8"/>
  <c r="H72" i="8"/>
  <c r="H71" i="8"/>
  <c r="H70" i="8"/>
  <c r="H69" i="8"/>
  <c r="H68" i="8"/>
  <c r="H61" i="8"/>
  <c r="H59" i="8"/>
  <c r="H58" i="8"/>
  <c r="H57" i="8"/>
  <c r="H56" i="8"/>
  <c r="H55" i="8"/>
  <c r="H54" i="8"/>
  <c r="H53" i="8"/>
  <c r="H52" i="8"/>
  <c r="H51" i="8"/>
  <c r="H50" i="8"/>
  <c r="H49" i="8"/>
  <c r="H48" i="8"/>
  <c r="H47" i="8"/>
  <c r="H40" i="8"/>
  <c r="H39" i="8"/>
  <c r="H38" i="8"/>
  <c r="H37" i="8"/>
  <c r="H36" i="8"/>
  <c r="H35" i="8"/>
  <c r="H34" i="8"/>
  <c r="H33" i="8"/>
  <c r="H32" i="8"/>
  <c r="H31" i="8"/>
  <c r="H30" i="8"/>
  <c r="H29" i="8"/>
  <c r="H28" i="8"/>
  <c r="H27" i="8"/>
  <c r="H26" i="8"/>
  <c r="H19" i="8"/>
  <c r="H18" i="8"/>
  <c r="H17" i="8"/>
  <c r="H16" i="8"/>
  <c r="H15" i="8"/>
  <c r="H14" i="8"/>
  <c r="H13" i="8"/>
  <c r="H12" i="8"/>
  <c r="H11" i="8"/>
  <c r="H10" i="8"/>
  <c r="H9" i="8"/>
  <c r="H8" i="8"/>
  <c r="H7" i="8"/>
  <c r="C158" i="2"/>
  <c r="E158" i="8"/>
  <c r="C157" i="2"/>
  <c r="E157" i="8"/>
  <c r="E155" i="8"/>
  <c r="C154" i="2"/>
  <c r="E154" i="8"/>
  <c r="C153" i="2"/>
  <c r="E153" i="8"/>
  <c r="C152" i="2"/>
  <c r="E152" i="8"/>
  <c r="C151" i="2"/>
  <c r="E151" i="8"/>
  <c r="C150" i="2"/>
  <c r="E150" i="8"/>
  <c r="C149" i="2"/>
  <c r="E149" i="8"/>
  <c r="C148" i="2"/>
  <c r="E148" i="8"/>
  <c r="C147" i="2"/>
  <c r="E147" i="8"/>
  <c r="C146" i="2"/>
  <c r="E146" i="8"/>
  <c r="C145" i="2"/>
  <c r="E145" i="8"/>
  <c r="C119" i="2"/>
  <c r="E119" i="8"/>
  <c r="C118" i="2"/>
  <c r="E118" i="8"/>
  <c r="C116" i="2"/>
  <c r="E116" i="8"/>
  <c r="C115" i="2"/>
  <c r="E115" i="8"/>
  <c r="C114" i="2"/>
  <c r="E114" i="8"/>
  <c r="C113" i="2"/>
  <c r="E113" i="8"/>
  <c r="C112" i="2"/>
  <c r="E112" i="8"/>
  <c r="C111" i="2"/>
  <c r="E111" i="8"/>
  <c r="C110" i="2"/>
  <c r="E110" i="8"/>
  <c r="C109" i="2"/>
  <c r="E109" i="8"/>
  <c r="C108" i="2"/>
  <c r="E108" i="8"/>
  <c r="C83" i="2"/>
  <c r="E83" i="8"/>
  <c r="C82" i="2"/>
  <c r="E82" i="8"/>
  <c r="C81" i="2"/>
  <c r="E81" i="8"/>
  <c r="C80" i="2"/>
  <c r="E80" i="8"/>
  <c r="C79" i="2"/>
  <c r="E79" i="8"/>
  <c r="C78" i="2"/>
  <c r="E78" i="8"/>
  <c r="C77" i="2"/>
  <c r="E77" i="8"/>
  <c r="C76" i="2"/>
  <c r="E76" i="8"/>
  <c r="C75" i="2"/>
  <c r="E75" i="8"/>
  <c r="C74" i="2"/>
  <c r="E74" i="8"/>
  <c r="C73" i="2"/>
  <c r="E73" i="8"/>
  <c r="C72" i="2"/>
  <c r="E72" i="8"/>
  <c r="C71" i="2"/>
  <c r="E71" i="8"/>
  <c r="C70" i="2"/>
  <c r="E70" i="8"/>
  <c r="C69" i="2"/>
  <c r="E69" i="8"/>
  <c r="C68" i="2"/>
  <c r="E68" i="8"/>
  <c r="C61" i="2"/>
  <c r="E61" i="8"/>
  <c r="D133" i="1"/>
  <c r="C59" i="2"/>
  <c r="E59" i="8"/>
  <c r="C58" i="2"/>
  <c r="E58" i="8"/>
  <c r="C57" i="2"/>
  <c r="E57" i="8"/>
  <c r="C56" i="2"/>
  <c r="E56" i="8"/>
  <c r="C55" i="2"/>
  <c r="E55" i="8"/>
  <c r="C54" i="2"/>
  <c r="E54" i="8"/>
  <c r="C53" i="2"/>
  <c r="E53" i="8"/>
  <c r="D118" i="1"/>
  <c r="C52" i="2"/>
  <c r="E52" i="8"/>
  <c r="C51" i="2"/>
  <c r="E51" i="8"/>
  <c r="C50" i="2"/>
  <c r="E50" i="8"/>
  <c r="C49" i="2"/>
  <c r="E49" i="8"/>
  <c r="C48" i="2"/>
  <c r="E48" i="8"/>
  <c r="C47" i="2"/>
  <c r="E47" i="8"/>
  <c r="C19" i="2"/>
  <c r="E19" i="8"/>
  <c r="C18" i="2"/>
  <c r="E18" i="8"/>
  <c r="C17" i="2"/>
  <c r="E17" i="8"/>
  <c r="C16" i="2"/>
  <c r="E16" i="8"/>
  <c r="C15" i="2"/>
  <c r="E15" i="8"/>
  <c r="C14" i="2"/>
  <c r="E14" i="8"/>
  <c r="C13" i="2"/>
  <c r="E13" i="8"/>
  <c r="C12" i="2"/>
  <c r="E12" i="8"/>
  <c r="C11" i="2"/>
  <c r="E11" i="8"/>
  <c r="C10" i="2"/>
  <c r="E10" i="8"/>
  <c r="C9" i="2"/>
  <c r="E9" i="8"/>
  <c r="C8" i="2"/>
  <c r="E8" i="8"/>
  <c r="C7" i="2"/>
  <c r="E7" i="8"/>
  <c r="B158" i="8"/>
  <c r="B157" i="8"/>
  <c r="B154" i="8"/>
  <c r="B153" i="8"/>
  <c r="B152" i="8"/>
  <c r="B151" i="8"/>
  <c r="B150" i="8"/>
  <c r="B149" i="8"/>
  <c r="B148" i="8"/>
  <c r="B147" i="8"/>
  <c r="B146" i="8"/>
  <c r="B145" i="8"/>
  <c r="B119" i="8"/>
  <c r="B118" i="8"/>
  <c r="B116" i="8"/>
  <c r="B115" i="8"/>
  <c r="B114" i="8"/>
  <c r="B113" i="8"/>
  <c r="B112" i="8"/>
  <c r="B111" i="8"/>
  <c r="B110" i="8"/>
  <c r="B109" i="8"/>
  <c r="B108" i="8"/>
  <c r="B83" i="2"/>
  <c r="B83" i="8"/>
  <c r="C208" i="1"/>
  <c r="B82" i="2"/>
  <c r="B82" i="8"/>
  <c r="C136" i="1"/>
  <c r="B81" i="2"/>
  <c r="B81" i="8"/>
  <c r="B80" i="2"/>
  <c r="B80" i="8"/>
  <c r="B79" i="2"/>
  <c r="B79" i="8"/>
  <c r="B78" i="2"/>
  <c r="B78" i="8"/>
  <c r="B77" i="2"/>
  <c r="B77" i="8"/>
  <c r="B76" i="2"/>
  <c r="B76" i="8"/>
  <c r="B75" i="2"/>
  <c r="B75" i="8"/>
  <c r="B74" i="2"/>
  <c r="B74" i="8"/>
  <c r="B73" i="2"/>
  <c r="B73" i="8"/>
  <c r="B72" i="2"/>
  <c r="B72" i="8"/>
  <c r="O13" i="1"/>
  <c r="B71" i="2"/>
  <c r="B71" i="8"/>
  <c r="B70" i="2"/>
  <c r="B70" i="8"/>
  <c r="B69" i="2"/>
  <c r="B69" i="8"/>
  <c r="B68" i="2" a="1"/>
  <c r="B68" i="2"/>
  <c r="B68" i="8"/>
  <c r="B61" i="2"/>
  <c r="B61" i="8"/>
  <c r="C133" i="1"/>
  <c r="B59" i="2"/>
  <c r="B59" i="8"/>
  <c r="B58" i="2"/>
  <c r="B58" i="8"/>
  <c r="B57" i="2"/>
  <c r="B57" i="8"/>
  <c r="B56" i="2"/>
  <c r="B56" i="8"/>
  <c r="B55" i="2"/>
  <c r="B55" i="8"/>
  <c r="B54" i="2"/>
  <c r="B54" i="8"/>
  <c r="B53" i="2"/>
  <c r="B53" i="8"/>
  <c r="C118" i="1"/>
  <c r="B52" i="2"/>
  <c r="B52" i="8"/>
  <c r="B51" i="2"/>
  <c r="B51" i="8"/>
  <c r="B50" i="2"/>
  <c r="B50" i="8"/>
  <c r="B49" i="2"/>
  <c r="B49" i="8"/>
  <c r="B48" i="2"/>
  <c r="B48" i="8"/>
  <c r="B47" i="2"/>
  <c r="B47" i="8"/>
  <c r="B40" i="2"/>
  <c r="B40" i="8"/>
  <c r="B39" i="2"/>
  <c r="B39" i="8"/>
  <c r="B38" i="2"/>
  <c r="B38" i="8"/>
  <c r="B37" i="2"/>
  <c r="B37" i="8"/>
  <c r="B36" i="2"/>
  <c r="B36" i="8"/>
  <c r="B35" i="2"/>
  <c r="B35" i="8"/>
  <c r="B34" i="2"/>
  <c r="B34" i="8"/>
  <c r="B33" i="2"/>
  <c r="B33" i="8"/>
  <c r="B32" i="2"/>
  <c r="B32" i="8"/>
  <c r="B31" i="2"/>
  <c r="B31" i="8"/>
  <c r="B30" i="8"/>
  <c r="B29" i="2"/>
  <c r="B29" i="8"/>
  <c r="B28" i="2"/>
  <c r="B28" i="8"/>
  <c r="B27" i="2"/>
  <c r="B27" i="8"/>
  <c r="B26" i="2"/>
  <c r="B26" i="8"/>
  <c r="B19" i="2"/>
  <c r="B19" i="8"/>
  <c r="C199" i="1"/>
  <c r="B18" i="2"/>
  <c r="B18" i="8"/>
  <c r="C127" i="1"/>
  <c r="B17" i="2"/>
  <c r="B17" i="8"/>
  <c r="B16" i="2"/>
  <c r="B16" i="8"/>
  <c r="B15" i="2"/>
  <c r="B15" i="8"/>
  <c r="B14" i="2"/>
  <c r="B14" i="8"/>
  <c r="B13" i="2"/>
  <c r="B13" i="8"/>
  <c r="B12" i="2"/>
  <c r="B12" i="8"/>
  <c r="C115" i="1"/>
  <c r="B11" i="2"/>
  <c r="B11" i="8"/>
  <c r="B10" i="2"/>
  <c r="B10" i="8"/>
  <c r="C13" i="1"/>
  <c r="B9" i="2"/>
  <c r="B9" i="8"/>
  <c r="B8" i="2"/>
  <c r="B8" i="8"/>
  <c r="C10" i="1"/>
  <c r="B7" i="2"/>
  <c r="B7" i="8"/>
  <c r="F6" i="2"/>
  <c r="N6" i="8"/>
  <c r="E6" i="2"/>
  <c r="K6" i="8"/>
  <c r="H6" i="8"/>
  <c r="C6" i="2"/>
  <c r="E6" i="8"/>
  <c r="G6" i="8"/>
  <c r="J6" i="8"/>
  <c r="B6" i="2"/>
  <c r="B6" i="8"/>
  <c r="N159" i="7"/>
  <c r="N158" i="7"/>
  <c r="N157" i="7"/>
  <c r="N155" i="7"/>
  <c r="N154" i="7"/>
  <c r="N153" i="7"/>
  <c r="N152" i="7"/>
  <c r="N151" i="7"/>
  <c r="N150" i="7"/>
  <c r="N149" i="7"/>
  <c r="N148" i="7"/>
  <c r="N147" i="7"/>
  <c r="N146" i="7"/>
  <c r="N119" i="7"/>
  <c r="N118" i="7"/>
  <c r="N116" i="7"/>
  <c r="N115" i="7"/>
  <c r="N114" i="7"/>
  <c r="N113" i="7"/>
  <c r="N112" i="7"/>
  <c r="N111" i="7"/>
  <c r="N110" i="7"/>
  <c r="N109" i="7"/>
  <c r="N108" i="7"/>
  <c r="K159" i="7"/>
  <c r="K158" i="7"/>
  <c r="K157" i="7"/>
  <c r="K155" i="7"/>
  <c r="K154" i="7"/>
  <c r="K153" i="7"/>
  <c r="K152" i="7"/>
  <c r="K151" i="7"/>
  <c r="K150" i="7"/>
  <c r="K149" i="7"/>
  <c r="K148" i="7"/>
  <c r="K147" i="7"/>
  <c r="K146" i="7"/>
  <c r="H159" i="7"/>
  <c r="H158" i="7"/>
  <c r="H157" i="7"/>
  <c r="H155" i="7"/>
  <c r="H154" i="7"/>
  <c r="H153" i="7"/>
  <c r="H152" i="7"/>
  <c r="H151" i="7"/>
  <c r="H150" i="7"/>
  <c r="H149" i="7"/>
  <c r="H148" i="7"/>
  <c r="H147" i="7"/>
  <c r="H146" i="7"/>
  <c r="E159" i="7"/>
  <c r="E158" i="7"/>
  <c r="E157" i="7"/>
  <c r="E155" i="7"/>
  <c r="E154" i="7"/>
  <c r="E153" i="7"/>
  <c r="E152" i="7"/>
  <c r="E151" i="7"/>
  <c r="E150" i="7"/>
  <c r="E149" i="7"/>
  <c r="E148" i="7"/>
  <c r="E147" i="7"/>
  <c r="E146" i="7"/>
  <c r="B159" i="7"/>
  <c r="B158" i="7"/>
  <c r="B157" i="7"/>
  <c r="B155" i="7"/>
  <c r="B154" i="7"/>
  <c r="B153" i="7"/>
  <c r="B152" i="7"/>
  <c r="B151" i="7"/>
  <c r="B150" i="7"/>
  <c r="B149" i="7"/>
  <c r="B148" i="7"/>
  <c r="B147" i="7"/>
  <c r="B146" i="7"/>
  <c r="B119" i="7"/>
  <c r="B118" i="7"/>
  <c r="B116" i="7"/>
  <c r="B115" i="7"/>
  <c r="B114" i="7"/>
  <c r="B113" i="7"/>
  <c r="B112" i="7"/>
  <c r="B111" i="7"/>
  <c r="B110" i="7"/>
  <c r="B109" i="7"/>
  <c r="B108" i="7"/>
  <c r="E119" i="7"/>
  <c r="E118" i="7"/>
  <c r="E116" i="7"/>
  <c r="E115" i="7"/>
  <c r="E114" i="7"/>
  <c r="E113" i="7"/>
  <c r="E112" i="7"/>
  <c r="E111" i="7"/>
  <c r="E110" i="7"/>
  <c r="E109" i="7"/>
  <c r="E108" i="7"/>
  <c r="H119" i="7"/>
  <c r="H118" i="7"/>
  <c r="H116" i="7"/>
  <c r="H115" i="7"/>
  <c r="H114" i="7"/>
  <c r="H113" i="7"/>
  <c r="H112" i="7"/>
  <c r="H111" i="7"/>
  <c r="H110" i="7"/>
  <c r="H109" i="7"/>
  <c r="H108" i="7"/>
  <c r="K119" i="7"/>
  <c r="K118" i="7"/>
  <c r="K116" i="7"/>
  <c r="K115" i="7"/>
  <c r="K114" i="7"/>
  <c r="K113" i="7"/>
  <c r="K112" i="7"/>
  <c r="K111" i="7"/>
  <c r="K110" i="7"/>
  <c r="K109" i="7"/>
  <c r="K108" i="7"/>
  <c r="N100" i="7"/>
  <c r="N99" i="7"/>
  <c r="N97" i="7"/>
  <c r="N96" i="7"/>
  <c r="N95" i="7"/>
  <c r="N94" i="7"/>
  <c r="N93" i="7"/>
  <c r="N92" i="7"/>
  <c r="N91" i="7"/>
  <c r="N90" i="7"/>
  <c r="K100" i="7"/>
  <c r="K99" i="7"/>
  <c r="K97" i="7"/>
  <c r="K96" i="7"/>
  <c r="K95" i="7"/>
  <c r="K94" i="7"/>
  <c r="K93" i="7"/>
  <c r="K92" i="7"/>
  <c r="K91" i="7"/>
  <c r="K90" i="7"/>
  <c r="H100" i="7"/>
  <c r="H99" i="7"/>
  <c r="H97" i="7"/>
  <c r="H96" i="7"/>
  <c r="H95" i="7"/>
  <c r="H94" i="7"/>
  <c r="H93" i="7"/>
  <c r="H92" i="7"/>
  <c r="H91" i="7"/>
  <c r="H90" i="7"/>
  <c r="E100" i="7"/>
  <c r="E99" i="7"/>
  <c r="E97" i="7"/>
  <c r="E96" i="7"/>
  <c r="E95" i="7"/>
  <c r="E94" i="7"/>
  <c r="E93" i="7"/>
  <c r="E92" i="7"/>
  <c r="E91" i="7"/>
  <c r="E90" i="7"/>
  <c r="B100" i="7"/>
  <c r="B99" i="7"/>
  <c r="B97" i="7"/>
  <c r="B96" i="7"/>
  <c r="B95" i="7"/>
  <c r="B94" i="7"/>
  <c r="B93" i="7"/>
  <c r="B92" i="7"/>
  <c r="B91" i="7"/>
  <c r="B90" i="7"/>
  <c r="F83" i="3"/>
  <c r="N83" i="7"/>
  <c r="F82" i="3"/>
  <c r="N82" i="7"/>
  <c r="F81" i="3"/>
  <c r="N81" i="7"/>
  <c r="F80" i="3"/>
  <c r="N80" i="7"/>
  <c r="F79" i="3"/>
  <c r="N79" i="7"/>
  <c r="F78" i="3"/>
  <c r="N78" i="7"/>
  <c r="F77" i="3"/>
  <c r="N77" i="7"/>
  <c r="F76" i="3"/>
  <c r="N76" i="7"/>
  <c r="F75" i="3"/>
  <c r="N75" i="7"/>
  <c r="F74" i="3"/>
  <c r="N74" i="7"/>
  <c r="F73" i="3"/>
  <c r="N73" i="7"/>
  <c r="F72" i="3"/>
  <c r="N72" i="7"/>
  <c r="F71" i="3"/>
  <c r="N71" i="7"/>
  <c r="F70" i="3"/>
  <c r="N70" i="7"/>
  <c r="F69" i="3"/>
  <c r="N69" i="7"/>
  <c r="F68" i="3"/>
  <c r="N68" i="7"/>
  <c r="E83" i="3"/>
  <c r="K83" i="7"/>
  <c r="E82" i="3"/>
  <c r="K82" i="7"/>
  <c r="E81" i="3"/>
  <c r="K81" i="7"/>
  <c r="E80" i="3"/>
  <c r="K80" i="7"/>
  <c r="E79" i="3"/>
  <c r="K79" i="7"/>
  <c r="E78" i="3"/>
  <c r="K78" i="7"/>
  <c r="E77" i="3"/>
  <c r="K77" i="7"/>
  <c r="E76" i="3"/>
  <c r="K76" i="7"/>
  <c r="E75" i="3"/>
  <c r="K75" i="7"/>
  <c r="E74" i="3"/>
  <c r="K74" i="7"/>
  <c r="E73" i="3"/>
  <c r="K73" i="7"/>
  <c r="E72" i="3"/>
  <c r="K72" i="7"/>
  <c r="E71" i="3"/>
  <c r="K71" i="7"/>
  <c r="E70" i="3"/>
  <c r="K70" i="7"/>
  <c r="E69" i="3"/>
  <c r="K69" i="7"/>
  <c r="E68" i="3"/>
  <c r="K68" i="7"/>
  <c r="H83" i="7"/>
  <c r="H82" i="7"/>
  <c r="H81" i="7"/>
  <c r="H80" i="7"/>
  <c r="H79" i="7"/>
  <c r="H78" i="7"/>
  <c r="H77" i="7"/>
  <c r="H76" i="7"/>
  <c r="H75" i="7"/>
  <c r="H74" i="7"/>
  <c r="H73" i="7"/>
  <c r="H72" i="7"/>
  <c r="H71" i="7"/>
  <c r="H70" i="7"/>
  <c r="H69" i="7"/>
  <c r="H68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E69" i="7"/>
  <c r="E68" i="7"/>
  <c r="B83" i="3"/>
  <c r="B83" i="7"/>
  <c r="B82" i="3"/>
  <c r="B82" i="7"/>
  <c r="B81" i="3"/>
  <c r="B81" i="7"/>
  <c r="B80" i="3"/>
  <c r="B80" i="7"/>
  <c r="B79" i="3"/>
  <c r="B79" i="7"/>
  <c r="B78" i="3"/>
  <c r="B78" i="7"/>
  <c r="B77" i="3"/>
  <c r="B77" i="7"/>
  <c r="B76" i="3"/>
  <c r="B76" i="7"/>
  <c r="B75" i="3"/>
  <c r="B75" i="7"/>
  <c r="B74" i="3"/>
  <c r="B74" i="7"/>
  <c r="B73" i="3"/>
  <c r="B73" i="7"/>
  <c r="B72" i="3"/>
  <c r="B72" i="7"/>
  <c r="B71" i="3"/>
  <c r="B71" i="7"/>
  <c r="B70" i="3"/>
  <c r="B70" i="7"/>
  <c r="B69" i="3"/>
  <c r="B69" i="7"/>
  <c r="B68" i="3" a="1"/>
  <c r="B68" i="3"/>
  <c r="B68" i="7"/>
  <c r="F60" i="3"/>
  <c r="N60" i="7"/>
  <c r="F59" i="3"/>
  <c r="N59" i="7"/>
  <c r="F58" i="3"/>
  <c r="N58" i="7"/>
  <c r="F57" i="3"/>
  <c r="N57" i="7"/>
  <c r="F56" i="3"/>
  <c r="N56" i="7"/>
  <c r="F55" i="3"/>
  <c r="N55" i="7"/>
  <c r="F54" i="3"/>
  <c r="N54" i="7"/>
  <c r="F53" i="3"/>
  <c r="N53" i="7"/>
  <c r="F52" i="3"/>
  <c r="N52" i="7"/>
  <c r="F51" i="3"/>
  <c r="N51" i="7"/>
  <c r="F50" i="3"/>
  <c r="N50" i="7"/>
  <c r="F49" i="3"/>
  <c r="N49" i="7"/>
  <c r="F48" i="3"/>
  <c r="N48" i="7"/>
  <c r="F47" i="3"/>
  <c r="N47" i="7"/>
  <c r="E60" i="3"/>
  <c r="K60" i="7"/>
  <c r="E59" i="3"/>
  <c r="K59" i="7"/>
  <c r="E58" i="3"/>
  <c r="K58" i="7"/>
  <c r="E57" i="3"/>
  <c r="K57" i="7"/>
  <c r="E56" i="3"/>
  <c r="K56" i="7"/>
  <c r="E55" i="3"/>
  <c r="K55" i="7"/>
  <c r="E54" i="3"/>
  <c r="K54" i="7"/>
  <c r="E53" i="3"/>
  <c r="K53" i="7"/>
  <c r="E52" i="3"/>
  <c r="K52" i="7"/>
  <c r="E51" i="3"/>
  <c r="K51" i="7"/>
  <c r="E50" i="3"/>
  <c r="K50" i="7"/>
  <c r="E49" i="3"/>
  <c r="K49" i="7"/>
  <c r="E48" i="3"/>
  <c r="K48" i="7"/>
  <c r="E47" i="3"/>
  <c r="K47" i="7"/>
  <c r="H60" i="7"/>
  <c r="H59" i="7"/>
  <c r="H58" i="7"/>
  <c r="H57" i="7"/>
  <c r="H56" i="7"/>
  <c r="H55" i="7"/>
  <c r="H54" i="7"/>
  <c r="H53" i="7"/>
  <c r="H52" i="7"/>
  <c r="H51" i="7"/>
  <c r="H50" i="7"/>
  <c r="H49" i="7"/>
  <c r="H48" i="7"/>
  <c r="H47" i="7"/>
  <c r="C60" i="3"/>
  <c r="E60" i="7"/>
  <c r="C59" i="3"/>
  <c r="E59" i="7"/>
  <c r="C58" i="3"/>
  <c r="E58" i="7"/>
  <c r="C57" i="3"/>
  <c r="E57" i="7"/>
  <c r="C56" i="3"/>
  <c r="E56" i="7"/>
  <c r="C55" i="3"/>
  <c r="E55" i="7"/>
  <c r="C54" i="3"/>
  <c r="E54" i="7"/>
  <c r="C53" i="3"/>
  <c r="E53" i="7"/>
  <c r="C52" i="3"/>
  <c r="E52" i="7"/>
  <c r="C51" i="3"/>
  <c r="E51" i="7"/>
  <c r="C50" i="3"/>
  <c r="E50" i="7"/>
  <c r="C49" i="3"/>
  <c r="E49" i="7"/>
  <c r="C48" i="3"/>
  <c r="E48" i="7"/>
  <c r="C47" i="3"/>
  <c r="E47" i="7"/>
  <c r="B60" i="3"/>
  <c r="B60" i="7"/>
  <c r="B59" i="3"/>
  <c r="B59" i="7"/>
  <c r="B58" i="3"/>
  <c r="B58" i="7"/>
  <c r="B57" i="3"/>
  <c r="B57" i="7"/>
  <c r="B56" i="3"/>
  <c r="B56" i="7"/>
  <c r="B55" i="3"/>
  <c r="B55" i="7"/>
  <c r="B54" i="3"/>
  <c r="B54" i="7"/>
  <c r="B53" i="3"/>
  <c r="B53" i="7"/>
  <c r="B52" i="3"/>
  <c r="B52" i="7"/>
  <c r="B51" i="3"/>
  <c r="B51" i="7"/>
  <c r="B50" i="3"/>
  <c r="B50" i="7"/>
  <c r="B49" i="3"/>
  <c r="B49" i="7"/>
  <c r="B48" i="3"/>
  <c r="B48" i="7"/>
  <c r="B47" i="3"/>
  <c r="B47" i="7"/>
  <c r="F39" i="3"/>
  <c r="N39" i="7"/>
  <c r="F38" i="3"/>
  <c r="N38" i="7"/>
  <c r="F37" i="3"/>
  <c r="N37" i="7"/>
  <c r="F36" i="3"/>
  <c r="N36" i="7"/>
  <c r="F35" i="3"/>
  <c r="N35" i="7"/>
  <c r="F34" i="3"/>
  <c r="N34" i="7"/>
  <c r="F33" i="3"/>
  <c r="N33" i="7"/>
  <c r="F32" i="3"/>
  <c r="N32" i="7"/>
  <c r="F31" i="3"/>
  <c r="N31" i="7"/>
  <c r="N30" i="7"/>
  <c r="F29" i="3"/>
  <c r="N29" i="7"/>
  <c r="F28" i="3"/>
  <c r="N28" i="7"/>
  <c r="F27" i="3"/>
  <c r="N27" i="7"/>
  <c r="F26" i="3"/>
  <c r="N26" i="7"/>
  <c r="E39" i="3"/>
  <c r="K39" i="7"/>
  <c r="E38" i="3"/>
  <c r="K38" i="7"/>
  <c r="E37" i="3"/>
  <c r="K37" i="7"/>
  <c r="E36" i="3"/>
  <c r="K36" i="7"/>
  <c r="E35" i="3"/>
  <c r="K35" i="7"/>
  <c r="E34" i="3"/>
  <c r="K34" i="7"/>
  <c r="E33" i="3"/>
  <c r="K33" i="7"/>
  <c r="E32" i="3"/>
  <c r="K32" i="7"/>
  <c r="E31" i="3"/>
  <c r="K31" i="7"/>
  <c r="K30" i="7"/>
  <c r="E29" i="3"/>
  <c r="K29" i="7"/>
  <c r="E28" i="3"/>
  <c r="K28" i="7"/>
  <c r="E27" i="3"/>
  <c r="K27" i="7"/>
  <c r="E26" i="3"/>
  <c r="K26" i="7"/>
  <c r="H39" i="7"/>
  <c r="H38" i="7"/>
  <c r="H37" i="7"/>
  <c r="H36" i="7"/>
  <c r="H35" i="7"/>
  <c r="H34" i="7"/>
  <c r="H33" i="7"/>
  <c r="H32" i="7"/>
  <c r="H31" i="7"/>
  <c r="H30" i="7"/>
  <c r="H29" i="7"/>
  <c r="H28" i="7"/>
  <c r="H27" i="7"/>
  <c r="H26" i="7"/>
  <c r="B19" i="3"/>
  <c r="B19" i="7"/>
  <c r="B18" i="3"/>
  <c r="B18" i="7"/>
  <c r="B17" i="3"/>
  <c r="B17" i="7"/>
  <c r="B16" i="3"/>
  <c r="B16" i="7"/>
  <c r="B15" i="3"/>
  <c r="B15" i="7"/>
  <c r="B14" i="3"/>
  <c r="B14" i="7"/>
  <c r="B13" i="3"/>
  <c r="B13" i="7"/>
  <c r="B12" i="3"/>
  <c r="B12" i="7"/>
  <c r="B11" i="3"/>
  <c r="B11" i="7"/>
  <c r="B10" i="3"/>
  <c r="B10" i="7"/>
  <c r="B9" i="3"/>
  <c r="B9" i="7"/>
  <c r="B8" i="3"/>
  <c r="B8" i="7"/>
  <c r="B7" i="3"/>
  <c r="B7" i="7"/>
  <c r="B6" i="3"/>
  <c r="B6" i="7"/>
  <c r="N7" i="5"/>
  <c r="C36" i="2"/>
  <c r="C35" i="2"/>
  <c r="C34" i="2"/>
  <c r="C33" i="2"/>
  <c r="C32" i="2"/>
  <c r="C31" i="2"/>
  <c r="C29" i="2"/>
  <c r="C28" i="2"/>
  <c r="C27" i="2"/>
  <c r="C26" i="2"/>
  <c r="O235" i="1"/>
  <c r="B140" i="2"/>
  <c r="P235" i="1"/>
  <c r="C140" i="2"/>
  <c r="Q235" i="1"/>
  <c r="D140" i="2"/>
  <c r="E140" i="2"/>
  <c r="R235" i="1"/>
  <c r="F140" i="2"/>
  <c r="N13" i="1"/>
  <c r="M13" i="1"/>
  <c r="L13" i="1"/>
  <c r="J152" i="8"/>
  <c r="I152" i="8"/>
  <c r="G152" i="8"/>
  <c r="F152" i="8"/>
  <c r="D152" i="8"/>
  <c r="C152" i="8"/>
  <c r="J151" i="8"/>
  <c r="I151" i="8"/>
  <c r="G151" i="8"/>
  <c r="F151" i="8"/>
  <c r="D151" i="8"/>
  <c r="C151" i="8"/>
  <c r="J150" i="8"/>
  <c r="I150" i="8"/>
  <c r="G150" i="8"/>
  <c r="F150" i="8"/>
  <c r="D150" i="8"/>
  <c r="C150" i="8"/>
  <c r="J149" i="8"/>
  <c r="I149" i="8"/>
  <c r="G149" i="8"/>
  <c r="F149" i="8"/>
  <c r="D149" i="8"/>
  <c r="C149" i="8"/>
  <c r="J148" i="8"/>
  <c r="I148" i="8"/>
  <c r="G148" i="8"/>
  <c r="F148" i="8"/>
  <c r="D148" i="8"/>
  <c r="C148" i="8"/>
  <c r="J147" i="8"/>
  <c r="I147" i="8"/>
  <c r="G147" i="8"/>
  <c r="F147" i="8"/>
  <c r="D147" i="8"/>
  <c r="C147" i="8"/>
  <c r="J125" i="8"/>
  <c r="I125" i="8"/>
  <c r="G125" i="8"/>
  <c r="F125" i="8"/>
  <c r="F113" i="8"/>
  <c r="M114" i="8"/>
  <c r="L114" i="8"/>
  <c r="J114" i="8"/>
  <c r="I114" i="8"/>
  <c r="G114" i="8"/>
  <c r="F114" i="8"/>
  <c r="D114" i="8"/>
  <c r="C114" i="8"/>
  <c r="M113" i="8"/>
  <c r="L113" i="8"/>
  <c r="J113" i="8"/>
  <c r="I113" i="8"/>
  <c r="G113" i="8"/>
  <c r="D113" i="8"/>
  <c r="C113" i="8"/>
  <c r="M112" i="8"/>
  <c r="L112" i="8"/>
  <c r="J112" i="8"/>
  <c r="I112" i="8"/>
  <c r="G112" i="8"/>
  <c r="F112" i="8"/>
  <c r="D112" i="8"/>
  <c r="C112" i="8"/>
  <c r="M111" i="8"/>
  <c r="L111" i="8"/>
  <c r="J111" i="8"/>
  <c r="I111" i="8"/>
  <c r="G111" i="8"/>
  <c r="F111" i="8"/>
  <c r="D111" i="8"/>
  <c r="C111" i="8"/>
  <c r="M110" i="8"/>
  <c r="L110" i="8"/>
  <c r="J110" i="8"/>
  <c r="I110" i="8"/>
  <c r="G110" i="8"/>
  <c r="F110" i="8"/>
  <c r="D110" i="8"/>
  <c r="C110" i="8"/>
  <c r="C114" i="7"/>
  <c r="C110" i="7"/>
  <c r="D110" i="7"/>
  <c r="F110" i="7"/>
  <c r="G110" i="7"/>
  <c r="I110" i="7"/>
  <c r="J110" i="7"/>
  <c r="L110" i="7"/>
  <c r="M110" i="7"/>
  <c r="X10" i="1"/>
  <c r="W10" i="1"/>
  <c r="V10" i="1"/>
  <c r="U10" i="1"/>
  <c r="T10" i="1"/>
  <c r="E37" i="8"/>
  <c r="C5" i="8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K84" i="7"/>
  <c r="J68" i="7"/>
  <c r="J69" i="7"/>
  <c r="J70" i="7"/>
  <c r="J71" i="7"/>
  <c r="J72" i="7"/>
  <c r="J73" i="7"/>
  <c r="J74" i="7"/>
  <c r="J75" i="7"/>
  <c r="J76" i="7"/>
  <c r="J77" i="7"/>
  <c r="J78" i="7"/>
  <c r="J79" i="7"/>
  <c r="J80" i="7"/>
  <c r="J81" i="7"/>
  <c r="J82" i="7"/>
  <c r="J83" i="7"/>
  <c r="J84" i="7"/>
  <c r="H84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4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84" i="7"/>
  <c r="E84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4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4" i="7"/>
  <c r="H235" i="1"/>
  <c r="G235" i="1"/>
  <c r="B160" i="7"/>
  <c r="B162" i="7"/>
  <c r="C148" i="7"/>
  <c r="C150" i="7"/>
  <c r="C153" i="7"/>
  <c r="C147" i="7"/>
  <c r="C146" i="7"/>
  <c r="C149" i="7"/>
  <c r="C151" i="7"/>
  <c r="C152" i="7"/>
  <c r="C154" i="7"/>
  <c r="C155" i="7"/>
  <c r="C158" i="7"/>
  <c r="C159" i="7"/>
  <c r="C160" i="7"/>
  <c r="C162" i="7"/>
  <c r="D148" i="7"/>
  <c r="D150" i="7"/>
  <c r="D153" i="7"/>
  <c r="D147" i="7"/>
  <c r="D146" i="7"/>
  <c r="D149" i="7"/>
  <c r="D151" i="7"/>
  <c r="D152" i="7"/>
  <c r="D154" i="7"/>
  <c r="D155" i="7"/>
  <c r="D158" i="7"/>
  <c r="D159" i="7"/>
  <c r="D160" i="7"/>
  <c r="D162" i="7"/>
  <c r="E160" i="7"/>
  <c r="E162" i="7"/>
  <c r="F148" i="7"/>
  <c r="F150" i="7"/>
  <c r="F153" i="7"/>
  <c r="F147" i="7"/>
  <c r="F146" i="7"/>
  <c r="F149" i="7"/>
  <c r="F151" i="7"/>
  <c r="F152" i="7"/>
  <c r="F154" i="7"/>
  <c r="F155" i="7"/>
  <c r="F158" i="7"/>
  <c r="F159" i="7"/>
  <c r="F160" i="7"/>
  <c r="F162" i="7"/>
  <c r="G148" i="7"/>
  <c r="G150" i="7"/>
  <c r="G153" i="7"/>
  <c r="G147" i="7"/>
  <c r="G146" i="7"/>
  <c r="G149" i="7"/>
  <c r="G151" i="7"/>
  <c r="G152" i="7"/>
  <c r="G154" i="7"/>
  <c r="G155" i="7"/>
  <c r="G158" i="7"/>
  <c r="G159" i="7"/>
  <c r="G160" i="7"/>
  <c r="G162" i="7"/>
  <c r="H160" i="7"/>
  <c r="H162" i="7"/>
  <c r="I148" i="7"/>
  <c r="I150" i="7"/>
  <c r="I153" i="7"/>
  <c r="I147" i="7"/>
  <c r="I146" i="7"/>
  <c r="I149" i="7"/>
  <c r="I151" i="7"/>
  <c r="I152" i="7"/>
  <c r="I154" i="7"/>
  <c r="I155" i="7"/>
  <c r="I158" i="7"/>
  <c r="I159" i="7"/>
  <c r="I160" i="7"/>
  <c r="I162" i="7"/>
  <c r="J148" i="7"/>
  <c r="J150" i="7"/>
  <c r="J153" i="7"/>
  <c r="J147" i="7"/>
  <c r="J146" i="7"/>
  <c r="J149" i="7"/>
  <c r="J151" i="7"/>
  <c r="J152" i="7"/>
  <c r="J154" i="7"/>
  <c r="J155" i="7"/>
  <c r="J158" i="7"/>
  <c r="J159" i="7"/>
  <c r="J160" i="7"/>
  <c r="J162" i="7"/>
  <c r="K160" i="7"/>
  <c r="K162" i="7"/>
  <c r="O162" i="7"/>
  <c r="O160" i="7"/>
  <c r="B141" i="7"/>
  <c r="C141" i="7"/>
  <c r="D141" i="7"/>
  <c r="E141" i="7"/>
  <c r="F141" i="7"/>
  <c r="G141" i="7"/>
  <c r="H141" i="7"/>
  <c r="I141" i="7"/>
  <c r="J141" i="7"/>
  <c r="K141" i="7"/>
  <c r="L141" i="7"/>
  <c r="M141" i="7"/>
  <c r="N141" i="7"/>
  <c r="O141" i="7"/>
  <c r="O139" i="7"/>
  <c r="B120" i="7"/>
  <c r="B122" i="7"/>
  <c r="C112" i="7"/>
  <c r="C109" i="7"/>
  <c r="C108" i="7"/>
  <c r="C111" i="7"/>
  <c r="C113" i="7"/>
  <c r="C115" i="7"/>
  <c r="C116" i="7"/>
  <c r="C118" i="7"/>
  <c r="C119" i="7"/>
  <c r="C120" i="7"/>
  <c r="C122" i="7"/>
  <c r="D112" i="7"/>
  <c r="D114" i="7"/>
  <c r="D109" i="7"/>
  <c r="D108" i="7"/>
  <c r="D111" i="7"/>
  <c r="D113" i="7"/>
  <c r="D115" i="7"/>
  <c r="D116" i="7"/>
  <c r="D118" i="7"/>
  <c r="D119" i="7"/>
  <c r="D120" i="7"/>
  <c r="D122" i="7"/>
  <c r="E120" i="7"/>
  <c r="E122" i="7"/>
  <c r="F112" i="7"/>
  <c r="F114" i="7"/>
  <c r="F109" i="7"/>
  <c r="F108" i="7"/>
  <c r="F111" i="7"/>
  <c r="F113" i="7"/>
  <c r="F115" i="7"/>
  <c r="F116" i="7"/>
  <c r="F118" i="7"/>
  <c r="F119" i="7"/>
  <c r="F120" i="7"/>
  <c r="F122" i="7"/>
  <c r="G112" i="7"/>
  <c r="G114" i="7"/>
  <c r="G109" i="7"/>
  <c r="G108" i="7"/>
  <c r="G111" i="7"/>
  <c r="G113" i="7"/>
  <c r="G115" i="7"/>
  <c r="G116" i="7"/>
  <c r="G118" i="7"/>
  <c r="G119" i="7"/>
  <c r="G120" i="7"/>
  <c r="G122" i="7"/>
  <c r="H120" i="7"/>
  <c r="H122" i="7"/>
  <c r="I112" i="7"/>
  <c r="I114" i="7"/>
  <c r="I109" i="7"/>
  <c r="I108" i="7"/>
  <c r="I111" i="7"/>
  <c r="I113" i="7"/>
  <c r="I115" i="7"/>
  <c r="I116" i="7"/>
  <c r="I118" i="7"/>
  <c r="I119" i="7"/>
  <c r="I120" i="7"/>
  <c r="I122" i="7"/>
  <c r="J112" i="7"/>
  <c r="J114" i="7"/>
  <c r="J109" i="7"/>
  <c r="J108" i="7"/>
  <c r="J111" i="7"/>
  <c r="J113" i="7"/>
  <c r="J115" i="7"/>
  <c r="J116" i="7"/>
  <c r="J118" i="7"/>
  <c r="J119" i="7"/>
  <c r="J120" i="7"/>
  <c r="J122" i="7"/>
  <c r="K120" i="7"/>
  <c r="K122" i="7"/>
  <c r="L112" i="7"/>
  <c r="L114" i="7"/>
  <c r="L109" i="7"/>
  <c r="L108" i="7"/>
  <c r="L111" i="7"/>
  <c r="L113" i="7"/>
  <c r="L115" i="7"/>
  <c r="L116" i="7"/>
  <c r="L118" i="7"/>
  <c r="L119" i="7"/>
  <c r="L120" i="7"/>
  <c r="L122" i="7"/>
  <c r="M112" i="7"/>
  <c r="M114" i="7"/>
  <c r="M109" i="7"/>
  <c r="M108" i="7"/>
  <c r="M111" i="7"/>
  <c r="M113" i="7"/>
  <c r="M115" i="7"/>
  <c r="M116" i="7"/>
  <c r="M118" i="7"/>
  <c r="M119" i="7"/>
  <c r="M120" i="7"/>
  <c r="M122" i="7"/>
  <c r="N120" i="7"/>
  <c r="N122" i="7"/>
  <c r="O122" i="7"/>
  <c r="O120" i="7"/>
  <c r="B101" i="7"/>
  <c r="B103" i="7"/>
  <c r="C92" i="7"/>
  <c r="C94" i="7"/>
  <c r="C96" i="7"/>
  <c r="C91" i="7"/>
  <c r="C90" i="7"/>
  <c r="C93" i="7"/>
  <c r="C95" i="7"/>
  <c r="C97" i="7"/>
  <c r="C99" i="7"/>
  <c r="C100" i="7"/>
  <c r="C101" i="7"/>
  <c r="C102" i="7"/>
  <c r="C103" i="7"/>
  <c r="D92" i="7"/>
  <c r="D94" i="7"/>
  <c r="D96" i="7"/>
  <c r="D91" i="7"/>
  <c r="D90" i="7"/>
  <c r="D93" i="7"/>
  <c r="D95" i="7"/>
  <c r="D97" i="7"/>
  <c r="D99" i="7"/>
  <c r="D100" i="7"/>
  <c r="D101" i="7"/>
  <c r="D102" i="7"/>
  <c r="D103" i="7"/>
  <c r="E101" i="7"/>
  <c r="E103" i="7"/>
  <c r="F92" i="7"/>
  <c r="F94" i="7"/>
  <c r="F96" i="7"/>
  <c r="F91" i="7"/>
  <c r="F90" i="7"/>
  <c r="F93" i="7"/>
  <c r="F95" i="7"/>
  <c r="F97" i="7"/>
  <c r="F99" i="7"/>
  <c r="F100" i="7"/>
  <c r="F101" i="7"/>
  <c r="F103" i="7"/>
  <c r="G92" i="7"/>
  <c r="G94" i="7"/>
  <c r="G96" i="7"/>
  <c r="G91" i="7"/>
  <c r="G90" i="7"/>
  <c r="G93" i="7"/>
  <c r="G95" i="7"/>
  <c r="G97" i="7"/>
  <c r="G99" i="7"/>
  <c r="G100" i="7"/>
  <c r="G101" i="7"/>
  <c r="G103" i="7"/>
  <c r="H101" i="7"/>
  <c r="H103" i="7"/>
  <c r="I92" i="7"/>
  <c r="I94" i="7"/>
  <c r="I96" i="7"/>
  <c r="I91" i="7"/>
  <c r="I90" i="7"/>
  <c r="I93" i="7"/>
  <c r="I95" i="7"/>
  <c r="I97" i="7"/>
  <c r="I99" i="7"/>
  <c r="I100" i="7"/>
  <c r="I101" i="7"/>
  <c r="I103" i="7"/>
  <c r="J92" i="7"/>
  <c r="J94" i="7"/>
  <c r="J96" i="7"/>
  <c r="J91" i="7"/>
  <c r="J90" i="7"/>
  <c r="J93" i="7"/>
  <c r="J95" i="7"/>
  <c r="J97" i="7"/>
  <c r="J99" i="7"/>
  <c r="J100" i="7"/>
  <c r="J101" i="7"/>
  <c r="J103" i="7"/>
  <c r="K101" i="7"/>
  <c r="K103" i="7"/>
  <c r="L92" i="7"/>
  <c r="L94" i="7"/>
  <c r="L96" i="7"/>
  <c r="L91" i="7"/>
  <c r="L90" i="7"/>
  <c r="L93" i="7"/>
  <c r="L95" i="7"/>
  <c r="L97" i="7"/>
  <c r="L99" i="7"/>
  <c r="L100" i="7"/>
  <c r="L101" i="7"/>
  <c r="L103" i="7"/>
  <c r="M92" i="7"/>
  <c r="M94" i="7"/>
  <c r="M96" i="7"/>
  <c r="M91" i="7"/>
  <c r="M90" i="7"/>
  <c r="M93" i="7"/>
  <c r="M95" i="7"/>
  <c r="M97" i="7"/>
  <c r="M99" i="7"/>
  <c r="M100" i="7"/>
  <c r="M101" i="7"/>
  <c r="M103" i="7"/>
  <c r="N101" i="7"/>
  <c r="N103" i="7"/>
  <c r="O103" i="7"/>
  <c r="O101" i="7"/>
  <c r="B159" i="8"/>
  <c r="C145" i="8"/>
  <c r="C146" i="8"/>
  <c r="C153" i="8"/>
  <c r="C154" i="8"/>
  <c r="C155" i="8"/>
  <c r="C157" i="8"/>
  <c r="C158" i="8"/>
  <c r="C159" i="8"/>
  <c r="D145" i="8"/>
  <c r="D146" i="8"/>
  <c r="D153" i="8"/>
  <c r="D154" i="8"/>
  <c r="D155" i="8"/>
  <c r="D157" i="8"/>
  <c r="D158" i="8"/>
  <c r="D159" i="8"/>
  <c r="E159" i="8"/>
  <c r="F145" i="8"/>
  <c r="F146" i="8"/>
  <c r="F153" i="8"/>
  <c r="F154" i="8"/>
  <c r="F155" i="8"/>
  <c r="F157" i="8"/>
  <c r="F158" i="8"/>
  <c r="F159" i="8"/>
  <c r="G145" i="8"/>
  <c r="G146" i="8"/>
  <c r="G153" i="8"/>
  <c r="G154" i="8"/>
  <c r="G155" i="8"/>
  <c r="G157" i="8"/>
  <c r="G158" i="8"/>
  <c r="G159" i="8"/>
  <c r="H159" i="8"/>
  <c r="I145" i="8"/>
  <c r="I146" i="8"/>
  <c r="I153" i="8"/>
  <c r="I154" i="8"/>
  <c r="I155" i="8"/>
  <c r="I157" i="8"/>
  <c r="I158" i="8"/>
  <c r="I159" i="8"/>
  <c r="J145" i="8"/>
  <c r="J146" i="8"/>
  <c r="J153" i="8"/>
  <c r="J154" i="8"/>
  <c r="J155" i="8"/>
  <c r="J157" i="8"/>
  <c r="J158" i="8"/>
  <c r="J159" i="8"/>
  <c r="K159" i="8"/>
  <c r="L147" i="8"/>
  <c r="L148" i="8"/>
  <c r="L149" i="8"/>
  <c r="L150" i="8"/>
  <c r="L151" i="8"/>
  <c r="L152" i="8"/>
  <c r="L145" i="8"/>
  <c r="L146" i="8"/>
  <c r="L153" i="8"/>
  <c r="L154" i="8"/>
  <c r="L155" i="8"/>
  <c r="L157" i="8"/>
  <c r="L158" i="8"/>
  <c r="L159" i="8"/>
  <c r="M147" i="8"/>
  <c r="M148" i="8"/>
  <c r="M149" i="8"/>
  <c r="M150" i="8"/>
  <c r="M151" i="8"/>
  <c r="M152" i="8"/>
  <c r="M145" i="8"/>
  <c r="M146" i="8"/>
  <c r="M153" i="8"/>
  <c r="M154" i="8"/>
  <c r="M155" i="8"/>
  <c r="M157" i="8"/>
  <c r="M158" i="8"/>
  <c r="M159" i="8"/>
  <c r="N159" i="8"/>
  <c r="O159" i="8"/>
  <c r="F29" i="6"/>
  <c r="O139" i="8"/>
  <c r="F28" i="6"/>
  <c r="B120" i="8"/>
  <c r="C108" i="8"/>
  <c r="C109" i="8"/>
  <c r="C115" i="8"/>
  <c r="C116" i="8"/>
  <c r="C118" i="8"/>
  <c r="C119" i="8"/>
  <c r="C120" i="8"/>
  <c r="D108" i="8"/>
  <c r="D109" i="8"/>
  <c r="D115" i="8"/>
  <c r="D116" i="8"/>
  <c r="D118" i="8"/>
  <c r="D119" i="8"/>
  <c r="D120" i="8"/>
  <c r="E120" i="8"/>
  <c r="F108" i="8"/>
  <c r="F109" i="8"/>
  <c r="F115" i="8"/>
  <c r="F116" i="8"/>
  <c r="F118" i="8"/>
  <c r="F119" i="8"/>
  <c r="F120" i="8"/>
  <c r="G108" i="8"/>
  <c r="G109" i="8"/>
  <c r="G115" i="8"/>
  <c r="G116" i="8"/>
  <c r="G118" i="8"/>
  <c r="G119" i="8"/>
  <c r="G120" i="8"/>
  <c r="H120" i="8"/>
  <c r="I108" i="8"/>
  <c r="I109" i="8"/>
  <c r="I115" i="8"/>
  <c r="I116" i="8"/>
  <c r="I118" i="8"/>
  <c r="I119" i="8"/>
  <c r="I120" i="8"/>
  <c r="J108" i="8"/>
  <c r="J109" i="8"/>
  <c r="J115" i="8"/>
  <c r="J116" i="8"/>
  <c r="J118" i="8"/>
  <c r="J119" i="8"/>
  <c r="J120" i="8"/>
  <c r="K120" i="8"/>
  <c r="L108" i="8"/>
  <c r="L109" i="8"/>
  <c r="L115" i="8"/>
  <c r="L116" i="8"/>
  <c r="L118" i="8"/>
  <c r="L119" i="8"/>
  <c r="L120" i="8"/>
  <c r="M108" i="8"/>
  <c r="M109" i="8"/>
  <c r="M115" i="8"/>
  <c r="M116" i="8"/>
  <c r="M118" i="8"/>
  <c r="M119" i="8"/>
  <c r="M120" i="8"/>
  <c r="N120" i="8"/>
  <c r="O120" i="8"/>
  <c r="F27" i="6"/>
  <c r="B102" i="8"/>
  <c r="C102" i="8"/>
  <c r="D102" i="8"/>
  <c r="E102" i="8"/>
  <c r="F102" i="8"/>
  <c r="G102" i="8"/>
  <c r="H102" i="8"/>
  <c r="I102" i="8"/>
  <c r="J102" i="8"/>
  <c r="K102" i="8"/>
  <c r="L102" i="8"/>
  <c r="M102" i="8"/>
  <c r="N102" i="8"/>
  <c r="O102" i="8"/>
  <c r="F26" i="6"/>
  <c r="B84" i="8"/>
  <c r="C68" i="8"/>
  <c r="C69" i="8"/>
  <c r="C70" i="8"/>
  <c r="C71" i="8"/>
  <c r="C72" i="8"/>
  <c r="C73" i="8"/>
  <c r="C74" i="8"/>
  <c r="C75" i="8"/>
  <c r="C76" i="8"/>
  <c r="C77" i="8"/>
  <c r="C78" i="8"/>
  <c r="C79" i="8"/>
  <c r="C81" i="8"/>
  <c r="C82" i="8"/>
  <c r="C84" i="8"/>
  <c r="D68" i="8"/>
  <c r="D69" i="8"/>
  <c r="D70" i="8"/>
  <c r="D71" i="8"/>
  <c r="D72" i="8"/>
  <c r="D73" i="8"/>
  <c r="D74" i="8"/>
  <c r="D75" i="8"/>
  <c r="D76" i="8"/>
  <c r="D77" i="8"/>
  <c r="D78" i="8"/>
  <c r="D79" i="8"/>
  <c r="D81" i="8"/>
  <c r="D82" i="8"/>
  <c r="D84" i="8"/>
  <c r="E84" i="8"/>
  <c r="F68" i="8"/>
  <c r="F69" i="8"/>
  <c r="F70" i="8"/>
  <c r="F71" i="8"/>
  <c r="F72" i="8"/>
  <c r="F73" i="8"/>
  <c r="F74" i="8"/>
  <c r="F75" i="8"/>
  <c r="F76" i="8"/>
  <c r="F77" i="8"/>
  <c r="F78" i="8"/>
  <c r="F79" i="8"/>
  <c r="F81" i="8"/>
  <c r="F82" i="8"/>
  <c r="F83" i="8"/>
  <c r="F84" i="8"/>
  <c r="G68" i="8"/>
  <c r="G69" i="8"/>
  <c r="G70" i="8"/>
  <c r="G71" i="8"/>
  <c r="G72" i="8"/>
  <c r="G73" i="8"/>
  <c r="G74" i="8"/>
  <c r="G75" i="8"/>
  <c r="G76" i="8"/>
  <c r="G77" i="8"/>
  <c r="G78" i="8"/>
  <c r="G79" i="8"/>
  <c r="G81" i="8"/>
  <c r="G82" i="8"/>
  <c r="G84" i="8"/>
  <c r="H84" i="8"/>
  <c r="I68" i="8"/>
  <c r="I69" i="8"/>
  <c r="I70" i="8"/>
  <c r="I71" i="8"/>
  <c r="I72" i="8"/>
  <c r="I73" i="8"/>
  <c r="I74" i="8"/>
  <c r="I75" i="8"/>
  <c r="I76" i="8"/>
  <c r="I77" i="8"/>
  <c r="I78" i="8"/>
  <c r="I79" i="8"/>
  <c r="I81" i="8"/>
  <c r="I82" i="8"/>
  <c r="I83" i="8"/>
  <c r="I84" i="8"/>
  <c r="J68" i="8"/>
  <c r="J69" i="8"/>
  <c r="J70" i="8"/>
  <c r="J71" i="8"/>
  <c r="J72" i="8"/>
  <c r="J73" i="8"/>
  <c r="J74" i="8"/>
  <c r="J75" i="8"/>
  <c r="J76" i="8"/>
  <c r="J77" i="8"/>
  <c r="J78" i="8"/>
  <c r="J79" i="8"/>
  <c r="J81" i="8"/>
  <c r="J82" i="8"/>
  <c r="J83" i="8"/>
  <c r="J84" i="8"/>
  <c r="K84" i="8"/>
  <c r="L68" i="8"/>
  <c r="L69" i="8"/>
  <c r="L70" i="8"/>
  <c r="L71" i="8"/>
  <c r="L72" i="8"/>
  <c r="L73" i="8"/>
  <c r="L74" i="8"/>
  <c r="L75" i="8"/>
  <c r="L76" i="8"/>
  <c r="L77" i="8"/>
  <c r="L78" i="8"/>
  <c r="L79" i="8"/>
  <c r="L81" i="8"/>
  <c r="L82" i="8"/>
  <c r="L84" i="8"/>
  <c r="M68" i="8"/>
  <c r="M69" i="8"/>
  <c r="M70" i="8"/>
  <c r="M71" i="8"/>
  <c r="M72" i="8"/>
  <c r="M73" i="8"/>
  <c r="M74" i="8"/>
  <c r="M75" i="8"/>
  <c r="M76" i="8"/>
  <c r="M77" i="8"/>
  <c r="M78" i="8"/>
  <c r="M79" i="8"/>
  <c r="M81" i="8"/>
  <c r="M82" i="8"/>
  <c r="M83" i="8"/>
  <c r="M84" i="8"/>
  <c r="N84" i="8"/>
  <c r="O84" i="8"/>
  <c r="B29" i="6"/>
  <c r="C47" i="8"/>
  <c r="C48" i="8"/>
  <c r="C49" i="8"/>
  <c r="C50" i="8"/>
  <c r="C51" i="8"/>
  <c r="C52" i="8"/>
  <c r="C53" i="8"/>
  <c r="C54" i="8"/>
  <c r="C55" i="8"/>
  <c r="C56" i="8"/>
  <c r="C57" i="8"/>
  <c r="C59" i="8"/>
  <c r="C61" i="8"/>
  <c r="D47" i="8"/>
  <c r="D48" i="8"/>
  <c r="D49" i="8"/>
  <c r="D50" i="8"/>
  <c r="D51" i="8"/>
  <c r="D52" i="8"/>
  <c r="D53" i="8"/>
  <c r="D54" i="8"/>
  <c r="D55" i="8"/>
  <c r="D56" i="8"/>
  <c r="D57" i="8"/>
  <c r="D59" i="8"/>
  <c r="D60" i="8"/>
  <c r="D62" i="8"/>
  <c r="E62" i="8"/>
  <c r="F47" i="8"/>
  <c r="F48" i="8"/>
  <c r="F49" i="8"/>
  <c r="F50" i="8"/>
  <c r="F51" i="8"/>
  <c r="F52" i="8"/>
  <c r="F53" i="8"/>
  <c r="F54" i="8"/>
  <c r="F55" i="8"/>
  <c r="F56" i="8"/>
  <c r="F57" i="8"/>
  <c r="F59" i="8"/>
  <c r="F61" i="8"/>
  <c r="G47" i="8"/>
  <c r="G48" i="8"/>
  <c r="G49" i="8"/>
  <c r="G50" i="8"/>
  <c r="G51" i="8"/>
  <c r="G52" i="8"/>
  <c r="G53" i="8"/>
  <c r="G54" i="8"/>
  <c r="G55" i="8"/>
  <c r="G56" i="8"/>
  <c r="G57" i="8"/>
  <c r="G59" i="8"/>
  <c r="G60" i="8"/>
  <c r="G61" i="8"/>
  <c r="G62" i="8"/>
  <c r="H62" i="8"/>
  <c r="I47" i="8"/>
  <c r="I48" i="8"/>
  <c r="I49" i="8"/>
  <c r="I50" i="8"/>
  <c r="I51" i="8"/>
  <c r="I52" i="8"/>
  <c r="I53" i="8"/>
  <c r="I54" i="8"/>
  <c r="I55" i="8"/>
  <c r="I56" i="8"/>
  <c r="I57" i="8"/>
  <c r="I59" i="8"/>
  <c r="I60" i="8"/>
  <c r="I61" i="8"/>
  <c r="I62" i="8"/>
  <c r="J47" i="8"/>
  <c r="J48" i="8"/>
  <c r="J49" i="8"/>
  <c r="J50" i="8"/>
  <c r="J51" i="8"/>
  <c r="J52" i="8"/>
  <c r="J53" i="8"/>
  <c r="J54" i="8"/>
  <c r="J55" i="8"/>
  <c r="J56" i="8"/>
  <c r="J57" i="8"/>
  <c r="J59" i="8"/>
  <c r="J60" i="8"/>
  <c r="J61" i="8"/>
  <c r="J62" i="8"/>
  <c r="K62" i="8"/>
  <c r="L47" i="8"/>
  <c r="L48" i="8"/>
  <c r="L49" i="8"/>
  <c r="L50" i="8"/>
  <c r="L51" i="8"/>
  <c r="L52" i="8"/>
  <c r="L53" i="8"/>
  <c r="L54" i="8"/>
  <c r="L55" i="8"/>
  <c r="L56" i="8"/>
  <c r="L57" i="8"/>
  <c r="L59" i="8"/>
  <c r="L60" i="8"/>
  <c r="L61" i="8"/>
  <c r="L62" i="8"/>
  <c r="M47" i="8"/>
  <c r="M48" i="8"/>
  <c r="M49" i="8"/>
  <c r="M50" i="8"/>
  <c r="M51" i="8"/>
  <c r="M52" i="8"/>
  <c r="M53" i="8"/>
  <c r="M54" i="8"/>
  <c r="M55" i="8"/>
  <c r="M56" i="8"/>
  <c r="M57" i="8"/>
  <c r="M59" i="8"/>
  <c r="M60" i="8"/>
  <c r="M62" i="8"/>
  <c r="N62" i="8"/>
  <c r="O62" i="8"/>
  <c r="B28" i="6"/>
  <c r="B41" i="8"/>
  <c r="C26" i="8"/>
  <c r="C27" i="8"/>
  <c r="C28" i="8"/>
  <c r="C29" i="8"/>
  <c r="C30" i="8"/>
  <c r="C31" i="8"/>
  <c r="C32" i="8"/>
  <c r="C33" i="8"/>
  <c r="C34" i="8"/>
  <c r="C35" i="8"/>
  <c r="C36" i="8"/>
  <c r="C38" i="8"/>
  <c r="C39" i="8"/>
  <c r="C41" i="8"/>
  <c r="D26" i="8"/>
  <c r="D27" i="8"/>
  <c r="D28" i="8"/>
  <c r="D29" i="8"/>
  <c r="D30" i="8"/>
  <c r="D31" i="8"/>
  <c r="D32" i="8"/>
  <c r="D33" i="8"/>
  <c r="D34" i="8"/>
  <c r="D35" i="8"/>
  <c r="D36" i="8"/>
  <c r="D38" i="8"/>
  <c r="D39" i="8"/>
  <c r="D40" i="8"/>
  <c r="D41" i="8"/>
  <c r="E41" i="8"/>
  <c r="F26" i="8"/>
  <c r="F27" i="8"/>
  <c r="F28" i="8"/>
  <c r="F29" i="8"/>
  <c r="F30" i="8"/>
  <c r="F31" i="8"/>
  <c r="F32" i="8"/>
  <c r="F33" i="8"/>
  <c r="F34" i="8"/>
  <c r="F35" i="8"/>
  <c r="F36" i="8"/>
  <c r="F38" i="8"/>
  <c r="F39" i="8"/>
  <c r="F41" i="8"/>
  <c r="G26" i="8"/>
  <c r="G27" i="8"/>
  <c r="G28" i="8"/>
  <c r="G29" i="8"/>
  <c r="G30" i="8"/>
  <c r="G31" i="8"/>
  <c r="G32" i="8"/>
  <c r="G33" i="8"/>
  <c r="G34" i="8"/>
  <c r="G35" i="8"/>
  <c r="G36" i="8"/>
  <c r="G38" i="8"/>
  <c r="G39" i="8"/>
  <c r="G41" i="8"/>
  <c r="H41" i="8"/>
  <c r="I26" i="8"/>
  <c r="I27" i="8"/>
  <c r="I28" i="8"/>
  <c r="I29" i="8"/>
  <c r="I30" i="8"/>
  <c r="I31" i="8"/>
  <c r="I32" i="8"/>
  <c r="I33" i="8"/>
  <c r="I34" i="8"/>
  <c r="I35" i="8"/>
  <c r="I36" i="8"/>
  <c r="I38" i="8"/>
  <c r="I39" i="8"/>
  <c r="I41" i="8"/>
  <c r="J26" i="8"/>
  <c r="J27" i="8"/>
  <c r="J28" i="8"/>
  <c r="J29" i="8"/>
  <c r="J30" i="8"/>
  <c r="J31" i="8"/>
  <c r="J32" i="8"/>
  <c r="J33" i="8"/>
  <c r="J34" i="8"/>
  <c r="J35" i="8"/>
  <c r="J36" i="8"/>
  <c r="J38" i="8"/>
  <c r="J39" i="8"/>
  <c r="J41" i="8"/>
  <c r="K41" i="8"/>
  <c r="L26" i="8"/>
  <c r="L27" i="8"/>
  <c r="L28" i="8"/>
  <c r="L29" i="8"/>
  <c r="L30" i="8"/>
  <c r="L31" i="8"/>
  <c r="L32" i="8"/>
  <c r="L33" i="8"/>
  <c r="L34" i="8"/>
  <c r="L35" i="8"/>
  <c r="L36" i="8"/>
  <c r="L38" i="8"/>
  <c r="L39" i="8"/>
  <c r="L40" i="8"/>
  <c r="L41" i="8"/>
  <c r="M26" i="8"/>
  <c r="M27" i="8"/>
  <c r="M28" i="8"/>
  <c r="M29" i="8"/>
  <c r="M30" i="8"/>
  <c r="M31" i="8"/>
  <c r="M32" i="8"/>
  <c r="M33" i="8"/>
  <c r="M34" i="8"/>
  <c r="M35" i="8"/>
  <c r="M36" i="8"/>
  <c r="M38" i="8"/>
  <c r="M39" i="8"/>
  <c r="M40" i="8"/>
  <c r="M41" i="8"/>
  <c r="N41" i="8"/>
  <c r="O41" i="8"/>
  <c r="B27" i="6"/>
  <c r="B20" i="8"/>
  <c r="C6" i="8"/>
  <c r="C7" i="8"/>
  <c r="C8" i="8"/>
  <c r="C9" i="8"/>
  <c r="C10" i="8"/>
  <c r="C11" i="8"/>
  <c r="C12" i="8"/>
  <c r="C13" i="8"/>
  <c r="C14" i="8"/>
  <c r="C15" i="8"/>
  <c r="C17" i="8"/>
  <c r="C18" i="8"/>
  <c r="C20" i="8"/>
  <c r="D6" i="8"/>
  <c r="D7" i="8"/>
  <c r="D8" i="8"/>
  <c r="D9" i="8"/>
  <c r="D10" i="8"/>
  <c r="D11" i="8"/>
  <c r="D12" i="8"/>
  <c r="D13" i="8"/>
  <c r="D14" i="8"/>
  <c r="D15" i="8"/>
  <c r="D17" i="8"/>
  <c r="D18" i="8"/>
  <c r="D20" i="8"/>
  <c r="E20" i="8"/>
  <c r="F6" i="8"/>
  <c r="F7" i="8"/>
  <c r="F8" i="8"/>
  <c r="F9" i="8"/>
  <c r="F10" i="8"/>
  <c r="F11" i="8"/>
  <c r="F12" i="8"/>
  <c r="F13" i="8"/>
  <c r="F14" i="8"/>
  <c r="F15" i="8"/>
  <c r="F17" i="8"/>
  <c r="F18" i="8"/>
  <c r="F20" i="8"/>
  <c r="G7" i="8"/>
  <c r="G8" i="8"/>
  <c r="G9" i="8"/>
  <c r="G10" i="8"/>
  <c r="G11" i="8"/>
  <c r="G12" i="8"/>
  <c r="G13" i="8"/>
  <c r="G14" i="8"/>
  <c r="G15" i="8"/>
  <c r="G17" i="8"/>
  <c r="G18" i="8"/>
  <c r="G20" i="8"/>
  <c r="H20" i="8"/>
  <c r="I6" i="8"/>
  <c r="I7" i="8"/>
  <c r="I8" i="8"/>
  <c r="I9" i="8"/>
  <c r="I10" i="8"/>
  <c r="I11" i="8"/>
  <c r="I12" i="8"/>
  <c r="I13" i="8"/>
  <c r="I14" i="8"/>
  <c r="I15" i="8"/>
  <c r="I17" i="8"/>
  <c r="I18" i="8"/>
  <c r="I19" i="8"/>
  <c r="I20" i="8"/>
  <c r="J7" i="8"/>
  <c r="J8" i="8"/>
  <c r="J9" i="8"/>
  <c r="J10" i="8"/>
  <c r="J11" i="8"/>
  <c r="J12" i="8"/>
  <c r="J13" i="8"/>
  <c r="J14" i="8"/>
  <c r="J15" i="8"/>
  <c r="J17" i="8"/>
  <c r="J18" i="8"/>
  <c r="J19" i="8"/>
  <c r="J20" i="8"/>
  <c r="K20" i="8"/>
  <c r="L6" i="8"/>
  <c r="L7" i="8"/>
  <c r="L8" i="8"/>
  <c r="L9" i="8"/>
  <c r="L10" i="8"/>
  <c r="L11" i="8"/>
  <c r="L12" i="8"/>
  <c r="L13" i="8"/>
  <c r="L14" i="8"/>
  <c r="L15" i="8"/>
  <c r="L17" i="8"/>
  <c r="L18" i="8"/>
  <c r="L20" i="8"/>
  <c r="M6" i="8"/>
  <c r="M7" i="8"/>
  <c r="M8" i="8"/>
  <c r="M9" i="8"/>
  <c r="M10" i="8"/>
  <c r="M11" i="8"/>
  <c r="M12" i="8"/>
  <c r="M13" i="8"/>
  <c r="M14" i="8"/>
  <c r="M15" i="8"/>
  <c r="M17" i="8"/>
  <c r="M18" i="8"/>
  <c r="M20" i="8"/>
  <c r="N20" i="8"/>
  <c r="O20" i="8"/>
  <c r="B26" i="6"/>
  <c r="F23" i="6"/>
  <c r="F22" i="6"/>
  <c r="F21" i="6"/>
  <c r="F20" i="6"/>
  <c r="O84" i="7"/>
  <c r="B23" i="6"/>
  <c r="B61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1" i="7"/>
  <c r="E61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H61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J47" i="7"/>
  <c r="J48" i="7"/>
  <c r="J49" i="7"/>
  <c r="J50" i="7"/>
  <c r="J51" i="7"/>
  <c r="J52" i="7"/>
  <c r="J53" i="7"/>
  <c r="J54" i="7"/>
  <c r="J55" i="7"/>
  <c r="J56" i="7"/>
  <c r="J57" i="7"/>
  <c r="J58" i="7"/>
  <c r="J59" i="7"/>
  <c r="J60" i="7"/>
  <c r="J61" i="7"/>
  <c r="K61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M47" i="7"/>
  <c r="M48" i="7"/>
  <c r="M49" i="7"/>
  <c r="M50" i="7"/>
  <c r="M51" i="7"/>
  <c r="M52" i="7"/>
  <c r="M53" i="7"/>
  <c r="M54" i="7"/>
  <c r="M55" i="7"/>
  <c r="M56" i="7"/>
  <c r="M57" i="7"/>
  <c r="M58" i="7"/>
  <c r="M59" i="7"/>
  <c r="M61" i="7"/>
  <c r="N61" i="7"/>
  <c r="O61" i="7"/>
  <c r="B22" i="6"/>
  <c r="B40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40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40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40" i="7"/>
  <c r="H40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40" i="7"/>
  <c r="J26" i="7"/>
  <c r="J27" i="7"/>
  <c r="J28" i="7"/>
  <c r="J29" i="7"/>
  <c r="J30" i="7"/>
  <c r="J31" i="7"/>
  <c r="J32" i="7"/>
  <c r="J33" i="7"/>
  <c r="J34" i="7"/>
  <c r="J35" i="7"/>
  <c r="J36" i="7"/>
  <c r="J37" i="7"/>
  <c r="J38" i="7"/>
  <c r="J40" i="7"/>
  <c r="K40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M26" i="7"/>
  <c r="M27" i="7"/>
  <c r="M28" i="7"/>
  <c r="M29" i="7"/>
  <c r="M30" i="7"/>
  <c r="M31" i="7"/>
  <c r="M32" i="7"/>
  <c r="M33" i="7"/>
  <c r="M34" i="7"/>
  <c r="M35" i="7"/>
  <c r="M36" i="7"/>
  <c r="M37" i="7"/>
  <c r="M38" i="7"/>
  <c r="M39" i="7"/>
  <c r="M40" i="7"/>
  <c r="N40" i="7"/>
  <c r="O40" i="7"/>
  <c r="B21" i="6"/>
  <c r="O20" i="7"/>
  <c r="B20" i="6"/>
  <c r="L25" i="8"/>
  <c r="B86" i="7"/>
  <c r="C86" i="7"/>
  <c r="D86" i="7"/>
  <c r="E86" i="7"/>
  <c r="F86" i="7"/>
  <c r="G86" i="7"/>
  <c r="H86" i="7"/>
  <c r="I86" i="7"/>
  <c r="J86" i="7"/>
  <c r="K86" i="7"/>
  <c r="O86" i="7"/>
  <c r="B63" i="7"/>
  <c r="C63" i="7"/>
  <c r="D63" i="7"/>
  <c r="E63" i="7"/>
  <c r="F63" i="7"/>
  <c r="G63" i="7"/>
  <c r="H63" i="7"/>
  <c r="I63" i="7"/>
  <c r="J63" i="7"/>
  <c r="K63" i="7"/>
  <c r="L63" i="7"/>
  <c r="M63" i="7"/>
  <c r="N63" i="7"/>
  <c r="O63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E22" i="7"/>
  <c r="F22" i="7"/>
  <c r="G22" i="7"/>
  <c r="H22" i="7"/>
  <c r="I22" i="7"/>
  <c r="J22" i="7"/>
  <c r="L22" i="7"/>
  <c r="M22" i="7"/>
  <c r="O22" i="7"/>
  <c r="D161" i="8"/>
  <c r="B161" i="8"/>
  <c r="C161" i="8"/>
  <c r="E161" i="8"/>
  <c r="F161" i="8"/>
  <c r="G161" i="8"/>
  <c r="H161" i="8"/>
  <c r="I161" i="8"/>
  <c r="J161" i="8"/>
  <c r="K161" i="8"/>
  <c r="L161" i="8"/>
  <c r="M161" i="8"/>
  <c r="N161" i="8"/>
  <c r="O161" i="8"/>
  <c r="B141" i="8"/>
  <c r="C141" i="8"/>
  <c r="D141" i="8"/>
  <c r="E141" i="8"/>
  <c r="F140" i="8"/>
  <c r="F141" i="8"/>
  <c r="G140" i="8"/>
  <c r="G141" i="8"/>
  <c r="H141" i="8"/>
  <c r="I140" i="8"/>
  <c r="I141" i="8"/>
  <c r="J140" i="8"/>
  <c r="J141" i="8"/>
  <c r="K141" i="8"/>
  <c r="L141" i="8"/>
  <c r="M141" i="8"/>
  <c r="N141" i="8"/>
  <c r="O141" i="8"/>
  <c r="B122" i="8"/>
  <c r="C122" i="8"/>
  <c r="D122" i="8"/>
  <c r="E122" i="8"/>
  <c r="F122" i="8"/>
  <c r="G122" i="8"/>
  <c r="H122" i="8"/>
  <c r="I122" i="8"/>
  <c r="J122" i="8"/>
  <c r="K122" i="8"/>
  <c r="L122" i="8"/>
  <c r="M122" i="8"/>
  <c r="N122" i="8"/>
  <c r="O122" i="8"/>
  <c r="B104" i="8"/>
  <c r="C104" i="8"/>
  <c r="D104" i="8"/>
  <c r="E104" i="8"/>
  <c r="F104" i="8"/>
  <c r="G104" i="8"/>
  <c r="H104" i="8"/>
  <c r="I104" i="8"/>
  <c r="J104" i="8"/>
  <c r="K104" i="8"/>
  <c r="L104" i="8"/>
  <c r="M104" i="8"/>
  <c r="N104" i="8"/>
  <c r="O104" i="8"/>
  <c r="B86" i="8"/>
  <c r="E86" i="8"/>
  <c r="H86" i="8"/>
  <c r="K86" i="8"/>
  <c r="N86" i="8"/>
  <c r="C86" i="8"/>
  <c r="D86" i="8"/>
  <c r="F86" i="8"/>
  <c r="G86" i="8"/>
  <c r="I86" i="8"/>
  <c r="J86" i="8"/>
  <c r="L86" i="8"/>
  <c r="M86" i="8"/>
  <c r="O86" i="8"/>
  <c r="B64" i="8"/>
  <c r="C64" i="8"/>
  <c r="D64" i="8"/>
  <c r="E64" i="8"/>
  <c r="F64" i="8"/>
  <c r="G64" i="8"/>
  <c r="H64" i="8"/>
  <c r="I64" i="8"/>
  <c r="J64" i="8"/>
  <c r="K64" i="8"/>
  <c r="L64" i="8"/>
  <c r="M64" i="8"/>
  <c r="N64" i="8"/>
  <c r="O64" i="8"/>
  <c r="M43" i="8"/>
  <c r="B43" i="8"/>
  <c r="C43" i="8"/>
  <c r="D43" i="8"/>
  <c r="E43" i="8"/>
  <c r="F43" i="8"/>
  <c r="G43" i="8"/>
  <c r="H43" i="8"/>
  <c r="I43" i="8"/>
  <c r="J43" i="8"/>
  <c r="K43" i="8"/>
  <c r="L43" i="8"/>
  <c r="N43" i="8"/>
  <c r="O43" i="8"/>
  <c r="F22" i="8"/>
  <c r="G22" i="8"/>
  <c r="I22" i="8"/>
  <c r="J22" i="8"/>
  <c r="L22" i="8"/>
  <c r="M22" i="8"/>
  <c r="D22" i="8"/>
  <c r="C21" i="8"/>
  <c r="C22" i="8"/>
  <c r="B22" i="8"/>
  <c r="E22" i="8"/>
  <c r="H22" i="8"/>
  <c r="K22" i="8"/>
  <c r="N22" i="8"/>
  <c r="O22" i="8"/>
  <c r="M144" i="8"/>
  <c r="M160" i="8"/>
  <c r="L144" i="8"/>
  <c r="L160" i="8"/>
  <c r="J144" i="8"/>
  <c r="J160" i="8"/>
  <c r="I144" i="8"/>
  <c r="I160" i="8"/>
  <c r="G144" i="8"/>
  <c r="G160" i="8"/>
  <c r="F144" i="8"/>
  <c r="F160" i="8"/>
  <c r="D160" i="8"/>
  <c r="C160" i="8"/>
  <c r="D144" i="8"/>
  <c r="C144" i="8"/>
  <c r="M125" i="8"/>
  <c r="M140" i="8"/>
  <c r="L125" i="8"/>
  <c r="L140" i="8"/>
  <c r="D140" i="8"/>
  <c r="C140" i="8"/>
  <c r="D125" i="8"/>
  <c r="C125" i="8"/>
  <c r="M107" i="8"/>
  <c r="M121" i="8"/>
  <c r="L107" i="8"/>
  <c r="L121" i="8"/>
  <c r="J107" i="8"/>
  <c r="J121" i="8"/>
  <c r="I107" i="8"/>
  <c r="I121" i="8"/>
  <c r="G107" i="8"/>
  <c r="G121" i="8"/>
  <c r="F107" i="8"/>
  <c r="F121" i="8"/>
  <c r="D121" i="8"/>
  <c r="C121" i="8"/>
  <c r="D107" i="8"/>
  <c r="C107" i="8"/>
  <c r="M89" i="8"/>
  <c r="M103" i="8"/>
  <c r="L89" i="8"/>
  <c r="L103" i="8"/>
  <c r="J89" i="8"/>
  <c r="J103" i="8"/>
  <c r="I89" i="8"/>
  <c r="I103" i="8"/>
  <c r="G89" i="8"/>
  <c r="G103" i="8"/>
  <c r="F89" i="8"/>
  <c r="F103" i="8"/>
  <c r="D103" i="8"/>
  <c r="C103" i="8"/>
  <c r="D89" i="8"/>
  <c r="C89" i="8"/>
  <c r="M67" i="8"/>
  <c r="M85" i="8"/>
  <c r="L67" i="8"/>
  <c r="L85" i="8"/>
  <c r="J67" i="8"/>
  <c r="J85" i="8"/>
  <c r="I67" i="8"/>
  <c r="I85" i="8"/>
  <c r="G67" i="8"/>
  <c r="G85" i="8"/>
  <c r="F67" i="8"/>
  <c r="F85" i="8"/>
  <c r="D67" i="8"/>
  <c r="D85" i="8"/>
  <c r="C67" i="8"/>
  <c r="C85" i="8"/>
  <c r="M46" i="8"/>
  <c r="M63" i="8"/>
  <c r="L46" i="8"/>
  <c r="L63" i="8"/>
  <c r="J46" i="8"/>
  <c r="J63" i="8"/>
  <c r="I46" i="8"/>
  <c r="I63" i="8"/>
  <c r="G46" i="8"/>
  <c r="G63" i="8"/>
  <c r="F46" i="8"/>
  <c r="F63" i="8"/>
  <c r="D63" i="8"/>
  <c r="C63" i="8"/>
  <c r="D46" i="8"/>
  <c r="C46" i="8"/>
  <c r="M25" i="8"/>
  <c r="M42" i="8"/>
  <c r="L42" i="8"/>
  <c r="J25" i="8"/>
  <c r="J42" i="8"/>
  <c r="I25" i="8"/>
  <c r="I42" i="8"/>
  <c r="G25" i="8"/>
  <c r="G42" i="8"/>
  <c r="F25" i="8"/>
  <c r="F42" i="8"/>
  <c r="D42" i="8"/>
  <c r="C42" i="8"/>
  <c r="D25" i="8"/>
  <c r="C25" i="8"/>
  <c r="M5" i="8"/>
  <c r="M21" i="8"/>
  <c r="L5" i="8"/>
  <c r="L21" i="8"/>
  <c r="J5" i="8"/>
  <c r="J21" i="8"/>
  <c r="I5" i="8"/>
  <c r="I21" i="8"/>
  <c r="D5" i="8"/>
  <c r="D21" i="8"/>
  <c r="G5" i="8"/>
  <c r="G21" i="8"/>
  <c r="F5" i="8"/>
  <c r="F21" i="8"/>
  <c r="D126" i="7"/>
  <c r="D140" i="7"/>
  <c r="C126" i="7"/>
  <c r="C140" i="7"/>
  <c r="D145" i="7"/>
  <c r="D161" i="7"/>
  <c r="C145" i="7"/>
  <c r="C161" i="7"/>
  <c r="D157" i="7"/>
  <c r="C157" i="7"/>
  <c r="D107" i="7"/>
  <c r="D121" i="7"/>
  <c r="C107" i="7"/>
  <c r="C121" i="7"/>
  <c r="D67" i="7"/>
  <c r="D85" i="7"/>
  <c r="C67" i="7"/>
  <c r="C85" i="7"/>
  <c r="D46" i="7"/>
  <c r="D62" i="7"/>
  <c r="C46" i="7"/>
  <c r="C62" i="7"/>
  <c r="D25" i="7"/>
  <c r="D41" i="7"/>
  <c r="C25" i="7"/>
  <c r="C41" i="7"/>
  <c r="J161" i="7"/>
  <c r="I161" i="7"/>
  <c r="J157" i="7"/>
  <c r="I157" i="7"/>
  <c r="G161" i="7"/>
  <c r="F161" i="7"/>
  <c r="G157" i="7"/>
  <c r="F157" i="7"/>
  <c r="M140" i="7"/>
  <c r="L140" i="7"/>
  <c r="J140" i="7"/>
  <c r="I140" i="7"/>
  <c r="G140" i="7"/>
  <c r="F140" i="7"/>
  <c r="M121" i="7"/>
  <c r="L121" i="7"/>
  <c r="J121" i="7"/>
  <c r="I121" i="7"/>
  <c r="G121" i="7"/>
  <c r="F121" i="7"/>
  <c r="M102" i="7"/>
  <c r="L102" i="7"/>
  <c r="J102" i="7"/>
  <c r="I102" i="7"/>
  <c r="G102" i="7"/>
  <c r="F102" i="7"/>
  <c r="J85" i="7"/>
  <c r="I85" i="7"/>
  <c r="G85" i="7"/>
  <c r="F85" i="7"/>
  <c r="M62" i="7"/>
  <c r="L62" i="7"/>
  <c r="J62" i="7"/>
  <c r="I62" i="7"/>
  <c r="G62" i="7"/>
  <c r="F62" i="7"/>
  <c r="M41" i="7"/>
  <c r="L41" i="7"/>
  <c r="J41" i="7"/>
  <c r="I41" i="7"/>
  <c r="G41" i="7"/>
  <c r="F41" i="7"/>
  <c r="J145" i="7"/>
  <c r="I145" i="7"/>
  <c r="G145" i="7"/>
  <c r="F145" i="7"/>
  <c r="M126" i="7"/>
  <c r="L126" i="7"/>
  <c r="J126" i="7"/>
  <c r="I126" i="7"/>
  <c r="G126" i="7"/>
  <c r="F126" i="7"/>
  <c r="M107" i="7"/>
  <c r="L107" i="7"/>
  <c r="J107" i="7"/>
  <c r="I107" i="7"/>
  <c r="G107" i="7"/>
  <c r="F107" i="7"/>
  <c r="M89" i="7"/>
  <c r="L89" i="7"/>
  <c r="J89" i="7"/>
  <c r="I89" i="7"/>
  <c r="G89" i="7"/>
  <c r="F89" i="7"/>
  <c r="J67" i="7"/>
  <c r="I67" i="7"/>
  <c r="G67" i="7"/>
  <c r="F67" i="7"/>
  <c r="M46" i="7"/>
  <c r="L46" i="7"/>
  <c r="J46" i="7"/>
  <c r="I46" i="7"/>
  <c r="G46" i="7"/>
  <c r="F46" i="7"/>
  <c r="M25" i="7"/>
  <c r="L25" i="7"/>
  <c r="J25" i="7"/>
  <c r="I25" i="7"/>
  <c r="G25" i="7"/>
  <c r="F25" i="7"/>
  <c r="M21" i="7"/>
  <c r="L21" i="7"/>
  <c r="J21" i="7"/>
  <c r="I21" i="7"/>
  <c r="M5" i="7"/>
  <c r="L5" i="7"/>
  <c r="J5" i="7"/>
  <c r="I5" i="7"/>
  <c r="G21" i="7"/>
  <c r="F21" i="7"/>
  <c r="G5" i="7"/>
  <c r="F5" i="7"/>
  <c r="F159" i="2"/>
  <c r="E159" i="2"/>
  <c r="C159" i="2"/>
  <c r="B20" i="3"/>
  <c r="C235" i="1"/>
  <c r="B21" i="3"/>
  <c r="B22" i="3"/>
  <c r="C20" i="2"/>
  <c r="M3" i="5"/>
  <c r="N11" i="5"/>
  <c r="N10" i="5"/>
  <c r="N9" i="5"/>
  <c r="N8" i="5"/>
  <c r="E84" i="2"/>
  <c r="E62" i="2"/>
  <c r="N6" i="5"/>
  <c r="E41" i="2"/>
  <c r="N5" i="5"/>
  <c r="E20" i="2"/>
  <c r="N4" i="5"/>
  <c r="N3" i="5"/>
  <c r="H11" i="5"/>
  <c r="H10" i="5"/>
  <c r="H9" i="5"/>
  <c r="H8" i="5"/>
  <c r="H7" i="5"/>
  <c r="H6" i="5"/>
  <c r="H5" i="5"/>
  <c r="H4" i="5"/>
  <c r="G3" i="5"/>
  <c r="H3" i="5"/>
  <c r="C37" i="2"/>
  <c r="C38" i="2"/>
  <c r="C39" i="2"/>
  <c r="C40" i="2"/>
  <c r="C41" i="2"/>
  <c r="B41" i="2"/>
  <c r="F20" i="3"/>
  <c r="F235" i="1"/>
  <c r="E235" i="1"/>
  <c r="F21" i="2"/>
  <c r="E21" i="2"/>
  <c r="D235" i="1"/>
  <c r="D21" i="2"/>
  <c r="C21" i="2"/>
  <c r="B21" i="2"/>
  <c r="X235" i="1"/>
  <c r="W235" i="1"/>
  <c r="V235" i="1"/>
  <c r="U235" i="1"/>
  <c r="T235" i="1"/>
  <c r="S235" i="1"/>
  <c r="N235" i="1"/>
  <c r="M235" i="1"/>
  <c r="L235" i="1"/>
  <c r="K235" i="1"/>
  <c r="J235" i="1"/>
  <c r="I235" i="1"/>
  <c r="F160" i="2"/>
  <c r="E160" i="2"/>
  <c r="D160" i="2"/>
  <c r="C160" i="2"/>
  <c r="B160" i="2"/>
  <c r="F121" i="2"/>
  <c r="E121" i="2"/>
  <c r="D121" i="2"/>
  <c r="C121" i="2"/>
  <c r="B121" i="2"/>
  <c r="F103" i="2"/>
  <c r="E103" i="2"/>
  <c r="D103" i="2"/>
  <c r="C103" i="2"/>
  <c r="B103" i="2"/>
  <c r="F161" i="3"/>
  <c r="E161" i="3"/>
  <c r="D161" i="3"/>
  <c r="C161" i="3"/>
  <c r="B161" i="3"/>
  <c r="F140" i="3"/>
  <c r="E140" i="3"/>
  <c r="C140" i="3"/>
  <c r="D140" i="3"/>
  <c r="F121" i="3"/>
  <c r="B140" i="3"/>
  <c r="E121" i="3"/>
  <c r="D121" i="3"/>
  <c r="C121" i="3"/>
  <c r="B121" i="3"/>
  <c r="F102" i="3"/>
  <c r="E102" i="3"/>
  <c r="D102" i="3"/>
  <c r="C102" i="3"/>
  <c r="B102" i="3"/>
  <c r="F85" i="3"/>
  <c r="B85" i="3"/>
  <c r="F84" i="2"/>
  <c r="C84" i="2"/>
  <c r="B84" i="2"/>
  <c r="F41" i="2"/>
  <c r="B62" i="2"/>
  <c r="F62" i="2"/>
  <c r="C62" i="2"/>
  <c r="F85" i="2"/>
  <c r="F86" i="2"/>
  <c r="E85" i="2"/>
  <c r="E86" i="2"/>
  <c r="D85" i="2"/>
  <c r="D86" i="2"/>
  <c r="C85" i="2"/>
  <c r="C86" i="2"/>
  <c r="B85" i="2"/>
  <c r="B86" i="2"/>
  <c r="F63" i="2"/>
  <c r="F64" i="2"/>
  <c r="E63" i="2"/>
  <c r="E64" i="2"/>
  <c r="D63" i="2"/>
  <c r="D64" i="2"/>
  <c r="C63" i="2"/>
  <c r="C64" i="2"/>
  <c r="B63" i="2"/>
  <c r="B64" i="2"/>
  <c r="F42" i="2"/>
  <c r="F43" i="2"/>
  <c r="E42" i="2"/>
  <c r="E43" i="2"/>
  <c r="D42" i="2"/>
  <c r="D43" i="2"/>
  <c r="C42" i="2"/>
  <c r="C43" i="2"/>
  <c r="B42" i="2"/>
  <c r="B43" i="2"/>
  <c r="F40" i="3"/>
  <c r="E40" i="3"/>
  <c r="C40" i="3"/>
  <c r="F61" i="3"/>
  <c r="E61" i="3"/>
  <c r="C61" i="3"/>
  <c r="E85" i="3"/>
  <c r="D85" i="3"/>
  <c r="C85" i="3"/>
  <c r="F62" i="3"/>
  <c r="E62" i="3"/>
  <c r="D62" i="3"/>
  <c r="C62" i="3"/>
  <c r="B62" i="3"/>
  <c r="F41" i="3"/>
  <c r="E41" i="3"/>
  <c r="D41" i="3"/>
  <c r="C41" i="3"/>
  <c r="B41" i="3"/>
  <c r="F21" i="3"/>
  <c r="D21" i="3"/>
  <c r="E21" i="3"/>
  <c r="C21" i="3"/>
  <c r="B22" i="2"/>
  <c r="F20" i="2"/>
  <c r="F22" i="2"/>
  <c r="E22" i="2"/>
  <c r="D22" i="2"/>
  <c r="C22" i="2"/>
  <c r="F161" i="2"/>
  <c r="E161" i="2"/>
  <c r="D161" i="2"/>
  <c r="C161" i="2"/>
  <c r="B161" i="2"/>
  <c r="F141" i="2"/>
  <c r="E141" i="2"/>
  <c r="D141" i="2"/>
  <c r="C141" i="2"/>
  <c r="B141" i="2"/>
  <c r="F120" i="2"/>
  <c r="F122" i="2"/>
  <c r="E120" i="2"/>
  <c r="E122" i="2"/>
  <c r="D122" i="2"/>
  <c r="C120" i="2"/>
  <c r="C122" i="2"/>
  <c r="B122" i="2"/>
  <c r="F104" i="2"/>
  <c r="E104" i="2"/>
  <c r="D104" i="2"/>
  <c r="C104" i="2"/>
  <c r="B104" i="2"/>
  <c r="F162" i="3"/>
  <c r="E162" i="3"/>
  <c r="D162" i="3"/>
  <c r="C162" i="3"/>
  <c r="B162" i="3"/>
  <c r="F141" i="3"/>
  <c r="E141" i="3"/>
  <c r="D141" i="3"/>
  <c r="C141" i="3"/>
  <c r="B141" i="3"/>
  <c r="F122" i="3"/>
  <c r="E122" i="3"/>
  <c r="D122" i="3"/>
  <c r="C122" i="3"/>
  <c r="B122" i="3"/>
  <c r="F103" i="3"/>
  <c r="E103" i="3"/>
  <c r="D103" i="3"/>
  <c r="C103" i="3"/>
  <c r="B103" i="3"/>
  <c r="F86" i="3"/>
  <c r="E86" i="3"/>
  <c r="D86" i="3"/>
  <c r="C86" i="3"/>
  <c r="B86" i="3"/>
  <c r="F63" i="3"/>
  <c r="E63" i="3"/>
  <c r="D63" i="3"/>
  <c r="C63" i="3"/>
  <c r="B63" i="3"/>
  <c r="F42" i="3"/>
  <c r="E42" i="3"/>
  <c r="D42" i="3"/>
  <c r="C42" i="3"/>
  <c r="B42" i="3"/>
  <c r="F22" i="3"/>
  <c r="E22" i="3"/>
  <c r="D22" i="3"/>
  <c r="C22" i="3"/>
</calcChain>
</file>

<file path=xl/sharedStrings.xml><?xml version="1.0" encoding="utf-8"?>
<sst xmlns="http://schemas.openxmlformats.org/spreadsheetml/2006/main" count="1147" uniqueCount="264">
  <si>
    <t>Throughput budget</t>
  </si>
  <si>
    <t>Y band</t>
  </si>
  <si>
    <t>J band</t>
  </si>
  <si>
    <t>H band</t>
  </si>
  <si>
    <t>K band</t>
  </si>
  <si>
    <t>ADC</t>
  </si>
  <si>
    <t>λ (nm)</t>
  </si>
  <si>
    <t>Window1</t>
  </si>
  <si>
    <t>Window2</t>
  </si>
  <si>
    <t>PT code</t>
  </si>
  <si>
    <t>OCT-SP-AD</t>
  </si>
  <si>
    <t>OCT-SP-NC-W1-001</t>
  </si>
  <si>
    <t>Individual components/subsystems transmission</t>
  </si>
  <si>
    <t>Grating Y</t>
  </si>
  <si>
    <t>Grating J</t>
  </si>
  <si>
    <t>Grating H</t>
  </si>
  <si>
    <t>Grating K</t>
  </si>
  <si>
    <t>Camera Y</t>
  </si>
  <si>
    <t>Camera J</t>
  </si>
  <si>
    <t>Camera H</t>
  </si>
  <si>
    <t>Camera K</t>
  </si>
  <si>
    <t>BS Y/J-T</t>
  </si>
  <si>
    <t>BS Y/J-R</t>
  </si>
  <si>
    <t>BS H/K-T</t>
  </si>
  <si>
    <t>BS H/K-R</t>
  </si>
  <si>
    <t>BS YJ/HK-R</t>
  </si>
  <si>
    <t>BS YJ/HK-T</t>
  </si>
  <si>
    <t>BS N/V-R</t>
  </si>
  <si>
    <t>BS N/V-T</t>
  </si>
  <si>
    <t>FM YJ</t>
  </si>
  <si>
    <t>FM Y</t>
  </si>
  <si>
    <t>FM H</t>
  </si>
  <si>
    <t>Detector J</t>
  </si>
  <si>
    <t>Detector Y</t>
  </si>
  <si>
    <t>Detector H</t>
  </si>
  <si>
    <t>Detector K</t>
  </si>
  <si>
    <t>Spectroscopy throughput budget</t>
  </si>
  <si>
    <t>Col YJ</t>
  </si>
  <si>
    <t>Coll YJ</t>
  </si>
  <si>
    <t>Coll HK</t>
  </si>
  <si>
    <t>Total</t>
  </si>
  <si>
    <t>Col HK</t>
  </si>
  <si>
    <t>FM HK1</t>
  </si>
  <si>
    <t>FM HK2</t>
  </si>
  <si>
    <t>FM K1</t>
  </si>
  <si>
    <t>FM K2</t>
  </si>
  <si>
    <t>OCT-SP-NC-W2-001</t>
  </si>
  <si>
    <t>OCT-SP-NC-FM-101</t>
  </si>
  <si>
    <t>OCT-SP-NC-FM-201</t>
  </si>
  <si>
    <t>OCT-SP-NC-FM-301</t>
  </si>
  <si>
    <t>OCT-SP-NC-FM-401</t>
  </si>
  <si>
    <t>OCT-SP-NC-FM-501</t>
  </si>
  <si>
    <t>OCT-SP-NC-FM-601</t>
  </si>
  <si>
    <t>OCT-SP-NC-FM-701</t>
  </si>
  <si>
    <t>OCT-SP-NC-FM-801</t>
  </si>
  <si>
    <t>OCT-SP-NC-FM-901</t>
  </si>
  <si>
    <t>OCT-SP-NC-BS-101</t>
  </si>
  <si>
    <t>OCT-SP-NC-BS-201</t>
  </si>
  <si>
    <t>OCT-SP-NC-BS-301</t>
  </si>
  <si>
    <t>OCT-SP-NC-BS-401</t>
  </si>
  <si>
    <t>OCT-SP-NC-CO</t>
  </si>
  <si>
    <t>OCT-SP-NC-CY</t>
  </si>
  <si>
    <t>OCT-SP-NC-CJ</t>
  </si>
  <si>
    <t>OCT-SP-NC-CH</t>
  </si>
  <si>
    <t>OCT-SP-NC-CK</t>
  </si>
  <si>
    <t>OCT-SP-NC-GR-101</t>
  </si>
  <si>
    <t>OCT-SP-NC-GR-201</t>
  </si>
  <si>
    <t>OCT-SP-NC-GR-301</t>
  </si>
  <si>
    <t>OCT-SP-NC-GR-401</t>
  </si>
  <si>
    <t>FM J 1</t>
  </si>
  <si>
    <t>FM J 2</t>
  </si>
  <si>
    <t>Imaging throughput budget</t>
  </si>
  <si>
    <t>Comments</t>
  </si>
  <si>
    <t>Band</t>
  </si>
  <si>
    <t>g</t>
  </si>
  <si>
    <t>r</t>
  </si>
  <si>
    <t>i</t>
  </si>
  <si>
    <t>z</t>
  </si>
  <si>
    <t>Y</t>
  </si>
  <si>
    <t>J</t>
  </si>
  <si>
    <t>H</t>
  </si>
  <si>
    <t>K</t>
  </si>
  <si>
    <t xml:space="preserve">IMAGING </t>
  </si>
  <si>
    <t>Im Dev PD (%)</t>
  </si>
  <si>
    <t>Sp Dev PD (%)</t>
  </si>
  <si>
    <t>FM VIS</t>
  </si>
  <si>
    <t>Col gr</t>
  </si>
  <si>
    <t>g band</t>
  </si>
  <si>
    <t>r band</t>
  </si>
  <si>
    <t>i band</t>
  </si>
  <si>
    <t>z band</t>
  </si>
  <si>
    <t>BS gr/iz-R</t>
  </si>
  <si>
    <t>FM gr</t>
  </si>
  <si>
    <t>BS g/r-R</t>
  </si>
  <si>
    <t>FM g</t>
  </si>
  <si>
    <t>Camera g</t>
  </si>
  <si>
    <t>Detector g</t>
  </si>
  <si>
    <t>BS g/r-T</t>
  </si>
  <si>
    <t>FM r1</t>
  </si>
  <si>
    <t>FM r2</t>
  </si>
  <si>
    <t>Camera r</t>
  </si>
  <si>
    <t>Detector r</t>
  </si>
  <si>
    <t>Col iz</t>
  </si>
  <si>
    <t>BS gr/iz-T</t>
  </si>
  <si>
    <t>FM iz1</t>
  </si>
  <si>
    <t>FM iz2</t>
  </si>
  <si>
    <t>BS i/z-T</t>
  </si>
  <si>
    <t>Camera i</t>
  </si>
  <si>
    <t>Detector i</t>
  </si>
  <si>
    <t>BS i/z-R</t>
  </si>
  <si>
    <t>FM i</t>
  </si>
  <si>
    <t>FM z1</t>
  </si>
  <si>
    <t>FM z2</t>
  </si>
  <si>
    <t>Camera z</t>
  </si>
  <si>
    <t>Detector z</t>
  </si>
  <si>
    <t>FM J1</t>
  </si>
  <si>
    <t>FM J2</t>
  </si>
  <si>
    <t>Coll gr</t>
  </si>
  <si>
    <t>Coll iz</t>
  </si>
  <si>
    <t>Grating g</t>
  </si>
  <si>
    <t>Grating r</t>
  </si>
  <si>
    <t>Grating i</t>
  </si>
  <si>
    <t>Grating z</t>
  </si>
  <si>
    <t>GEMINI 3M</t>
  </si>
  <si>
    <t>Total OCT</t>
  </si>
  <si>
    <t>Total OCT+tel</t>
  </si>
  <si>
    <t>Telescope</t>
  </si>
  <si>
    <t>OCT-SP-VC-FM-001</t>
  </si>
  <si>
    <t>OCT-SP-VC-FM-101</t>
  </si>
  <si>
    <t>OCT-SP-VC-FM-201</t>
  </si>
  <si>
    <t>OCT-SP-VC-FM-301</t>
  </si>
  <si>
    <t>OCT-SP-VC-FM-401</t>
  </si>
  <si>
    <t>OCT-SP-VC-FM-501</t>
  </si>
  <si>
    <t>OCT-SP-VC-FM-601</t>
  </si>
  <si>
    <t>OCT-SP-VC-FM-701</t>
  </si>
  <si>
    <t>OCT-SP-VC-FM-801</t>
  </si>
  <si>
    <t>OCT-SP-VC-FM-901</t>
  </si>
  <si>
    <t>OCT-SP-VC-BS-101</t>
  </si>
  <si>
    <t>OCT-SP-VC-BS-201</t>
  </si>
  <si>
    <t>OCT-SP-VC-BS-301</t>
  </si>
  <si>
    <t>OCT-SP-VC-CO</t>
  </si>
  <si>
    <t>OCT-SP-VC-CG</t>
  </si>
  <si>
    <t>OCT-SP-VC-CR</t>
  </si>
  <si>
    <t>OCT-SP-VC-CI</t>
  </si>
  <si>
    <t>OCT-SP-VC-CZ</t>
  </si>
  <si>
    <t>OCT-SP-VC-GR-101</t>
  </si>
  <si>
    <t>OCT-SP-VC-GR-201</t>
  </si>
  <si>
    <t>OCT-SP-VC-GR-301</t>
  </si>
  <si>
    <t>OCT-SP-VC-GR-401</t>
  </si>
  <si>
    <t>CW g</t>
  </si>
  <si>
    <t>CW r</t>
  </si>
  <si>
    <t>CW i</t>
  </si>
  <si>
    <t>CW z</t>
  </si>
  <si>
    <t>Filter g</t>
  </si>
  <si>
    <t>OCT-SP-VC-FL-101</t>
  </si>
  <si>
    <t>Filter z</t>
  </si>
  <si>
    <t>OCT-SP-VC-FL-201</t>
  </si>
  <si>
    <t>Filter K</t>
  </si>
  <si>
    <t>OCT-SP-NC-FL-101</t>
  </si>
  <si>
    <t>SPECTROSCOPY</t>
  </si>
  <si>
    <t>Imag. Est CoDR</t>
  </si>
  <si>
    <t>Imag. Est PDR</t>
  </si>
  <si>
    <t>Spec. Est CoDR</t>
  </si>
  <si>
    <t>Spec. Est PDR</t>
  </si>
  <si>
    <t>At CoDR evaluated at 1035 nm</t>
  </si>
  <si>
    <t>At PDR evaluated at 410 nm</t>
  </si>
  <si>
    <t>At CoDR and PDR evaluated at 455 nm</t>
  </si>
  <si>
    <t>At CoDR and PDR evaluated at 610 nm</t>
  </si>
  <si>
    <t>At CoDR and PDR evaluated at 745 nm</t>
  </si>
  <si>
    <t>At CoDR and PDR evaluated at 875 nm</t>
  </si>
  <si>
    <t>Mask K</t>
  </si>
  <si>
    <t>Start
 λ (nm)</t>
  </si>
  <si>
    <t>End
 λ (nm)</t>
  </si>
  <si>
    <t>Imaging</t>
  </si>
  <si>
    <t>Spectroscopy</t>
  </si>
  <si>
    <t>Spec. Req</t>
  </si>
  <si>
    <t>Imag. Req.</t>
  </si>
  <si>
    <t xml:space="preserve">g band </t>
  </si>
  <si>
    <t xml:space="preserve">r band </t>
  </si>
  <si>
    <t xml:space="preserve">i band </t>
  </si>
  <si>
    <t xml:space="preserve">z band </t>
  </si>
  <si>
    <t xml:space="preserve">COL </t>
  </si>
  <si>
    <t>CAM</t>
  </si>
  <si>
    <t xml:space="preserve">Y band </t>
  </si>
  <si>
    <t xml:space="preserve">J band </t>
  </si>
  <si>
    <t xml:space="preserve">H band </t>
  </si>
  <si>
    <t xml:space="preserve">K band </t>
  </si>
  <si>
    <t>Average</t>
  </si>
  <si>
    <t>SCORPIO Imaging mode transmision</t>
  </si>
  <si>
    <t>SCORPIO Spectroscopy mode transmision</t>
  </si>
  <si>
    <t>Central  
λ (nm)</t>
  </si>
  <si>
    <t>Imag. Est CDR</t>
  </si>
  <si>
    <t>Imag. Est CDR - Upd</t>
  </si>
  <si>
    <t>Spec. Est CDR - Upd</t>
  </si>
  <si>
    <t>Subsystem</t>
  </si>
  <si>
    <t>Mask H</t>
  </si>
  <si>
    <t>OCT-SP-NC-MK-300</t>
  </si>
  <si>
    <t>OCT-SP-NC-MK-400</t>
  </si>
  <si>
    <t>Linked requirements</t>
  </si>
  <si>
    <t>Throughput requirement</t>
  </si>
  <si>
    <t>SOW6</t>
  </si>
  <si>
    <t>SP/OCT-SP/0112</t>
  </si>
  <si>
    <t>SP/OCT-SP/0113</t>
  </si>
  <si>
    <t>SP/OCT-SP/0121</t>
  </si>
  <si>
    <t>SP/OCT-SP/0122</t>
  </si>
  <si>
    <t>SP/OCT-SP/0123</t>
  </si>
  <si>
    <t>SP/OCT-SP/0124</t>
  </si>
  <si>
    <t>SP/OCT-SP/0141</t>
  </si>
  <si>
    <t>SP/OCT-SP/0142</t>
  </si>
  <si>
    <t>SP/OCT-SP/0143</t>
  </si>
  <si>
    <t>SP/OCT-SP/0161</t>
  </si>
  <si>
    <t>SP/OCT-SP/0162</t>
  </si>
  <si>
    <t>SP/OCT-SP/0163</t>
  </si>
  <si>
    <t>SP/OCT-SP/0164</t>
  </si>
  <si>
    <t>SP/OCT-SP/0165</t>
  </si>
  <si>
    <t>SP/OCT-SP/0166</t>
  </si>
  <si>
    <t>SP/OCT-SP/0167</t>
  </si>
  <si>
    <t>SP/OCT-SP/0168</t>
  </si>
  <si>
    <t>SP/OCT-SP/0169</t>
  </si>
  <si>
    <t>SP/OCT-SP/0191</t>
  </si>
  <si>
    <t>SP/OCT-SP/0192</t>
  </si>
  <si>
    <t>SP/OCT-SP/0193</t>
  </si>
  <si>
    <t>SP/OCT-SP/0194</t>
  </si>
  <si>
    <t>SP/OCT-SP/0195</t>
  </si>
  <si>
    <t>SP/OCT-SP/0196</t>
  </si>
  <si>
    <t>SP/OCT-SP/0197</t>
  </si>
  <si>
    <t>SP/OCT-SP/0198</t>
  </si>
  <si>
    <t>SP/OCT-SP/0199</t>
  </si>
  <si>
    <t>SP/OCT-SP/0190</t>
  </si>
  <si>
    <t>SP/OCT-SP/0233;SP/OCT-SP/0251;SP/OCT-SP/0252;SP/OCT-SP/0253;SP/OCT-SP/0254;SP/OCT-SP/0255</t>
  </si>
  <si>
    <t>SP/OCT-SP/0234;SP/OCT-SP/0251;SP/OCT-SP/0252;SP/OCT-SP/0256;SP/OCT-SP/0257;SP/OCT-SP/0258</t>
  </si>
  <si>
    <t>SP/OCT-SP/0283;SP/OCT-SP/0301;SP/OCT-SP/0302;SP/OCT-SP/0303;SP/OCT-SP/0304;SP/OCT-SP/0305</t>
  </si>
  <si>
    <t>SP/OCT-SP/0293;SP/OCT-SP/0301;SP/OCT-SP/0302;SP/OCT-SP/0306;SP/OCT-SP/0307;SP/OCT-SP/0308</t>
  </si>
  <si>
    <t>SP/OCT-SP/0334;SP/OCT-SP/0371;SP/OCT-SP/0372;SP/OCT-SP/0373;SP/OCT-SP/0374;SP/OCT-SP/0375;SP/OCT-SP/0376</t>
  </si>
  <si>
    <t>SP/OCT-SP/0434;SP/OCT-SP/0471;SP/OCT-SP/0472;SP/OCT-SP/0473;SP/OCT-SP/0474;SP/OCT-SP/0475;SP/OCT-SP/0476</t>
  </si>
  <si>
    <t>SP/OCT-SP/0444;SP/OCT-SP/0481;SP/OCT-SP/0482;SP/OCT-SP/0483;SP/OCT-SP/0484;SP/OCT-SP/0485;SP/OCT-SP/0486;SP/OCT-SP/0487</t>
  </si>
  <si>
    <t>SP/OCT-SP/0454;SP/OCT-SP/0491;SP/OCT-SP/0492;SP/OCT-SP/0493;SP/OCT-SP/0494;SP/OCT-SP/0495;SP/OCT-SP/0496</t>
  </si>
  <si>
    <t>SP/OCT-SP/0464;SP/OCT-SP/0501;SP/OCT-SP/0502;SP/OCT-SP/0503;SP/OCT-SP/0504;SP/OCT-SP/0505;SP/OCT-SP/0506</t>
  </si>
  <si>
    <t>SP/OCT-SP/0511</t>
  </si>
  <si>
    <t>SP/OCT-SP/0521</t>
  </si>
  <si>
    <t>SP/OCT-SP/0522</t>
  </si>
  <si>
    <t>SP/OCT-SP/0621;SP/OCT-SP/0622;SP/OCT-SP/0623</t>
  </si>
  <si>
    <t>SP/OCT-SP/0631;SP/OCT-SP/0632;SP/OCT-SP/0633</t>
  </si>
  <si>
    <t>SP/OCT-SP/0641;SP/OCT-SP/0642;SP/OCT-SP/0643</t>
  </si>
  <si>
    <t>SP/OCT-SP/0651;SP/OCT-SP/0652;SP/OCT-SP/0653</t>
  </si>
  <si>
    <t>SP/OCT-SP/0671;SP/OCT-SP/0672;SP/OCT-SP/0673</t>
  </si>
  <si>
    <t>SP/OCT-SP/0681;SP/OCT-SP/0682;SP/OCT-SP/0683</t>
  </si>
  <si>
    <t>SP/OCT-SP/0691;SP/OCT-SP/0692;SP/OCT-SP/0693</t>
  </si>
  <si>
    <t>SP/OCT-SP/0701;SP/OCT-SP/0702;SP/OCT-SP/0703</t>
  </si>
  <si>
    <t>SP/OCT-SP/0731</t>
  </si>
  <si>
    <t>SP/OCT-SP/0734</t>
  </si>
  <si>
    <t>SP/OCT-ND/OCT-SP/0013</t>
  </si>
  <si>
    <t>SP/OCT-SP/OCT-VD/0024</t>
  </si>
  <si>
    <t>SP/OCT-SP/OCT-VD/0013</t>
  </si>
  <si>
    <t>SP/OCT-SP/0105;SP/OCT-SP/0103</t>
  </si>
  <si>
    <t>OCT-SP-NC-FL-201</t>
  </si>
  <si>
    <t>OCT-SP-NC-FL-301</t>
  </si>
  <si>
    <t>OCT-SP-NC-FL-401</t>
  </si>
  <si>
    <t>Filter Y</t>
  </si>
  <si>
    <t>Filter J</t>
  </si>
  <si>
    <t>Filter H</t>
  </si>
  <si>
    <t>As-built Iridian</t>
  </si>
  <si>
    <t>VPH efficiency correction factor after as-built measurements</t>
  </si>
  <si>
    <t>As-built Iridian (transmission at 960 nm is 4%)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</si>
</sst>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0.000"/>
    <numFmt numFmtId="166" formatCode="0.000000"/>
  </numFmts>
  <fonts count="2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4"/>
      <scheme val="minor"/>
    </font>
    <font>
      <sz val="12"/>
      <color theme="1"/>
      <name val="Cambria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000000"/>
      <name val="Calibri"/>
      <family val="2"/>
      <charset val="134"/>
      <scheme val="minor"/>
    </font>
    <font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scheme val="minor"/>
    </font>
    <font>
      <b/>
      <sz val="12"/>
      <color theme="0" tint="-0.14999847407452621"/>
      <name val="Calibri"/>
      <scheme val="minor"/>
    </font>
    <font>
      <sz val="12"/>
      <color theme="0" tint="-0.14999847407452621"/>
      <name val="Calibri"/>
      <scheme val="minor"/>
    </font>
    <font>
      <sz val="8"/>
      <name val="Calibri"/>
      <family val="2"/>
      <scheme val="minor"/>
    </font>
    <font>
      <b/>
      <sz val="12"/>
      <color rgb="FF00B050"/>
      <name val="Calibri"/>
      <scheme val="minor"/>
    </font>
    <font>
      <b/>
      <sz val="12"/>
      <color rgb="FFFF0000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406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2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1" xfId="0" applyFont="1" applyBorder="1"/>
    <xf numFmtId="164" fontId="0" fillId="0" borderId="1" xfId="0" applyNumberFormat="1" applyBorder="1"/>
    <xf numFmtId="0" fontId="0" fillId="0" borderId="1" xfId="0" applyBorder="1"/>
    <xf numFmtId="0" fontId="5" fillId="0" borderId="1" xfId="0" applyFont="1" applyBorder="1" applyAlignment="1">
      <alignment horizontal="center"/>
    </xf>
    <xf numFmtId="0" fontId="6" fillId="0" borderId="1" xfId="0" applyFont="1" applyBorder="1"/>
    <xf numFmtId="164" fontId="6" fillId="0" borderId="1" xfId="0" applyNumberFormat="1" applyFont="1" applyBorder="1" applyAlignment="1">
      <alignment horizontal="center"/>
    </xf>
    <xf numFmtId="165" fontId="8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1" fontId="8" fillId="0" borderId="1" xfId="0" applyNumberFormat="1" applyFont="1" applyBorder="1" applyAlignment="1">
      <alignment horizontal="center"/>
    </xf>
    <xf numFmtId="164" fontId="8" fillId="0" borderId="1" xfId="0" applyNumberFormat="1" applyFont="1" applyBorder="1" applyAlignment="1">
      <alignment horizontal="left"/>
    </xf>
    <xf numFmtId="164" fontId="7" fillId="0" borderId="1" xfId="0" applyNumberFormat="1" applyFont="1" applyBorder="1" applyAlignment="1">
      <alignment horizontal="center"/>
    </xf>
    <xf numFmtId="0" fontId="8" fillId="0" borderId="1" xfId="0" applyFont="1" applyBorder="1" applyAlignment="1">
      <alignment horizontal="left"/>
    </xf>
    <xf numFmtId="0" fontId="8" fillId="0" borderId="1" xfId="0" applyFont="1" applyBorder="1" applyAlignment="1">
      <alignment horizontal="center"/>
    </xf>
    <xf numFmtId="0" fontId="8" fillId="0" borderId="1" xfId="0" applyFont="1" applyBorder="1"/>
    <xf numFmtId="0" fontId="0" fillId="0" borderId="1" xfId="0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2" fillId="0" borderId="1" xfId="0" applyFont="1" applyBorder="1"/>
    <xf numFmtId="10" fontId="0" fillId="0" borderId="0" xfId="0" applyNumberFormat="1"/>
    <xf numFmtId="0" fontId="9" fillId="2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9" fillId="5" borderId="1" xfId="0" applyFont="1" applyFill="1" applyBorder="1" applyAlignment="1">
      <alignment horizontal="center"/>
    </xf>
    <xf numFmtId="2" fontId="0" fillId="0" borderId="1" xfId="0" applyNumberFormat="1" applyBorder="1"/>
    <xf numFmtId="2" fontId="10" fillId="0" borderId="1" xfId="0" applyNumberFormat="1" applyFont="1" applyBorder="1"/>
    <xf numFmtId="2" fontId="11" fillId="0" borderId="1" xfId="0" applyNumberFormat="1" applyFont="1" applyBorder="1"/>
    <xf numFmtId="0" fontId="13" fillId="5" borderId="1" xfId="0" applyFont="1" applyFill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9" fillId="6" borderId="1" xfId="0" applyFont="1" applyFill="1" applyBorder="1" applyAlignment="1">
      <alignment horizontal="center"/>
    </xf>
    <xf numFmtId="0" fontId="9" fillId="7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9" fillId="8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left"/>
    </xf>
    <xf numFmtId="165" fontId="0" fillId="0" borderId="1" xfId="0" applyNumberFormat="1" applyFont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165" fontId="8" fillId="0" borderId="1" xfId="0" applyNumberFormat="1" applyFont="1" applyFill="1" applyBorder="1" applyAlignment="1">
      <alignment horizontal="center"/>
    </xf>
    <xf numFmtId="9" fontId="0" fillId="0" borderId="1" xfId="0" applyNumberFormat="1" applyBorder="1"/>
    <xf numFmtId="165" fontId="0" fillId="0" borderId="1" xfId="0" applyNumberFormat="1" applyFill="1" applyBorder="1" applyAlignment="1">
      <alignment horizontal="center"/>
    </xf>
    <xf numFmtId="166" fontId="1" fillId="0" borderId="1" xfId="0" applyNumberFormat="1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2" fillId="0" borderId="1" xfId="0" applyFont="1" applyBorder="1" applyAlignment="1">
      <alignment horizontal="center" vertical="center" wrapText="1"/>
    </xf>
    <xf numFmtId="10" fontId="12" fillId="0" borderId="1" xfId="0" applyNumberFormat="1" applyFont="1" applyBorder="1" applyAlignment="1">
      <alignment horizontal="center" vertical="center" wrapText="1"/>
    </xf>
    <xf numFmtId="2" fontId="14" fillId="0" borderId="1" xfId="0" applyNumberFormat="1" applyFont="1" applyBorder="1"/>
    <xf numFmtId="0" fontId="15" fillId="0" borderId="1" xfId="0" applyFont="1" applyBorder="1" applyAlignment="1">
      <alignment horizontal="center"/>
    </xf>
    <xf numFmtId="165" fontId="16" fillId="0" borderId="1" xfId="0" applyNumberFormat="1" applyFont="1" applyBorder="1" applyAlignment="1">
      <alignment horizontal="center"/>
    </xf>
    <xf numFmtId="165" fontId="16" fillId="0" borderId="1" xfId="0" applyNumberFormat="1" applyFont="1" applyFill="1" applyBorder="1" applyAlignment="1">
      <alignment horizontal="center"/>
    </xf>
    <xf numFmtId="165" fontId="15" fillId="0" borderId="1" xfId="0" applyNumberFormat="1" applyFont="1" applyBorder="1" applyAlignment="1">
      <alignment horizontal="center"/>
    </xf>
    <xf numFmtId="165" fontId="0" fillId="0" borderId="1" xfId="0" applyNumberFormat="1" applyBorder="1"/>
    <xf numFmtId="0" fontId="0" fillId="0" borderId="3" xfId="0" applyBorder="1"/>
    <xf numFmtId="165" fontId="0" fillId="0" borderId="3" xfId="0" applyNumberFormat="1" applyBorder="1" applyAlignment="1">
      <alignment horizontal="center"/>
    </xf>
    <xf numFmtId="0" fontId="0" fillId="0" borderId="4" xfId="0" applyBorder="1"/>
    <xf numFmtId="165" fontId="0" fillId="0" borderId="4" xfId="0" applyNumberFormat="1" applyBorder="1" applyAlignment="1">
      <alignment horizontal="center"/>
    </xf>
    <xf numFmtId="0" fontId="0" fillId="0" borderId="0" xfId="0" applyBorder="1"/>
    <xf numFmtId="165" fontId="0" fillId="0" borderId="0" xfId="0" applyNumberFormat="1" applyBorder="1" applyAlignment="1">
      <alignment horizontal="center"/>
    </xf>
    <xf numFmtId="2" fontId="0" fillId="0" borderId="0" xfId="0" applyNumberFormat="1" applyFont="1" applyBorder="1" applyAlignment="1"/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/>
    </xf>
    <xf numFmtId="0" fontId="12" fillId="0" borderId="5" xfId="0" applyFont="1" applyBorder="1" applyAlignment="1">
      <alignment horizontal="center" vertical="center" wrapText="1"/>
    </xf>
    <xf numFmtId="0" fontId="0" fillId="0" borderId="1" xfId="0" applyFill="1" applyBorder="1"/>
    <xf numFmtId="0" fontId="6" fillId="0" borderId="1" xfId="0" applyFont="1" applyFill="1" applyBorder="1"/>
    <xf numFmtId="164" fontId="6" fillId="0" borderId="1" xfId="0" applyNumberFormat="1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8" fillId="0" borderId="1" xfId="0" applyFont="1" applyFill="1" applyBorder="1"/>
    <xf numFmtId="0" fontId="0" fillId="0" borderId="3" xfId="0" applyBorder="1" applyAlignment="1">
      <alignment horizontal="center"/>
    </xf>
    <xf numFmtId="165" fontId="6" fillId="0" borderId="1" xfId="0" applyNumberFormat="1" applyFont="1" applyBorder="1"/>
    <xf numFmtId="0" fontId="1" fillId="0" borderId="3" xfId="0" applyFont="1" applyBorder="1" applyAlignment="1">
      <alignment horizontal="center"/>
    </xf>
    <xf numFmtId="165" fontId="0" fillId="0" borderId="3" xfId="0" applyNumberFormat="1" applyFill="1" applyBorder="1" applyAlignment="1">
      <alignment horizontal="center"/>
    </xf>
    <xf numFmtId="165" fontId="1" fillId="0" borderId="3" xfId="0" applyNumberFormat="1" applyFont="1" applyBorder="1" applyAlignment="1">
      <alignment horizontal="center"/>
    </xf>
    <xf numFmtId="165" fontId="0" fillId="0" borderId="3" xfId="0" applyNumberFormat="1" applyFont="1" applyBorder="1" applyAlignment="1">
      <alignment horizontal="center"/>
    </xf>
    <xf numFmtId="0" fontId="15" fillId="0" borderId="3" xfId="0" applyFont="1" applyBorder="1" applyAlignment="1">
      <alignment horizontal="center"/>
    </xf>
    <xf numFmtId="165" fontId="16" fillId="0" borderId="3" xfId="0" applyNumberFormat="1" applyFont="1" applyBorder="1" applyAlignment="1">
      <alignment horizontal="center"/>
    </xf>
    <xf numFmtId="165" fontId="15" fillId="0" borderId="3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/>
    <xf numFmtId="165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12" fillId="9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164" fontId="7" fillId="0" borderId="1" xfId="0" applyNumberFormat="1" applyFont="1" applyBorder="1" applyAlignment="1">
      <alignment horizontal="left" vertical="center" wrapText="1"/>
    </xf>
    <xf numFmtId="164" fontId="7" fillId="0" borderId="1" xfId="0" applyNumberFormat="1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left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2" fontId="1" fillId="0" borderId="1" xfId="0" applyNumberFormat="1" applyFont="1" applyBorder="1"/>
    <xf numFmtId="2" fontId="18" fillId="9" borderId="1" xfId="0" applyNumberFormat="1" applyFont="1" applyFill="1" applyBorder="1"/>
    <xf numFmtId="2" fontId="19" fillId="9" borderId="1" xfId="0" applyNumberFormat="1" applyFont="1" applyFill="1" applyBorder="1"/>
    <xf numFmtId="2" fontId="0" fillId="0" borderId="0" xfId="0" applyNumberFormat="1"/>
    <xf numFmtId="0" fontId="8" fillId="0" borderId="4" xfId="0" applyFont="1" applyBorder="1"/>
    <xf numFmtId="1" fontId="8" fillId="0" borderId="1" xfId="0" applyNumberFormat="1" applyFont="1" applyFill="1" applyBorder="1" applyAlignment="1">
      <alignment horizontal="center"/>
    </xf>
    <xf numFmtId="165" fontId="8" fillId="0" borderId="1" xfId="0" applyNumberFormat="1" applyFont="1" applyFill="1" applyBorder="1" applyAlignment="1">
      <alignment horizontal="left"/>
    </xf>
    <xf numFmtId="0" fontId="0" fillId="0" borderId="0" xfId="0" applyFill="1"/>
    <xf numFmtId="0" fontId="14" fillId="0" borderId="1" xfId="0" applyFont="1" applyFill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2" fillId="0" borderId="7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2" fillId="0" borderId="8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</cellXfs>
  <cellStyles count="40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Followed Hyperlink" xfId="2140" builtinId="9" hidden="1"/>
    <cellStyle name="Followed Hyperlink" xfId="2142" builtinId="9" hidden="1"/>
    <cellStyle name="Followed Hyperlink" xfId="2144" builtinId="9" hidden="1"/>
    <cellStyle name="Followed Hyperlink" xfId="2146" builtinId="9" hidden="1"/>
    <cellStyle name="Followed Hyperlink" xfId="2148" builtinId="9" hidden="1"/>
    <cellStyle name="Followed Hyperlink" xfId="2150" builtinId="9" hidden="1"/>
    <cellStyle name="Followed Hyperlink" xfId="2152" builtinId="9" hidden="1"/>
    <cellStyle name="Followed Hyperlink" xfId="2154" builtinId="9" hidden="1"/>
    <cellStyle name="Followed Hyperlink" xfId="2156" builtinId="9" hidden="1"/>
    <cellStyle name="Followed Hyperlink" xfId="2158" builtinId="9" hidden="1"/>
    <cellStyle name="Followed Hyperlink" xfId="2160" builtinId="9" hidden="1"/>
    <cellStyle name="Followed Hyperlink" xfId="2162" builtinId="9" hidden="1"/>
    <cellStyle name="Followed Hyperlink" xfId="2164" builtinId="9" hidden="1"/>
    <cellStyle name="Followed Hyperlink" xfId="2166" builtinId="9" hidden="1"/>
    <cellStyle name="Followed Hyperlink" xfId="2168" builtinId="9" hidden="1"/>
    <cellStyle name="Followed Hyperlink" xfId="2170" builtinId="9" hidden="1"/>
    <cellStyle name="Followed Hyperlink" xfId="2172" builtinId="9" hidden="1"/>
    <cellStyle name="Followed Hyperlink" xfId="2174" builtinId="9" hidden="1"/>
    <cellStyle name="Followed Hyperlink" xfId="2176" builtinId="9" hidden="1"/>
    <cellStyle name="Followed Hyperlink" xfId="2178" builtinId="9" hidden="1"/>
    <cellStyle name="Followed Hyperlink" xfId="2180" builtinId="9" hidden="1"/>
    <cellStyle name="Followed Hyperlink" xfId="2182" builtinId="9" hidden="1"/>
    <cellStyle name="Followed Hyperlink" xfId="2184" builtinId="9" hidden="1"/>
    <cellStyle name="Followed Hyperlink" xfId="2186" builtinId="9" hidden="1"/>
    <cellStyle name="Followed Hyperlink" xfId="2188" builtinId="9" hidden="1"/>
    <cellStyle name="Followed Hyperlink" xfId="2190" builtinId="9" hidden="1"/>
    <cellStyle name="Followed Hyperlink" xfId="2192" builtinId="9" hidden="1"/>
    <cellStyle name="Followed Hyperlink" xfId="2194" builtinId="9" hidden="1"/>
    <cellStyle name="Followed Hyperlink" xfId="2196" builtinId="9" hidden="1"/>
    <cellStyle name="Followed Hyperlink" xfId="2198" builtinId="9" hidden="1"/>
    <cellStyle name="Followed Hyperlink" xfId="2200" builtinId="9" hidden="1"/>
    <cellStyle name="Followed Hyperlink" xfId="2202" builtinId="9" hidden="1"/>
    <cellStyle name="Followed Hyperlink" xfId="2204" builtinId="9" hidden="1"/>
    <cellStyle name="Followed Hyperlink" xfId="2206" builtinId="9" hidden="1"/>
    <cellStyle name="Followed Hyperlink" xfId="2208" builtinId="9" hidden="1"/>
    <cellStyle name="Followed Hyperlink" xfId="2210" builtinId="9" hidden="1"/>
    <cellStyle name="Followed Hyperlink" xfId="2212" builtinId="9" hidden="1"/>
    <cellStyle name="Followed Hyperlink" xfId="2214" builtinId="9" hidden="1"/>
    <cellStyle name="Followed Hyperlink" xfId="2216" builtinId="9" hidden="1"/>
    <cellStyle name="Followed Hyperlink" xfId="2218" builtinId="9" hidden="1"/>
    <cellStyle name="Followed Hyperlink" xfId="2220" builtinId="9" hidden="1"/>
    <cellStyle name="Followed Hyperlink" xfId="2222" builtinId="9" hidden="1"/>
    <cellStyle name="Followed Hyperlink" xfId="2224" builtinId="9" hidden="1"/>
    <cellStyle name="Followed Hyperlink" xfId="2226" builtinId="9" hidden="1"/>
    <cellStyle name="Followed Hyperlink" xfId="2228" builtinId="9" hidden="1"/>
    <cellStyle name="Followed Hyperlink" xfId="2230" builtinId="9" hidden="1"/>
    <cellStyle name="Followed Hyperlink" xfId="2232" builtinId="9" hidden="1"/>
    <cellStyle name="Followed Hyperlink" xfId="2234" builtinId="9" hidden="1"/>
    <cellStyle name="Followed Hyperlink" xfId="2236" builtinId="9" hidden="1"/>
    <cellStyle name="Followed Hyperlink" xfId="2238" builtinId="9" hidden="1"/>
    <cellStyle name="Followed Hyperlink" xfId="2240" builtinId="9" hidden="1"/>
    <cellStyle name="Followed Hyperlink" xfId="2242" builtinId="9" hidden="1"/>
    <cellStyle name="Followed Hyperlink" xfId="2244" builtinId="9" hidden="1"/>
    <cellStyle name="Followed Hyperlink" xfId="2246" builtinId="9" hidden="1"/>
    <cellStyle name="Followed Hyperlink" xfId="2248" builtinId="9" hidden="1"/>
    <cellStyle name="Followed Hyperlink" xfId="2250" builtinId="9" hidden="1"/>
    <cellStyle name="Followed Hyperlink" xfId="2252" builtinId="9" hidden="1"/>
    <cellStyle name="Followed Hyperlink" xfId="2254" builtinId="9" hidden="1"/>
    <cellStyle name="Followed Hyperlink" xfId="2256" builtinId="9" hidden="1"/>
    <cellStyle name="Followed Hyperlink" xfId="2258" builtinId="9" hidden="1"/>
    <cellStyle name="Followed Hyperlink" xfId="2260" builtinId="9" hidden="1"/>
    <cellStyle name="Followed Hyperlink" xfId="2262" builtinId="9" hidden="1"/>
    <cellStyle name="Followed Hyperlink" xfId="2264" builtinId="9" hidden="1"/>
    <cellStyle name="Followed Hyperlink" xfId="2266" builtinId="9" hidden="1"/>
    <cellStyle name="Followed Hyperlink" xfId="2268" builtinId="9" hidden="1"/>
    <cellStyle name="Followed Hyperlink" xfId="2270" builtinId="9" hidden="1"/>
    <cellStyle name="Followed Hyperlink" xfId="2272" builtinId="9" hidden="1"/>
    <cellStyle name="Followed Hyperlink" xfId="2274" builtinId="9" hidden="1"/>
    <cellStyle name="Followed Hyperlink" xfId="2276" builtinId="9" hidden="1"/>
    <cellStyle name="Followed Hyperlink" xfId="2278" builtinId="9" hidden="1"/>
    <cellStyle name="Followed Hyperlink" xfId="2280" builtinId="9" hidden="1"/>
    <cellStyle name="Followed Hyperlink" xfId="2282" builtinId="9" hidden="1"/>
    <cellStyle name="Followed Hyperlink" xfId="2284" builtinId="9" hidden="1"/>
    <cellStyle name="Followed Hyperlink" xfId="2286" builtinId="9" hidden="1"/>
    <cellStyle name="Followed Hyperlink" xfId="2288" builtinId="9" hidden="1"/>
    <cellStyle name="Followed Hyperlink" xfId="2290" builtinId="9" hidden="1"/>
    <cellStyle name="Followed Hyperlink" xfId="2292" builtinId="9" hidden="1"/>
    <cellStyle name="Followed Hyperlink" xfId="2294" builtinId="9" hidden="1"/>
    <cellStyle name="Followed Hyperlink" xfId="2296" builtinId="9" hidden="1"/>
    <cellStyle name="Followed Hyperlink" xfId="2298" builtinId="9" hidden="1"/>
    <cellStyle name="Followed Hyperlink" xfId="2300" builtinId="9" hidden="1"/>
    <cellStyle name="Followed Hyperlink" xfId="2302" builtinId="9" hidden="1"/>
    <cellStyle name="Followed Hyperlink" xfId="2304" builtinId="9" hidden="1"/>
    <cellStyle name="Followed Hyperlink" xfId="2306" builtinId="9" hidden="1"/>
    <cellStyle name="Followed Hyperlink" xfId="2308" builtinId="9" hidden="1"/>
    <cellStyle name="Followed Hyperlink" xfId="2310" builtinId="9" hidden="1"/>
    <cellStyle name="Followed Hyperlink" xfId="2312" builtinId="9" hidden="1"/>
    <cellStyle name="Followed Hyperlink" xfId="2314" builtinId="9" hidden="1"/>
    <cellStyle name="Followed Hyperlink" xfId="2316" builtinId="9" hidden="1"/>
    <cellStyle name="Followed Hyperlink" xfId="2318" builtinId="9" hidden="1"/>
    <cellStyle name="Followed Hyperlink" xfId="2320" builtinId="9" hidden="1"/>
    <cellStyle name="Followed Hyperlink" xfId="2322" builtinId="9" hidden="1"/>
    <cellStyle name="Followed Hyperlink" xfId="2324" builtinId="9" hidden="1"/>
    <cellStyle name="Followed Hyperlink" xfId="2326" builtinId="9" hidden="1"/>
    <cellStyle name="Followed Hyperlink" xfId="2328" builtinId="9" hidden="1"/>
    <cellStyle name="Followed Hyperlink" xfId="2330" builtinId="9" hidden="1"/>
    <cellStyle name="Followed Hyperlink" xfId="2332" builtinId="9" hidden="1"/>
    <cellStyle name="Followed Hyperlink" xfId="2334" builtinId="9" hidden="1"/>
    <cellStyle name="Followed Hyperlink" xfId="2336" builtinId="9" hidden="1"/>
    <cellStyle name="Followed Hyperlink" xfId="2338" builtinId="9" hidden="1"/>
    <cellStyle name="Followed Hyperlink" xfId="2340" builtinId="9" hidden="1"/>
    <cellStyle name="Followed Hyperlink" xfId="2342" builtinId="9" hidden="1"/>
    <cellStyle name="Followed Hyperlink" xfId="2344" builtinId="9" hidden="1"/>
    <cellStyle name="Followed Hyperlink" xfId="2346" builtinId="9" hidden="1"/>
    <cellStyle name="Followed Hyperlink" xfId="2348" builtinId="9" hidden="1"/>
    <cellStyle name="Followed Hyperlink" xfId="2350" builtinId="9" hidden="1"/>
    <cellStyle name="Followed Hyperlink" xfId="2352" builtinId="9" hidden="1"/>
    <cellStyle name="Followed Hyperlink" xfId="2354" builtinId="9" hidden="1"/>
    <cellStyle name="Followed Hyperlink" xfId="2356" builtinId="9" hidden="1"/>
    <cellStyle name="Followed Hyperlink" xfId="2358" builtinId="9" hidden="1"/>
    <cellStyle name="Followed Hyperlink" xfId="2360" builtinId="9" hidden="1"/>
    <cellStyle name="Followed Hyperlink" xfId="2362" builtinId="9" hidden="1"/>
    <cellStyle name="Followed Hyperlink" xfId="2364" builtinId="9" hidden="1"/>
    <cellStyle name="Followed Hyperlink" xfId="2366" builtinId="9" hidden="1"/>
    <cellStyle name="Followed Hyperlink" xfId="2368" builtinId="9" hidden="1"/>
    <cellStyle name="Followed Hyperlink" xfId="2370" builtinId="9" hidden="1"/>
    <cellStyle name="Followed Hyperlink" xfId="2372" builtinId="9" hidden="1"/>
    <cellStyle name="Followed Hyperlink" xfId="2374" builtinId="9" hidden="1"/>
    <cellStyle name="Followed Hyperlink" xfId="2376" builtinId="9" hidden="1"/>
    <cellStyle name="Followed Hyperlink" xfId="2378" builtinId="9" hidden="1"/>
    <cellStyle name="Followed Hyperlink" xfId="2380" builtinId="9" hidden="1"/>
    <cellStyle name="Followed Hyperlink" xfId="2382" builtinId="9" hidden="1"/>
    <cellStyle name="Followed Hyperlink" xfId="2384" builtinId="9" hidden="1"/>
    <cellStyle name="Followed Hyperlink" xfId="2386" builtinId="9" hidden="1"/>
    <cellStyle name="Followed Hyperlink" xfId="2388" builtinId="9" hidden="1"/>
    <cellStyle name="Followed Hyperlink" xfId="2390" builtinId="9" hidden="1"/>
    <cellStyle name="Followed Hyperlink" xfId="2392" builtinId="9" hidden="1"/>
    <cellStyle name="Followed Hyperlink" xfId="2394" builtinId="9" hidden="1"/>
    <cellStyle name="Followed Hyperlink" xfId="2396" builtinId="9" hidden="1"/>
    <cellStyle name="Followed Hyperlink" xfId="2398" builtinId="9" hidden="1"/>
    <cellStyle name="Followed Hyperlink" xfId="2400" builtinId="9" hidden="1"/>
    <cellStyle name="Followed Hyperlink" xfId="2402" builtinId="9" hidden="1"/>
    <cellStyle name="Followed Hyperlink" xfId="2404" builtinId="9" hidden="1"/>
    <cellStyle name="Followed Hyperlink" xfId="2406" builtinId="9" hidden="1"/>
    <cellStyle name="Followed Hyperlink" xfId="2408" builtinId="9" hidden="1"/>
    <cellStyle name="Followed Hyperlink" xfId="2410" builtinId="9" hidden="1"/>
    <cellStyle name="Followed Hyperlink" xfId="2412" builtinId="9" hidden="1"/>
    <cellStyle name="Followed Hyperlink" xfId="2414" builtinId="9" hidden="1"/>
    <cellStyle name="Followed Hyperlink" xfId="2416" builtinId="9" hidden="1"/>
    <cellStyle name="Followed Hyperlink" xfId="2418" builtinId="9" hidden="1"/>
    <cellStyle name="Followed Hyperlink" xfId="2420" builtinId="9" hidden="1"/>
    <cellStyle name="Followed Hyperlink" xfId="2422" builtinId="9" hidden="1"/>
    <cellStyle name="Followed Hyperlink" xfId="2424" builtinId="9" hidden="1"/>
    <cellStyle name="Followed Hyperlink" xfId="2426" builtinId="9" hidden="1"/>
    <cellStyle name="Followed Hyperlink" xfId="2428" builtinId="9" hidden="1"/>
    <cellStyle name="Followed Hyperlink" xfId="2430" builtinId="9" hidden="1"/>
    <cellStyle name="Followed Hyperlink" xfId="2432" builtinId="9" hidden="1"/>
    <cellStyle name="Followed Hyperlink" xfId="2434" builtinId="9" hidden="1"/>
    <cellStyle name="Followed Hyperlink" xfId="2436" builtinId="9" hidden="1"/>
    <cellStyle name="Followed Hyperlink" xfId="2438" builtinId="9" hidden="1"/>
    <cellStyle name="Followed Hyperlink" xfId="2440" builtinId="9" hidden="1"/>
    <cellStyle name="Followed Hyperlink" xfId="2442" builtinId="9" hidden="1"/>
    <cellStyle name="Followed Hyperlink" xfId="2444" builtinId="9" hidden="1"/>
    <cellStyle name="Followed Hyperlink" xfId="2446" builtinId="9" hidden="1"/>
    <cellStyle name="Followed Hyperlink" xfId="2448" builtinId="9" hidden="1"/>
    <cellStyle name="Followed Hyperlink" xfId="2450" builtinId="9" hidden="1"/>
    <cellStyle name="Followed Hyperlink" xfId="2452" builtinId="9" hidden="1"/>
    <cellStyle name="Followed Hyperlink" xfId="2454" builtinId="9" hidden="1"/>
    <cellStyle name="Followed Hyperlink" xfId="2456" builtinId="9" hidden="1"/>
    <cellStyle name="Followed Hyperlink" xfId="2458" builtinId="9" hidden="1"/>
    <cellStyle name="Followed Hyperlink" xfId="2460" builtinId="9" hidden="1"/>
    <cellStyle name="Followed Hyperlink" xfId="2462" builtinId="9" hidden="1"/>
    <cellStyle name="Followed Hyperlink" xfId="2464" builtinId="9" hidden="1"/>
    <cellStyle name="Followed Hyperlink" xfId="2466" builtinId="9" hidden="1"/>
    <cellStyle name="Followed Hyperlink" xfId="2468" builtinId="9" hidden="1"/>
    <cellStyle name="Followed Hyperlink" xfId="2470" builtinId="9" hidden="1"/>
    <cellStyle name="Followed Hyperlink" xfId="2472" builtinId="9" hidden="1"/>
    <cellStyle name="Followed Hyperlink" xfId="2474" builtinId="9" hidden="1"/>
    <cellStyle name="Followed Hyperlink" xfId="2476" builtinId="9" hidden="1"/>
    <cellStyle name="Followed Hyperlink" xfId="2478" builtinId="9" hidden="1"/>
    <cellStyle name="Followed Hyperlink" xfId="2480" builtinId="9" hidden="1"/>
    <cellStyle name="Followed Hyperlink" xfId="2482" builtinId="9" hidden="1"/>
    <cellStyle name="Followed Hyperlink" xfId="2484" builtinId="9" hidden="1"/>
    <cellStyle name="Followed Hyperlink" xfId="2486" builtinId="9" hidden="1"/>
    <cellStyle name="Followed Hyperlink" xfId="2488" builtinId="9" hidden="1"/>
    <cellStyle name="Followed Hyperlink" xfId="2490" builtinId="9" hidden="1"/>
    <cellStyle name="Followed Hyperlink" xfId="2492" builtinId="9" hidden="1"/>
    <cellStyle name="Followed Hyperlink" xfId="2494" builtinId="9" hidden="1"/>
    <cellStyle name="Followed Hyperlink" xfId="2496" builtinId="9" hidden="1"/>
    <cellStyle name="Followed Hyperlink" xfId="2498" builtinId="9" hidden="1"/>
    <cellStyle name="Followed Hyperlink" xfId="2500" builtinId="9" hidden="1"/>
    <cellStyle name="Followed Hyperlink" xfId="2502" builtinId="9" hidden="1"/>
    <cellStyle name="Followed Hyperlink" xfId="2504" builtinId="9" hidden="1"/>
    <cellStyle name="Followed Hyperlink" xfId="2506" builtinId="9" hidden="1"/>
    <cellStyle name="Followed Hyperlink" xfId="2508" builtinId="9" hidden="1"/>
    <cellStyle name="Followed Hyperlink" xfId="2510" builtinId="9" hidden="1"/>
    <cellStyle name="Followed Hyperlink" xfId="2512" builtinId="9" hidden="1"/>
    <cellStyle name="Followed Hyperlink" xfId="2514" builtinId="9" hidden="1"/>
    <cellStyle name="Followed Hyperlink" xfId="2516" builtinId="9" hidden="1"/>
    <cellStyle name="Followed Hyperlink" xfId="2518" builtinId="9" hidden="1"/>
    <cellStyle name="Followed Hyperlink" xfId="2520" builtinId="9" hidden="1"/>
    <cellStyle name="Followed Hyperlink" xfId="2522" builtinId="9" hidden="1"/>
    <cellStyle name="Followed Hyperlink" xfId="2524" builtinId="9" hidden="1"/>
    <cellStyle name="Followed Hyperlink" xfId="2526" builtinId="9" hidden="1"/>
    <cellStyle name="Followed Hyperlink" xfId="2528" builtinId="9" hidden="1"/>
    <cellStyle name="Followed Hyperlink" xfId="2530" builtinId="9" hidden="1"/>
    <cellStyle name="Followed Hyperlink" xfId="2532" builtinId="9" hidden="1"/>
    <cellStyle name="Followed Hyperlink" xfId="2534" builtinId="9" hidden="1"/>
    <cellStyle name="Followed Hyperlink" xfId="2536" builtinId="9" hidden="1"/>
    <cellStyle name="Followed Hyperlink" xfId="2538" builtinId="9" hidden="1"/>
    <cellStyle name="Followed Hyperlink" xfId="2540" builtinId="9" hidden="1"/>
    <cellStyle name="Followed Hyperlink" xfId="2542" builtinId="9" hidden="1"/>
    <cellStyle name="Followed Hyperlink" xfId="2544" builtinId="9" hidden="1"/>
    <cellStyle name="Followed Hyperlink" xfId="2546" builtinId="9" hidden="1"/>
    <cellStyle name="Followed Hyperlink" xfId="2548" builtinId="9" hidden="1"/>
    <cellStyle name="Followed Hyperlink" xfId="2550" builtinId="9" hidden="1"/>
    <cellStyle name="Followed Hyperlink" xfId="2552" builtinId="9" hidden="1"/>
    <cellStyle name="Followed Hyperlink" xfId="2554" builtinId="9" hidden="1"/>
    <cellStyle name="Followed Hyperlink" xfId="2556" builtinId="9" hidden="1"/>
    <cellStyle name="Followed Hyperlink" xfId="2558" builtinId="9" hidden="1"/>
    <cellStyle name="Followed Hyperlink" xfId="2560" builtinId="9" hidden="1"/>
    <cellStyle name="Followed Hyperlink" xfId="2562" builtinId="9" hidden="1"/>
    <cellStyle name="Followed Hyperlink" xfId="2564" builtinId="9" hidden="1"/>
    <cellStyle name="Followed Hyperlink" xfId="2566" builtinId="9" hidden="1"/>
    <cellStyle name="Followed Hyperlink" xfId="2568" builtinId="9" hidden="1"/>
    <cellStyle name="Followed Hyperlink" xfId="2570" builtinId="9" hidden="1"/>
    <cellStyle name="Followed Hyperlink" xfId="2572" builtinId="9" hidden="1"/>
    <cellStyle name="Followed Hyperlink" xfId="2574" builtinId="9" hidden="1"/>
    <cellStyle name="Followed Hyperlink" xfId="2576" builtinId="9" hidden="1"/>
    <cellStyle name="Followed Hyperlink" xfId="2578" builtinId="9" hidden="1"/>
    <cellStyle name="Followed Hyperlink" xfId="2580" builtinId="9" hidden="1"/>
    <cellStyle name="Followed Hyperlink" xfId="2582" builtinId="9" hidden="1"/>
    <cellStyle name="Followed Hyperlink" xfId="2584" builtinId="9" hidden="1"/>
    <cellStyle name="Followed Hyperlink" xfId="2586" builtinId="9" hidden="1"/>
    <cellStyle name="Followed Hyperlink" xfId="2588" builtinId="9" hidden="1"/>
    <cellStyle name="Followed Hyperlink" xfId="2590" builtinId="9" hidden="1"/>
    <cellStyle name="Followed Hyperlink" xfId="2592" builtinId="9" hidden="1"/>
    <cellStyle name="Followed Hyperlink" xfId="2594" builtinId="9" hidden="1"/>
    <cellStyle name="Followed Hyperlink" xfId="2596" builtinId="9" hidden="1"/>
    <cellStyle name="Followed Hyperlink" xfId="2598" builtinId="9" hidden="1"/>
    <cellStyle name="Followed Hyperlink" xfId="2600" builtinId="9" hidden="1"/>
    <cellStyle name="Followed Hyperlink" xfId="2602" builtinId="9" hidden="1"/>
    <cellStyle name="Followed Hyperlink" xfId="2604" builtinId="9" hidden="1"/>
    <cellStyle name="Followed Hyperlink" xfId="2606" builtinId="9" hidden="1"/>
    <cellStyle name="Followed Hyperlink" xfId="2608" builtinId="9" hidden="1"/>
    <cellStyle name="Followed Hyperlink" xfId="2610" builtinId="9" hidden="1"/>
    <cellStyle name="Followed Hyperlink" xfId="2612" builtinId="9" hidden="1"/>
    <cellStyle name="Followed Hyperlink" xfId="2614" builtinId="9" hidden="1"/>
    <cellStyle name="Followed Hyperlink" xfId="2616" builtinId="9" hidden="1"/>
    <cellStyle name="Followed Hyperlink" xfId="2618" builtinId="9" hidden="1"/>
    <cellStyle name="Followed Hyperlink" xfId="2620" builtinId="9" hidden="1"/>
    <cellStyle name="Followed Hyperlink" xfId="2622" builtinId="9" hidden="1"/>
    <cellStyle name="Followed Hyperlink" xfId="2624" builtinId="9" hidden="1"/>
    <cellStyle name="Followed Hyperlink" xfId="2626" builtinId="9" hidden="1"/>
    <cellStyle name="Followed Hyperlink" xfId="2628" builtinId="9" hidden="1"/>
    <cellStyle name="Followed Hyperlink" xfId="2630" builtinId="9" hidden="1"/>
    <cellStyle name="Followed Hyperlink" xfId="2632" builtinId="9" hidden="1"/>
    <cellStyle name="Followed Hyperlink" xfId="2634" builtinId="9" hidden="1"/>
    <cellStyle name="Followed Hyperlink" xfId="2636" builtinId="9" hidden="1"/>
    <cellStyle name="Followed Hyperlink" xfId="2638" builtinId="9" hidden="1"/>
    <cellStyle name="Followed Hyperlink" xfId="2640" builtinId="9" hidden="1"/>
    <cellStyle name="Followed Hyperlink" xfId="2642" builtinId="9" hidden="1"/>
    <cellStyle name="Followed Hyperlink" xfId="2644" builtinId="9" hidden="1"/>
    <cellStyle name="Followed Hyperlink" xfId="2646" builtinId="9" hidden="1"/>
    <cellStyle name="Followed Hyperlink" xfId="2648" builtinId="9" hidden="1"/>
    <cellStyle name="Followed Hyperlink" xfId="2650" builtinId="9" hidden="1"/>
    <cellStyle name="Followed Hyperlink" xfId="2652" builtinId="9" hidden="1"/>
    <cellStyle name="Followed Hyperlink" xfId="2654" builtinId="9" hidden="1"/>
    <cellStyle name="Followed Hyperlink" xfId="2656" builtinId="9" hidden="1"/>
    <cellStyle name="Followed Hyperlink" xfId="2658" builtinId="9" hidden="1"/>
    <cellStyle name="Followed Hyperlink" xfId="2660" builtinId="9" hidden="1"/>
    <cellStyle name="Followed Hyperlink" xfId="2662" builtinId="9" hidden="1"/>
    <cellStyle name="Followed Hyperlink" xfId="2664" builtinId="9" hidden="1"/>
    <cellStyle name="Followed Hyperlink" xfId="2666" builtinId="9" hidden="1"/>
    <cellStyle name="Followed Hyperlink" xfId="2668" builtinId="9" hidden="1"/>
    <cellStyle name="Followed Hyperlink" xfId="2670" builtinId="9" hidden="1"/>
    <cellStyle name="Followed Hyperlink" xfId="2672" builtinId="9" hidden="1"/>
    <cellStyle name="Followed Hyperlink" xfId="2674" builtinId="9" hidden="1"/>
    <cellStyle name="Followed Hyperlink" xfId="2676" builtinId="9" hidden="1"/>
    <cellStyle name="Followed Hyperlink" xfId="2678" builtinId="9" hidden="1"/>
    <cellStyle name="Followed Hyperlink" xfId="2680" builtinId="9" hidden="1"/>
    <cellStyle name="Followed Hyperlink" xfId="2682" builtinId="9" hidden="1"/>
    <cellStyle name="Followed Hyperlink" xfId="2684" builtinId="9" hidden="1"/>
    <cellStyle name="Followed Hyperlink" xfId="2686" builtinId="9" hidden="1"/>
    <cellStyle name="Followed Hyperlink" xfId="2688" builtinId="9" hidden="1"/>
    <cellStyle name="Followed Hyperlink" xfId="2690" builtinId="9" hidden="1"/>
    <cellStyle name="Followed Hyperlink" xfId="2692" builtinId="9" hidden="1"/>
    <cellStyle name="Followed Hyperlink" xfId="2694" builtinId="9" hidden="1"/>
    <cellStyle name="Followed Hyperlink" xfId="2696" builtinId="9" hidden="1"/>
    <cellStyle name="Followed Hyperlink" xfId="2698" builtinId="9" hidden="1"/>
    <cellStyle name="Followed Hyperlink" xfId="2700" builtinId="9" hidden="1"/>
    <cellStyle name="Followed Hyperlink" xfId="2702" builtinId="9" hidden="1"/>
    <cellStyle name="Followed Hyperlink" xfId="2704" builtinId="9" hidden="1"/>
    <cellStyle name="Followed Hyperlink" xfId="2706" builtinId="9" hidden="1"/>
    <cellStyle name="Followed Hyperlink" xfId="2708" builtinId="9" hidden="1"/>
    <cellStyle name="Followed Hyperlink" xfId="2710" builtinId="9" hidden="1"/>
    <cellStyle name="Followed Hyperlink" xfId="2712" builtinId="9" hidden="1"/>
    <cellStyle name="Followed Hyperlink" xfId="2714" builtinId="9" hidden="1"/>
    <cellStyle name="Followed Hyperlink" xfId="2716" builtinId="9" hidden="1"/>
    <cellStyle name="Followed Hyperlink" xfId="2718" builtinId="9" hidden="1"/>
    <cellStyle name="Followed Hyperlink" xfId="2720" builtinId="9" hidden="1"/>
    <cellStyle name="Followed Hyperlink" xfId="2722" builtinId="9" hidden="1"/>
    <cellStyle name="Followed Hyperlink" xfId="2724" builtinId="9" hidden="1"/>
    <cellStyle name="Followed Hyperlink" xfId="2726" builtinId="9" hidden="1"/>
    <cellStyle name="Followed Hyperlink" xfId="2728" builtinId="9" hidden="1"/>
    <cellStyle name="Followed Hyperlink" xfId="2730" builtinId="9" hidden="1"/>
    <cellStyle name="Followed Hyperlink" xfId="2732" builtinId="9" hidden="1"/>
    <cellStyle name="Followed Hyperlink" xfId="2734" builtinId="9" hidden="1"/>
    <cellStyle name="Followed Hyperlink" xfId="2736" builtinId="9" hidden="1"/>
    <cellStyle name="Followed Hyperlink" xfId="2738" builtinId="9" hidden="1"/>
    <cellStyle name="Followed Hyperlink" xfId="2740" builtinId="9" hidden="1"/>
    <cellStyle name="Followed Hyperlink" xfId="2742" builtinId="9" hidden="1"/>
    <cellStyle name="Followed Hyperlink" xfId="2744" builtinId="9" hidden="1"/>
    <cellStyle name="Followed Hyperlink" xfId="2746" builtinId="9" hidden="1"/>
    <cellStyle name="Followed Hyperlink" xfId="2748" builtinId="9" hidden="1"/>
    <cellStyle name="Followed Hyperlink" xfId="2750" builtinId="9" hidden="1"/>
    <cellStyle name="Followed Hyperlink" xfId="2752" builtinId="9" hidden="1"/>
    <cellStyle name="Followed Hyperlink" xfId="2754" builtinId="9" hidden="1"/>
    <cellStyle name="Followed Hyperlink" xfId="2756" builtinId="9" hidden="1"/>
    <cellStyle name="Followed Hyperlink" xfId="2758" builtinId="9" hidden="1"/>
    <cellStyle name="Followed Hyperlink" xfId="2760" builtinId="9" hidden="1"/>
    <cellStyle name="Followed Hyperlink" xfId="2762" builtinId="9" hidden="1"/>
    <cellStyle name="Followed Hyperlink" xfId="2764" builtinId="9" hidden="1"/>
    <cellStyle name="Followed Hyperlink" xfId="2766" builtinId="9" hidden="1"/>
    <cellStyle name="Followed Hyperlink" xfId="2768" builtinId="9" hidden="1"/>
    <cellStyle name="Followed Hyperlink" xfId="2770" builtinId="9" hidden="1"/>
    <cellStyle name="Followed Hyperlink" xfId="2772" builtinId="9" hidden="1"/>
    <cellStyle name="Followed Hyperlink" xfId="2774" builtinId="9" hidden="1"/>
    <cellStyle name="Followed Hyperlink" xfId="2776" builtinId="9" hidden="1"/>
    <cellStyle name="Followed Hyperlink" xfId="2778" builtinId="9" hidden="1"/>
    <cellStyle name="Followed Hyperlink" xfId="2780" builtinId="9" hidden="1"/>
    <cellStyle name="Followed Hyperlink" xfId="2782" builtinId="9" hidden="1"/>
    <cellStyle name="Followed Hyperlink" xfId="2784" builtinId="9" hidden="1"/>
    <cellStyle name="Followed Hyperlink" xfId="2786" builtinId="9" hidden="1"/>
    <cellStyle name="Followed Hyperlink" xfId="2788" builtinId="9" hidden="1"/>
    <cellStyle name="Followed Hyperlink" xfId="2790" builtinId="9" hidden="1"/>
    <cellStyle name="Followed Hyperlink" xfId="2792" builtinId="9" hidden="1"/>
    <cellStyle name="Followed Hyperlink" xfId="2794" builtinId="9" hidden="1"/>
    <cellStyle name="Followed Hyperlink" xfId="2796" builtinId="9" hidden="1"/>
    <cellStyle name="Followed Hyperlink" xfId="2798" builtinId="9" hidden="1"/>
    <cellStyle name="Followed Hyperlink" xfId="2800" builtinId="9" hidden="1"/>
    <cellStyle name="Followed Hyperlink" xfId="2802" builtinId="9" hidden="1"/>
    <cellStyle name="Followed Hyperlink" xfId="2804" builtinId="9" hidden="1"/>
    <cellStyle name="Followed Hyperlink" xfId="2806" builtinId="9" hidden="1"/>
    <cellStyle name="Followed Hyperlink" xfId="2808" builtinId="9" hidden="1"/>
    <cellStyle name="Followed Hyperlink" xfId="2810" builtinId="9" hidden="1"/>
    <cellStyle name="Followed Hyperlink" xfId="2812" builtinId="9" hidden="1"/>
    <cellStyle name="Followed Hyperlink" xfId="2814" builtinId="9" hidden="1"/>
    <cellStyle name="Followed Hyperlink" xfId="2816" builtinId="9" hidden="1"/>
    <cellStyle name="Followed Hyperlink" xfId="2818" builtinId="9" hidden="1"/>
    <cellStyle name="Followed Hyperlink" xfId="2820" builtinId="9" hidden="1"/>
    <cellStyle name="Followed Hyperlink" xfId="2822" builtinId="9" hidden="1"/>
    <cellStyle name="Followed Hyperlink" xfId="2824" builtinId="9" hidden="1"/>
    <cellStyle name="Followed Hyperlink" xfId="2826" builtinId="9" hidden="1"/>
    <cellStyle name="Followed Hyperlink" xfId="2828" builtinId="9" hidden="1"/>
    <cellStyle name="Followed Hyperlink" xfId="2830" builtinId="9" hidden="1"/>
    <cellStyle name="Followed Hyperlink" xfId="2832" builtinId="9" hidden="1"/>
    <cellStyle name="Followed Hyperlink" xfId="2834" builtinId="9" hidden="1"/>
    <cellStyle name="Followed Hyperlink" xfId="2836" builtinId="9" hidden="1"/>
    <cellStyle name="Followed Hyperlink" xfId="2838" builtinId="9" hidden="1"/>
    <cellStyle name="Followed Hyperlink" xfId="2840" builtinId="9" hidden="1"/>
    <cellStyle name="Followed Hyperlink" xfId="2842" builtinId="9" hidden="1"/>
    <cellStyle name="Followed Hyperlink" xfId="2844" builtinId="9" hidden="1"/>
    <cellStyle name="Followed Hyperlink" xfId="2846" builtinId="9" hidden="1"/>
    <cellStyle name="Followed Hyperlink" xfId="2848" builtinId="9" hidden="1"/>
    <cellStyle name="Followed Hyperlink" xfId="2850" builtinId="9" hidden="1"/>
    <cellStyle name="Followed Hyperlink" xfId="2852" builtinId="9" hidden="1"/>
    <cellStyle name="Followed Hyperlink" xfId="2854" builtinId="9" hidden="1"/>
    <cellStyle name="Followed Hyperlink" xfId="2856" builtinId="9" hidden="1"/>
    <cellStyle name="Followed Hyperlink" xfId="2858" builtinId="9" hidden="1"/>
    <cellStyle name="Followed Hyperlink" xfId="2860" builtinId="9" hidden="1"/>
    <cellStyle name="Followed Hyperlink" xfId="2862" builtinId="9" hidden="1"/>
    <cellStyle name="Followed Hyperlink" xfId="2864" builtinId="9" hidden="1"/>
    <cellStyle name="Followed Hyperlink" xfId="2866" builtinId="9" hidden="1"/>
    <cellStyle name="Followed Hyperlink" xfId="2868" builtinId="9" hidden="1"/>
    <cellStyle name="Followed Hyperlink" xfId="2870" builtinId="9" hidden="1"/>
    <cellStyle name="Followed Hyperlink" xfId="2872" builtinId="9" hidden="1"/>
    <cellStyle name="Followed Hyperlink" xfId="2874" builtinId="9" hidden="1"/>
    <cellStyle name="Followed Hyperlink" xfId="2876" builtinId="9" hidden="1"/>
    <cellStyle name="Followed Hyperlink" xfId="2878" builtinId="9" hidden="1"/>
    <cellStyle name="Followed Hyperlink" xfId="2880" builtinId="9" hidden="1"/>
    <cellStyle name="Followed Hyperlink" xfId="2882" builtinId="9" hidden="1"/>
    <cellStyle name="Followed Hyperlink" xfId="2884" builtinId="9" hidden="1"/>
    <cellStyle name="Followed Hyperlink" xfId="2886" builtinId="9" hidden="1"/>
    <cellStyle name="Followed Hyperlink" xfId="2888" builtinId="9" hidden="1"/>
    <cellStyle name="Followed Hyperlink" xfId="2890" builtinId="9" hidden="1"/>
    <cellStyle name="Followed Hyperlink" xfId="2892" builtinId="9" hidden="1"/>
    <cellStyle name="Followed Hyperlink" xfId="2894" builtinId="9" hidden="1"/>
    <cellStyle name="Followed Hyperlink" xfId="2896" builtinId="9" hidden="1"/>
    <cellStyle name="Followed Hyperlink" xfId="2898" builtinId="9" hidden="1"/>
    <cellStyle name="Followed Hyperlink" xfId="2900" builtinId="9" hidden="1"/>
    <cellStyle name="Followed Hyperlink" xfId="2902" builtinId="9" hidden="1"/>
    <cellStyle name="Followed Hyperlink" xfId="2904" builtinId="9" hidden="1"/>
    <cellStyle name="Followed Hyperlink" xfId="2906" builtinId="9" hidden="1"/>
    <cellStyle name="Followed Hyperlink" xfId="2908" builtinId="9" hidden="1"/>
    <cellStyle name="Followed Hyperlink" xfId="2910" builtinId="9" hidden="1"/>
    <cellStyle name="Followed Hyperlink" xfId="2912" builtinId="9" hidden="1"/>
    <cellStyle name="Followed Hyperlink" xfId="2914" builtinId="9" hidden="1"/>
    <cellStyle name="Followed Hyperlink" xfId="2916" builtinId="9" hidden="1"/>
    <cellStyle name="Followed Hyperlink" xfId="2918" builtinId="9" hidden="1"/>
    <cellStyle name="Followed Hyperlink" xfId="2920" builtinId="9" hidden="1"/>
    <cellStyle name="Followed Hyperlink" xfId="2922" builtinId="9" hidden="1"/>
    <cellStyle name="Followed Hyperlink" xfId="2924" builtinId="9" hidden="1"/>
    <cellStyle name="Followed Hyperlink" xfId="2926" builtinId="9" hidden="1"/>
    <cellStyle name="Followed Hyperlink" xfId="2928" builtinId="9" hidden="1"/>
    <cellStyle name="Followed Hyperlink" xfId="2930" builtinId="9" hidden="1"/>
    <cellStyle name="Followed Hyperlink" xfId="2932" builtinId="9" hidden="1"/>
    <cellStyle name="Followed Hyperlink" xfId="2934" builtinId="9" hidden="1"/>
    <cellStyle name="Followed Hyperlink" xfId="2936" builtinId="9" hidden="1"/>
    <cellStyle name="Followed Hyperlink" xfId="2938" builtinId="9" hidden="1"/>
    <cellStyle name="Followed Hyperlink" xfId="2940" builtinId="9" hidden="1"/>
    <cellStyle name="Followed Hyperlink" xfId="2942" builtinId="9" hidden="1"/>
    <cellStyle name="Followed Hyperlink" xfId="2944" builtinId="9" hidden="1"/>
    <cellStyle name="Followed Hyperlink" xfId="2946" builtinId="9" hidden="1"/>
    <cellStyle name="Followed Hyperlink" xfId="2948" builtinId="9" hidden="1"/>
    <cellStyle name="Followed Hyperlink" xfId="2950" builtinId="9" hidden="1"/>
    <cellStyle name="Followed Hyperlink" xfId="2952" builtinId="9" hidden="1"/>
    <cellStyle name="Followed Hyperlink" xfId="2954" builtinId="9" hidden="1"/>
    <cellStyle name="Followed Hyperlink" xfId="2956" builtinId="9" hidden="1"/>
    <cellStyle name="Followed Hyperlink" xfId="2958" builtinId="9" hidden="1"/>
    <cellStyle name="Followed Hyperlink" xfId="2960" builtinId="9" hidden="1"/>
    <cellStyle name="Followed Hyperlink" xfId="2962" builtinId="9" hidden="1"/>
    <cellStyle name="Followed Hyperlink" xfId="2964" builtinId="9" hidden="1"/>
    <cellStyle name="Followed Hyperlink" xfId="2966" builtinId="9" hidden="1"/>
    <cellStyle name="Followed Hyperlink" xfId="2968" builtinId="9" hidden="1"/>
    <cellStyle name="Followed Hyperlink" xfId="2970" builtinId="9" hidden="1"/>
    <cellStyle name="Followed Hyperlink" xfId="2972" builtinId="9" hidden="1"/>
    <cellStyle name="Followed Hyperlink" xfId="2974" builtinId="9" hidden="1"/>
    <cellStyle name="Followed Hyperlink" xfId="2976" builtinId="9" hidden="1"/>
    <cellStyle name="Followed Hyperlink" xfId="2978" builtinId="9" hidden="1"/>
    <cellStyle name="Followed Hyperlink" xfId="2980" builtinId="9" hidden="1"/>
    <cellStyle name="Followed Hyperlink" xfId="2982" builtinId="9" hidden="1"/>
    <cellStyle name="Followed Hyperlink" xfId="2984" builtinId="9" hidden="1"/>
    <cellStyle name="Followed Hyperlink" xfId="2986" builtinId="9" hidden="1"/>
    <cellStyle name="Followed Hyperlink" xfId="2988" builtinId="9" hidden="1"/>
    <cellStyle name="Followed Hyperlink" xfId="2990" builtinId="9" hidden="1"/>
    <cellStyle name="Followed Hyperlink" xfId="2992" builtinId="9" hidden="1"/>
    <cellStyle name="Followed Hyperlink" xfId="2994" builtinId="9" hidden="1"/>
    <cellStyle name="Followed Hyperlink" xfId="2996" builtinId="9" hidden="1"/>
    <cellStyle name="Followed Hyperlink" xfId="2998" builtinId="9" hidden="1"/>
    <cellStyle name="Followed Hyperlink" xfId="3000" builtinId="9" hidden="1"/>
    <cellStyle name="Followed Hyperlink" xfId="3002" builtinId="9" hidden="1"/>
    <cellStyle name="Followed Hyperlink" xfId="3004" builtinId="9" hidden="1"/>
    <cellStyle name="Followed Hyperlink" xfId="3006" builtinId="9" hidden="1"/>
    <cellStyle name="Followed Hyperlink" xfId="3008" builtinId="9" hidden="1"/>
    <cellStyle name="Followed Hyperlink" xfId="3010" builtinId="9" hidden="1"/>
    <cellStyle name="Followed Hyperlink" xfId="3012" builtinId="9" hidden="1"/>
    <cellStyle name="Followed Hyperlink" xfId="3014" builtinId="9" hidden="1"/>
    <cellStyle name="Followed Hyperlink" xfId="3016" builtinId="9" hidden="1"/>
    <cellStyle name="Followed Hyperlink" xfId="3018" builtinId="9" hidden="1"/>
    <cellStyle name="Followed Hyperlink" xfId="3020" builtinId="9" hidden="1"/>
    <cellStyle name="Followed Hyperlink" xfId="3022" builtinId="9" hidden="1"/>
    <cellStyle name="Followed Hyperlink" xfId="3024" builtinId="9" hidden="1"/>
    <cellStyle name="Followed Hyperlink" xfId="3026" builtinId="9" hidden="1"/>
    <cellStyle name="Followed Hyperlink" xfId="3028" builtinId="9" hidden="1"/>
    <cellStyle name="Followed Hyperlink" xfId="3030" builtinId="9" hidden="1"/>
    <cellStyle name="Followed Hyperlink" xfId="3032" builtinId="9" hidden="1"/>
    <cellStyle name="Followed Hyperlink" xfId="3034" builtinId="9" hidden="1"/>
    <cellStyle name="Followed Hyperlink" xfId="3036" builtinId="9" hidden="1"/>
    <cellStyle name="Followed Hyperlink" xfId="3038" builtinId="9" hidden="1"/>
    <cellStyle name="Followed Hyperlink" xfId="3040" builtinId="9" hidden="1"/>
    <cellStyle name="Followed Hyperlink" xfId="3042" builtinId="9" hidden="1"/>
    <cellStyle name="Followed Hyperlink" xfId="3044" builtinId="9" hidden="1"/>
    <cellStyle name="Followed Hyperlink" xfId="3046" builtinId="9" hidden="1"/>
    <cellStyle name="Followed Hyperlink" xfId="3048" builtinId="9" hidden="1"/>
    <cellStyle name="Followed Hyperlink" xfId="3050" builtinId="9" hidden="1"/>
    <cellStyle name="Followed Hyperlink" xfId="3052" builtinId="9" hidden="1"/>
    <cellStyle name="Followed Hyperlink" xfId="3054" builtinId="9" hidden="1"/>
    <cellStyle name="Followed Hyperlink" xfId="3056" builtinId="9" hidden="1"/>
    <cellStyle name="Followed Hyperlink" xfId="3058" builtinId="9" hidden="1"/>
    <cellStyle name="Followed Hyperlink" xfId="3060" builtinId="9" hidden="1"/>
    <cellStyle name="Followed Hyperlink" xfId="3062" builtinId="9" hidden="1"/>
    <cellStyle name="Followed Hyperlink" xfId="3064" builtinId="9" hidden="1"/>
    <cellStyle name="Followed Hyperlink" xfId="3066" builtinId="9" hidden="1"/>
    <cellStyle name="Followed Hyperlink" xfId="3068" builtinId="9" hidden="1"/>
    <cellStyle name="Followed Hyperlink" xfId="3070" builtinId="9" hidden="1"/>
    <cellStyle name="Followed Hyperlink" xfId="3072" builtinId="9" hidden="1"/>
    <cellStyle name="Followed Hyperlink" xfId="3074" builtinId="9" hidden="1"/>
    <cellStyle name="Followed Hyperlink" xfId="3076" builtinId="9" hidden="1"/>
    <cellStyle name="Followed Hyperlink" xfId="3078" builtinId="9" hidden="1"/>
    <cellStyle name="Followed Hyperlink" xfId="3080" builtinId="9" hidden="1"/>
    <cellStyle name="Followed Hyperlink" xfId="3082" builtinId="9" hidden="1"/>
    <cellStyle name="Followed Hyperlink" xfId="3084" builtinId="9" hidden="1"/>
    <cellStyle name="Followed Hyperlink" xfId="3086" builtinId="9" hidden="1"/>
    <cellStyle name="Followed Hyperlink" xfId="3088" builtinId="9" hidden="1"/>
    <cellStyle name="Followed Hyperlink" xfId="3090" builtinId="9" hidden="1"/>
    <cellStyle name="Followed Hyperlink" xfId="3092" builtinId="9" hidden="1"/>
    <cellStyle name="Followed Hyperlink" xfId="3094" builtinId="9" hidden="1"/>
    <cellStyle name="Followed Hyperlink" xfId="3096" builtinId="9" hidden="1"/>
    <cellStyle name="Followed Hyperlink" xfId="3098" builtinId="9" hidden="1"/>
    <cellStyle name="Followed Hyperlink" xfId="3100" builtinId="9" hidden="1"/>
    <cellStyle name="Followed Hyperlink" xfId="3102" builtinId="9" hidden="1"/>
    <cellStyle name="Followed Hyperlink" xfId="3104" builtinId="9" hidden="1"/>
    <cellStyle name="Followed Hyperlink" xfId="3106" builtinId="9" hidden="1"/>
    <cellStyle name="Followed Hyperlink" xfId="3108" builtinId="9" hidden="1"/>
    <cellStyle name="Followed Hyperlink" xfId="3110" builtinId="9" hidden="1"/>
    <cellStyle name="Followed Hyperlink" xfId="3112" builtinId="9" hidden="1"/>
    <cellStyle name="Followed Hyperlink" xfId="3114" builtinId="9" hidden="1"/>
    <cellStyle name="Followed Hyperlink" xfId="3116" builtinId="9" hidden="1"/>
    <cellStyle name="Followed Hyperlink" xfId="3118" builtinId="9" hidden="1"/>
    <cellStyle name="Followed Hyperlink" xfId="3120" builtinId="9" hidden="1"/>
    <cellStyle name="Followed Hyperlink" xfId="3122" builtinId="9" hidden="1"/>
    <cellStyle name="Followed Hyperlink" xfId="3124" builtinId="9" hidden="1"/>
    <cellStyle name="Followed Hyperlink" xfId="3126" builtinId="9" hidden="1"/>
    <cellStyle name="Followed Hyperlink" xfId="3128" builtinId="9" hidden="1"/>
    <cellStyle name="Followed Hyperlink" xfId="3130" builtinId="9" hidden="1"/>
    <cellStyle name="Followed Hyperlink" xfId="3132" builtinId="9" hidden="1"/>
    <cellStyle name="Followed Hyperlink" xfId="3134" builtinId="9" hidden="1"/>
    <cellStyle name="Followed Hyperlink" xfId="3136" builtinId="9" hidden="1"/>
    <cellStyle name="Followed Hyperlink" xfId="3138" builtinId="9" hidden="1"/>
    <cellStyle name="Followed Hyperlink" xfId="3140" builtinId="9" hidden="1"/>
    <cellStyle name="Followed Hyperlink" xfId="3142" builtinId="9" hidden="1"/>
    <cellStyle name="Followed Hyperlink" xfId="3144" builtinId="9" hidden="1"/>
    <cellStyle name="Followed Hyperlink" xfId="3146" builtinId="9" hidden="1"/>
    <cellStyle name="Followed Hyperlink" xfId="3148" builtinId="9" hidden="1"/>
    <cellStyle name="Followed Hyperlink" xfId="3150" builtinId="9" hidden="1"/>
    <cellStyle name="Followed Hyperlink" xfId="3152" builtinId="9" hidden="1"/>
    <cellStyle name="Followed Hyperlink" xfId="3154" builtinId="9" hidden="1"/>
    <cellStyle name="Followed Hyperlink" xfId="3156" builtinId="9" hidden="1"/>
    <cellStyle name="Followed Hyperlink" xfId="3158" builtinId="9" hidden="1"/>
    <cellStyle name="Followed Hyperlink" xfId="3160" builtinId="9" hidden="1"/>
    <cellStyle name="Followed Hyperlink" xfId="3162" builtinId="9" hidden="1"/>
    <cellStyle name="Followed Hyperlink" xfId="3164" builtinId="9" hidden="1"/>
    <cellStyle name="Followed Hyperlink" xfId="3166" builtinId="9" hidden="1"/>
    <cellStyle name="Followed Hyperlink" xfId="3168" builtinId="9" hidden="1"/>
    <cellStyle name="Followed Hyperlink" xfId="3170" builtinId="9" hidden="1"/>
    <cellStyle name="Followed Hyperlink" xfId="3172" builtinId="9" hidden="1"/>
    <cellStyle name="Followed Hyperlink" xfId="3174" builtinId="9" hidden="1"/>
    <cellStyle name="Followed Hyperlink" xfId="3176" builtinId="9" hidden="1"/>
    <cellStyle name="Followed Hyperlink" xfId="3178" builtinId="9" hidden="1"/>
    <cellStyle name="Followed Hyperlink" xfId="3180" builtinId="9" hidden="1"/>
    <cellStyle name="Followed Hyperlink" xfId="3182" builtinId="9" hidden="1"/>
    <cellStyle name="Followed Hyperlink" xfId="3184" builtinId="9" hidden="1"/>
    <cellStyle name="Followed Hyperlink" xfId="3186" builtinId="9" hidden="1"/>
    <cellStyle name="Followed Hyperlink" xfId="3188" builtinId="9" hidden="1"/>
    <cellStyle name="Followed Hyperlink" xfId="3190" builtinId="9" hidden="1"/>
    <cellStyle name="Followed Hyperlink" xfId="3192" builtinId="9" hidden="1"/>
    <cellStyle name="Followed Hyperlink" xfId="3194" builtinId="9" hidden="1"/>
    <cellStyle name="Followed Hyperlink" xfId="3196" builtinId="9" hidden="1"/>
    <cellStyle name="Followed Hyperlink" xfId="3198" builtinId="9" hidden="1"/>
    <cellStyle name="Followed Hyperlink" xfId="3200" builtinId="9" hidden="1"/>
    <cellStyle name="Followed Hyperlink" xfId="3202" builtinId="9" hidden="1"/>
    <cellStyle name="Followed Hyperlink" xfId="3204" builtinId="9" hidden="1"/>
    <cellStyle name="Followed Hyperlink" xfId="3206" builtinId="9" hidden="1"/>
    <cellStyle name="Followed Hyperlink" xfId="3208" builtinId="9" hidden="1"/>
    <cellStyle name="Followed Hyperlink" xfId="3210" builtinId="9" hidden="1"/>
    <cellStyle name="Followed Hyperlink" xfId="3212" builtinId="9" hidden="1"/>
    <cellStyle name="Followed Hyperlink" xfId="3214" builtinId="9" hidden="1"/>
    <cellStyle name="Followed Hyperlink" xfId="3216" builtinId="9" hidden="1"/>
    <cellStyle name="Followed Hyperlink" xfId="3218" builtinId="9" hidden="1"/>
    <cellStyle name="Followed Hyperlink" xfId="3220" builtinId="9" hidden="1"/>
    <cellStyle name="Followed Hyperlink" xfId="3222" builtinId="9" hidden="1"/>
    <cellStyle name="Followed Hyperlink" xfId="3224" builtinId="9" hidden="1"/>
    <cellStyle name="Followed Hyperlink" xfId="3226" builtinId="9" hidden="1"/>
    <cellStyle name="Followed Hyperlink" xfId="3228" builtinId="9" hidden="1"/>
    <cellStyle name="Followed Hyperlink" xfId="3230" builtinId="9" hidden="1"/>
    <cellStyle name="Followed Hyperlink" xfId="3232" builtinId="9" hidden="1"/>
    <cellStyle name="Followed Hyperlink" xfId="3234" builtinId="9" hidden="1"/>
    <cellStyle name="Followed Hyperlink" xfId="3236" builtinId="9" hidden="1"/>
    <cellStyle name="Followed Hyperlink" xfId="3238" builtinId="9" hidden="1"/>
    <cellStyle name="Followed Hyperlink" xfId="3240" builtinId="9" hidden="1"/>
    <cellStyle name="Followed Hyperlink" xfId="3242" builtinId="9" hidden="1"/>
    <cellStyle name="Followed Hyperlink" xfId="3244" builtinId="9" hidden="1"/>
    <cellStyle name="Followed Hyperlink" xfId="3246" builtinId="9" hidden="1"/>
    <cellStyle name="Followed Hyperlink" xfId="3248" builtinId="9" hidden="1"/>
    <cellStyle name="Followed Hyperlink" xfId="3250" builtinId="9" hidden="1"/>
    <cellStyle name="Followed Hyperlink" xfId="3252" builtinId="9" hidden="1"/>
    <cellStyle name="Followed Hyperlink" xfId="3254" builtinId="9" hidden="1"/>
    <cellStyle name="Followed Hyperlink" xfId="3256" builtinId="9" hidden="1"/>
    <cellStyle name="Followed Hyperlink" xfId="3258" builtinId="9" hidden="1"/>
    <cellStyle name="Followed Hyperlink" xfId="3260" builtinId="9" hidden="1"/>
    <cellStyle name="Followed Hyperlink" xfId="3262" builtinId="9" hidden="1"/>
    <cellStyle name="Followed Hyperlink" xfId="3264" builtinId="9" hidden="1"/>
    <cellStyle name="Followed Hyperlink" xfId="3266" builtinId="9" hidden="1"/>
    <cellStyle name="Followed Hyperlink" xfId="3268" builtinId="9" hidden="1"/>
    <cellStyle name="Followed Hyperlink" xfId="3270" builtinId="9" hidden="1"/>
    <cellStyle name="Followed Hyperlink" xfId="3272" builtinId="9" hidden="1"/>
    <cellStyle name="Followed Hyperlink" xfId="3274" builtinId="9" hidden="1"/>
    <cellStyle name="Followed Hyperlink" xfId="3276" builtinId="9" hidden="1"/>
    <cellStyle name="Followed Hyperlink" xfId="3278" builtinId="9" hidden="1"/>
    <cellStyle name="Followed Hyperlink" xfId="3280" builtinId="9" hidden="1"/>
    <cellStyle name="Followed Hyperlink" xfId="3282" builtinId="9" hidden="1"/>
    <cellStyle name="Followed Hyperlink" xfId="3284" builtinId="9" hidden="1"/>
    <cellStyle name="Followed Hyperlink" xfId="3286" builtinId="9" hidden="1"/>
    <cellStyle name="Followed Hyperlink" xfId="3288" builtinId="9" hidden="1"/>
    <cellStyle name="Followed Hyperlink" xfId="3290" builtinId="9" hidden="1"/>
    <cellStyle name="Followed Hyperlink" xfId="3292" builtinId="9" hidden="1"/>
    <cellStyle name="Followed Hyperlink" xfId="3294" builtinId="9" hidden="1"/>
    <cellStyle name="Followed Hyperlink" xfId="3296" builtinId="9" hidden="1"/>
    <cellStyle name="Followed Hyperlink" xfId="3298" builtinId="9" hidden="1"/>
    <cellStyle name="Followed Hyperlink" xfId="3300" builtinId="9" hidden="1"/>
    <cellStyle name="Followed Hyperlink" xfId="3302" builtinId="9" hidden="1"/>
    <cellStyle name="Followed Hyperlink" xfId="3304" builtinId="9" hidden="1"/>
    <cellStyle name="Followed Hyperlink" xfId="3306" builtinId="9" hidden="1"/>
    <cellStyle name="Followed Hyperlink" xfId="3308" builtinId="9" hidden="1"/>
    <cellStyle name="Followed Hyperlink" xfId="3310" builtinId="9" hidden="1"/>
    <cellStyle name="Followed Hyperlink" xfId="3312" builtinId="9" hidden="1"/>
    <cellStyle name="Followed Hyperlink" xfId="3314" builtinId="9" hidden="1"/>
    <cellStyle name="Followed Hyperlink" xfId="3316" builtinId="9" hidden="1"/>
    <cellStyle name="Followed Hyperlink" xfId="3318" builtinId="9" hidden="1"/>
    <cellStyle name="Followed Hyperlink" xfId="3320" builtinId="9" hidden="1"/>
    <cellStyle name="Followed Hyperlink" xfId="3322" builtinId="9" hidden="1"/>
    <cellStyle name="Followed Hyperlink" xfId="3324" builtinId="9" hidden="1"/>
    <cellStyle name="Followed Hyperlink" xfId="3326" builtinId="9" hidden="1"/>
    <cellStyle name="Followed Hyperlink" xfId="3328" builtinId="9" hidden="1"/>
    <cellStyle name="Followed Hyperlink" xfId="3330" builtinId="9" hidden="1"/>
    <cellStyle name="Followed Hyperlink" xfId="3332" builtinId="9" hidden="1"/>
    <cellStyle name="Followed Hyperlink" xfId="3334" builtinId="9" hidden="1"/>
    <cellStyle name="Followed Hyperlink" xfId="3336" builtinId="9" hidden="1"/>
    <cellStyle name="Followed Hyperlink" xfId="3338" builtinId="9" hidden="1"/>
    <cellStyle name="Followed Hyperlink" xfId="3340" builtinId="9" hidden="1"/>
    <cellStyle name="Followed Hyperlink" xfId="3342" builtinId="9" hidden="1"/>
    <cellStyle name="Followed Hyperlink" xfId="3344" builtinId="9" hidden="1"/>
    <cellStyle name="Followed Hyperlink" xfId="3346" builtinId="9" hidden="1"/>
    <cellStyle name="Followed Hyperlink" xfId="3348" builtinId="9" hidden="1"/>
    <cellStyle name="Followed Hyperlink" xfId="3350" builtinId="9" hidden="1"/>
    <cellStyle name="Followed Hyperlink" xfId="3352" builtinId="9" hidden="1"/>
    <cellStyle name="Followed Hyperlink" xfId="3354" builtinId="9" hidden="1"/>
    <cellStyle name="Followed Hyperlink" xfId="3356" builtinId="9" hidden="1"/>
    <cellStyle name="Followed Hyperlink" xfId="3358" builtinId="9" hidden="1"/>
    <cellStyle name="Followed Hyperlink" xfId="3360" builtinId="9" hidden="1"/>
    <cellStyle name="Followed Hyperlink" xfId="3362" builtinId="9" hidden="1"/>
    <cellStyle name="Followed Hyperlink" xfId="3364" builtinId="9" hidden="1"/>
    <cellStyle name="Followed Hyperlink" xfId="3366" builtinId="9" hidden="1"/>
    <cellStyle name="Followed Hyperlink" xfId="3368" builtinId="9" hidden="1"/>
    <cellStyle name="Followed Hyperlink" xfId="3370" builtinId="9" hidden="1"/>
    <cellStyle name="Followed Hyperlink" xfId="3372" builtinId="9" hidden="1"/>
    <cellStyle name="Followed Hyperlink" xfId="3374" builtinId="9" hidden="1"/>
    <cellStyle name="Followed Hyperlink" xfId="3376" builtinId="9" hidden="1"/>
    <cellStyle name="Followed Hyperlink" xfId="3378" builtinId="9" hidden="1"/>
    <cellStyle name="Followed Hyperlink" xfId="3380" builtinId="9" hidden="1"/>
    <cellStyle name="Followed Hyperlink" xfId="3382" builtinId="9" hidden="1"/>
    <cellStyle name="Followed Hyperlink" xfId="3384" builtinId="9" hidden="1"/>
    <cellStyle name="Followed Hyperlink" xfId="3386" builtinId="9" hidden="1"/>
    <cellStyle name="Followed Hyperlink" xfId="3388" builtinId="9" hidden="1"/>
    <cellStyle name="Followed Hyperlink" xfId="3390" builtinId="9" hidden="1"/>
    <cellStyle name="Followed Hyperlink" xfId="3392" builtinId="9" hidden="1"/>
    <cellStyle name="Followed Hyperlink" xfId="3394" builtinId="9" hidden="1"/>
    <cellStyle name="Followed Hyperlink" xfId="3396" builtinId="9" hidden="1"/>
    <cellStyle name="Followed Hyperlink" xfId="3398" builtinId="9" hidden="1"/>
    <cellStyle name="Followed Hyperlink" xfId="3400" builtinId="9" hidden="1"/>
    <cellStyle name="Followed Hyperlink" xfId="3402" builtinId="9" hidden="1"/>
    <cellStyle name="Followed Hyperlink" xfId="3404" builtinId="9" hidden="1"/>
    <cellStyle name="Followed Hyperlink" xfId="3406" builtinId="9" hidden="1"/>
    <cellStyle name="Followed Hyperlink" xfId="3408" builtinId="9" hidden="1"/>
    <cellStyle name="Followed Hyperlink" xfId="3410" builtinId="9" hidden="1"/>
    <cellStyle name="Followed Hyperlink" xfId="3412" builtinId="9" hidden="1"/>
    <cellStyle name="Followed Hyperlink" xfId="3414" builtinId="9" hidden="1"/>
    <cellStyle name="Followed Hyperlink" xfId="3416" builtinId="9" hidden="1"/>
    <cellStyle name="Followed Hyperlink" xfId="3418" builtinId="9" hidden="1"/>
    <cellStyle name="Followed Hyperlink" xfId="3420" builtinId="9" hidden="1"/>
    <cellStyle name="Followed Hyperlink" xfId="3422" builtinId="9" hidden="1"/>
    <cellStyle name="Followed Hyperlink" xfId="3424" builtinId="9" hidden="1"/>
    <cellStyle name="Followed Hyperlink" xfId="3426" builtinId="9" hidden="1"/>
    <cellStyle name="Followed Hyperlink" xfId="3428" builtinId="9" hidden="1"/>
    <cellStyle name="Followed Hyperlink" xfId="3430" builtinId="9" hidden="1"/>
    <cellStyle name="Followed Hyperlink" xfId="3432" builtinId="9" hidden="1"/>
    <cellStyle name="Followed Hyperlink" xfId="3434" builtinId="9" hidden="1"/>
    <cellStyle name="Followed Hyperlink" xfId="3436" builtinId="9" hidden="1"/>
    <cellStyle name="Followed Hyperlink" xfId="3438" builtinId="9" hidden="1"/>
    <cellStyle name="Followed Hyperlink" xfId="3440" builtinId="9" hidden="1"/>
    <cellStyle name="Followed Hyperlink" xfId="3442" builtinId="9" hidden="1"/>
    <cellStyle name="Followed Hyperlink" xfId="3444" builtinId="9" hidden="1"/>
    <cellStyle name="Followed Hyperlink" xfId="3446" builtinId="9" hidden="1"/>
    <cellStyle name="Followed Hyperlink" xfId="3448" builtinId="9" hidden="1"/>
    <cellStyle name="Followed Hyperlink" xfId="3450" builtinId="9" hidden="1"/>
    <cellStyle name="Followed Hyperlink" xfId="3452" builtinId="9" hidden="1"/>
    <cellStyle name="Followed Hyperlink" xfId="3454" builtinId="9" hidden="1"/>
    <cellStyle name="Followed Hyperlink" xfId="3456" builtinId="9" hidden="1"/>
    <cellStyle name="Followed Hyperlink" xfId="3458" builtinId="9" hidden="1"/>
    <cellStyle name="Followed Hyperlink" xfId="3460" builtinId="9" hidden="1"/>
    <cellStyle name="Followed Hyperlink" xfId="3462" builtinId="9" hidden="1"/>
    <cellStyle name="Followed Hyperlink" xfId="3464" builtinId="9" hidden="1"/>
    <cellStyle name="Followed Hyperlink" xfId="3466" builtinId="9" hidden="1"/>
    <cellStyle name="Followed Hyperlink" xfId="3468" builtinId="9" hidden="1"/>
    <cellStyle name="Followed Hyperlink" xfId="3470" builtinId="9" hidden="1"/>
    <cellStyle name="Followed Hyperlink" xfId="3472" builtinId="9" hidden="1"/>
    <cellStyle name="Followed Hyperlink" xfId="3474" builtinId="9" hidden="1"/>
    <cellStyle name="Followed Hyperlink" xfId="3476" builtinId="9" hidden="1"/>
    <cellStyle name="Followed Hyperlink" xfId="3478" builtinId="9" hidden="1"/>
    <cellStyle name="Followed Hyperlink" xfId="3480" builtinId="9" hidden="1"/>
    <cellStyle name="Followed Hyperlink" xfId="3482" builtinId="9" hidden="1"/>
    <cellStyle name="Followed Hyperlink" xfId="3484" builtinId="9" hidden="1"/>
    <cellStyle name="Followed Hyperlink" xfId="3486" builtinId="9" hidden="1"/>
    <cellStyle name="Followed Hyperlink" xfId="3488" builtinId="9" hidden="1"/>
    <cellStyle name="Followed Hyperlink" xfId="3490" builtinId="9" hidden="1"/>
    <cellStyle name="Followed Hyperlink" xfId="3492" builtinId="9" hidden="1"/>
    <cellStyle name="Followed Hyperlink" xfId="3494" builtinId="9" hidden="1"/>
    <cellStyle name="Followed Hyperlink" xfId="3496" builtinId="9" hidden="1"/>
    <cellStyle name="Followed Hyperlink" xfId="3498" builtinId="9" hidden="1"/>
    <cellStyle name="Followed Hyperlink" xfId="3500" builtinId="9" hidden="1"/>
    <cellStyle name="Followed Hyperlink" xfId="3502" builtinId="9" hidden="1"/>
    <cellStyle name="Followed Hyperlink" xfId="3504" builtinId="9" hidden="1"/>
    <cellStyle name="Followed Hyperlink" xfId="3506" builtinId="9" hidden="1"/>
    <cellStyle name="Followed Hyperlink" xfId="3508" builtinId="9" hidden="1"/>
    <cellStyle name="Followed Hyperlink" xfId="3510" builtinId="9" hidden="1"/>
    <cellStyle name="Followed Hyperlink" xfId="3512" builtinId="9" hidden="1"/>
    <cellStyle name="Followed Hyperlink" xfId="3514" builtinId="9" hidden="1"/>
    <cellStyle name="Followed Hyperlink" xfId="3516" builtinId="9" hidden="1"/>
    <cellStyle name="Followed Hyperlink" xfId="3518" builtinId="9" hidden="1"/>
    <cellStyle name="Followed Hyperlink" xfId="3520" builtinId="9" hidden="1"/>
    <cellStyle name="Followed Hyperlink" xfId="3522" builtinId="9" hidden="1"/>
    <cellStyle name="Followed Hyperlink" xfId="3524" builtinId="9" hidden="1"/>
    <cellStyle name="Followed Hyperlink" xfId="3526" builtinId="9" hidden="1"/>
    <cellStyle name="Followed Hyperlink" xfId="3528" builtinId="9" hidden="1"/>
    <cellStyle name="Followed Hyperlink" xfId="3530" builtinId="9" hidden="1"/>
    <cellStyle name="Followed Hyperlink" xfId="3532" builtinId="9" hidden="1"/>
    <cellStyle name="Followed Hyperlink" xfId="3534" builtinId="9" hidden="1"/>
    <cellStyle name="Followed Hyperlink" xfId="3536" builtinId="9" hidden="1"/>
    <cellStyle name="Followed Hyperlink" xfId="3538" builtinId="9" hidden="1"/>
    <cellStyle name="Followed Hyperlink" xfId="3540" builtinId="9" hidden="1"/>
    <cellStyle name="Followed Hyperlink" xfId="3542" builtinId="9" hidden="1"/>
    <cellStyle name="Followed Hyperlink" xfId="3544" builtinId="9" hidden="1"/>
    <cellStyle name="Followed Hyperlink" xfId="3546" builtinId="9" hidden="1"/>
    <cellStyle name="Followed Hyperlink" xfId="3548" builtinId="9" hidden="1"/>
    <cellStyle name="Followed Hyperlink" xfId="3550" builtinId="9" hidden="1"/>
    <cellStyle name="Followed Hyperlink" xfId="3552" builtinId="9" hidden="1"/>
    <cellStyle name="Followed Hyperlink" xfId="3554" builtinId="9" hidden="1"/>
    <cellStyle name="Followed Hyperlink" xfId="3556" builtinId="9" hidden="1"/>
    <cellStyle name="Followed Hyperlink" xfId="3558" builtinId="9" hidden="1"/>
    <cellStyle name="Followed Hyperlink" xfId="3560" builtinId="9" hidden="1"/>
    <cellStyle name="Followed Hyperlink" xfId="3562" builtinId="9" hidden="1"/>
    <cellStyle name="Followed Hyperlink" xfId="3564" builtinId="9" hidden="1"/>
    <cellStyle name="Followed Hyperlink" xfId="3566" builtinId="9" hidden="1"/>
    <cellStyle name="Followed Hyperlink" xfId="3568" builtinId="9" hidden="1"/>
    <cellStyle name="Followed Hyperlink" xfId="3570" builtinId="9" hidden="1"/>
    <cellStyle name="Followed Hyperlink" xfId="3572" builtinId="9" hidden="1"/>
    <cellStyle name="Followed Hyperlink" xfId="3574" builtinId="9" hidden="1"/>
    <cellStyle name="Followed Hyperlink" xfId="3576" builtinId="9" hidden="1"/>
    <cellStyle name="Followed Hyperlink" xfId="3578" builtinId="9" hidden="1"/>
    <cellStyle name="Followed Hyperlink" xfId="3580" builtinId="9" hidden="1"/>
    <cellStyle name="Followed Hyperlink" xfId="3582" builtinId="9" hidden="1"/>
    <cellStyle name="Followed Hyperlink" xfId="3584" builtinId="9" hidden="1"/>
    <cellStyle name="Followed Hyperlink" xfId="3586" builtinId="9" hidden="1"/>
    <cellStyle name="Followed Hyperlink" xfId="3588" builtinId="9" hidden="1"/>
    <cellStyle name="Followed Hyperlink" xfId="3590" builtinId="9" hidden="1"/>
    <cellStyle name="Followed Hyperlink" xfId="3592" builtinId="9" hidden="1"/>
    <cellStyle name="Followed Hyperlink" xfId="3594" builtinId="9" hidden="1"/>
    <cellStyle name="Followed Hyperlink" xfId="3596" builtinId="9" hidden="1"/>
    <cellStyle name="Followed Hyperlink" xfId="3598" builtinId="9" hidden="1"/>
    <cellStyle name="Followed Hyperlink" xfId="3600" builtinId="9" hidden="1"/>
    <cellStyle name="Followed Hyperlink" xfId="3602" builtinId="9" hidden="1"/>
    <cellStyle name="Followed Hyperlink" xfId="3604" builtinId="9" hidden="1"/>
    <cellStyle name="Followed Hyperlink" xfId="3606" builtinId="9" hidden="1"/>
    <cellStyle name="Followed Hyperlink" xfId="3608" builtinId="9" hidden="1"/>
    <cellStyle name="Followed Hyperlink" xfId="3610" builtinId="9" hidden="1"/>
    <cellStyle name="Followed Hyperlink" xfId="3612" builtinId="9" hidden="1"/>
    <cellStyle name="Followed Hyperlink" xfId="3614" builtinId="9" hidden="1"/>
    <cellStyle name="Followed Hyperlink" xfId="3616" builtinId="9" hidden="1"/>
    <cellStyle name="Followed Hyperlink" xfId="3618" builtinId="9" hidden="1"/>
    <cellStyle name="Followed Hyperlink" xfId="3620" builtinId="9" hidden="1"/>
    <cellStyle name="Followed Hyperlink" xfId="3622" builtinId="9" hidden="1"/>
    <cellStyle name="Followed Hyperlink" xfId="3624" builtinId="9" hidden="1"/>
    <cellStyle name="Followed Hyperlink" xfId="3626" builtinId="9" hidden="1"/>
    <cellStyle name="Followed Hyperlink" xfId="3628" builtinId="9" hidden="1"/>
    <cellStyle name="Followed Hyperlink" xfId="3630" builtinId="9" hidden="1"/>
    <cellStyle name="Followed Hyperlink" xfId="3632" builtinId="9" hidden="1"/>
    <cellStyle name="Followed Hyperlink" xfId="3634" builtinId="9" hidden="1"/>
    <cellStyle name="Followed Hyperlink" xfId="3636" builtinId="9" hidden="1"/>
    <cellStyle name="Followed Hyperlink" xfId="3638" builtinId="9" hidden="1"/>
    <cellStyle name="Followed Hyperlink" xfId="3640" builtinId="9" hidden="1"/>
    <cellStyle name="Followed Hyperlink" xfId="3642" builtinId="9" hidden="1"/>
    <cellStyle name="Followed Hyperlink" xfId="3644" builtinId="9" hidden="1"/>
    <cellStyle name="Followed Hyperlink" xfId="3646" builtinId="9" hidden="1"/>
    <cellStyle name="Followed Hyperlink" xfId="3648" builtinId="9" hidden="1"/>
    <cellStyle name="Followed Hyperlink" xfId="3650" builtinId="9" hidden="1"/>
    <cellStyle name="Followed Hyperlink" xfId="3652" builtinId="9" hidden="1"/>
    <cellStyle name="Followed Hyperlink" xfId="3654" builtinId="9" hidden="1"/>
    <cellStyle name="Followed Hyperlink" xfId="3656" builtinId="9" hidden="1"/>
    <cellStyle name="Followed Hyperlink" xfId="3658" builtinId="9" hidden="1"/>
    <cellStyle name="Followed Hyperlink" xfId="3660" builtinId="9" hidden="1"/>
    <cellStyle name="Followed Hyperlink" xfId="3662" builtinId="9" hidden="1"/>
    <cellStyle name="Followed Hyperlink" xfId="3664" builtinId="9" hidden="1"/>
    <cellStyle name="Followed Hyperlink" xfId="3666" builtinId="9" hidden="1"/>
    <cellStyle name="Followed Hyperlink" xfId="3668" builtinId="9" hidden="1"/>
    <cellStyle name="Followed Hyperlink" xfId="3670" builtinId="9" hidden="1"/>
    <cellStyle name="Followed Hyperlink" xfId="3672" builtinId="9" hidden="1"/>
    <cellStyle name="Followed Hyperlink" xfId="3674" builtinId="9" hidden="1"/>
    <cellStyle name="Followed Hyperlink" xfId="3676" builtinId="9" hidden="1"/>
    <cellStyle name="Followed Hyperlink" xfId="3678" builtinId="9" hidden="1"/>
    <cellStyle name="Followed Hyperlink" xfId="3680" builtinId="9" hidden="1"/>
    <cellStyle name="Followed Hyperlink" xfId="3682" builtinId="9" hidden="1"/>
    <cellStyle name="Followed Hyperlink" xfId="3684" builtinId="9" hidden="1"/>
    <cellStyle name="Followed Hyperlink" xfId="3686" builtinId="9" hidden="1"/>
    <cellStyle name="Followed Hyperlink" xfId="3688" builtinId="9" hidden="1"/>
    <cellStyle name="Followed Hyperlink" xfId="3690" builtinId="9" hidden="1"/>
    <cellStyle name="Followed Hyperlink" xfId="3692" builtinId="9" hidden="1"/>
    <cellStyle name="Followed Hyperlink" xfId="3694" builtinId="9" hidden="1"/>
    <cellStyle name="Followed Hyperlink" xfId="3696" builtinId="9" hidden="1"/>
    <cellStyle name="Followed Hyperlink" xfId="3698" builtinId="9" hidden="1"/>
    <cellStyle name="Followed Hyperlink" xfId="3700" builtinId="9" hidden="1"/>
    <cellStyle name="Followed Hyperlink" xfId="3702" builtinId="9" hidden="1"/>
    <cellStyle name="Followed Hyperlink" xfId="3704" builtinId="9" hidden="1"/>
    <cellStyle name="Followed Hyperlink" xfId="3706" builtinId="9" hidden="1"/>
    <cellStyle name="Followed Hyperlink" xfId="3708" builtinId="9" hidden="1"/>
    <cellStyle name="Followed Hyperlink" xfId="3710" builtinId="9" hidden="1"/>
    <cellStyle name="Followed Hyperlink" xfId="3712" builtinId="9" hidden="1"/>
    <cellStyle name="Followed Hyperlink" xfId="3714" builtinId="9" hidden="1"/>
    <cellStyle name="Followed Hyperlink" xfId="3716" builtinId="9" hidden="1"/>
    <cellStyle name="Followed Hyperlink" xfId="3718" builtinId="9" hidden="1"/>
    <cellStyle name="Followed Hyperlink" xfId="3720" builtinId="9" hidden="1"/>
    <cellStyle name="Followed Hyperlink" xfId="3722" builtinId="9" hidden="1"/>
    <cellStyle name="Followed Hyperlink" xfId="3724" builtinId="9" hidden="1"/>
    <cellStyle name="Followed Hyperlink" xfId="3726" builtinId="9" hidden="1"/>
    <cellStyle name="Followed Hyperlink" xfId="3728" builtinId="9" hidden="1"/>
    <cellStyle name="Followed Hyperlink" xfId="3730" builtinId="9" hidden="1"/>
    <cellStyle name="Followed Hyperlink" xfId="3732" builtinId="9" hidden="1"/>
    <cellStyle name="Followed Hyperlink" xfId="3734" builtinId="9" hidden="1"/>
    <cellStyle name="Followed Hyperlink" xfId="3736" builtinId="9" hidden="1"/>
    <cellStyle name="Followed Hyperlink" xfId="3738" builtinId="9" hidden="1"/>
    <cellStyle name="Followed Hyperlink" xfId="3740" builtinId="9" hidden="1"/>
    <cellStyle name="Followed Hyperlink" xfId="3742" builtinId="9" hidden="1"/>
    <cellStyle name="Followed Hyperlink" xfId="3744" builtinId="9" hidden="1"/>
    <cellStyle name="Followed Hyperlink" xfId="3746" builtinId="9" hidden="1"/>
    <cellStyle name="Followed Hyperlink" xfId="3748" builtinId="9" hidden="1"/>
    <cellStyle name="Followed Hyperlink" xfId="3750" builtinId="9" hidden="1"/>
    <cellStyle name="Followed Hyperlink" xfId="3752" builtinId="9" hidden="1"/>
    <cellStyle name="Followed Hyperlink" xfId="3754" builtinId="9" hidden="1"/>
    <cellStyle name="Followed Hyperlink" xfId="3756" builtinId="9" hidden="1"/>
    <cellStyle name="Followed Hyperlink" xfId="3758" builtinId="9" hidden="1"/>
    <cellStyle name="Followed Hyperlink" xfId="3760" builtinId="9" hidden="1"/>
    <cellStyle name="Followed Hyperlink" xfId="3762" builtinId="9" hidden="1"/>
    <cellStyle name="Followed Hyperlink" xfId="3764" builtinId="9" hidden="1"/>
    <cellStyle name="Followed Hyperlink" xfId="3766" builtinId="9" hidden="1"/>
    <cellStyle name="Followed Hyperlink" xfId="3768" builtinId="9" hidden="1"/>
    <cellStyle name="Followed Hyperlink" xfId="3770" builtinId="9" hidden="1"/>
    <cellStyle name="Followed Hyperlink" xfId="3772" builtinId="9" hidden="1"/>
    <cellStyle name="Followed Hyperlink" xfId="3774" builtinId="9" hidden="1"/>
    <cellStyle name="Followed Hyperlink" xfId="3776" builtinId="9" hidden="1"/>
    <cellStyle name="Followed Hyperlink" xfId="3778" builtinId="9" hidden="1"/>
    <cellStyle name="Followed Hyperlink" xfId="3780" builtinId="9" hidden="1"/>
    <cellStyle name="Followed Hyperlink" xfId="3782" builtinId="9" hidden="1"/>
    <cellStyle name="Followed Hyperlink" xfId="3784" builtinId="9" hidden="1"/>
    <cellStyle name="Followed Hyperlink" xfId="3786" builtinId="9" hidden="1"/>
    <cellStyle name="Followed Hyperlink" xfId="3788" builtinId="9" hidden="1"/>
    <cellStyle name="Followed Hyperlink" xfId="3790" builtinId="9" hidden="1"/>
    <cellStyle name="Followed Hyperlink" xfId="3792" builtinId="9" hidden="1"/>
    <cellStyle name="Followed Hyperlink" xfId="3794" builtinId="9" hidden="1"/>
    <cellStyle name="Followed Hyperlink" xfId="3796" builtinId="9" hidden="1"/>
    <cellStyle name="Followed Hyperlink" xfId="3798" builtinId="9" hidden="1"/>
    <cellStyle name="Followed Hyperlink" xfId="3800" builtinId="9" hidden="1"/>
    <cellStyle name="Followed Hyperlink" xfId="3802" builtinId="9" hidden="1"/>
    <cellStyle name="Followed Hyperlink" xfId="3804" builtinId="9" hidden="1"/>
    <cellStyle name="Followed Hyperlink" xfId="3806" builtinId="9" hidden="1"/>
    <cellStyle name="Followed Hyperlink" xfId="3808" builtinId="9" hidden="1"/>
    <cellStyle name="Followed Hyperlink" xfId="3810" builtinId="9" hidden="1"/>
    <cellStyle name="Followed Hyperlink" xfId="3812" builtinId="9" hidden="1"/>
    <cellStyle name="Followed Hyperlink" xfId="3814" builtinId="9" hidden="1"/>
    <cellStyle name="Followed Hyperlink" xfId="3816" builtinId="9" hidden="1"/>
    <cellStyle name="Followed Hyperlink" xfId="3818" builtinId="9" hidden="1"/>
    <cellStyle name="Followed Hyperlink" xfId="3820" builtinId="9" hidden="1"/>
    <cellStyle name="Followed Hyperlink" xfId="3822" builtinId="9" hidden="1"/>
    <cellStyle name="Followed Hyperlink" xfId="3824" builtinId="9" hidden="1"/>
    <cellStyle name="Followed Hyperlink" xfId="3826" builtinId="9" hidden="1"/>
    <cellStyle name="Followed Hyperlink" xfId="3828" builtinId="9" hidden="1"/>
    <cellStyle name="Followed Hyperlink" xfId="3830" builtinId="9" hidden="1"/>
    <cellStyle name="Followed Hyperlink" xfId="3832" builtinId="9" hidden="1"/>
    <cellStyle name="Followed Hyperlink" xfId="3834" builtinId="9" hidden="1"/>
    <cellStyle name="Followed Hyperlink" xfId="3836" builtinId="9" hidden="1"/>
    <cellStyle name="Followed Hyperlink" xfId="3838" builtinId="9" hidden="1"/>
    <cellStyle name="Followed Hyperlink" xfId="3840" builtinId="9" hidden="1"/>
    <cellStyle name="Followed Hyperlink" xfId="3842" builtinId="9" hidden="1"/>
    <cellStyle name="Followed Hyperlink" xfId="3844" builtinId="9" hidden="1"/>
    <cellStyle name="Followed Hyperlink" xfId="3846" builtinId="9" hidden="1"/>
    <cellStyle name="Followed Hyperlink" xfId="3848" builtinId="9" hidden="1"/>
    <cellStyle name="Followed Hyperlink" xfId="3850" builtinId="9" hidden="1"/>
    <cellStyle name="Followed Hyperlink" xfId="3852" builtinId="9" hidden="1"/>
    <cellStyle name="Followed Hyperlink" xfId="3854" builtinId="9" hidden="1"/>
    <cellStyle name="Followed Hyperlink" xfId="3856" builtinId="9" hidden="1"/>
    <cellStyle name="Followed Hyperlink" xfId="3858" builtinId="9" hidden="1"/>
    <cellStyle name="Followed Hyperlink" xfId="3860" builtinId="9" hidden="1"/>
    <cellStyle name="Followed Hyperlink" xfId="3862" builtinId="9" hidden="1"/>
    <cellStyle name="Followed Hyperlink" xfId="3864" builtinId="9" hidden="1"/>
    <cellStyle name="Followed Hyperlink" xfId="3866" builtinId="9" hidden="1"/>
    <cellStyle name="Followed Hyperlink" xfId="3868" builtinId="9" hidden="1"/>
    <cellStyle name="Followed Hyperlink" xfId="3870" builtinId="9" hidden="1"/>
    <cellStyle name="Followed Hyperlink" xfId="3872" builtinId="9" hidden="1"/>
    <cellStyle name="Followed Hyperlink" xfId="3874" builtinId="9" hidden="1"/>
    <cellStyle name="Followed Hyperlink" xfId="3876" builtinId="9" hidden="1"/>
    <cellStyle name="Followed Hyperlink" xfId="3878" builtinId="9" hidden="1"/>
    <cellStyle name="Followed Hyperlink" xfId="3880" builtinId="9" hidden="1"/>
    <cellStyle name="Followed Hyperlink" xfId="3882" builtinId="9" hidden="1"/>
    <cellStyle name="Followed Hyperlink" xfId="3884" builtinId="9" hidden="1"/>
    <cellStyle name="Followed Hyperlink" xfId="3886" builtinId="9" hidden="1"/>
    <cellStyle name="Followed Hyperlink" xfId="3888" builtinId="9" hidden="1"/>
    <cellStyle name="Followed Hyperlink" xfId="3890" builtinId="9" hidden="1"/>
    <cellStyle name="Followed Hyperlink" xfId="3892" builtinId="9" hidden="1"/>
    <cellStyle name="Followed Hyperlink" xfId="3894" builtinId="9" hidden="1"/>
    <cellStyle name="Followed Hyperlink" xfId="3896" builtinId="9" hidden="1"/>
    <cellStyle name="Followed Hyperlink" xfId="3898" builtinId="9" hidden="1"/>
    <cellStyle name="Followed Hyperlink" xfId="3900" builtinId="9" hidden="1"/>
    <cellStyle name="Followed Hyperlink" xfId="3902" builtinId="9" hidden="1"/>
    <cellStyle name="Followed Hyperlink" xfId="3904" builtinId="9" hidden="1"/>
    <cellStyle name="Followed Hyperlink" xfId="3906" builtinId="9" hidden="1"/>
    <cellStyle name="Followed Hyperlink" xfId="3908" builtinId="9" hidden="1"/>
    <cellStyle name="Followed Hyperlink" xfId="3910" builtinId="9" hidden="1"/>
    <cellStyle name="Followed Hyperlink" xfId="3912" builtinId="9" hidden="1"/>
    <cellStyle name="Followed Hyperlink" xfId="3914" builtinId="9" hidden="1"/>
    <cellStyle name="Followed Hyperlink" xfId="3916" builtinId="9" hidden="1"/>
    <cellStyle name="Followed Hyperlink" xfId="3918" builtinId="9" hidden="1"/>
    <cellStyle name="Followed Hyperlink" xfId="3920" builtinId="9" hidden="1"/>
    <cellStyle name="Followed Hyperlink" xfId="3922" builtinId="9" hidden="1"/>
    <cellStyle name="Followed Hyperlink" xfId="3924" builtinId="9" hidden="1"/>
    <cellStyle name="Followed Hyperlink" xfId="3926" builtinId="9" hidden="1"/>
    <cellStyle name="Followed Hyperlink" xfId="3928" builtinId="9" hidden="1"/>
    <cellStyle name="Followed Hyperlink" xfId="3930" builtinId="9" hidden="1"/>
    <cellStyle name="Followed Hyperlink" xfId="3932" builtinId="9" hidden="1"/>
    <cellStyle name="Followed Hyperlink" xfId="3934" builtinId="9" hidden="1"/>
    <cellStyle name="Followed Hyperlink" xfId="3936" builtinId="9" hidden="1"/>
    <cellStyle name="Followed Hyperlink" xfId="3938" builtinId="9" hidden="1"/>
    <cellStyle name="Followed Hyperlink" xfId="3940" builtinId="9" hidden="1"/>
    <cellStyle name="Followed Hyperlink" xfId="3942" builtinId="9" hidden="1"/>
    <cellStyle name="Followed Hyperlink" xfId="3944" builtinId="9" hidden="1"/>
    <cellStyle name="Followed Hyperlink" xfId="3946" builtinId="9" hidden="1"/>
    <cellStyle name="Followed Hyperlink" xfId="3948" builtinId="9" hidden="1"/>
    <cellStyle name="Followed Hyperlink" xfId="3950" builtinId="9" hidden="1"/>
    <cellStyle name="Followed Hyperlink" xfId="3952" builtinId="9" hidden="1"/>
    <cellStyle name="Followed Hyperlink" xfId="3954" builtinId="9" hidden="1"/>
    <cellStyle name="Followed Hyperlink" xfId="3956" builtinId="9" hidden="1"/>
    <cellStyle name="Followed Hyperlink" xfId="3958" builtinId="9" hidden="1"/>
    <cellStyle name="Followed Hyperlink" xfId="3960" builtinId="9" hidden="1"/>
    <cellStyle name="Followed Hyperlink" xfId="3962" builtinId="9" hidden="1"/>
    <cellStyle name="Followed Hyperlink" xfId="3964" builtinId="9" hidden="1"/>
    <cellStyle name="Followed Hyperlink" xfId="3966" builtinId="9" hidden="1"/>
    <cellStyle name="Followed Hyperlink" xfId="3968" builtinId="9" hidden="1"/>
    <cellStyle name="Followed Hyperlink" xfId="3970" builtinId="9" hidden="1"/>
    <cellStyle name="Followed Hyperlink" xfId="3972" builtinId="9" hidden="1"/>
    <cellStyle name="Followed Hyperlink" xfId="3974" builtinId="9" hidden="1"/>
    <cellStyle name="Followed Hyperlink" xfId="3976" builtinId="9" hidden="1"/>
    <cellStyle name="Followed Hyperlink" xfId="3978" builtinId="9" hidden="1"/>
    <cellStyle name="Followed Hyperlink" xfId="3980" builtinId="9" hidden="1"/>
    <cellStyle name="Followed Hyperlink" xfId="3982" builtinId="9" hidden="1"/>
    <cellStyle name="Followed Hyperlink" xfId="3984" builtinId="9" hidden="1"/>
    <cellStyle name="Followed Hyperlink" xfId="3986" builtinId="9" hidden="1"/>
    <cellStyle name="Followed Hyperlink" xfId="3988" builtinId="9" hidden="1"/>
    <cellStyle name="Followed Hyperlink" xfId="3990" builtinId="9" hidden="1"/>
    <cellStyle name="Followed Hyperlink" xfId="3992" builtinId="9" hidden="1"/>
    <cellStyle name="Followed Hyperlink" xfId="3994" builtinId="9" hidden="1"/>
    <cellStyle name="Followed Hyperlink" xfId="3996" builtinId="9" hidden="1"/>
    <cellStyle name="Followed Hyperlink" xfId="3998" builtinId="9" hidden="1"/>
    <cellStyle name="Followed Hyperlink" xfId="4000" builtinId="9" hidden="1"/>
    <cellStyle name="Followed Hyperlink" xfId="4002" builtinId="9" hidden="1"/>
    <cellStyle name="Followed Hyperlink" xfId="4004" builtinId="9" hidden="1"/>
    <cellStyle name="Followed Hyperlink" xfId="4006" builtinId="9" hidden="1"/>
    <cellStyle name="Followed Hyperlink" xfId="4008" builtinId="9" hidden="1"/>
    <cellStyle name="Followed Hyperlink" xfId="4010" builtinId="9" hidden="1"/>
    <cellStyle name="Followed Hyperlink" xfId="4012" builtinId="9" hidden="1"/>
    <cellStyle name="Followed Hyperlink" xfId="4014" builtinId="9" hidden="1"/>
    <cellStyle name="Followed Hyperlink" xfId="4016" builtinId="9" hidden="1"/>
    <cellStyle name="Followed Hyperlink" xfId="4018" builtinId="9" hidden="1"/>
    <cellStyle name="Followed Hyperlink" xfId="4020" builtinId="9" hidden="1"/>
    <cellStyle name="Followed Hyperlink" xfId="4022" builtinId="9" hidden="1"/>
    <cellStyle name="Followed Hyperlink" xfId="4024" builtinId="9" hidden="1"/>
    <cellStyle name="Followed Hyperlink" xfId="4026" builtinId="9" hidden="1"/>
    <cellStyle name="Followed Hyperlink" xfId="4028" builtinId="9" hidden="1"/>
    <cellStyle name="Followed Hyperlink" xfId="4030" builtinId="9" hidden="1"/>
    <cellStyle name="Followed Hyperlink" xfId="4032" builtinId="9" hidden="1"/>
    <cellStyle name="Followed Hyperlink" xfId="4034" builtinId="9" hidden="1"/>
    <cellStyle name="Followed Hyperlink" xfId="4036" builtinId="9" hidden="1"/>
    <cellStyle name="Followed Hyperlink" xfId="4038" builtinId="9" hidden="1"/>
    <cellStyle name="Followed Hyperlink" xfId="4040" builtinId="9" hidden="1"/>
    <cellStyle name="Followed Hyperlink" xfId="4042" builtinId="9" hidden="1"/>
    <cellStyle name="Followed Hyperlink" xfId="4044" builtinId="9" hidden="1"/>
    <cellStyle name="Followed Hyperlink" xfId="4046" builtinId="9" hidden="1"/>
    <cellStyle name="Followed Hyperlink" xfId="4048" builtinId="9" hidden="1"/>
    <cellStyle name="Followed Hyperlink" xfId="4050" builtinId="9" hidden="1"/>
    <cellStyle name="Followed Hyperlink" xfId="4052" builtinId="9" hidden="1"/>
    <cellStyle name="Followed Hyperlink" xfId="4054" builtinId="9" hidden="1"/>
    <cellStyle name="Followed Hyperlink" xfId="4056" builtinId="9" hidden="1"/>
    <cellStyle name="Followed Hyperlink" xfId="4058" builtinId="9" hidden="1"/>
    <cellStyle name="Followed Hyperlink" xfId="4060" builtinId="9" hidden="1"/>
    <cellStyle name="Followed Hyperlink" xfId="4062" builtinId="9" hidden="1"/>
    <cellStyle name="Followed Hyperlink" xfId="4064" builtinId="9" hidden="1"/>
    <cellStyle name="Followed Hyperlink" xfId="40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1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49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7" builtinId="8" hidden="1"/>
    <cellStyle name="Hyperlink" xfId="2159" builtinId="8" hidden="1"/>
    <cellStyle name="Hyperlink" xfId="2161" builtinId="8" hidden="1"/>
    <cellStyle name="Hyperlink" xfId="2163" builtinId="8" hidden="1"/>
    <cellStyle name="Hyperlink" xfId="2165" builtinId="8" hidden="1"/>
    <cellStyle name="Hyperlink" xfId="2167" builtinId="8" hidden="1"/>
    <cellStyle name="Hyperlink" xfId="2169" builtinId="8" hidden="1"/>
    <cellStyle name="Hyperlink" xfId="2171" builtinId="8" hidden="1"/>
    <cellStyle name="Hyperlink" xfId="2173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1" builtinId="8" hidden="1"/>
    <cellStyle name="Hyperlink" xfId="2183" builtinId="8" hidden="1"/>
    <cellStyle name="Hyperlink" xfId="2185" builtinId="8" hidden="1"/>
    <cellStyle name="Hyperlink" xfId="2187" builtinId="8" hidden="1"/>
    <cellStyle name="Hyperlink" xfId="2189" builtinId="8" hidden="1"/>
    <cellStyle name="Hyperlink" xfId="2191" builtinId="8" hidden="1"/>
    <cellStyle name="Hyperlink" xfId="2193" builtinId="8" hidden="1"/>
    <cellStyle name="Hyperlink" xfId="2195" builtinId="8" hidden="1"/>
    <cellStyle name="Hyperlink" xfId="2197" builtinId="8" hidden="1"/>
    <cellStyle name="Hyperlink" xfId="2199" builtinId="8" hidden="1"/>
    <cellStyle name="Hyperlink" xfId="2201" builtinId="8" hidden="1"/>
    <cellStyle name="Hyperlink" xfId="2203" builtinId="8" hidden="1"/>
    <cellStyle name="Hyperlink" xfId="2205" builtinId="8" hidden="1"/>
    <cellStyle name="Hyperlink" xfId="2207" builtinId="8" hidden="1"/>
    <cellStyle name="Hyperlink" xfId="2209" builtinId="8" hidden="1"/>
    <cellStyle name="Hyperlink" xfId="2211" builtinId="8" hidden="1"/>
    <cellStyle name="Hyperlink" xfId="2213" builtinId="8" hidden="1"/>
    <cellStyle name="Hyperlink" xfId="2215" builtinId="8" hidden="1"/>
    <cellStyle name="Hyperlink" xfId="2217" builtinId="8" hidden="1"/>
    <cellStyle name="Hyperlink" xfId="2219" builtinId="8" hidden="1"/>
    <cellStyle name="Hyperlink" xfId="2221" builtinId="8" hidden="1"/>
    <cellStyle name="Hyperlink" xfId="2223" builtinId="8" hidden="1"/>
    <cellStyle name="Hyperlink" xfId="2225" builtinId="8" hidden="1"/>
    <cellStyle name="Hyperlink" xfId="2227" builtinId="8" hidden="1"/>
    <cellStyle name="Hyperlink" xfId="2229" builtinId="8" hidden="1"/>
    <cellStyle name="Hyperlink" xfId="2231" builtinId="8" hidden="1"/>
    <cellStyle name="Hyperlink" xfId="2233" builtinId="8" hidden="1"/>
    <cellStyle name="Hyperlink" xfId="2235" builtinId="8" hidden="1"/>
    <cellStyle name="Hyperlink" xfId="2237" builtinId="8" hidden="1"/>
    <cellStyle name="Hyperlink" xfId="2239" builtinId="8" hidden="1"/>
    <cellStyle name="Hyperlink" xfId="2241" builtinId="8" hidden="1"/>
    <cellStyle name="Hyperlink" xfId="2243" builtinId="8" hidden="1"/>
    <cellStyle name="Hyperlink" xfId="2245" builtinId="8" hidden="1"/>
    <cellStyle name="Hyperlink" xfId="2247" builtinId="8" hidden="1"/>
    <cellStyle name="Hyperlink" xfId="2249" builtinId="8" hidden="1"/>
    <cellStyle name="Hyperlink" xfId="2251" builtinId="8" hidden="1"/>
    <cellStyle name="Hyperlink" xfId="2253" builtinId="8" hidden="1"/>
    <cellStyle name="Hyperlink" xfId="2255" builtinId="8" hidden="1"/>
    <cellStyle name="Hyperlink" xfId="2257" builtinId="8" hidden="1"/>
    <cellStyle name="Hyperlink" xfId="2259" builtinId="8" hidden="1"/>
    <cellStyle name="Hyperlink" xfId="2261" builtinId="8" hidden="1"/>
    <cellStyle name="Hyperlink" xfId="2263" builtinId="8" hidden="1"/>
    <cellStyle name="Hyperlink" xfId="2265" builtinId="8" hidden="1"/>
    <cellStyle name="Hyperlink" xfId="2267" builtinId="8" hidden="1"/>
    <cellStyle name="Hyperlink" xfId="2269" builtinId="8" hidden="1"/>
    <cellStyle name="Hyperlink" xfId="2271" builtinId="8" hidden="1"/>
    <cellStyle name="Hyperlink" xfId="2273" builtinId="8" hidden="1"/>
    <cellStyle name="Hyperlink" xfId="2275" builtinId="8" hidden="1"/>
    <cellStyle name="Hyperlink" xfId="2277" builtinId="8" hidden="1"/>
    <cellStyle name="Hyperlink" xfId="2279" builtinId="8" hidden="1"/>
    <cellStyle name="Hyperlink" xfId="2281" builtinId="8" hidden="1"/>
    <cellStyle name="Hyperlink" xfId="2283" builtinId="8" hidden="1"/>
    <cellStyle name="Hyperlink" xfId="2285" builtinId="8" hidden="1"/>
    <cellStyle name="Hyperlink" xfId="2287" builtinId="8" hidden="1"/>
    <cellStyle name="Hyperlink" xfId="2289" builtinId="8" hidden="1"/>
    <cellStyle name="Hyperlink" xfId="2291" builtinId="8" hidden="1"/>
    <cellStyle name="Hyperlink" xfId="2293" builtinId="8" hidden="1"/>
    <cellStyle name="Hyperlink" xfId="2295" builtinId="8" hidden="1"/>
    <cellStyle name="Hyperlink" xfId="2297" builtinId="8" hidden="1"/>
    <cellStyle name="Hyperlink" xfId="2299" builtinId="8" hidden="1"/>
    <cellStyle name="Hyperlink" xfId="2301" builtinId="8" hidden="1"/>
    <cellStyle name="Hyperlink" xfId="2303" builtinId="8" hidden="1"/>
    <cellStyle name="Hyperlink" xfId="2305" builtinId="8" hidden="1"/>
    <cellStyle name="Hyperlink" xfId="2307" builtinId="8" hidden="1"/>
    <cellStyle name="Hyperlink" xfId="2309" builtinId="8" hidden="1"/>
    <cellStyle name="Hyperlink" xfId="2311" builtinId="8" hidden="1"/>
    <cellStyle name="Hyperlink" xfId="2313" builtinId="8" hidden="1"/>
    <cellStyle name="Hyperlink" xfId="2315" builtinId="8" hidden="1"/>
    <cellStyle name="Hyperlink" xfId="2317" builtinId="8" hidden="1"/>
    <cellStyle name="Hyperlink" xfId="2319" builtinId="8" hidden="1"/>
    <cellStyle name="Hyperlink" xfId="2321" builtinId="8" hidden="1"/>
    <cellStyle name="Hyperlink" xfId="2323" builtinId="8" hidden="1"/>
    <cellStyle name="Hyperlink" xfId="2325" builtinId="8" hidden="1"/>
    <cellStyle name="Hyperlink" xfId="2327" builtinId="8" hidden="1"/>
    <cellStyle name="Hyperlink" xfId="2329" builtinId="8" hidden="1"/>
    <cellStyle name="Hyperlink" xfId="2331" builtinId="8" hidden="1"/>
    <cellStyle name="Hyperlink" xfId="2333" builtinId="8" hidden="1"/>
    <cellStyle name="Hyperlink" xfId="2335" builtinId="8" hidden="1"/>
    <cellStyle name="Hyperlink" xfId="2337" builtinId="8" hidden="1"/>
    <cellStyle name="Hyperlink" xfId="2339" builtinId="8" hidden="1"/>
    <cellStyle name="Hyperlink" xfId="2341" builtinId="8" hidden="1"/>
    <cellStyle name="Hyperlink" xfId="2343" builtinId="8" hidden="1"/>
    <cellStyle name="Hyperlink" xfId="2345" builtinId="8" hidden="1"/>
    <cellStyle name="Hyperlink" xfId="2347" builtinId="8" hidden="1"/>
    <cellStyle name="Hyperlink" xfId="2349" builtinId="8" hidden="1"/>
    <cellStyle name="Hyperlink" xfId="2351" builtinId="8" hidden="1"/>
    <cellStyle name="Hyperlink" xfId="2353" builtinId="8" hidden="1"/>
    <cellStyle name="Hyperlink" xfId="2355" builtinId="8" hidden="1"/>
    <cellStyle name="Hyperlink" xfId="2357" builtinId="8" hidden="1"/>
    <cellStyle name="Hyperlink" xfId="2359" builtinId="8" hidden="1"/>
    <cellStyle name="Hyperlink" xfId="2361" builtinId="8" hidden="1"/>
    <cellStyle name="Hyperlink" xfId="2363" builtinId="8" hidden="1"/>
    <cellStyle name="Hyperlink" xfId="2365" builtinId="8" hidden="1"/>
    <cellStyle name="Hyperlink" xfId="2367" builtinId="8" hidden="1"/>
    <cellStyle name="Hyperlink" xfId="2369" builtinId="8" hidden="1"/>
    <cellStyle name="Hyperlink" xfId="2371" builtinId="8" hidden="1"/>
    <cellStyle name="Hyperlink" xfId="2373" builtinId="8" hidden="1"/>
    <cellStyle name="Hyperlink" xfId="2375" builtinId="8" hidden="1"/>
    <cellStyle name="Hyperlink" xfId="2377" builtinId="8" hidden="1"/>
    <cellStyle name="Hyperlink" xfId="2379" builtinId="8" hidden="1"/>
    <cellStyle name="Hyperlink" xfId="2381" builtinId="8" hidden="1"/>
    <cellStyle name="Hyperlink" xfId="2383" builtinId="8" hidden="1"/>
    <cellStyle name="Hyperlink" xfId="2385" builtinId="8" hidden="1"/>
    <cellStyle name="Hyperlink" xfId="2387" builtinId="8" hidden="1"/>
    <cellStyle name="Hyperlink" xfId="2389" builtinId="8" hidden="1"/>
    <cellStyle name="Hyperlink" xfId="2391" builtinId="8" hidden="1"/>
    <cellStyle name="Hyperlink" xfId="2393" builtinId="8" hidden="1"/>
    <cellStyle name="Hyperlink" xfId="2395" builtinId="8" hidden="1"/>
    <cellStyle name="Hyperlink" xfId="2397" builtinId="8" hidden="1"/>
    <cellStyle name="Hyperlink" xfId="2399" builtinId="8" hidden="1"/>
    <cellStyle name="Hyperlink" xfId="2401" builtinId="8" hidden="1"/>
    <cellStyle name="Hyperlink" xfId="2403" builtinId="8" hidden="1"/>
    <cellStyle name="Hyperlink" xfId="2405" builtinId="8" hidden="1"/>
    <cellStyle name="Hyperlink" xfId="2407" builtinId="8" hidden="1"/>
    <cellStyle name="Hyperlink" xfId="2409" builtinId="8" hidden="1"/>
    <cellStyle name="Hyperlink" xfId="2411" builtinId="8" hidden="1"/>
    <cellStyle name="Hyperlink" xfId="2413" builtinId="8" hidden="1"/>
    <cellStyle name="Hyperlink" xfId="2415" builtinId="8" hidden="1"/>
    <cellStyle name="Hyperlink" xfId="2417" builtinId="8" hidden="1"/>
    <cellStyle name="Hyperlink" xfId="2419" builtinId="8" hidden="1"/>
    <cellStyle name="Hyperlink" xfId="2421" builtinId="8" hidden="1"/>
    <cellStyle name="Hyperlink" xfId="2423" builtinId="8" hidden="1"/>
    <cellStyle name="Hyperlink" xfId="2425" builtinId="8" hidden="1"/>
    <cellStyle name="Hyperlink" xfId="2427" builtinId="8" hidden="1"/>
    <cellStyle name="Hyperlink" xfId="2429" builtinId="8" hidden="1"/>
    <cellStyle name="Hyperlink" xfId="2431" builtinId="8" hidden="1"/>
    <cellStyle name="Hyperlink" xfId="2433" builtinId="8" hidden="1"/>
    <cellStyle name="Hyperlink" xfId="2435" builtinId="8" hidden="1"/>
    <cellStyle name="Hyperlink" xfId="2437" builtinId="8" hidden="1"/>
    <cellStyle name="Hyperlink" xfId="2439" builtinId="8" hidden="1"/>
    <cellStyle name="Hyperlink" xfId="2441" builtinId="8" hidden="1"/>
    <cellStyle name="Hyperlink" xfId="2443" builtinId="8" hidden="1"/>
    <cellStyle name="Hyperlink" xfId="2445" builtinId="8" hidden="1"/>
    <cellStyle name="Hyperlink" xfId="2447" builtinId="8" hidden="1"/>
    <cellStyle name="Hyperlink" xfId="2449" builtinId="8" hidden="1"/>
    <cellStyle name="Hyperlink" xfId="2451" builtinId="8" hidden="1"/>
    <cellStyle name="Hyperlink" xfId="2453" builtinId="8" hidden="1"/>
    <cellStyle name="Hyperlink" xfId="2455" builtinId="8" hidden="1"/>
    <cellStyle name="Hyperlink" xfId="2457" builtinId="8" hidden="1"/>
    <cellStyle name="Hyperlink" xfId="2459" builtinId="8" hidden="1"/>
    <cellStyle name="Hyperlink" xfId="2461" builtinId="8" hidden="1"/>
    <cellStyle name="Hyperlink" xfId="2463" builtinId="8" hidden="1"/>
    <cellStyle name="Hyperlink" xfId="2465" builtinId="8" hidden="1"/>
    <cellStyle name="Hyperlink" xfId="2467" builtinId="8" hidden="1"/>
    <cellStyle name="Hyperlink" xfId="2469" builtinId="8" hidden="1"/>
    <cellStyle name="Hyperlink" xfId="2471" builtinId="8" hidden="1"/>
    <cellStyle name="Hyperlink" xfId="2473" builtinId="8" hidden="1"/>
    <cellStyle name="Hyperlink" xfId="2475" builtinId="8" hidden="1"/>
    <cellStyle name="Hyperlink" xfId="2477" builtinId="8" hidden="1"/>
    <cellStyle name="Hyperlink" xfId="2479" builtinId="8" hidden="1"/>
    <cellStyle name="Hyperlink" xfId="2481" builtinId="8" hidden="1"/>
    <cellStyle name="Hyperlink" xfId="2483" builtinId="8" hidden="1"/>
    <cellStyle name="Hyperlink" xfId="2485" builtinId="8" hidden="1"/>
    <cellStyle name="Hyperlink" xfId="2487" builtinId="8" hidden="1"/>
    <cellStyle name="Hyperlink" xfId="2489" builtinId="8" hidden="1"/>
    <cellStyle name="Hyperlink" xfId="2491" builtinId="8" hidden="1"/>
    <cellStyle name="Hyperlink" xfId="2493" builtinId="8" hidden="1"/>
    <cellStyle name="Hyperlink" xfId="2495" builtinId="8" hidden="1"/>
    <cellStyle name="Hyperlink" xfId="2497" builtinId="8" hidden="1"/>
    <cellStyle name="Hyperlink" xfId="2499" builtinId="8" hidden="1"/>
    <cellStyle name="Hyperlink" xfId="2501" builtinId="8" hidden="1"/>
    <cellStyle name="Hyperlink" xfId="2503" builtinId="8" hidden="1"/>
    <cellStyle name="Hyperlink" xfId="2505" builtinId="8" hidden="1"/>
    <cellStyle name="Hyperlink" xfId="2507" builtinId="8" hidden="1"/>
    <cellStyle name="Hyperlink" xfId="2509" builtinId="8" hidden="1"/>
    <cellStyle name="Hyperlink" xfId="2511" builtinId="8" hidden="1"/>
    <cellStyle name="Hyperlink" xfId="2513" builtinId="8" hidden="1"/>
    <cellStyle name="Hyperlink" xfId="2515" builtinId="8" hidden="1"/>
    <cellStyle name="Hyperlink" xfId="2517" builtinId="8" hidden="1"/>
    <cellStyle name="Hyperlink" xfId="2519" builtinId="8" hidden="1"/>
    <cellStyle name="Hyperlink" xfId="2521" builtinId="8" hidden="1"/>
    <cellStyle name="Hyperlink" xfId="2523" builtinId="8" hidden="1"/>
    <cellStyle name="Hyperlink" xfId="2525" builtinId="8" hidden="1"/>
    <cellStyle name="Hyperlink" xfId="2527" builtinId="8" hidden="1"/>
    <cellStyle name="Hyperlink" xfId="2529" builtinId="8" hidden="1"/>
    <cellStyle name="Hyperlink" xfId="2531" builtinId="8" hidden="1"/>
    <cellStyle name="Hyperlink" xfId="2533" builtinId="8" hidden="1"/>
    <cellStyle name="Hyperlink" xfId="2535" builtinId="8" hidden="1"/>
    <cellStyle name="Hyperlink" xfId="2537" builtinId="8" hidden="1"/>
    <cellStyle name="Hyperlink" xfId="2539" builtinId="8" hidden="1"/>
    <cellStyle name="Hyperlink" xfId="2541" builtinId="8" hidden="1"/>
    <cellStyle name="Hyperlink" xfId="2543" builtinId="8" hidden="1"/>
    <cellStyle name="Hyperlink" xfId="2545" builtinId="8" hidden="1"/>
    <cellStyle name="Hyperlink" xfId="2547" builtinId="8" hidden="1"/>
    <cellStyle name="Hyperlink" xfId="2549" builtinId="8" hidden="1"/>
    <cellStyle name="Hyperlink" xfId="2551" builtinId="8" hidden="1"/>
    <cellStyle name="Hyperlink" xfId="2553" builtinId="8" hidden="1"/>
    <cellStyle name="Hyperlink" xfId="2555" builtinId="8" hidden="1"/>
    <cellStyle name="Hyperlink" xfId="2557" builtinId="8" hidden="1"/>
    <cellStyle name="Hyperlink" xfId="2559" builtinId="8" hidden="1"/>
    <cellStyle name="Hyperlink" xfId="2561" builtinId="8" hidden="1"/>
    <cellStyle name="Hyperlink" xfId="2563" builtinId="8" hidden="1"/>
    <cellStyle name="Hyperlink" xfId="2565" builtinId="8" hidden="1"/>
    <cellStyle name="Hyperlink" xfId="2567" builtinId="8" hidden="1"/>
    <cellStyle name="Hyperlink" xfId="2569" builtinId="8" hidden="1"/>
    <cellStyle name="Hyperlink" xfId="2571" builtinId="8" hidden="1"/>
    <cellStyle name="Hyperlink" xfId="2573" builtinId="8" hidden="1"/>
    <cellStyle name="Hyperlink" xfId="2575" builtinId="8" hidden="1"/>
    <cellStyle name="Hyperlink" xfId="2577" builtinId="8" hidden="1"/>
    <cellStyle name="Hyperlink" xfId="2579" builtinId="8" hidden="1"/>
    <cellStyle name="Hyperlink" xfId="2581" builtinId="8" hidden="1"/>
    <cellStyle name="Hyperlink" xfId="2583" builtinId="8" hidden="1"/>
    <cellStyle name="Hyperlink" xfId="2585" builtinId="8" hidden="1"/>
    <cellStyle name="Hyperlink" xfId="2587" builtinId="8" hidden="1"/>
    <cellStyle name="Hyperlink" xfId="2589" builtinId="8" hidden="1"/>
    <cellStyle name="Hyperlink" xfId="2591" builtinId="8" hidden="1"/>
    <cellStyle name="Hyperlink" xfId="2593" builtinId="8" hidden="1"/>
    <cellStyle name="Hyperlink" xfId="2595" builtinId="8" hidden="1"/>
    <cellStyle name="Hyperlink" xfId="2597" builtinId="8" hidden="1"/>
    <cellStyle name="Hyperlink" xfId="2599" builtinId="8" hidden="1"/>
    <cellStyle name="Hyperlink" xfId="2601" builtinId="8" hidden="1"/>
    <cellStyle name="Hyperlink" xfId="2603" builtinId="8" hidden="1"/>
    <cellStyle name="Hyperlink" xfId="2605" builtinId="8" hidden="1"/>
    <cellStyle name="Hyperlink" xfId="2607" builtinId="8" hidden="1"/>
    <cellStyle name="Hyperlink" xfId="2609" builtinId="8" hidden="1"/>
    <cellStyle name="Hyperlink" xfId="2611" builtinId="8" hidden="1"/>
    <cellStyle name="Hyperlink" xfId="2613" builtinId="8" hidden="1"/>
    <cellStyle name="Hyperlink" xfId="2615" builtinId="8" hidden="1"/>
    <cellStyle name="Hyperlink" xfId="2617" builtinId="8" hidden="1"/>
    <cellStyle name="Hyperlink" xfId="2619" builtinId="8" hidden="1"/>
    <cellStyle name="Hyperlink" xfId="2621" builtinId="8" hidden="1"/>
    <cellStyle name="Hyperlink" xfId="2623" builtinId="8" hidden="1"/>
    <cellStyle name="Hyperlink" xfId="2625" builtinId="8" hidden="1"/>
    <cellStyle name="Hyperlink" xfId="2627" builtinId="8" hidden="1"/>
    <cellStyle name="Hyperlink" xfId="2629" builtinId="8" hidden="1"/>
    <cellStyle name="Hyperlink" xfId="2631" builtinId="8" hidden="1"/>
    <cellStyle name="Hyperlink" xfId="2633" builtinId="8" hidden="1"/>
    <cellStyle name="Hyperlink" xfId="2635" builtinId="8" hidden="1"/>
    <cellStyle name="Hyperlink" xfId="2637" builtinId="8" hidden="1"/>
    <cellStyle name="Hyperlink" xfId="2639" builtinId="8" hidden="1"/>
    <cellStyle name="Hyperlink" xfId="2641" builtinId="8" hidden="1"/>
    <cellStyle name="Hyperlink" xfId="2643" builtinId="8" hidden="1"/>
    <cellStyle name="Hyperlink" xfId="2645" builtinId="8" hidden="1"/>
    <cellStyle name="Hyperlink" xfId="2647" builtinId="8" hidden="1"/>
    <cellStyle name="Hyperlink" xfId="2649" builtinId="8" hidden="1"/>
    <cellStyle name="Hyperlink" xfId="2651" builtinId="8" hidden="1"/>
    <cellStyle name="Hyperlink" xfId="2653" builtinId="8" hidden="1"/>
    <cellStyle name="Hyperlink" xfId="2655" builtinId="8" hidden="1"/>
    <cellStyle name="Hyperlink" xfId="2657" builtinId="8" hidden="1"/>
    <cellStyle name="Hyperlink" xfId="2659" builtinId="8" hidden="1"/>
    <cellStyle name="Hyperlink" xfId="2661" builtinId="8" hidden="1"/>
    <cellStyle name="Hyperlink" xfId="2663" builtinId="8" hidden="1"/>
    <cellStyle name="Hyperlink" xfId="2665" builtinId="8" hidden="1"/>
    <cellStyle name="Hyperlink" xfId="2667" builtinId="8" hidden="1"/>
    <cellStyle name="Hyperlink" xfId="2669" builtinId="8" hidden="1"/>
    <cellStyle name="Hyperlink" xfId="2671" builtinId="8" hidden="1"/>
    <cellStyle name="Hyperlink" xfId="2673" builtinId="8" hidden="1"/>
    <cellStyle name="Hyperlink" xfId="2675" builtinId="8" hidden="1"/>
    <cellStyle name="Hyperlink" xfId="2677" builtinId="8" hidden="1"/>
    <cellStyle name="Hyperlink" xfId="2679" builtinId="8" hidden="1"/>
    <cellStyle name="Hyperlink" xfId="2681" builtinId="8" hidden="1"/>
    <cellStyle name="Hyperlink" xfId="2683" builtinId="8" hidden="1"/>
    <cellStyle name="Hyperlink" xfId="2685" builtinId="8" hidden="1"/>
    <cellStyle name="Hyperlink" xfId="2687" builtinId="8" hidden="1"/>
    <cellStyle name="Hyperlink" xfId="2689" builtinId="8" hidden="1"/>
    <cellStyle name="Hyperlink" xfId="2691" builtinId="8" hidden="1"/>
    <cellStyle name="Hyperlink" xfId="2693" builtinId="8" hidden="1"/>
    <cellStyle name="Hyperlink" xfId="2695" builtinId="8" hidden="1"/>
    <cellStyle name="Hyperlink" xfId="2697" builtinId="8" hidden="1"/>
    <cellStyle name="Hyperlink" xfId="2699" builtinId="8" hidden="1"/>
    <cellStyle name="Hyperlink" xfId="2701" builtinId="8" hidden="1"/>
    <cellStyle name="Hyperlink" xfId="2703" builtinId="8" hidden="1"/>
    <cellStyle name="Hyperlink" xfId="2705" builtinId="8" hidden="1"/>
    <cellStyle name="Hyperlink" xfId="2707" builtinId="8" hidden="1"/>
    <cellStyle name="Hyperlink" xfId="2709" builtinId="8" hidden="1"/>
    <cellStyle name="Hyperlink" xfId="2711" builtinId="8" hidden="1"/>
    <cellStyle name="Hyperlink" xfId="2713" builtinId="8" hidden="1"/>
    <cellStyle name="Hyperlink" xfId="2715" builtinId="8" hidden="1"/>
    <cellStyle name="Hyperlink" xfId="2717" builtinId="8" hidden="1"/>
    <cellStyle name="Hyperlink" xfId="2719" builtinId="8" hidden="1"/>
    <cellStyle name="Hyperlink" xfId="2721" builtinId="8" hidden="1"/>
    <cellStyle name="Hyperlink" xfId="2723" builtinId="8" hidden="1"/>
    <cellStyle name="Hyperlink" xfId="2725" builtinId="8" hidden="1"/>
    <cellStyle name="Hyperlink" xfId="2727" builtinId="8" hidden="1"/>
    <cellStyle name="Hyperlink" xfId="2729" builtinId="8" hidden="1"/>
    <cellStyle name="Hyperlink" xfId="2731" builtinId="8" hidden="1"/>
    <cellStyle name="Hyperlink" xfId="2733" builtinId="8" hidden="1"/>
    <cellStyle name="Hyperlink" xfId="2735" builtinId="8" hidden="1"/>
    <cellStyle name="Hyperlink" xfId="2737" builtinId="8" hidden="1"/>
    <cellStyle name="Hyperlink" xfId="2739" builtinId="8" hidden="1"/>
    <cellStyle name="Hyperlink" xfId="2741" builtinId="8" hidden="1"/>
    <cellStyle name="Hyperlink" xfId="2743" builtinId="8" hidden="1"/>
    <cellStyle name="Hyperlink" xfId="2745" builtinId="8" hidden="1"/>
    <cellStyle name="Hyperlink" xfId="2747" builtinId="8" hidden="1"/>
    <cellStyle name="Hyperlink" xfId="2749" builtinId="8" hidden="1"/>
    <cellStyle name="Hyperlink" xfId="2751" builtinId="8" hidden="1"/>
    <cellStyle name="Hyperlink" xfId="2753" builtinId="8" hidden="1"/>
    <cellStyle name="Hyperlink" xfId="2755" builtinId="8" hidden="1"/>
    <cellStyle name="Hyperlink" xfId="2757" builtinId="8" hidden="1"/>
    <cellStyle name="Hyperlink" xfId="2759" builtinId="8" hidden="1"/>
    <cellStyle name="Hyperlink" xfId="2761" builtinId="8" hidden="1"/>
    <cellStyle name="Hyperlink" xfId="2763" builtinId="8" hidden="1"/>
    <cellStyle name="Hyperlink" xfId="2765" builtinId="8" hidden="1"/>
    <cellStyle name="Hyperlink" xfId="2767" builtinId="8" hidden="1"/>
    <cellStyle name="Hyperlink" xfId="2769" builtinId="8" hidden="1"/>
    <cellStyle name="Hyperlink" xfId="2771" builtinId="8" hidden="1"/>
    <cellStyle name="Hyperlink" xfId="2773" builtinId="8" hidden="1"/>
    <cellStyle name="Hyperlink" xfId="2775" builtinId="8" hidden="1"/>
    <cellStyle name="Hyperlink" xfId="2777" builtinId="8" hidden="1"/>
    <cellStyle name="Hyperlink" xfId="2779" builtinId="8" hidden="1"/>
    <cellStyle name="Hyperlink" xfId="2781" builtinId="8" hidden="1"/>
    <cellStyle name="Hyperlink" xfId="2783" builtinId="8" hidden="1"/>
    <cellStyle name="Hyperlink" xfId="2785" builtinId="8" hidden="1"/>
    <cellStyle name="Hyperlink" xfId="2787" builtinId="8" hidden="1"/>
    <cellStyle name="Hyperlink" xfId="2789" builtinId="8" hidden="1"/>
    <cellStyle name="Hyperlink" xfId="2791" builtinId="8" hidden="1"/>
    <cellStyle name="Hyperlink" xfId="2793" builtinId="8" hidden="1"/>
    <cellStyle name="Hyperlink" xfId="2795" builtinId="8" hidden="1"/>
    <cellStyle name="Hyperlink" xfId="2797" builtinId="8" hidden="1"/>
    <cellStyle name="Hyperlink" xfId="2799" builtinId="8" hidden="1"/>
    <cellStyle name="Hyperlink" xfId="2801" builtinId="8" hidden="1"/>
    <cellStyle name="Hyperlink" xfId="2803" builtinId="8" hidden="1"/>
    <cellStyle name="Hyperlink" xfId="2805" builtinId="8" hidden="1"/>
    <cellStyle name="Hyperlink" xfId="2807" builtinId="8" hidden="1"/>
    <cellStyle name="Hyperlink" xfId="2809" builtinId="8" hidden="1"/>
    <cellStyle name="Hyperlink" xfId="2811" builtinId="8" hidden="1"/>
    <cellStyle name="Hyperlink" xfId="2813" builtinId="8" hidden="1"/>
    <cellStyle name="Hyperlink" xfId="2815" builtinId="8" hidden="1"/>
    <cellStyle name="Hyperlink" xfId="2817" builtinId="8" hidden="1"/>
    <cellStyle name="Hyperlink" xfId="2819" builtinId="8" hidden="1"/>
    <cellStyle name="Hyperlink" xfId="2821" builtinId="8" hidden="1"/>
    <cellStyle name="Hyperlink" xfId="2823" builtinId="8" hidden="1"/>
    <cellStyle name="Hyperlink" xfId="2825" builtinId="8" hidden="1"/>
    <cellStyle name="Hyperlink" xfId="2827" builtinId="8" hidden="1"/>
    <cellStyle name="Hyperlink" xfId="2829" builtinId="8" hidden="1"/>
    <cellStyle name="Hyperlink" xfId="2831" builtinId="8" hidden="1"/>
    <cellStyle name="Hyperlink" xfId="2833" builtinId="8" hidden="1"/>
    <cellStyle name="Hyperlink" xfId="2835" builtinId="8" hidden="1"/>
    <cellStyle name="Hyperlink" xfId="2837" builtinId="8" hidden="1"/>
    <cellStyle name="Hyperlink" xfId="2839" builtinId="8" hidden="1"/>
    <cellStyle name="Hyperlink" xfId="2841" builtinId="8" hidden="1"/>
    <cellStyle name="Hyperlink" xfId="2843" builtinId="8" hidden="1"/>
    <cellStyle name="Hyperlink" xfId="2845" builtinId="8" hidden="1"/>
    <cellStyle name="Hyperlink" xfId="2847" builtinId="8" hidden="1"/>
    <cellStyle name="Hyperlink" xfId="2849" builtinId="8" hidden="1"/>
    <cellStyle name="Hyperlink" xfId="2851" builtinId="8" hidden="1"/>
    <cellStyle name="Hyperlink" xfId="2853" builtinId="8" hidden="1"/>
    <cellStyle name="Hyperlink" xfId="2855" builtinId="8" hidden="1"/>
    <cellStyle name="Hyperlink" xfId="2857" builtinId="8" hidden="1"/>
    <cellStyle name="Hyperlink" xfId="2859" builtinId="8" hidden="1"/>
    <cellStyle name="Hyperlink" xfId="2861" builtinId="8" hidden="1"/>
    <cellStyle name="Hyperlink" xfId="2863" builtinId="8" hidden="1"/>
    <cellStyle name="Hyperlink" xfId="2865" builtinId="8" hidden="1"/>
    <cellStyle name="Hyperlink" xfId="2867" builtinId="8" hidden="1"/>
    <cellStyle name="Hyperlink" xfId="2869" builtinId="8" hidden="1"/>
    <cellStyle name="Hyperlink" xfId="2871" builtinId="8" hidden="1"/>
    <cellStyle name="Hyperlink" xfId="2873" builtinId="8" hidden="1"/>
    <cellStyle name="Hyperlink" xfId="2875" builtinId="8" hidden="1"/>
    <cellStyle name="Hyperlink" xfId="2877" builtinId="8" hidden="1"/>
    <cellStyle name="Hyperlink" xfId="2879" builtinId="8" hidden="1"/>
    <cellStyle name="Hyperlink" xfId="2881" builtinId="8" hidden="1"/>
    <cellStyle name="Hyperlink" xfId="2883" builtinId="8" hidden="1"/>
    <cellStyle name="Hyperlink" xfId="2885" builtinId="8" hidden="1"/>
    <cellStyle name="Hyperlink" xfId="2887" builtinId="8" hidden="1"/>
    <cellStyle name="Hyperlink" xfId="2889" builtinId="8" hidden="1"/>
    <cellStyle name="Hyperlink" xfId="2891" builtinId="8" hidden="1"/>
    <cellStyle name="Hyperlink" xfId="2893" builtinId="8" hidden="1"/>
    <cellStyle name="Hyperlink" xfId="2895" builtinId="8" hidden="1"/>
    <cellStyle name="Hyperlink" xfId="2897" builtinId="8" hidden="1"/>
    <cellStyle name="Hyperlink" xfId="2899" builtinId="8" hidden="1"/>
    <cellStyle name="Hyperlink" xfId="2901" builtinId="8" hidden="1"/>
    <cellStyle name="Hyperlink" xfId="2903" builtinId="8" hidden="1"/>
    <cellStyle name="Hyperlink" xfId="2905" builtinId="8" hidden="1"/>
    <cellStyle name="Hyperlink" xfId="2907" builtinId="8" hidden="1"/>
    <cellStyle name="Hyperlink" xfId="2909" builtinId="8" hidden="1"/>
    <cellStyle name="Hyperlink" xfId="2911" builtinId="8" hidden="1"/>
    <cellStyle name="Hyperlink" xfId="2913" builtinId="8" hidden="1"/>
    <cellStyle name="Hyperlink" xfId="2915" builtinId="8" hidden="1"/>
    <cellStyle name="Hyperlink" xfId="2917" builtinId="8" hidden="1"/>
    <cellStyle name="Hyperlink" xfId="2919" builtinId="8" hidden="1"/>
    <cellStyle name="Hyperlink" xfId="2921" builtinId="8" hidden="1"/>
    <cellStyle name="Hyperlink" xfId="2923" builtinId="8" hidden="1"/>
    <cellStyle name="Hyperlink" xfId="2925" builtinId="8" hidden="1"/>
    <cellStyle name="Hyperlink" xfId="2927" builtinId="8" hidden="1"/>
    <cellStyle name="Hyperlink" xfId="2929" builtinId="8" hidden="1"/>
    <cellStyle name="Hyperlink" xfId="2931" builtinId="8" hidden="1"/>
    <cellStyle name="Hyperlink" xfId="2933" builtinId="8" hidden="1"/>
    <cellStyle name="Hyperlink" xfId="2935" builtinId="8" hidden="1"/>
    <cellStyle name="Hyperlink" xfId="2937" builtinId="8" hidden="1"/>
    <cellStyle name="Hyperlink" xfId="2939" builtinId="8" hidden="1"/>
    <cellStyle name="Hyperlink" xfId="2941" builtinId="8" hidden="1"/>
    <cellStyle name="Hyperlink" xfId="2943" builtinId="8" hidden="1"/>
    <cellStyle name="Hyperlink" xfId="2945" builtinId="8" hidden="1"/>
    <cellStyle name="Hyperlink" xfId="2947" builtinId="8" hidden="1"/>
    <cellStyle name="Hyperlink" xfId="2949" builtinId="8" hidden="1"/>
    <cellStyle name="Hyperlink" xfId="2951" builtinId="8" hidden="1"/>
    <cellStyle name="Hyperlink" xfId="2953" builtinId="8" hidden="1"/>
    <cellStyle name="Hyperlink" xfId="2955" builtinId="8" hidden="1"/>
    <cellStyle name="Hyperlink" xfId="2957" builtinId="8" hidden="1"/>
    <cellStyle name="Hyperlink" xfId="2959" builtinId="8" hidden="1"/>
    <cellStyle name="Hyperlink" xfId="2961" builtinId="8" hidden="1"/>
    <cellStyle name="Hyperlink" xfId="2963" builtinId="8" hidden="1"/>
    <cellStyle name="Hyperlink" xfId="2965" builtinId="8" hidden="1"/>
    <cellStyle name="Hyperlink" xfId="2967" builtinId="8" hidden="1"/>
    <cellStyle name="Hyperlink" xfId="2969" builtinId="8" hidden="1"/>
    <cellStyle name="Hyperlink" xfId="2971" builtinId="8" hidden="1"/>
    <cellStyle name="Hyperlink" xfId="2973" builtinId="8" hidden="1"/>
    <cellStyle name="Hyperlink" xfId="2975" builtinId="8" hidden="1"/>
    <cellStyle name="Hyperlink" xfId="2977" builtinId="8" hidden="1"/>
    <cellStyle name="Hyperlink" xfId="2979" builtinId="8" hidden="1"/>
    <cellStyle name="Hyperlink" xfId="2981" builtinId="8" hidden="1"/>
    <cellStyle name="Hyperlink" xfId="2983" builtinId="8" hidden="1"/>
    <cellStyle name="Hyperlink" xfId="2985" builtinId="8" hidden="1"/>
    <cellStyle name="Hyperlink" xfId="2987" builtinId="8" hidden="1"/>
    <cellStyle name="Hyperlink" xfId="2989" builtinId="8" hidden="1"/>
    <cellStyle name="Hyperlink" xfId="2991" builtinId="8" hidden="1"/>
    <cellStyle name="Hyperlink" xfId="2993" builtinId="8" hidden="1"/>
    <cellStyle name="Hyperlink" xfId="2995" builtinId="8" hidden="1"/>
    <cellStyle name="Hyperlink" xfId="2997" builtinId="8" hidden="1"/>
    <cellStyle name="Hyperlink" xfId="2999" builtinId="8" hidden="1"/>
    <cellStyle name="Hyperlink" xfId="3001" builtinId="8" hidden="1"/>
    <cellStyle name="Hyperlink" xfId="3003" builtinId="8" hidden="1"/>
    <cellStyle name="Hyperlink" xfId="3005" builtinId="8" hidden="1"/>
    <cellStyle name="Hyperlink" xfId="3007" builtinId="8" hidden="1"/>
    <cellStyle name="Hyperlink" xfId="3009" builtinId="8" hidden="1"/>
    <cellStyle name="Hyperlink" xfId="3011" builtinId="8" hidden="1"/>
    <cellStyle name="Hyperlink" xfId="3013" builtinId="8" hidden="1"/>
    <cellStyle name="Hyperlink" xfId="3015" builtinId="8" hidden="1"/>
    <cellStyle name="Hyperlink" xfId="3017" builtinId="8" hidden="1"/>
    <cellStyle name="Hyperlink" xfId="3019" builtinId="8" hidden="1"/>
    <cellStyle name="Hyperlink" xfId="3021" builtinId="8" hidden="1"/>
    <cellStyle name="Hyperlink" xfId="3023" builtinId="8" hidden="1"/>
    <cellStyle name="Hyperlink" xfId="3025" builtinId="8" hidden="1"/>
    <cellStyle name="Hyperlink" xfId="3027" builtinId="8" hidden="1"/>
    <cellStyle name="Hyperlink" xfId="3029" builtinId="8" hidden="1"/>
    <cellStyle name="Hyperlink" xfId="3031" builtinId="8" hidden="1"/>
    <cellStyle name="Hyperlink" xfId="3033" builtinId="8" hidden="1"/>
    <cellStyle name="Hyperlink" xfId="3035" builtinId="8" hidden="1"/>
    <cellStyle name="Hyperlink" xfId="3037" builtinId="8" hidden="1"/>
    <cellStyle name="Hyperlink" xfId="3039" builtinId="8" hidden="1"/>
    <cellStyle name="Hyperlink" xfId="3041" builtinId="8" hidden="1"/>
    <cellStyle name="Hyperlink" xfId="3043" builtinId="8" hidden="1"/>
    <cellStyle name="Hyperlink" xfId="3045" builtinId="8" hidden="1"/>
    <cellStyle name="Hyperlink" xfId="3047" builtinId="8" hidden="1"/>
    <cellStyle name="Hyperlink" xfId="3049" builtinId="8" hidden="1"/>
    <cellStyle name="Hyperlink" xfId="3051" builtinId="8" hidden="1"/>
    <cellStyle name="Hyperlink" xfId="3053" builtinId="8" hidden="1"/>
    <cellStyle name="Hyperlink" xfId="3055" builtinId="8" hidden="1"/>
    <cellStyle name="Hyperlink" xfId="3057" builtinId="8" hidden="1"/>
    <cellStyle name="Hyperlink" xfId="3059" builtinId="8" hidden="1"/>
    <cellStyle name="Hyperlink" xfId="3061" builtinId="8" hidden="1"/>
    <cellStyle name="Hyperlink" xfId="3063" builtinId="8" hidden="1"/>
    <cellStyle name="Hyperlink" xfId="3065" builtinId="8" hidden="1"/>
    <cellStyle name="Hyperlink" xfId="3067" builtinId="8" hidden="1"/>
    <cellStyle name="Hyperlink" xfId="3069" builtinId="8" hidden="1"/>
    <cellStyle name="Hyperlink" xfId="3071" builtinId="8" hidden="1"/>
    <cellStyle name="Hyperlink" xfId="3073" builtinId="8" hidden="1"/>
    <cellStyle name="Hyperlink" xfId="3075" builtinId="8" hidden="1"/>
    <cellStyle name="Hyperlink" xfId="3077" builtinId="8" hidden="1"/>
    <cellStyle name="Hyperlink" xfId="3079" builtinId="8" hidden="1"/>
    <cellStyle name="Hyperlink" xfId="3081" builtinId="8" hidden="1"/>
    <cellStyle name="Hyperlink" xfId="3083" builtinId="8" hidden="1"/>
    <cellStyle name="Hyperlink" xfId="3085" builtinId="8" hidden="1"/>
    <cellStyle name="Hyperlink" xfId="3087" builtinId="8" hidden="1"/>
    <cellStyle name="Hyperlink" xfId="3089" builtinId="8" hidden="1"/>
    <cellStyle name="Hyperlink" xfId="3091" builtinId="8" hidden="1"/>
    <cellStyle name="Hyperlink" xfId="3093" builtinId="8" hidden="1"/>
    <cellStyle name="Hyperlink" xfId="3095" builtinId="8" hidden="1"/>
    <cellStyle name="Hyperlink" xfId="3097" builtinId="8" hidden="1"/>
    <cellStyle name="Hyperlink" xfId="3099" builtinId="8" hidden="1"/>
    <cellStyle name="Hyperlink" xfId="3101" builtinId="8" hidden="1"/>
    <cellStyle name="Hyperlink" xfId="3103" builtinId="8" hidden="1"/>
    <cellStyle name="Hyperlink" xfId="3105" builtinId="8" hidden="1"/>
    <cellStyle name="Hyperlink" xfId="3107" builtinId="8" hidden="1"/>
    <cellStyle name="Hyperlink" xfId="3109" builtinId="8" hidden="1"/>
    <cellStyle name="Hyperlink" xfId="3111" builtinId="8" hidden="1"/>
    <cellStyle name="Hyperlink" xfId="3113" builtinId="8" hidden="1"/>
    <cellStyle name="Hyperlink" xfId="3115" builtinId="8" hidden="1"/>
    <cellStyle name="Hyperlink" xfId="3117" builtinId="8" hidden="1"/>
    <cellStyle name="Hyperlink" xfId="3119" builtinId="8" hidden="1"/>
    <cellStyle name="Hyperlink" xfId="3121" builtinId="8" hidden="1"/>
    <cellStyle name="Hyperlink" xfId="3123" builtinId="8" hidden="1"/>
    <cellStyle name="Hyperlink" xfId="3125" builtinId="8" hidden="1"/>
    <cellStyle name="Hyperlink" xfId="3127" builtinId="8" hidden="1"/>
    <cellStyle name="Hyperlink" xfId="3129" builtinId="8" hidden="1"/>
    <cellStyle name="Hyperlink" xfId="3131" builtinId="8" hidden="1"/>
    <cellStyle name="Hyperlink" xfId="3133" builtinId="8" hidden="1"/>
    <cellStyle name="Hyperlink" xfId="3135" builtinId="8" hidden="1"/>
    <cellStyle name="Hyperlink" xfId="3137" builtinId="8" hidden="1"/>
    <cellStyle name="Hyperlink" xfId="3139" builtinId="8" hidden="1"/>
    <cellStyle name="Hyperlink" xfId="3141" builtinId="8" hidden="1"/>
    <cellStyle name="Hyperlink" xfId="3143" builtinId="8" hidden="1"/>
    <cellStyle name="Hyperlink" xfId="3145" builtinId="8" hidden="1"/>
    <cellStyle name="Hyperlink" xfId="3147" builtinId="8" hidden="1"/>
    <cellStyle name="Hyperlink" xfId="3149" builtinId="8" hidden="1"/>
    <cellStyle name="Hyperlink" xfId="3151" builtinId="8" hidden="1"/>
    <cellStyle name="Hyperlink" xfId="3153" builtinId="8" hidden="1"/>
    <cellStyle name="Hyperlink" xfId="3155" builtinId="8" hidden="1"/>
    <cellStyle name="Hyperlink" xfId="3157" builtinId="8" hidden="1"/>
    <cellStyle name="Hyperlink" xfId="3159" builtinId="8" hidden="1"/>
    <cellStyle name="Hyperlink" xfId="3161" builtinId="8" hidden="1"/>
    <cellStyle name="Hyperlink" xfId="3163" builtinId="8" hidden="1"/>
    <cellStyle name="Hyperlink" xfId="3165" builtinId="8" hidden="1"/>
    <cellStyle name="Hyperlink" xfId="3167" builtinId="8" hidden="1"/>
    <cellStyle name="Hyperlink" xfId="3169" builtinId="8" hidden="1"/>
    <cellStyle name="Hyperlink" xfId="3171" builtinId="8" hidden="1"/>
    <cellStyle name="Hyperlink" xfId="3173" builtinId="8" hidden="1"/>
    <cellStyle name="Hyperlink" xfId="3175" builtinId="8" hidden="1"/>
    <cellStyle name="Hyperlink" xfId="3177" builtinId="8" hidden="1"/>
    <cellStyle name="Hyperlink" xfId="3179" builtinId="8" hidden="1"/>
    <cellStyle name="Hyperlink" xfId="3181" builtinId="8" hidden="1"/>
    <cellStyle name="Hyperlink" xfId="3183" builtinId="8" hidden="1"/>
    <cellStyle name="Hyperlink" xfId="3185" builtinId="8" hidden="1"/>
    <cellStyle name="Hyperlink" xfId="3187" builtinId="8" hidden="1"/>
    <cellStyle name="Hyperlink" xfId="3189" builtinId="8" hidden="1"/>
    <cellStyle name="Hyperlink" xfId="3191" builtinId="8" hidden="1"/>
    <cellStyle name="Hyperlink" xfId="3193" builtinId="8" hidden="1"/>
    <cellStyle name="Hyperlink" xfId="3195" builtinId="8" hidden="1"/>
    <cellStyle name="Hyperlink" xfId="3197" builtinId="8" hidden="1"/>
    <cellStyle name="Hyperlink" xfId="3199" builtinId="8" hidden="1"/>
    <cellStyle name="Hyperlink" xfId="3201" builtinId="8" hidden="1"/>
    <cellStyle name="Hyperlink" xfId="3203" builtinId="8" hidden="1"/>
    <cellStyle name="Hyperlink" xfId="3205" builtinId="8" hidden="1"/>
    <cellStyle name="Hyperlink" xfId="3207" builtinId="8" hidden="1"/>
    <cellStyle name="Hyperlink" xfId="3209" builtinId="8" hidden="1"/>
    <cellStyle name="Hyperlink" xfId="3211" builtinId="8" hidden="1"/>
    <cellStyle name="Hyperlink" xfId="3213" builtinId="8" hidden="1"/>
    <cellStyle name="Hyperlink" xfId="3215" builtinId="8" hidden="1"/>
    <cellStyle name="Hyperlink" xfId="3217" builtinId="8" hidden="1"/>
    <cellStyle name="Hyperlink" xfId="3219" builtinId="8" hidden="1"/>
    <cellStyle name="Hyperlink" xfId="3221" builtinId="8" hidden="1"/>
    <cellStyle name="Hyperlink" xfId="3223" builtinId="8" hidden="1"/>
    <cellStyle name="Hyperlink" xfId="3225" builtinId="8" hidden="1"/>
    <cellStyle name="Hyperlink" xfId="3227" builtinId="8" hidden="1"/>
    <cellStyle name="Hyperlink" xfId="3229" builtinId="8" hidden="1"/>
    <cellStyle name="Hyperlink" xfId="3231" builtinId="8" hidden="1"/>
    <cellStyle name="Hyperlink" xfId="3233" builtinId="8" hidden="1"/>
    <cellStyle name="Hyperlink" xfId="3235" builtinId="8" hidden="1"/>
    <cellStyle name="Hyperlink" xfId="3237" builtinId="8" hidden="1"/>
    <cellStyle name="Hyperlink" xfId="3239" builtinId="8" hidden="1"/>
    <cellStyle name="Hyperlink" xfId="3241" builtinId="8" hidden="1"/>
    <cellStyle name="Hyperlink" xfId="3243" builtinId="8" hidden="1"/>
    <cellStyle name="Hyperlink" xfId="3245" builtinId="8" hidden="1"/>
    <cellStyle name="Hyperlink" xfId="3247" builtinId="8" hidden="1"/>
    <cellStyle name="Hyperlink" xfId="3249" builtinId="8" hidden="1"/>
    <cellStyle name="Hyperlink" xfId="3251" builtinId="8" hidden="1"/>
    <cellStyle name="Hyperlink" xfId="3253" builtinId="8" hidden="1"/>
    <cellStyle name="Hyperlink" xfId="3255" builtinId="8" hidden="1"/>
    <cellStyle name="Hyperlink" xfId="3257" builtinId="8" hidden="1"/>
    <cellStyle name="Hyperlink" xfId="3259" builtinId="8" hidden="1"/>
    <cellStyle name="Hyperlink" xfId="3261" builtinId="8" hidden="1"/>
    <cellStyle name="Hyperlink" xfId="3263" builtinId="8" hidden="1"/>
    <cellStyle name="Hyperlink" xfId="3265" builtinId="8" hidden="1"/>
    <cellStyle name="Hyperlink" xfId="3267" builtinId="8" hidden="1"/>
    <cellStyle name="Hyperlink" xfId="3269" builtinId="8" hidden="1"/>
    <cellStyle name="Hyperlink" xfId="3271" builtinId="8" hidden="1"/>
    <cellStyle name="Hyperlink" xfId="3273" builtinId="8" hidden="1"/>
    <cellStyle name="Hyperlink" xfId="3275" builtinId="8" hidden="1"/>
    <cellStyle name="Hyperlink" xfId="3277" builtinId="8" hidden="1"/>
    <cellStyle name="Hyperlink" xfId="3279" builtinId="8" hidden="1"/>
    <cellStyle name="Hyperlink" xfId="3281" builtinId="8" hidden="1"/>
    <cellStyle name="Hyperlink" xfId="3283" builtinId="8" hidden="1"/>
    <cellStyle name="Hyperlink" xfId="3285" builtinId="8" hidden="1"/>
    <cellStyle name="Hyperlink" xfId="3287" builtinId="8" hidden="1"/>
    <cellStyle name="Hyperlink" xfId="3289" builtinId="8" hidden="1"/>
    <cellStyle name="Hyperlink" xfId="3291" builtinId="8" hidden="1"/>
    <cellStyle name="Hyperlink" xfId="3293" builtinId="8" hidden="1"/>
    <cellStyle name="Hyperlink" xfId="3295" builtinId="8" hidden="1"/>
    <cellStyle name="Hyperlink" xfId="3297" builtinId="8" hidden="1"/>
    <cellStyle name="Hyperlink" xfId="3299" builtinId="8" hidden="1"/>
    <cellStyle name="Hyperlink" xfId="3301" builtinId="8" hidden="1"/>
    <cellStyle name="Hyperlink" xfId="3303" builtinId="8" hidden="1"/>
    <cellStyle name="Hyperlink" xfId="3305" builtinId="8" hidden="1"/>
    <cellStyle name="Hyperlink" xfId="3307" builtinId="8" hidden="1"/>
    <cellStyle name="Hyperlink" xfId="3309" builtinId="8" hidden="1"/>
    <cellStyle name="Hyperlink" xfId="3311" builtinId="8" hidden="1"/>
    <cellStyle name="Hyperlink" xfId="3313" builtinId="8" hidden="1"/>
    <cellStyle name="Hyperlink" xfId="3315" builtinId="8" hidden="1"/>
    <cellStyle name="Hyperlink" xfId="3317" builtinId="8" hidden="1"/>
    <cellStyle name="Hyperlink" xfId="3319" builtinId="8" hidden="1"/>
    <cellStyle name="Hyperlink" xfId="3321" builtinId="8" hidden="1"/>
    <cellStyle name="Hyperlink" xfId="3323" builtinId="8" hidden="1"/>
    <cellStyle name="Hyperlink" xfId="3325" builtinId="8" hidden="1"/>
    <cellStyle name="Hyperlink" xfId="3327" builtinId="8" hidden="1"/>
    <cellStyle name="Hyperlink" xfId="3329" builtinId="8" hidden="1"/>
    <cellStyle name="Hyperlink" xfId="3331" builtinId="8" hidden="1"/>
    <cellStyle name="Hyperlink" xfId="3333" builtinId="8" hidden="1"/>
    <cellStyle name="Hyperlink" xfId="3335" builtinId="8" hidden="1"/>
    <cellStyle name="Hyperlink" xfId="3337" builtinId="8" hidden="1"/>
    <cellStyle name="Hyperlink" xfId="3339" builtinId="8" hidden="1"/>
    <cellStyle name="Hyperlink" xfId="3341" builtinId="8" hidden="1"/>
    <cellStyle name="Hyperlink" xfId="3343" builtinId="8" hidden="1"/>
    <cellStyle name="Hyperlink" xfId="3345" builtinId="8" hidden="1"/>
    <cellStyle name="Hyperlink" xfId="3347" builtinId="8" hidden="1"/>
    <cellStyle name="Hyperlink" xfId="3349" builtinId="8" hidden="1"/>
    <cellStyle name="Hyperlink" xfId="3351" builtinId="8" hidden="1"/>
    <cellStyle name="Hyperlink" xfId="3353" builtinId="8" hidden="1"/>
    <cellStyle name="Hyperlink" xfId="3355" builtinId="8" hidden="1"/>
    <cellStyle name="Hyperlink" xfId="3357" builtinId="8" hidden="1"/>
    <cellStyle name="Hyperlink" xfId="3359" builtinId="8" hidden="1"/>
    <cellStyle name="Hyperlink" xfId="3361" builtinId="8" hidden="1"/>
    <cellStyle name="Hyperlink" xfId="3363" builtinId="8" hidden="1"/>
    <cellStyle name="Hyperlink" xfId="3365" builtinId="8" hidden="1"/>
    <cellStyle name="Hyperlink" xfId="3367" builtinId="8" hidden="1"/>
    <cellStyle name="Hyperlink" xfId="3369" builtinId="8" hidden="1"/>
    <cellStyle name="Hyperlink" xfId="3371" builtinId="8" hidden="1"/>
    <cellStyle name="Hyperlink" xfId="3373" builtinId="8" hidden="1"/>
    <cellStyle name="Hyperlink" xfId="3375" builtinId="8" hidden="1"/>
    <cellStyle name="Hyperlink" xfId="3377" builtinId="8" hidden="1"/>
    <cellStyle name="Hyperlink" xfId="3379" builtinId="8" hidden="1"/>
    <cellStyle name="Hyperlink" xfId="3381" builtinId="8" hidden="1"/>
    <cellStyle name="Hyperlink" xfId="3383" builtinId="8" hidden="1"/>
    <cellStyle name="Hyperlink" xfId="3385" builtinId="8" hidden="1"/>
    <cellStyle name="Hyperlink" xfId="3387" builtinId="8" hidden="1"/>
    <cellStyle name="Hyperlink" xfId="3389" builtinId="8" hidden="1"/>
    <cellStyle name="Hyperlink" xfId="3391" builtinId="8" hidden="1"/>
    <cellStyle name="Hyperlink" xfId="3393" builtinId="8" hidden="1"/>
    <cellStyle name="Hyperlink" xfId="3395" builtinId="8" hidden="1"/>
    <cellStyle name="Hyperlink" xfId="3397" builtinId="8" hidden="1"/>
    <cellStyle name="Hyperlink" xfId="3399" builtinId="8" hidden="1"/>
    <cellStyle name="Hyperlink" xfId="3401" builtinId="8" hidden="1"/>
    <cellStyle name="Hyperlink" xfId="3403" builtinId="8" hidden="1"/>
    <cellStyle name="Hyperlink" xfId="3405" builtinId="8" hidden="1"/>
    <cellStyle name="Hyperlink" xfId="3407" builtinId="8" hidden="1"/>
    <cellStyle name="Hyperlink" xfId="3409" builtinId="8" hidden="1"/>
    <cellStyle name="Hyperlink" xfId="3411" builtinId="8" hidden="1"/>
    <cellStyle name="Hyperlink" xfId="3413" builtinId="8" hidden="1"/>
    <cellStyle name="Hyperlink" xfId="3415" builtinId="8" hidden="1"/>
    <cellStyle name="Hyperlink" xfId="3417" builtinId="8" hidden="1"/>
    <cellStyle name="Hyperlink" xfId="3419" builtinId="8" hidden="1"/>
    <cellStyle name="Hyperlink" xfId="3421" builtinId="8" hidden="1"/>
    <cellStyle name="Hyperlink" xfId="3423" builtinId="8" hidden="1"/>
    <cellStyle name="Hyperlink" xfId="3425" builtinId="8" hidden="1"/>
    <cellStyle name="Hyperlink" xfId="3427" builtinId="8" hidden="1"/>
    <cellStyle name="Hyperlink" xfId="3429" builtinId="8" hidden="1"/>
    <cellStyle name="Hyperlink" xfId="3431" builtinId="8" hidden="1"/>
    <cellStyle name="Hyperlink" xfId="3433" builtinId="8" hidden="1"/>
    <cellStyle name="Hyperlink" xfId="3435" builtinId="8" hidden="1"/>
    <cellStyle name="Hyperlink" xfId="3437" builtinId="8" hidden="1"/>
    <cellStyle name="Hyperlink" xfId="3439" builtinId="8" hidden="1"/>
    <cellStyle name="Hyperlink" xfId="3441" builtinId="8" hidden="1"/>
    <cellStyle name="Hyperlink" xfId="3443" builtinId="8" hidden="1"/>
    <cellStyle name="Hyperlink" xfId="3445" builtinId="8" hidden="1"/>
    <cellStyle name="Hyperlink" xfId="3447" builtinId="8" hidden="1"/>
    <cellStyle name="Hyperlink" xfId="3449" builtinId="8" hidden="1"/>
    <cellStyle name="Hyperlink" xfId="3451" builtinId="8" hidden="1"/>
    <cellStyle name="Hyperlink" xfId="3453" builtinId="8" hidden="1"/>
    <cellStyle name="Hyperlink" xfId="3455" builtinId="8" hidden="1"/>
    <cellStyle name="Hyperlink" xfId="3457" builtinId="8" hidden="1"/>
    <cellStyle name="Hyperlink" xfId="3459" builtinId="8" hidden="1"/>
    <cellStyle name="Hyperlink" xfId="3461" builtinId="8" hidden="1"/>
    <cellStyle name="Hyperlink" xfId="3463" builtinId="8" hidden="1"/>
    <cellStyle name="Hyperlink" xfId="3465" builtinId="8" hidden="1"/>
    <cellStyle name="Hyperlink" xfId="3467" builtinId="8" hidden="1"/>
    <cellStyle name="Hyperlink" xfId="3469" builtinId="8" hidden="1"/>
    <cellStyle name="Hyperlink" xfId="3471" builtinId="8" hidden="1"/>
    <cellStyle name="Hyperlink" xfId="3473" builtinId="8" hidden="1"/>
    <cellStyle name="Hyperlink" xfId="3475" builtinId="8" hidden="1"/>
    <cellStyle name="Hyperlink" xfId="3477" builtinId="8" hidden="1"/>
    <cellStyle name="Hyperlink" xfId="3479" builtinId="8" hidden="1"/>
    <cellStyle name="Hyperlink" xfId="3481" builtinId="8" hidden="1"/>
    <cellStyle name="Hyperlink" xfId="3483" builtinId="8" hidden="1"/>
    <cellStyle name="Hyperlink" xfId="3485" builtinId="8" hidden="1"/>
    <cellStyle name="Hyperlink" xfId="3487" builtinId="8" hidden="1"/>
    <cellStyle name="Hyperlink" xfId="3489" builtinId="8" hidden="1"/>
    <cellStyle name="Hyperlink" xfId="3491" builtinId="8" hidden="1"/>
    <cellStyle name="Hyperlink" xfId="3493" builtinId="8" hidden="1"/>
    <cellStyle name="Hyperlink" xfId="3495" builtinId="8" hidden="1"/>
    <cellStyle name="Hyperlink" xfId="3497" builtinId="8" hidden="1"/>
    <cellStyle name="Hyperlink" xfId="3499" builtinId="8" hidden="1"/>
    <cellStyle name="Hyperlink" xfId="3501" builtinId="8" hidden="1"/>
    <cellStyle name="Hyperlink" xfId="3503" builtinId="8" hidden="1"/>
    <cellStyle name="Hyperlink" xfId="3505" builtinId="8" hidden="1"/>
    <cellStyle name="Hyperlink" xfId="3507" builtinId="8" hidden="1"/>
    <cellStyle name="Hyperlink" xfId="3509" builtinId="8" hidden="1"/>
    <cellStyle name="Hyperlink" xfId="3511" builtinId="8" hidden="1"/>
    <cellStyle name="Hyperlink" xfId="3513" builtinId="8" hidden="1"/>
    <cellStyle name="Hyperlink" xfId="3515" builtinId="8" hidden="1"/>
    <cellStyle name="Hyperlink" xfId="3517" builtinId="8" hidden="1"/>
    <cellStyle name="Hyperlink" xfId="3519" builtinId="8" hidden="1"/>
    <cellStyle name="Hyperlink" xfId="3521" builtinId="8" hidden="1"/>
    <cellStyle name="Hyperlink" xfId="3523" builtinId="8" hidden="1"/>
    <cellStyle name="Hyperlink" xfId="3525" builtinId="8" hidden="1"/>
    <cellStyle name="Hyperlink" xfId="3527" builtinId="8" hidden="1"/>
    <cellStyle name="Hyperlink" xfId="3529" builtinId="8" hidden="1"/>
    <cellStyle name="Hyperlink" xfId="3531" builtinId="8" hidden="1"/>
    <cellStyle name="Hyperlink" xfId="3533" builtinId="8" hidden="1"/>
    <cellStyle name="Hyperlink" xfId="3535" builtinId="8" hidden="1"/>
    <cellStyle name="Hyperlink" xfId="3537" builtinId="8" hidden="1"/>
    <cellStyle name="Hyperlink" xfId="3539" builtinId="8" hidden="1"/>
    <cellStyle name="Hyperlink" xfId="3541" builtinId="8" hidden="1"/>
    <cellStyle name="Hyperlink" xfId="3543" builtinId="8" hidden="1"/>
    <cellStyle name="Hyperlink" xfId="3545" builtinId="8" hidden="1"/>
    <cellStyle name="Hyperlink" xfId="3547" builtinId="8" hidden="1"/>
    <cellStyle name="Hyperlink" xfId="3549" builtinId="8" hidden="1"/>
    <cellStyle name="Hyperlink" xfId="3551" builtinId="8" hidden="1"/>
    <cellStyle name="Hyperlink" xfId="3553" builtinId="8" hidden="1"/>
    <cellStyle name="Hyperlink" xfId="3555" builtinId="8" hidden="1"/>
    <cellStyle name="Hyperlink" xfId="3557" builtinId="8" hidden="1"/>
    <cellStyle name="Hyperlink" xfId="3559" builtinId="8" hidden="1"/>
    <cellStyle name="Hyperlink" xfId="3561" builtinId="8" hidden="1"/>
    <cellStyle name="Hyperlink" xfId="3563" builtinId="8" hidden="1"/>
    <cellStyle name="Hyperlink" xfId="3565" builtinId="8" hidden="1"/>
    <cellStyle name="Hyperlink" xfId="3567" builtinId="8" hidden="1"/>
    <cellStyle name="Hyperlink" xfId="3569" builtinId="8" hidden="1"/>
    <cellStyle name="Hyperlink" xfId="3571" builtinId="8" hidden="1"/>
    <cellStyle name="Hyperlink" xfId="3573" builtinId="8" hidden="1"/>
    <cellStyle name="Hyperlink" xfId="3575" builtinId="8" hidden="1"/>
    <cellStyle name="Hyperlink" xfId="3577" builtinId="8" hidden="1"/>
    <cellStyle name="Hyperlink" xfId="3579" builtinId="8" hidden="1"/>
    <cellStyle name="Hyperlink" xfId="3581" builtinId="8" hidden="1"/>
    <cellStyle name="Hyperlink" xfId="3583" builtinId="8" hidden="1"/>
    <cellStyle name="Hyperlink" xfId="3585" builtinId="8" hidden="1"/>
    <cellStyle name="Hyperlink" xfId="3587" builtinId="8" hidden="1"/>
    <cellStyle name="Hyperlink" xfId="3589" builtinId="8" hidden="1"/>
    <cellStyle name="Hyperlink" xfId="3591" builtinId="8" hidden="1"/>
    <cellStyle name="Hyperlink" xfId="3593" builtinId="8" hidden="1"/>
    <cellStyle name="Hyperlink" xfId="3595" builtinId="8" hidden="1"/>
    <cellStyle name="Hyperlink" xfId="3597" builtinId="8" hidden="1"/>
    <cellStyle name="Hyperlink" xfId="3599" builtinId="8" hidden="1"/>
    <cellStyle name="Hyperlink" xfId="3601" builtinId="8" hidden="1"/>
    <cellStyle name="Hyperlink" xfId="3603" builtinId="8" hidden="1"/>
    <cellStyle name="Hyperlink" xfId="3605" builtinId="8" hidden="1"/>
    <cellStyle name="Hyperlink" xfId="3607" builtinId="8" hidden="1"/>
    <cellStyle name="Hyperlink" xfId="3609" builtinId="8" hidden="1"/>
    <cellStyle name="Hyperlink" xfId="3611" builtinId="8" hidden="1"/>
    <cellStyle name="Hyperlink" xfId="3613" builtinId="8" hidden="1"/>
    <cellStyle name="Hyperlink" xfId="3615" builtinId="8" hidden="1"/>
    <cellStyle name="Hyperlink" xfId="3617" builtinId="8" hidden="1"/>
    <cellStyle name="Hyperlink" xfId="3619" builtinId="8" hidden="1"/>
    <cellStyle name="Hyperlink" xfId="3621" builtinId="8" hidden="1"/>
    <cellStyle name="Hyperlink" xfId="3623" builtinId="8" hidden="1"/>
    <cellStyle name="Hyperlink" xfId="3625" builtinId="8" hidden="1"/>
    <cellStyle name="Hyperlink" xfId="3627" builtinId="8" hidden="1"/>
    <cellStyle name="Hyperlink" xfId="3629" builtinId="8" hidden="1"/>
    <cellStyle name="Hyperlink" xfId="3631" builtinId="8" hidden="1"/>
    <cellStyle name="Hyperlink" xfId="3633" builtinId="8" hidden="1"/>
    <cellStyle name="Hyperlink" xfId="3635" builtinId="8" hidden="1"/>
    <cellStyle name="Hyperlink" xfId="3637" builtinId="8" hidden="1"/>
    <cellStyle name="Hyperlink" xfId="3639" builtinId="8" hidden="1"/>
    <cellStyle name="Hyperlink" xfId="3641" builtinId="8" hidden="1"/>
    <cellStyle name="Hyperlink" xfId="3643" builtinId="8" hidden="1"/>
    <cellStyle name="Hyperlink" xfId="3645" builtinId="8" hidden="1"/>
    <cellStyle name="Hyperlink" xfId="3647" builtinId="8" hidden="1"/>
    <cellStyle name="Hyperlink" xfId="3649" builtinId="8" hidden="1"/>
    <cellStyle name="Hyperlink" xfId="3651" builtinId="8" hidden="1"/>
    <cellStyle name="Hyperlink" xfId="3653" builtinId="8" hidden="1"/>
    <cellStyle name="Hyperlink" xfId="3655" builtinId="8" hidden="1"/>
    <cellStyle name="Hyperlink" xfId="3657" builtinId="8" hidden="1"/>
    <cellStyle name="Hyperlink" xfId="3659" builtinId="8" hidden="1"/>
    <cellStyle name="Hyperlink" xfId="3661" builtinId="8" hidden="1"/>
    <cellStyle name="Hyperlink" xfId="3663" builtinId="8" hidden="1"/>
    <cellStyle name="Hyperlink" xfId="3665" builtinId="8" hidden="1"/>
    <cellStyle name="Hyperlink" xfId="3667" builtinId="8" hidden="1"/>
    <cellStyle name="Hyperlink" xfId="3669" builtinId="8" hidden="1"/>
    <cellStyle name="Hyperlink" xfId="3671" builtinId="8" hidden="1"/>
    <cellStyle name="Hyperlink" xfId="3673" builtinId="8" hidden="1"/>
    <cellStyle name="Hyperlink" xfId="3675" builtinId="8" hidden="1"/>
    <cellStyle name="Hyperlink" xfId="3677" builtinId="8" hidden="1"/>
    <cellStyle name="Hyperlink" xfId="3679" builtinId="8" hidden="1"/>
    <cellStyle name="Hyperlink" xfId="3681" builtinId="8" hidden="1"/>
    <cellStyle name="Hyperlink" xfId="3683" builtinId="8" hidden="1"/>
    <cellStyle name="Hyperlink" xfId="3685" builtinId="8" hidden="1"/>
    <cellStyle name="Hyperlink" xfId="3687" builtinId="8" hidden="1"/>
    <cellStyle name="Hyperlink" xfId="3689" builtinId="8" hidden="1"/>
    <cellStyle name="Hyperlink" xfId="3691" builtinId="8" hidden="1"/>
    <cellStyle name="Hyperlink" xfId="3693" builtinId="8" hidden="1"/>
    <cellStyle name="Hyperlink" xfId="3695" builtinId="8" hidden="1"/>
    <cellStyle name="Hyperlink" xfId="3697" builtinId="8" hidden="1"/>
    <cellStyle name="Hyperlink" xfId="3699" builtinId="8" hidden="1"/>
    <cellStyle name="Hyperlink" xfId="3701" builtinId="8" hidden="1"/>
    <cellStyle name="Hyperlink" xfId="3703" builtinId="8" hidden="1"/>
    <cellStyle name="Hyperlink" xfId="3705" builtinId="8" hidden="1"/>
    <cellStyle name="Hyperlink" xfId="3707" builtinId="8" hidden="1"/>
    <cellStyle name="Hyperlink" xfId="3709" builtinId="8" hidden="1"/>
    <cellStyle name="Hyperlink" xfId="3711" builtinId="8" hidden="1"/>
    <cellStyle name="Hyperlink" xfId="3713" builtinId="8" hidden="1"/>
    <cellStyle name="Hyperlink" xfId="3715" builtinId="8" hidden="1"/>
    <cellStyle name="Hyperlink" xfId="3717" builtinId="8" hidden="1"/>
    <cellStyle name="Hyperlink" xfId="3719" builtinId="8" hidden="1"/>
    <cellStyle name="Hyperlink" xfId="3721" builtinId="8" hidden="1"/>
    <cellStyle name="Hyperlink" xfId="3723" builtinId="8" hidden="1"/>
    <cellStyle name="Hyperlink" xfId="3725" builtinId="8" hidden="1"/>
    <cellStyle name="Hyperlink" xfId="3727" builtinId="8" hidden="1"/>
    <cellStyle name="Hyperlink" xfId="3729" builtinId="8" hidden="1"/>
    <cellStyle name="Hyperlink" xfId="3731" builtinId="8" hidden="1"/>
    <cellStyle name="Hyperlink" xfId="3733" builtinId="8" hidden="1"/>
    <cellStyle name="Hyperlink" xfId="3735" builtinId="8" hidden="1"/>
    <cellStyle name="Hyperlink" xfId="3737" builtinId="8" hidden="1"/>
    <cellStyle name="Hyperlink" xfId="3739" builtinId="8" hidden="1"/>
    <cellStyle name="Hyperlink" xfId="3741" builtinId="8" hidden="1"/>
    <cellStyle name="Hyperlink" xfId="3743" builtinId="8" hidden="1"/>
    <cellStyle name="Hyperlink" xfId="3745" builtinId="8" hidden="1"/>
    <cellStyle name="Hyperlink" xfId="3747" builtinId="8" hidden="1"/>
    <cellStyle name="Hyperlink" xfId="3749" builtinId="8" hidden="1"/>
    <cellStyle name="Hyperlink" xfId="3751" builtinId="8" hidden="1"/>
    <cellStyle name="Hyperlink" xfId="3753" builtinId="8" hidden="1"/>
    <cellStyle name="Hyperlink" xfId="3755" builtinId="8" hidden="1"/>
    <cellStyle name="Hyperlink" xfId="3757" builtinId="8" hidden="1"/>
    <cellStyle name="Hyperlink" xfId="3759" builtinId="8" hidden="1"/>
    <cellStyle name="Hyperlink" xfId="3761" builtinId="8" hidden="1"/>
    <cellStyle name="Hyperlink" xfId="3763" builtinId="8" hidden="1"/>
    <cellStyle name="Hyperlink" xfId="3765" builtinId="8" hidden="1"/>
    <cellStyle name="Hyperlink" xfId="3767" builtinId="8" hidden="1"/>
    <cellStyle name="Hyperlink" xfId="3769" builtinId="8" hidden="1"/>
    <cellStyle name="Hyperlink" xfId="3771" builtinId="8" hidden="1"/>
    <cellStyle name="Hyperlink" xfId="3773" builtinId="8" hidden="1"/>
    <cellStyle name="Hyperlink" xfId="3775" builtinId="8" hidden="1"/>
    <cellStyle name="Hyperlink" xfId="3777" builtinId="8" hidden="1"/>
    <cellStyle name="Hyperlink" xfId="3779" builtinId="8" hidden="1"/>
    <cellStyle name="Hyperlink" xfId="3781" builtinId="8" hidden="1"/>
    <cellStyle name="Hyperlink" xfId="3783" builtinId="8" hidden="1"/>
    <cellStyle name="Hyperlink" xfId="3785" builtinId="8" hidden="1"/>
    <cellStyle name="Hyperlink" xfId="3787" builtinId="8" hidden="1"/>
    <cellStyle name="Hyperlink" xfId="3789" builtinId="8" hidden="1"/>
    <cellStyle name="Hyperlink" xfId="3791" builtinId="8" hidden="1"/>
    <cellStyle name="Hyperlink" xfId="3793" builtinId="8" hidden="1"/>
    <cellStyle name="Hyperlink" xfId="3795" builtinId="8" hidden="1"/>
    <cellStyle name="Hyperlink" xfId="3797" builtinId="8" hidden="1"/>
    <cellStyle name="Hyperlink" xfId="3799" builtinId="8" hidden="1"/>
    <cellStyle name="Hyperlink" xfId="3801" builtinId="8" hidden="1"/>
    <cellStyle name="Hyperlink" xfId="3803" builtinId="8" hidden="1"/>
    <cellStyle name="Hyperlink" xfId="3805" builtinId="8" hidden="1"/>
    <cellStyle name="Hyperlink" xfId="3807" builtinId="8" hidden="1"/>
    <cellStyle name="Hyperlink" xfId="3809" builtinId="8" hidden="1"/>
    <cellStyle name="Hyperlink" xfId="3811" builtinId="8" hidden="1"/>
    <cellStyle name="Hyperlink" xfId="3813" builtinId="8" hidden="1"/>
    <cellStyle name="Hyperlink" xfId="3815" builtinId="8" hidden="1"/>
    <cellStyle name="Hyperlink" xfId="3817" builtinId="8" hidden="1"/>
    <cellStyle name="Hyperlink" xfId="3819" builtinId="8" hidden="1"/>
    <cellStyle name="Hyperlink" xfId="3821" builtinId="8" hidden="1"/>
    <cellStyle name="Hyperlink" xfId="3823" builtinId="8" hidden="1"/>
    <cellStyle name="Hyperlink" xfId="3825" builtinId="8" hidden="1"/>
    <cellStyle name="Hyperlink" xfId="3827" builtinId="8" hidden="1"/>
    <cellStyle name="Hyperlink" xfId="3829" builtinId="8" hidden="1"/>
    <cellStyle name="Hyperlink" xfId="3831" builtinId="8" hidden="1"/>
    <cellStyle name="Hyperlink" xfId="3833" builtinId="8" hidden="1"/>
    <cellStyle name="Hyperlink" xfId="3835" builtinId="8" hidden="1"/>
    <cellStyle name="Hyperlink" xfId="3837" builtinId="8" hidden="1"/>
    <cellStyle name="Hyperlink" xfId="3839" builtinId="8" hidden="1"/>
    <cellStyle name="Hyperlink" xfId="3841" builtinId="8" hidden="1"/>
    <cellStyle name="Hyperlink" xfId="3843" builtinId="8" hidden="1"/>
    <cellStyle name="Hyperlink" xfId="3845" builtinId="8" hidden="1"/>
    <cellStyle name="Hyperlink" xfId="3847" builtinId="8" hidden="1"/>
    <cellStyle name="Hyperlink" xfId="3849" builtinId="8" hidden="1"/>
    <cellStyle name="Hyperlink" xfId="3851" builtinId="8" hidden="1"/>
    <cellStyle name="Hyperlink" xfId="3853" builtinId="8" hidden="1"/>
    <cellStyle name="Hyperlink" xfId="3855" builtinId="8" hidden="1"/>
    <cellStyle name="Hyperlink" xfId="3857" builtinId="8" hidden="1"/>
    <cellStyle name="Hyperlink" xfId="3859" builtinId="8" hidden="1"/>
    <cellStyle name="Hyperlink" xfId="3861" builtinId="8" hidden="1"/>
    <cellStyle name="Hyperlink" xfId="3863" builtinId="8" hidden="1"/>
    <cellStyle name="Hyperlink" xfId="3865" builtinId="8" hidden="1"/>
    <cellStyle name="Hyperlink" xfId="3867" builtinId="8" hidden="1"/>
    <cellStyle name="Hyperlink" xfId="3869" builtinId="8" hidden="1"/>
    <cellStyle name="Hyperlink" xfId="3871" builtinId="8" hidden="1"/>
    <cellStyle name="Hyperlink" xfId="3873" builtinId="8" hidden="1"/>
    <cellStyle name="Hyperlink" xfId="3875" builtinId="8" hidden="1"/>
    <cellStyle name="Hyperlink" xfId="3877" builtinId="8" hidden="1"/>
    <cellStyle name="Hyperlink" xfId="3879" builtinId="8" hidden="1"/>
    <cellStyle name="Hyperlink" xfId="3881" builtinId="8" hidden="1"/>
    <cellStyle name="Hyperlink" xfId="3883" builtinId="8" hidden="1"/>
    <cellStyle name="Hyperlink" xfId="3885" builtinId="8" hidden="1"/>
    <cellStyle name="Hyperlink" xfId="3887" builtinId="8" hidden="1"/>
    <cellStyle name="Hyperlink" xfId="3889" builtinId="8" hidden="1"/>
    <cellStyle name="Hyperlink" xfId="3891" builtinId="8" hidden="1"/>
    <cellStyle name="Hyperlink" xfId="3893" builtinId="8" hidden="1"/>
    <cellStyle name="Hyperlink" xfId="3895" builtinId="8" hidden="1"/>
    <cellStyle name="Hyperlink" xfId="3897" builtinId="8" hidden="1"/>
    <cellStyle name="Hyperlink" xfId="3899" builtinId="8" hidden="1"/>
    <cellStyle name="Hyperlink" xfId="3901" builtinId="8" hidden="1"/>
    <cellStyle name="Hyperlink" xfId="3903" builtinId="8" hidden="1"/>
    <cellStyle name="Hyperlink" xfId="3905" builtinId="8" hidden="1"/>
    <cellStyle name="Hyperlink" xfId="3907" builtinId="8" hidden="1"/>
    <cellStyle name="Hyperlink" xfId="3909" builtinId="8" hidden="1"/>
    <cellStyle name="Hyperlink" xfId="3911" builtinId="8" hidden="1"/>
    <cellStyle name="Hyperlink" xfId="3913" builtinId="8" hidden="1"/>
    <cellStyle name="Hyperlink" xfId="3915" builtinId="8" hidden="1"/>
    <cellStyle name="Hyperlink" xfId="3917" builtinId="8" hidden="1"/>
    <cellStyle name="Hyperlink" xfId="3919" builtinId="8" hidden="1"/>
    <cellStyle name="Hyperlink" xfId="3921" builtinId="8" hidden="1"/>
    <cellStyle name="Hyperlink" xfId="3923" builtinId="8" hidden="1"/>
    <cellStyle name="Hyperlink" xfId="3925" builtinId="8" hidden="1"/>
    <cellStyle name="Hyperlink" xfId="3927" builtinId="8" hidden="1"/>
    <cellStyle name="Hyperlink" xfId="3929" builtinId="8" hidden="1"/>
    <cellStyle name="Hyperlink" xfId="3931" builtinId="8" hidden="1"/>
    <cellStyle name="Hyperlink" xfId="3933" builtinId="8" hidden="1"/>
    <cellStyle name="Hyperlink" xfId="3935" builtinId="8" hidden="1"/>
    <cellStyle name="Hyperlink" xfId="3937" builtinId="8" hidden="1"/>
    <cellStyle name="Hyperlink" xfId="3939" builtinId="8" hidden="1"/>
    <cellStyle name="Hyperlink" xfId="3941" builtinId="8" hidden="1"/>
    <cellStyle name="Hyperlink" xfId="3943" builtinId="8" hidden="1"/>
    <cellStyle name="Hyperlink" xfId="3945" builtinId="8" hidden="1"/>
    <cellStyle name="Hyperlink" xfId="3947" builtinId="8" hidden="1"/>
    <cellStyle name="Hyperlink" xfId="3949" builtinId="8" hidden="1"/>
    <cellStyle name="Hyperlink" xfId="3951" builtinId="8" hidden="1"/>
    <cellStyle name="Hyperlink" xfId="3953" builtinId="8" hidden="1"/>
    <cellStyle name="Hyperlink" xfId="3955" builtinId="8" hidden="1"/>
    <cellStyle name="Hyperlink" xfId="3957" builtinId="8" hidden="1"/>
    <cellStyle name="Hyperlink" xfId="3959" builtinId="8" hidden="1"/>
    <cellStyle name="Hyperlink" xfId="3961" builtinId="8" hidden="1"/>
    <cellStyle name="Hyperlink" xfId="3963" builtinId="8" hidden="1"/>
    <cellStyle name="Hyperlink" xfId="3965" builtinId="8" hidden="1"/>
    <cellStyle name="Hyperlink" xfId="3967" builtinId="8" hidden="1"/>
    <cellStyle name="Hyperlink" xfId="3969" builtinId="8" hidden="1"/>
    <cellStyle name="Hyperlink" xfId="3971" builtinId="8" hidden="1"/>
    <cellStyle name="Hyperlink" xfId="3973" builtinId="8" hidden="1"/>
    <cellStyle name="Hyperlink" xfId="3975" builtinId="8" hidden="1"/>
    <cellStyle name="Hyperlink" xfId="3977" builtinId="8" hidden="1"/>
    <cellStyle name="Hyperlink" xfId="3979" builtinId="8" hidden="1"/>
    <cellStyle name="Hyperlink" xfId="3981" builtinId="8" hidden="1"/>
    <cellStyle name="Hyperlink" xfId="3983" builtinId="8" hidden="1"/>
    <cellStyle name="Hyperlink" xfId="3985" builtinId="8" hidden="1"/>
    <cellStyle name="Hyperlink" xfId="3987" builtinId="8" hidden="1"/>
    <cellStyle name="Hyperlink" xfId="3989" builtinId="8" hidden="1"/>
    <cellStyle name="Hyperlink" xfId="3991" builtinId="8" hidden="1"/>
    <cellStyle name="Hyperlink" xfId="3993" builtinId="8" hidden="1"/>
    <cellStyle name="Hyperlink" xfId="3995" builtinId="8" hidden="1"/>
    <cellStyle name="Hyperlink" xfId="3997" builtinId="8" hidden="1"/>
    <cellStyle name="Hyperlink" xfId="3999" builtinId="8" hidden="1"/>
    <cellStyle name="Hyperlink" xfId="4001" builtinId="8" hidden="1"/>
    <cellStyle name="Hyperlink" xfId="4003" builtinId="8" hidden="1"/>
    <cellStyle name="Hyperlink" xfId="4005" builtinId="8" hidden="1"/>
    <cellStyle name="Hyperlink" xfId="4007" builtinId="8" hidden="1"/>
    <cellStyle name="Hyperlink" xfId="4009" builtinId="8" hidden="1"/>
    <cellStyle name="Hyperlink" xfId="4011" builtinId="8" hidden="1"/>
    <cellStyle name="Hyperlink" xfId="4013" builtinId="8" hidden="1"/>
    <cellStyle name="Hyperlink" xfId="4015" builtinId="8" hidden="1"/>
    <cellStyle name="Hyperlink" xfId="4017" builtinId="8" hidden="1"/>
    <cellStyle name="Hyperlink" xfId="4019" builtinId="8" hidden="1"/>
    <cellStyle name="Hyperlink" xfId="4021" builtinId="8" hidden="1"/>
    <cellStyle name="Hyperlink" xfId="4023" builtinId="8" hidden="1"/>
    <cellStyle name="Hyperlink" xfId="4025" builtinId="8" hidden="1"/>
    <cellStyle name="Hyperlink" xfId="4027" builtinId="8" hidden="1"/>
    <cellStyle name="Hyperlink" xfId="4029" builtinId="8" hidden="1"/>
    <cellStyle name="Hyperlink" xfId="4031" builtinId="8" hidden="1"/>
    <cellStyle name="Hyperlink" xfId="4033" builtinId="8" hidden="1"/>
    <cellStyle name="Hyperlink" xfId="4035" builtinId="8" hidden="1"/>
    <cellStyle name="Hyperlink" xfId="4037" builtinId="8" hidden="1"/>
    <cellStyle name="Hyperlink" xfId="4039" builtinId="8" hidden="1"/>
    <cellStyle name="Hyperlink" xfId="4041" builtinId="8" hidden="1"/>
    <cellStyle name="Hyperlink" xfId="4043" builtinId="8" hidden="1"/>
    <cellStyle name="Hyperlink" xfId="4045" builtinId="8" hidden="1"/>
    <cellStyle name="Hyperlink" xfId="4047" builtinId="8" hidden="1"/>
    <cellStyle name="Hyperlink" xfId="4049" builtinId="8" hidden="1"/>
    <cellStyle name="Hyperlink" xfId="4051" builtinId="8" hidden="1"/>
    <cellStyle name="Hyperlink" xfId="4053" builtinId="8" hidden="1"/>
    <cellStyle name="Hyperlink" xfId="4055" builtinId="8" hidden="1"/>
    <cellStyle name="Hyperlink" xfId="4057" builtinId="8" hidden="1"/>
    <cellStyle name="Hyperlink" xfId="4059" builtinId="8" hidden="1"/>
    <cellStyle name="Hyperlink" xfId="4061" builtinId="8" hidden="1"/>
    <cellStyle name="Hyperlink" xfId="4063" builtinId="8" hidden="1"/>
    <cellStyle name="Hyperlink" xfId="406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6244084354321"/>
          <c:y val="0.0731707317073171"/>
          <c:w val="0.537721906383324"/>
          <c:h val="0.844119454580373"/>
        </c:manualLayout>
      </c:layout>
      <c:scatterChart>
        <c:scatterStyle val="smoothMarker"/>
        <c:varyColors val="0"/>
        <c:ser>
          <c:idx val="0"/>
          <c:order val="0"/>
          <c:tx>
            <c:v>g band OCTOCAM</c:v>
          </c:tx>
          <c:marker>
            <c:symbol val="none"/>
          </c:marker>
          <c:xVal>
            <c:numRef>
              <c:f>Imaging!$C$5:$F$5</c:f>
              <c:numCache>
                <c:formatCode>General</c:formatCode>
                <c:ptCount val="4"/>
                <c:pt idx="0">
                  <c:v>400.0</c:v>
                </c:pt>
                <c:pt idx="1">
                  <c:v>468.5</c:v>
                </c:pt>
                <c:pt idx="2">
                  <c:v>510.0</c:v>
                </c:pt>
                <c:pt idx="3">
                  <c:v>552.0</c:v>
                </c:pt>
              </c:numCache>
            </c:numRef>
          </c:xVal>
          <c:yVal>
            <c:numRef>
              <c:f>Imaging!$C$20:$F$20</c:f>
              <c:numCache>
                <c:formatCode>0.000</c:formatCode>
                <c:ptCount val="4"/>
                <c:pt idx="0">
                  <c:v>0.355821758212926</c:v>
                </c:pt>
                <c:pt idx="1">
                  <c:v>0.472959342761707</c:v>
                </c:pt>
                <c:pt idx="2">
                  <c:v>0.469999406166034</c:v>
                </c:pt>
                <c:pt idx="3">
                  <c:v>0.471268299975894</c:v>
                </c:pt>
              </c:numCache>
            </c:numRef>
          </c:yVal>
          <c:smooth val="1"/>
        </c:ser>
        <c:ser>
          <c:idx val="1"/>
          <c:order val="1"/>
          <c:tx>
            <c:v>g band OCTOCAM + Telescope</c:v>
          </c:tx>
          <c:marker>
            <c:symbol val="none"/>
          </c:marker>
          <c:xVal>
            <c:numRef>
              <c:f>Imaging!$C$5:$F$5</c:f>
              <c:numCache>
                <c:formatCode>General</c:formatCode>
                <c:ptCount val="4"/>
                <c:pt idx="0">
                  <c:v>400.0</c:v>
                </c:pt>
                <c:pt idx="1">
                  <c:v>468.5</c:v>
                </c:pt>
                <c:pt idx="2">
                  <c:v>510.0</c:v>
                </c:pt>
                <c:pt idx="3">
                  <c:v>552.0</c:v>
                </c:pt>
              </c:numCache>
            </c:numRef>
          </c:xVal>
          <c:yVal>
            <c:numRef>
              <c:f>Imaging!$C$22:$F$22</c:f>
              <c:numCache>
                <c:formatCode>0.000</c:formatCode>
                <c:ptCount val="4"/>
                <c:pt idx="0">
                  <c:v>0.197252685207873</c:v>
                </c:pt>
                <c:pt idx="1">
                  <c:v>0.332916033307837</c:v>
                </c:pt>
                <c:pt idx="2">
                  <c:v>0.363153162763925</c:v>
                </c:pt>
                <c:pt idx="3">
                  <c:v>0.381365463122574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8878920"/>
        <c:axId val="-2129130696"/>
      </c:scatterChart>
      <c:valAx>
        <c:axId val="-2128878920"/>
        <c:scaling>
          <c:orientation val="minMax"/>
          <c:min val="350.0"/>
        </c:scaling>
        <c:delete val="0"/>
        <c:axPos val="b"/>
        <c:numFmt formatCode="General" sourceLinked="1"/>
        <c:majorTickMark val="out"/>
        <c:minorTickMark val="none"/>
        <c:tickLblPos val="nextTo"/>
        <c:crossAx val="-2129130696"/>
        <c:crosses val="autoZero"/>
        <c:crossBetween val="midCat"/>
      </c:valAx>
      <c:valAx>
        <c:axId val="-2129130696"/>
        <c:scaling>
          <c:orientation val="minMax"/>
        </c:scaling>
        <c:delete val="0"/>
        <c:axPos val="l"/>
        <c:majorGridlines/>
        <c:numFmt formatCode="0.000" sourceLinked="1"/>
        <c:majorTickMark val="out"/>
        <c:minorTickMark val="none"/>
        <c:tickLblPos val="nextTo"/>
        <c:crossAx val="-212887892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1392089502326"/>
          <c:y val="0.048780487804878"/>
          <c:w val="0.540694100922367"/>
          <c:h val="0.844119454580373"/>
        </c:manualLayout>
      </c:layout>
      <c:scatterChart>
        <c:scatterStyle val="smoothMarker"/>
        <c:varyColors val="0"/>
        <c:ser>
          <c:idx val="0"/>
          <c:order val="0"/>
          <c:tx>
            <c:v>r band OCTOCAM</c:v>
          </c:tx>
          <c:marker>
            <c:symbol val="none"/>
          </c:marker>
          <c:xVal>
            <c:numRef>
              <c:f>Imaging!$B$25:$F$25</c:f>
              <c:numCache>
                <c:formatCode>General</c:formatCode>
                <c:ptCount val="5"/>
                <c:pt idx="0">
                  <c:v>552.0</c:v>
                </c:pt>
                <c:pt idx="1">
                  <c:v>580.0</c:v>
                </c:pt>
                <c:pt idx="2">
                  <c:v>622.0</c:v>
                </c:pt>
                <c:pt idx="3">
                  <c:v>650.0</c:v>
                </c:pt>
                <c:pt idx="4">
                  <c:v>691.0</c:v>
                </c:pt>
              </c:numCache>
            </c:numRef>
          </c:xVal>
          <c:yVal>
            <c:numRef>
              <c:f>Imaging!$B$40:$F$40</c:f>
              <c:numCache>
                <c:formatCode>0.000</c:formatCode>
                <c:ptCount val="5"/>
                <c:pt idx="0">
                  <c:v>0.443533332489408</c:v>
                </c:pt>
                <c:pt idx="1">
                  <c:v>0.454544001310112</c:v>
                </c:pt>
                <c:pt idx="2">
                  <c:v>0.447162695778301</c:v>
                </c:pt>
                <c:pt idx="3">
                  <c:v>0.434896063665539</c:v>
                </c:pt>
                <c:pt idx="4">
                  <c:v>0.411226455262585</c:v>
                </c:pt>
              </c:numCache>
            </c:numRef>
          </c:yVal>
          <c:smooth val="1"/>
        </c:ser>
        <c:ser>
          <c:idx val="1"/>
          <c:order val="1"/>
          <c:tx>
            <c:v>r band OCTOCAM + Telescope</c:v>
          </c:tx>
          <c:marker>
            <c:symbol val="none"/>
          </c:marker>
          <c:xVal>
            <c:numRef>
              <c:f>Imaging!$B$25:$F$25</c:f>
              <c:numCache>
                <c:formatCode>General</c:formatCode>
                <c:ptCount val="5"/>
                <c:pt idx="0">
                  <c:v>552.0</c:v>
                </c:pt>
                <c:pt idx="1">
                  <c:v>580.0</c:v>
                </c:pt>
                <c:pt idx="2">
                  <c:v>622.0</c:v>
                </c:pt>
                <c:pt idx="3">
                  <c:v>650.0</c:v>
                </c:pt>
                <c:pt idx="4">
                  <c:v>691.0</c:v>
                </c:pt>
              </c:numCache>
            </c:numRef>
          </c:xVal>
          <c:yVal>
            <c:numRef>
              <c:f>Imaging!$B$42:$F$42</c:f>
              <c:numCache>
                <c:formatCode>0.000</c:formatCode>
                <c:ptCount val="5"/>
                <c:pt idx="0">
                  <c:v>0.358921435546956</c:v>
                </c:pt>
                <c:pt idx="1">
                  <c:v>0.376781039746434</c:v>
                </c:pt>
                <c:pt idx="2">
                  <c:v>0.380694814861068</c:v>
                </c:pt>
                <c:pt idx="3">
                  <c:v>0.374885492119367</c:v>
                </c:pt>
                <c:pt idx="4">
                  <c:v>0.360898140621142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5557160"/>
        <c:axId val="2135550840"/>
      </c:scatterChart>
      <c:valAx>
        <c:axId val="2135557160"/>
        <c:scaling>
          <c:orientation val="minMax"/>
          <c:min val="500.0"/>
        </c:scaling>
        <c:delete val="0"/>
        <c:axPos val="b"/>
        <c:numFmt formatCode="General" sourceLinked="1"/>
        <c:majorTickMark val="out"/>
        <c:minorTickMark val="none"/>
        <c:tickLblPos val="nextTo"/>
        <c:crossAx val="2135550840"/>
        <c:crosses val="autoZero"/>
        <c:crossBetween val="midCat"/>
      </c:valAx>
      <c:valAx>
        <c:axId val="2135550840"/>
        <c:scaling>
          <c:orientation val="minMax"/>
          <c:min val="0.0"/>
        </c:scaling>
        <c:delete val="0"/>
        <c:axPos val="l"/>
        <c:majorGridlines/>
        <c:numFmt formatCode="0.000" sourceLinked="1"/>
        <c:majorTickMark val="out"/>
        <c:minorTickMark val="none"/>
        <c:tickLblPos val="nextTo"/>
        <c:crossAx val="213555716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i band OCTOCAM</c:v>
          </c:tx>
          <c:marker>
            <c:symbol val="none"/>
          </c:marker>
          <c:xVal>
            <c:numRef>
              <c:f>Imaging!$B$46:$F$46</c:f>
              <c:numCache>
                <c:formatCode>General</c:formatCode>
                <c:ptCount val="5"/>
                <c:pt idx="0">
                  <c:v>691.0</c:v>
                </c:pt>
                <c:pt idx="1">
                  <c:v>720.0</c:v>
                </c:pt>
                <c:pt idx="2">
                  <c:v>755.0</c:v>
                </c:pt>
                <c:pt idx="3">
                  <c:v>780.0</c:v>
                </c:pt>
                <c:pt idx="4">
                  <c:v>818.0</c:v>
                </c:pt>
              </c:numCache>
            </c:numRef>
          </c:xVal>
          <c:yVal>
            <c:numRef>
              <c:f>Imaging!$B$61:$F$61</c:f>
              <c:numCache>
                <c:formatCode>0.000</c:formatCode>
                <c:ptCount val="5"/>
                <c:pt idx="0">
                  <c:v>0.470075310066869</c:v>
                </c:pt>
                <c:pt idx="1">
                  <c:v>0.477053132646234</c:v>
                </c:pt>
                <c:pt idx="2">
                  <c:v>0.47669434956577</c:v>
                </c:pt>
                <c:pt idx="3">
                  <c:v>0.471163459983685</c:v>
                </c:pt>
                <c:pt idx="4">
                  <c:v>0.441556387945397</c:v>
                </c:pt>
              </c:numCache>
            </c:numRef>
          </c:yVal>
          <c:smooth val="1"/>
        </c:ser>
        <c:ser>
          <c:idx val="1"/>
          <c:order val="1"/>
          <c:tx>
            <c:v>i band OCTOCAM + Telescope</c:v>
          </c:tx>
          <c:marker>
            <c:symbol val="none"/>
          </c:marker>
          <c:xVal>
            <c:numRef>
              <c:f>Imaging!$B$46:$F$46</c:f>
              <c:numCache>
                <c:formatCode>General</c:formatCode>
                <c:ptCount val="5"/>
                <c:pt idx="0">
                  <c:v>691.0</c:v>
                </c:pt>
                <c:pt idx="1">
                  <c:v>720.0</c:v>
                </c:pt>
                <c:pt idx="2">
                  <c:v>755.0</c:v>
                </c:pt>
                <c:pt idx="3">
                  <c:v>780.0</c:v>
                </c:pt>
                <c:pt idx="4">
                  <c:v>818.0</c:v>
                </c:pt>
              </c:numCache>
            </c:numRef>
          </c:xVal>
          <c:yVal>
            <c:numRef>
              <c:f>Imaging!$B$63:$F$63</c:f>
              <c:numCache>
                <c:formatCode>0.000</c:formatCode>
                <c:ptCount val="5"/>
                <c:pt idx="0">
                  <c:v>0.412544726108907</c:v>
                </c:pt>
                <c:pt idx="1">
                  <c:v>0.423933252205303</c:v>
                </c:pt>
                <c:pt idx="2">
                  <c:v>0.427293434550576</c:v>
                </c:pt>
                <c:pt idx="3">
                  <c:v>0.425618598100581</c:v>
                </c:pt>
                <c:pt idx="4">
                  <c:v>0.402532888822819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40783496"/>
        <c:axId val="-2140780440"/>
      </c:scatterChart>
      <c:valAx>
        <c:axId val="-2140783496"/>
        <c:scaling>
          <c:orientation val="minMax"/>
          <c:min val="650.0"/>
        </c:scaling>
        <c:delete val="0"/>
        <c:axPos val="b"/>
        <c:numFmt formatCode="General" sourceLinked="1"/>
        <c:majorTickMark val="out"/>
        <c:minorTickMark val="none"/>
        <c:tickLblPos val="nextTo"/>
        <c:crossAx val="-2140780440"/>
        <c:crosses val="autoZero"/>
        <c:crossBetween val="midCat"/>
      </c:valAx>
      <c:valAx>
        <c:axId val="-2140780440"/>
        <c:scaling>
          <c:orientation val="minMax"/>
          <c:min val="0.0"/>
        </c:scaling>
        <c:delete val="0"/>
        <c:axPos val="l"/>
        <c:majorGridlines/>
        <c:numFmt formatCode="0.000" sourceLinked="1"/>
        <c:majorTickMark val="out"/>
        <c:minorTickMark val="none"/>
        <c:tickLblPos val="nextTo"/>
        <c:crossAx val="-214078349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z band OCTOCAM</c:v>
          </c:tx>
          <c:marker>
            <c:symbol val="none"/>
          </c:marker>
          <c:xVal>
            <c:numRef>
              <c:f>Imaging!$B$67:$E$67</c:f>
              <c:numCache>
                <c:formatCode>General</c:formatCode>
                <c:ptCount val="4"/>
                <c:pt idx="0">
                  <c:v>818.0</c:v>
                </c:pt>
                <c:pt idx="1">
                  <c:v>850.0</c:v>
                </c:pt>
                <c:pt idx="2">
                  <c:v>889.0</c:v>
                </c:pt>
                <c:pt idx="3">
                  <c:v>922.0</c:v>
                </c:pt>
              </c:numCache>
            </c:numRef>
          </c:xVal>
          <c:yVal>
            <c:numRef>
              <c:f>Imaging!$B$84:$E$84</c:f>
              <c:numCache>
                <c:formatCode>0.000</c:formatCode>
                <c:ptCount val="4"/>
                <c:pt idx="0">
                  <c:v>0.390548270420082</c:v>
                </c:pt>
                <c:pt idx="1">
                  <c:v>0.368702524285999</c:v>
                </c:pt>
                <c:pt idx="2">
                  <c:v>0.301615088985488</c:v>
                </c:pt>
                <c:pt idx="3">
                  <c:v>0.228721297820807</c:v>
                </c:pt>
              </c:numCache>
            </c:numRef>
          </c:yVal>
          <c:smooth val="1"/>
        </c:ser>
        <c:ser>
          <c:idx val="1"/>
          <c:order val="1"/>
          <c:tx>
            <c:v>z band OCTOCAM + Telescope</c:v>
          </c:tx>
          <c:marker>
            <c:symbol val="none"/>
          </c:marker>
          <c:xVal>
            <c:numRef>
              <c:f>Imaging!$B$67:$E$67</c:f>
              <c:numCache>
                <c:formatCode>General</c:formatCode>
                <c:ptCount val="4"/>
                <c:pt idx="0">
                  <c:v>818.0</c:v>
                </c:pt>
                <c:pt idx="1">
                  <c:v>850.0</c:v>
                </c:pt>
                <c:pt idx="2">
                  <c:v>889.0</c:v>
                </c:pt>
                <c:pt idx="3">
                  <c:v>922.0</c:v>
                </c:pt>
              </c:numCache>
            </c:numRef>
          </c:xVal>
          <c:yVal>
            <c:numRef>
              <c:f>Imaging!$B$86:$E$86</c:f>
              <c:numCache>
                <c:formatCode>0.000</c:formatCode>
                <c:ptCount val="4"/>
                <c:pt idx="0">
                  <c:v>0.356932244321264</c:v>
                </c:pt>
                <c:pt idx="1">
                  <c:v>0.337896224936865</c:v>
                </c:pt>
                <c:pt idx="2">
                  <c:v>0.278187395758416</c:v>
                </c:pt>
                <c:pt idx="3">
                  <c:v>0.211814107906495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40278760"/>
        <c:axId val="-2140275736"/>
      </c:scatterChart>
      <c:valAx>
        <c:axId val="-2140278760"/>
        <c:scaling>
          <c:orientation val="minMax"/>
          <c:min val="750.0"/>
        </c:scaling>
        <c:delete val="0"/>
        <c:axPos val="b"/>
        <c:numFmt formatCode="General" sourceLinked="1"/>
        <c:majorTickMark val="out"/>
        <c:minorTickMark val="none"/>
        <c:tickLblPos val="nextTo"/>
        <c:crossAx val="-2140275736"/>
        <c:crosses val="autoZero"/>
        <c:crossBetween val="midCat"/>
      </c:valAx>
      <c:valAx>
        <c:axId val="-2140275736"/>
        <c:scaling>
          <c:orientation val="minMax"/>
        </c:scaling>
        <c:delete val="0"/>
        <c:axPos val="l"/>
        <c:majorGridlines/>
        <c:numFmt formatCode="0.000" sourceLinked="1"/>
        <c:majorTickMark val="out"/>
        <c:minorTickMark val="none"/>
        <c:tickLblPos val="nextTo"/>
        <c:crossAx val="-214027876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Y band OCTOCAM</c:v>
          </c:tx>
          <c:marker>
            <c:symbol val="none"/>
          </c:marker>
          <c:xVal>
            <c:numRef>
              <c:f>Imaging!$B$89:$F$89</c:f>
              <c:numCache>
                <c:formatCode>General</c:formatCode>
                <c:ptCount val="5"/>
                <c:pt idx="0">
                  <c:v>980.0</c:v>
                </c:pt>
                <c:pt idx="1">
                  <c:v>1000.0</c:v>
                </c:pt>
                <c:pt idx="2">
                  <c:v>1040.0</c:v>
                </c:pt>
                <c:pt idx="3">
                  <c:v>1090.0</c:v>
                </c:pt>
                <c:pt idx="4">
                  <c:v>1120.0</c:v>
                </c:pt>
              </c:numCache>
            </c:numRef>
          </c:xVal>
          <c:yVal>
            <c:numRef>
              <c:f>Imaging!$B$101:$F$101</c:f>
              <c:numCache>
                <c:formatCode>0.000</c:formatCode>
                <c:ptCount val="5"/>
                <c:pt idx="0">
                  <c:v>0.438880230975881</c:v>
                </c:pt>
                <c:pt idx="1">
                  <c:v>0.449431176134395</c:v>
                </c:pt>
                <c:pt idx="2">
                  <c:v>0.449437443600434</c:v>
                </c:pt>
                <c:pt idx="3">
                  <c:v>0.436390850773103</c:v>
                </c:pt>
                <c:pt idx="4">
                  <c:v>0.440124782882942</c:v>
                </c:pt>
              </c:numCache>
            </c:numRef>
          </c:yVal>
          <c:smooth val="1"/>
        </c:ser>
        <c:ser>
          <c:idx val="1"/>
          <c:order val="1"/>
          <c:tx>
            <c:v>Y band OCTOCAM + Telescope</c:v>
          </c:tx>
          <c:marker>
            <c:symbol val="none"/>
          </c:marker>
          <c:xVal>
            <c:numRef>
              <c:f>Imaging!$B$89:$F$89</c:f>
              <c:numCache>
                <c:formatCode>General</c:formatCode>
                <c:ptCount val="5"/>
                <c:pt idx="0">
                  <c:v>980.0</c:v>
                </c:pt>
                <c:pt idx="1">
                  <c:v>1000.0</c:v>
                </c:pt>
                <c:pt idx="2">
                  <c:v>1040.0</c:v>
                </c:pt>
                <c:pt idx="3">
                  <c:v>1090.0</c:v>
                </c:pt>
                <c:pt idx="4">
                  <c:v>1120.0</c:v>
                </c:pt>
              </c:numCache>
            </c:numRef>
          </c:xVal>
          <c:yVal>
            <c:numRef>
              <c:f>Imaging!$B$103:$F$103</c:f>
              <c:numCache>
                <c:formatCode>0.000</c:formatCode>
                <c:ptCount val="5"/>
                <c:pt idx="0">
                  <c:v>0.408862514797093</c:v>
                </c:pt>
                <c:pt idx="1">
                  <c:v>0.419547957915808</c:v>
                </c:pt>
                <c:pt idx="2">
                  <c:v>0.420759577401697</c:v>
                </c:pt>
                <c:pt idx="3">
                  <c:v>0.410008924803877</c:v>
                </c:pt>
                <c:pt idx="4">
                  <c:v>0.414066021211537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40248584"/>
        <c:axId val="-2140245560"/>
      </c:scatterChart>
      <c:valAx>
        <c:axId val="-2140248584"/>
        <c:scaling>
          <c:orientation val="minMax"/>
          <c:min val="950.0"/>
        </c:scaling>
        <c:delete val="0"/>
        <c:axPos val="b"/>
        <c:numFmt formatCode="General" sourceLinked="1"/>
        <c:majorTickMark val="out"/>
        <c:minorTickMark val="none"/>
        <c:tickLblPos val="nextTo"/>
        <c:crossAx val="-2140245560"/>
        <c:crosses val="autoZero"/>
        <c:crossBetween val="midCat"/>
      </c:valAx>
      <c:valAx>
        <c:axId val="-2140245560"/>
        <c:scaling>
          <c:orientation val="minMax"/>
          <c:min val="0.0"/>
        </c:scaling>
        <c:delete val="0"/>
        <c:axPos val="l"/>
        <c:majorGridlines/>
        <c:numFmt formatCode="0.000" sourceLinked="1"/>
        <c:majorTickMark val="out"/>
        <c:minorTickMark val="none"/>
        <c:tickLblPos val="nextTo"/>
        <c:crossAx val="-214024858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J band OCTOCAM</c:v>
          </c:tx>
          <c:marker>
            <c:symbol val="none"/>
          </c:marker>
          <c:xVal>
            <c:numRef>
              <c:f>Imaging!$B$107:$F$107</c:f>
              <c:numCache>
                <c:formatCode>General</c:formatCode>
                <c:ptCount val="5"/>
                <c:pt idx="0">
                  <c:v>1150.0</c:v>
                </c:pt>
                <c:pt idx="1">
                  <c:v>1200.0</c:v>
                </c:pt>
                <c:pt idx="2">
                  <c:v>1250.0</c:v>
                </c:pt>
                <c:pt idx="3">
                  <c:v>1300.0</c:v>
                </c:pt>
                <c:pt idx="4">
                  <c:v>1350.0</c:v>
                </c:pt>
              </c:numCache>
            </c:numRef>
          </c:xVal>
          <c:yVal>
            <c:numRef>
              <c:f>Imaging!$B$120:$F$120</c:f>
              <c:numCache>
                <c:formatCode>0.000</c:formatCode>
                <c:ptCount val="5"/>
                <c:pt idx="0">
                  <c:v>0.409179513545415</c:v>
                </c:pt>
                <c:pt idx="1">
                  <c:v>0.424453581240491</c:v>
                </c:pt>
                <c:pt idx="2">
                  <c:v>0.422295759629673</c:v>
                </c:pt>
                <c:pt idx="3">
                  <c:v>0.431842478444848</c:v>
                </c:pt>
                <c:pt idx="4">
                  <c:v>0.424906665902694</c:v>
                </c:pt>
              </c:numCache>
            </c:numRef>
          </c:yVal>
          <c:smooth val="1"/>
        </c:ser>
        <c:ser>
          <c:idx val="1"/>
          <c:order val="1"/>
          <c:tx>
            <c:v>J band OCTOCAM + Telescope</c:v>
          </c:tx>
          <c:marker>
            <c:symbol val="none"/>
          </c:marker>
          <c:xVal>
            <c:numRef>
              <c:f>Imaging!$B$107:$F$107</c:f>
              <c:numCache>
                <c:formatCode>General</c:formatCode>
                <c:ptCount val="5"/>
                <c:pt idx="0">
                  <c:v>1150.0</c:v>
                </c:pt>
                <c:pt idx="1">
                  <c:v>1200.0</c:v>
                </c:pt>
                <c:pt idx="2">
                  <c:v>1250.0</c:v>
                </c:pt>
                <c:pt idx="3">
                  <c:v>1300.0</c:v>
                </c:pt>
                <c:pt idx="4">
                  <c:v>1350.0</c:v>
                </c:pt>
              </c:numCache>
            </c:numRef>
          </c:xVal>
          <c:yVal>
            <c:numRef>
              <c:f>Imaging!$B$122:$F$122</c:f>
              <c:numCache>
                <c:formatCode>0.000</c:formatCode>
                <c:ptCount val="5"/>
                <c:pt idx="0">
                  <c:v>0.385306745821403</c:v>
                </c:pt>
                <c:pt idx="1">
                  <c:v>0.400301350725773</c:v>
                </c:pt>
                <c:pt idx="2">
                  <c:v>0.399285008957193</c:v>
                </c:pt>
                <c:pt idx="3">
                  <c:v>0.409353255322104</c:v>
                </c:pt>
                <c:pt idx="4">
                  <c:v>0.402162978282893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40218600"/>
        <c:axId val="-2140215576"/>
      </c:scatterChart>
      <c:valAx>
        <c:axId val="-2140218600"/>
        <c:scaling>
          <c:orientation val="minMax"/>
          <c:min val="1100.0"/>
        </c:scaling>
        <c:delete val="0"/>
        <c:axPos val="b"/>
        <c:numFmt formatCode="General" sourceLinked="1"/>
        <c:majorTickMark val="out"/>
        <c:minorTickMark val="none"/>
        <c:tickLblPos val="nextTo"/>
        <c:crossAx val="-2140215576"/>
        <c:crosses val="autoZero"/>
        <c:crossBetween val="midCat"/>
      </c:valAx>
      <c:valAx>
        <c:axId val="-2140215576"/>
        <c:scaling>
          <c:orientation val="minMax"/>
          <c:min val="0.0"/>
        </c:scaling>
        <c:delete val="0"/>
        <c:axPos val="l"/>
        <c:majorGridlines/>
        <c:numFmt formatCode="0.000" sourceLinked="1"/>
        <c:majorTickMark val="out"/>
        <c:minorTickMark val="none"/>
        <c:tickLblPos val="nextTo"/>
        <c:crossAx val="-214021860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H band OCTOCAM</c:v>
          </c:tx>
          <c:marker>
            <c:symbol val="none"/>
          </c:marker>
          <c:xVal>
            <c:numRef>
              <c:f>Imaging!$B$126:$F$126</c:f>
              <c:numCache>
                <c:formatCode>General</c:formatCode>
                <c:ptCount val="5"/>
                <c:pt idx="0">
                  <c:v>1500.0</c:v>
                </c:pt>
                <c:pt idx="1">
                  <c:v>1550.0</c:v>
                </c:pt>
                <c:pt idx="2">
                  <c:v>1630.0</c:v>
                </c:pt>
                <c:pt idx="3">
                  <c:v>1700.0</c:v>
                </c:pt>
                <c:pt idx="4">
                  <c:v>1760.0</c:v>
                </c:pt>
              </c:numCache>
            </c:numRef>
          </c:xVal>
          <c:yVal>
            <c:numRef>
              <c:f>Imaging!$B$139:$F$139</c:f>
              <c:numCache>
                <c:formatCode>0.000</c:formatCode>
                <c:ptCount val="5"/>
                <c:pt idx="0">
                  <c:v>0.422254659590713</c:v>
                </c:pt>
                <c:pt idx="1">
                  <c:v>0.420971338271979</c:v>
                </c:pt>
                <c:pt idx="2">
                  <c:v>0.419685648975186</c:v>
                </c:pt>
                <c:pt idx="3">
                  <c:v>0.413193143603333</c:v>
                </c:pt>
                <c:pt idx="4">
                  <c:v>0.409074273319629</c:v>
                </c:pt>
              </c:numCache>
            </c:numRef>
          </c:yVal>
          <c:smooth val="1"/>
        </c:ser>
        <c:ser>
          <c:idx val="1"/>
          <c:order val="1"/>
          <c:tx>
            <c:v>H band OCTOCAM + Telescope</c:v>
          </c:tx>
          <c:marker>
            <c:symbol val="none"/>
          </c:marker>
          <c:xVal>
            <c:numRef>
              <c:f>Imaging!$B$126:$F$126</c:f>
              <c:numCache>
                <c:formatCode>General</c:formatCode>
                <c:ptCount val="5"/>
                <c:pt idx="0">
                  <c:v>1500.0</c:v>
                </c:pt>
                <c:pt idx="1">
                  <c:v>1550.0</c:v>
                </c:pt>
                <c:pt idx="2">
                  <c:v>1630.0</c:v>
                </c:pt>
                <c:pt idx="3">
                  <c:v>1700.0</c:v>
                </c:pt>
                <c:pt idx="4">
                  <c:v>1760.0</c:v>
                </c:pt>
              </c:numCache>
            </c:numRef>
          </c:xVal>
          <c:yVal>
            <c:numRef>
              <c:f>Imaging!$B$141:$F$141</c:f>
              <c:numCache>
                <c:formatCode>0.000</c:formatCode>
                <c:ptCount val="5"/>
                <c:pt idx="0">
                  <c:v>0.402714519505779</c:v>
                </c:pt>
                <c:pt idx="1">
                  <c:v>0.402103031172937</c:v>
                </c:pt>
                <c:pt idx="2">
                  <c:v>0.40148554349493</c:v>
                </c:pt>
                <c:pt idx="3">
                  <c:v>0.395274592383719</c:v>
                </c:pt>
                <c:pt idx="4">
                  <c:v>0.39157344568719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7787416"/>
        <c:axId val="-2145773176"/>
      </c:scatterChart>
      <c:valAx>
        <c:axId val="2117787416"/>
        <c:scaling>
          <c:orientation val="minMax"/>
          <c:min val="1450.0"/>
        </c:scaling>
        <c:delete val="0"/>
        <c:axPos val="b"/>
        <c:numFmt formatCode="General" sourceLinked="1"/>
        <c:majorTickMark val="out"/>
        <c:minorTickMark val="none"/>
        <c:tickLblPos val="nextTo"/>
        <c:crossAx val="-2145773176"/>
        <c:crosses val="autoZero"/>
        <c:crossBetween val="midCat"/>
      </c:valAx>
      <c:valAx>
        <c:axId val="-2145773176"/>
        <c:scaling>
          <c:orientation val="minMax"/>
          <c:min val="0.0"/>
        </c:scaling>
        <c:delete val="0"/>
        <c:axPos val="l"/>
        <c:majorGridlines/>
        <c:numFmt formatCode="0.000" sourceLinked="1"/>
        <c:majorTickMark val="out"/>
        <c:minorTickMark val="none"/>
        <c:tickLblPos val="nextTo"/>
        <c:crossAx val="211778741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K band OCTOCAM</c:v>
          </c:tx>
          <c:marker>
            <c:symbol val="none"/>
          </c:marker>
          <c:xVal>
            <c:numRef>
              <c:f>Imaging!$B$145:$E$145</c:f>
              <c:numCache>
                <c:formatCode>General</c:formatCode>
                <c:ptCount val="4"/>
                <c:pt idx="0">
                  <c:v>2000.0</c:v>
                </c:pt>
                <c:pt idx="1">
                  <c:v>2100.0</c:v>
                </c:pt>
                <c:pt idx="2">
                  <c:v>2175.0</c:v>
                </c:pt>
                <c:pt idx="3">
                  <c:v>2280.0</c:v>
                </c:pt>
              </c:numCache>
            </c:numRef>
          </c:xVal>
          <c:yVal>
            <c:numRef>
              <c:f>Imaging!$B$160:$E$160</c:f>
              <c:numCache>
                <c:formatCode>0.000</c:formatCode>
                <c:ptCount val="4"/>
                <c:pt idx="0">
                  <c:v>0.369134042253445</c:v>
                </c:pt>
                <c:pt idx="1">
                  <c:v>0.340802593828883</c:v>
                </c:pt>
                <c:pt idx="2">
                  <c:v>0.309182748030083</c:v>
                </c:pt>
                <c:pt idx="3">
                  <c:v>0.277573222777606</c:v>
                </c:pt>
              </c:numCache>
            </c:numRef>
          </c:yVal>
          <c:smooth val="1"/>
        </c:ser>
        <c:ser>
          <c:idx val="1"/>
          <c:order val="1"/>
          <c:tx>
            <c:v>K band OCTOCAM + Telescope</c:v>
          </c:tx>
          <c:marker>
            <c:symbol val="none"/>
          </c:marker>
          <c:xVal>
            <c:numRef>
              <c:f>Imaging!$B$145:$E$145</c:f>
              <c:numCache>
                <c:formatCode>General</c:formatCode>
                <c:ptCount val="4"/>
                <c:pt idx="0">
                  <c:v>2000.0</c:v>
                </c:pt>
                <c:pt idx="1">
                  <c:v>2100.0</c:v>
                </c:pt>
                <c:pt idx="2">
                  <c:v>2175.0</c:v>
                </c:pt>
                <c:pt idx="3">
                  <c:v>2280.0</c:v>
                </c:pt>
              </c:numCache>
            </c:numRef>
          </c:xVal>
          <c:yVal>
            <c:numRef>
              <c:f>Imaging!$B$162:$E$162</c:f>
              <c:numCache>
                <c:formatCode>0.000</c:formatCode>
                <c:ptCount val="4"/>
                <c:pt idx="0">
                  <c:v>0.353128709113148</c:v>
                </c:pt>
                <c:pt idx="1">
                  <c:v>0.326357014732414</c:v>
                </c:pt>
                <c:pt idx="2">
                  <c:v>0.296077437440297</c:v>
                </c:pt>
                <c:pt idx="3">
                  <c:v>0.265672883940872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0636952"/>
        <c:axId val="-2146401896"/>
      </c:scatterChart>
      <c:valAx>
        <c:axId val="2110636952"/>
        <c:scaling>
          <c:orientation val="minMax"/>
          <c:min val="1950.0"/>
        </c:scaling>
        <c:delete val="0"/>
        <c:axPos val="b"/>
        <c:numFmt formatCode="General" sourceLinked="1"/>
        <c:majorTickMark val="out"/>
        <c:minorTickMark val="none"/>
        <c:tickLblPos val="nextTo"/>
        <c:crossAx val="-2146401896"/>
        <c:crosses val="autoZero"/>
        <c:crossBetween val="midCat"/>
      </c:valAx>
      <c:valAx>
        <c:axId val="-2146401896"/>
        <c:scaling>
          <c:orientation val="minMax"/>
        </c:scaling>
        <c:delete val="0"/>
        <c:axPos val="l"/>
        <c:majorGridlines/>
        <c:numFmt formatCode="0.000" sourceLinked="1"/>
        <c:majorTickMark val="out"/>
        <c:minorTickMark val="none"/>
        <c:tickLblPos val="nextTo"/>
        <c:crossAx val="211063695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6244084354321"/>
          <c:y val="0.0731707317073171"/>
          <c:w val="0.537721906383324"/>
          <c:h val="0.844119454580373"/>
        </c:manualLayout>
      </c:layout>
      <c:scatterChart>
        <c:scatterStyle val="smoothMarker"/>
        <c:varyColors val="0"/>
        <c:ser>
          <c:idx val="0"/>
          <c:order val="0"/>
          <c:tx>
            <c:v>g band OCTOCAM</c:v>
          </c:tx>
          <c:marker>
            <c:symbol val="none"/>
          </c:marker>
          <c:xVal>
            <c:numRef>
              <c:f>Spectroscopy!$B$5:$F$5</c:f>
              <c:numCache>
                <c:formatCode>General</c:formatCode>
                <c:ptCount val="5"/>
                <c:pt idx="0">
                  <c:v>385.0</c:v>
                </c:pt>
                <c:pt idx="1">
                  <c:v>400.0</c:v>
                </c:pt>
                <c:pt idx="2">
                  <c:v>469.0</c:v>
                </c:pt>
                <c:pt idx="3">
                  <c:v>510.0</c:v>
                </c:pt>
                <c:pt idx="4">
                  <c:v>552.0</c:v>
                </c:pt>
              </c:numCache>
            </c:numRef>
          </c:xVal>
          <c:yVal>
            <c:numRef>
              <c:f>Spectroscopy!$B$20:$F$20</c:f>
              <c:numCache>
                <c:formatCode>0.000</c:formatCode>
                <c:ptCount val="5"/>
                <c:pt idx="0">
                  <c:v>0.116371489693162</c:v>
                </c:pt>
                <c:pt idx="1">
                  <c:v>0.258906522219679</c:v>
                </c:pt>
                <c:pt idx="2">
                  <c:v>0.425824395360637</c:v>
                </c:pt>
                <c:pt idx="3">
                  <c:v>0.38033673904804</c:v>
                </c:pt>
                <c:pt idx="4">
                  <c:v>0.292704980445399</c:v>
                </c:pt>
              </c:numCache>
            </c:numRef>
          </c:yVal>
          <c:smooth val="1"/>
        </c:ser>
        <c:ser>
          <c:idx val="1"/>
          <c:order val="1"/>
          <c:tx>
            <c:v>g band OCTOCAM + Telescope</c:v>
          </c:tx>
          <c:marker>
            <c:symbol val="none"/>
          </c:marker>
          <c:xVal>
            <c:numRef>
              <c:f>Spectroscopy!$B$5:$F$5</c:f>
              <c:numCache>
                <c:formatCode>General</c:formatCode>
                <c:ptCount val="5"/>
                <c:pt idx="0">
                  <c:v>385.0</c:v>
                </c:pt>
                <c:pt idx="1">
                  <c:v>400.0</c:v>
                </c:pt>
                <c:pt idx="2">
                  <c:v>469.0</c:v>
                </c:pt>
                <c:pt idx="3">
                  <c:v>510.0</c:v>
                </c:pt>
                <c:pt idx="4">
                  <c:v>552.0</c:v>
                </c:pt>
              </c:numCache>
            </c:numRef>
          </c:xVal>
          <c:yVal>
            <c:numRef>
              <c:f>Spectroscopy!$B$22:$F$22</c:f>
              <c:numCache>
                <c:formatCode>0.000</c:formatCode>
                <c:ptCount val="5"/>
                <c:pt idx="0">
                  <c:v>0.0560315249381498</c:v>
                </c:pt>
                <c:pt idx="1">
                  <c:v>0.143526936020318</c:v>
                </c:pt>
                <c:pt idx="2">
                  <c:v>0.300202555426821</c:v>
                </c:pt>
                <c:pt idx="3">
                  <c:v>0.293873753644319</c:v>
                </c:pt>
                <c:pt idx="4">
                  <c:v>0.236866282819264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0119256"/>
        <c:axId val="2117425064"/>
      </c:scatterChart>
      <c:valAx>
        <c:axId val="2120119256"/>
        <c:scaling>
          <c:orientation val="minMax"/>
          <c:min val="350.0"/>
        </c:scaling>
        <c:delete val="0"/>
        <c:axPos val="b"/>
        <c:numFmt formatCode="General" sourceLinked="1"/>
        <c:majorTickMark val="out"/>
        <c:minorTickMark val="none"/>
        <c:tickLblPos val="nextTo"/>
        <c:crossAx val="2117425064"/>
        <c:crosses val="autoZero"/>
        <c:crossBetween val="midCat"/>
      </c:valAx>
      <c:valAx>
        <c:axId val="2117425064"/>
        <c:scaling>
          <c:orientation val="minMax"/>
        </c:scaling>
        <c:delete val="0"/>
        <c:axPos val="l"/>
        <c:majorGridlines/>
        <c:numFmt formatCode="0.000" sourceLinked="1"/>
        <c:majorTickMark val="out"/>
        <c:minorTickMark val="none"/>
        <c:tickLblPos val="nextTo"/>
        <c:crossAx val="212011925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r band OCTOCAM</c:v>
          </c:tx>
          <c:marker>
            <c:symbol val="none"/>
          </c:marker>
          <c:xVal>
            <c:numRef>
              <c:f>Spectroscopy!$B$25:$F$25</c:f>
              <c:numCache>
                <c:formatCode>General</c:formatCode>
                <c:ptCount val="5"/>
                <c:pt idx="0">
                  <c:v>552.0</c:v>
                </c:pt>
                <c:pt idx="1">
                  <c:v>580.0</c:v>
                </c:pt>
                <c:pt idx="2">
                  <c:v>622.0</c:v>
                </c:pt>
                <c:pt idx="3">
                  <c:v>650.0</c:v>
                </c:pt>
                <c:pt idx="4">
                  <c:v>691.0</c:v>
                </c:pt>
              </c:numCache>
            </c:numRef>
          </c:xVal>
          <c:yVal>
            <c:numRef>
              <c:f>Spectroscopy!$B$41:$F$41</c:f>
              <c:numCache>
                <c:formatCode>0.000</c:formatCode>
                <c:ptCount val="5"/>
                <c:pt idx="0">
                  <c:v>0.283958680807259</c:v>
                </c:pt>
                <c:pt idx="1">
                  <c:v>0.350118910375403</c:v>
                </c:pt>
                <c:pt idx="2">
                  <c:v>0.380218639705084</c:v>
                </c:pt>
                <c:pt idx="3">
                  <c:v>0.348036166283189</c:v>
                </c:pt>
                <c:pt idx="4">
                  <c:v>0.272605086594096</c:v>
                </c:pt>
              </c:numCache>
            </c:numRef>
          </c:yVal>
          <c:smooth val="1"/>
        </c:ser>
        <c:ser>
          <c:idx val="1"/>
          <c:order val="1"/>
          <c:tx>
            <c:v>r band OCTOCAM + Telescope</c:v>
          </c:tx>
          <c:marker>
            <c:symbol val="none"/>
          </c:marker>
          <c:xVal>
            <c:numRef>
              <c:f>Spectroscopy!$B$25:$F$25</c:f>
              <c:numCache>
                <c:formatCode>General</c:formatCode>
                <c:ptCount val="5"/>
                <c:pt idx="0">
                  <c:v>552.0</c:v>
                </c:pt>
                <c:pt idx="1">
                  <c:v>580.0</c:v>
                </c:pt>
                <c:pt idx="2">
                  <c:v>622.0</c:v>
                </c:pt>
                <c:pt idx="3">
                  <c:v>650.0</c:v>
                </c:pt>
                <c:pt idx="4">
                  <c:v>691.0</c:v>
                </c:pt>
              </c:numCache>
            </c:numRef>
          </c:xVal>
          <c:yVal>
            <c:numRef>
              <c:f>Spectroscopy!$B$43:$F$43</c:f>
              <c:numCache>
                <c:formatCode>0.000</c:formatCode>
                <c:ptCount val="5"/>
                <c:pt idx="0">
                  <c:v>0.229788495893475</c:v>
                </c:pt>
                <c:pt idx="1">
                  <c:v>0.290220895459869</c:v>
                </c:pt>
                <c:pt idx="2">
                  <c:v>0.323701565483491</c:v>
                </c:pt>
                <c:pt idx="3">
                  <c:v>0.300011244923001</c:v>
                </c:pt>
                <c:pt idx="4">
                  <c:v>0.239242071166976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46938616"/>
        <c:axId val="-2143790408"/>
      </c:scatterChart>
      <c:valAx>
        <c:axId val="-2146938616"/>
        <c:scaling>
          <c:orientation val="minMax"/>
          <c:min val="500.0"/>
        </c:scaling>
        <c:delete val="0"/>
        <c:axPos val="b"/>
        <c:numFmt formatCode="General" sourceLinked="1"/>
        <c:majorTickMark val="out"/>
        <c:minorTickMark val="none"/>
        <c:tickLblPos val="nextTo"/>
        <c:crossAx val="-2143790408"/>
        <c:crosses val="autoZero"/>
        <c:crossBetween val="midCat"/>
      </c:valAx>
      <c:valAx>
        <c:axId val="-2143790408"/>
        <c:scaling>
          <c:orientation val="minMax"/>
        </c:scaling>
        <c:delete val="0"/>
        <c:axPos val="l"/>
        <c:majorGridlines/>
        <c:numFmt formatCode="0.000" sourceLinked="1"/>
        <c:majorTickMark val="out"/>
        <c:minorTickMark val="none"/>
        <c:tickLblPos val="nextTo"/>
        <c:crossAx val="-214693861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i band OCTOCAM</c:v>
          </c:tx>
          <c:marker>
            <c:symbol val="none"/>
          </c:marker>
          <c:xVal>
            <c:numRef>
              <c:f>Spectroscopy!$B$46:$F$46</c:f>
              <c:numCache>
                <c:formatCode>General</c:formatCode>
                <c:ptCount val="5"/>
                <c:pt idx="0">
                  <c:v>691.0</c:v>
                </c:pt>
                <c:pt idx="1">
                  <c:v>720.0</c:v>
                </c:pt>
                <c:pt idx="2">
                  <c:v>755.0</c:v>
                </c:pt>
                <c:pt idx="3">
                  <c:v>780.0</c:v>
                </c:pt>
                <c:pt idx="4">
                  <c:v>818.0</c:v>
                </c:pt>
              </c:numCache>
            </c:numRef>
          </c:xVal>
          <c:yVal>
            <c:numRef>
              <c:f>Spectroscopy!$B$62:$F$62</c:f>
              <c:numCache>
                <c:formatCode>0.000</c:formatCode>
                <c:ptCount val="5"/>
                <c:pt idx="0">
                  <c:v>0.342907426721585</c:v>
                </c:pt>
                <c:pt idx="1">
                  <c:v>0.397011303771178</c:v>
                </c:pt>
                <c:pt idx="2">
                  <c:v>0.41140578236647</c:v>
                </c:pt>
                <c:pt idx="3">
                  <c:v>0.39210982328079</c:v>
                </c:pt>
                <c:pt idx="4">
                  <c:v>0.326640302995707</c:v>
                </c:pt>
              </c:numCache>
            </c:numRef>
          </c:yVal>
          <c:smooth val="1"/>
        </c:ser>
        <c:ser>
          <c:idx val="1"/>
          <c:order val="1"/>
          <c:tx>
            <c:v>i band OCTOCAM + Telescope</c:v>
          </c:tx>
          <c:marker>
            <c:symbol val="none"/>
          </c:marker>
          <c:xVal>
            <c:numRef>
              <c:f>Spectroscopy!$B$46:$F$46</c:f>
              <c:numCache>
                <c:formatCode>General</c:formatCode>
                <c:ptCount val="5"/>
                <c:pt idx="0">
                  <c:v>691.0</c:v>
                </c:pt>
                <c:pt idx="1">
                  <c:v>720.0</c:v>
                </c:pt>
                <c:pt idx="2">
                  <c:v>755.0</c:v>
                </c:pt>
                <c:pt idx="3">
                  <c:v>780.0</c:v>
                </c:pt>
                <c:pt idx="4">
                  <c:v>818.0</c:v>
                </c:pt>
              </c:numCache>
            </c:numRef>
          </c:xVal>
          <c:yVal>
            <c:numRef>
              <c:f>Spectroscopy!$B$64:$F$64</c:f>
              <c:numCache>
                <c:formatCode>0.000</c:formatCode>
                <c:ptCount val="5"/>
                <c:pt idx="0">
                  <c:v>0.300940397013071</c:v>
                </c:pt>
                <c:pt idx="1">
                  <c:v>0.352804083344722</c:v>
                </c:pt>
                <c:pt idx="2">
                  <c:v>0.368770869429157</c:v>
                </c:pt>
                <c:pt idx="3">
                  <c:v>0.354206655354842</c:v>
                </c:pt>
                <c:pt idx="4">
                  <c:v>0.297772760988981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41027080"/>
        <c:axId val="-2141040904"/>
      </c:scatterChart>
      <c:valAx>
        <c:axId val="-2141027080"/>
        <c:scaling>
          <c:orientation val="minMax"/>
          <c:min val="650.0"/>
        </c:scaling>
        <c:delete val="0"/>
        <c:axPos val="b"/>
        <c:numFmt formatCode="General" sourceLinked="1"/>
        <c:majorTickMark val="out"/>
        <c:minorTickMark val="none"/>
        <c:tickLblPos val="nextTo"/>
        <c:crossAx val="-2141040904"/>
        <c:crosses val="autoZero"/>
        <c:crossBetween val="midCat"/>
      </c:valAx>
      <c:valAx>
        <c:axId val="-2141040904"/>
        <c:scaling>
          <c:orientation val="minMax"/>
        </c:scaling>
        <c:delete val="0"/>
        <c:axPos val="l"/>
        <c:majorGridlines/>
        <c:numFmt formatCode="0.000" sourceLinked="1"/>
        <c:majorTickMark val="out"/>
        <c:minorTickMark val="none"/>
        <c:tickLblPos val="nextTo"/>
        <c:crossAx val="-214102708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z band OCTOCAM</c:v>
          </c:tx>
          <c:marker>
            <c:symbol val="none"/>
          </c:marker>
          <c:xVal>
            <c:numRef>
              <c:f>Spectroscopy!$B$67:$F$67</c:f>
              <c:numCache>
                <c:formatCode>General</c:formatCode>
                <c:ptCount val="5"/>
                <c:pt idx="0">
                  <c:v>818.0</c:v>
                </c:pt>
                <c:pt idx="1">
                  <c:v>850.0</c:v>
                </c:pt>
                <c:pt idx="2">
                  <c:v>889.0</c:v>
                </c:pt>
                <c:pt idx="3">
                  <c:v>922.0</c:v>
                </c:pt>
                <c:pt idx="4">
                  <c:v>960.0</c:v>
                </c:pt>
              </c:numCache>
            </c:numRef>
          </c:xVal>
          <c:yVal>
            <c:numRef>
              <c:f>Spectroscopy!$B$84:$F$84</c:f>
              <c:numCache>
                <c:formatCode>0.000</c:formatCode>
                <c:ptCount val="5"/>
                <c:pt idx="0">
                  <c:v>0.265387414495162</c:v>
                </c:pt>
                <c:pt idx="1">
                  <c:v>0.279151819783966</c:v>
                </c:pt>
                <c:pt idx="2">
                  <c:v>0.242143125485279</c:v>
                </c:pt>
                <c:pt idx="3">
                  <c:v>0.186776837590596</c:v>
                </c:pt>
                <c:pt idx="4">
                  <c:v>0.0973315127406564</c:v>
                </c:pt>
              </c:numCache>
            </c:numRef>
          </c:yVal>
          <c:smooth val="1"/>
        </c:ser>
        <c:ser>
          <c:idx val="1"/>
          <c:order val="1"/>
          <c:tx>
            <c:v>z band OCTOCAM + Telescope</c:v>
          </c:tx>
          <c:marker>
            <c:symbol val="none"/>
          </c:marker>
          <c:xVal>
            <c:numRef>
              <c:f>Spectroscopy!$B$67:$F$67</c:f>
              <c:numCache>
                <c:formatCode>General</c:formatCode>
                <c:ptCount val="5"/>
                <c:pt idx="0">
                  <c:v>818.0</c:v>
                </c:pt>
                <c:pt idx="1">
                  <c:v>850.0</c:v>
                </c:pt>
                <c:pt idx="2">
                  <c:v>889.0</c:v>
                </c:pt>
                <c:pt idx="3">
                  <c:v>922.0</c:v>
                </c:pt>
                <c:pt idx="4">
                  <c:v>960.0</c:v>
                </c:pt>
              </c:numCache>
            </c:numRef>
          </c:xVal>
          <c:yVal>
            <c:numRef>
              <c:f>Spectroscopy!$B$86:$F$86</c:f>
              <c:numCache>
                <c:formatCode>0.000</c:formatCode>
                <c:ptCount val="5"/>
                <c:pt idx="0">
                  <c:v>0.242544475663628</c:v>
                </c:pt>
                <c:pt idx="1">
                  <c:v>0.255827774089476</c:v>
                </c:pt>
                <c:pt idx="2">
                  <c:v>0.223334865991383</c:v>
                </c:pt>
                <c:pt idx="3">
                  <c:v>0.172970202638687</c:v>
                </c:pt>
                <c:pt idx="4">
                  <c:v>0.0904890011868415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5621448"/>
        <c:axId val="2120031912"/>
      </c:scatterChart>
      <c:valAx>
        <c:axId val="2135621448"/>
        <c:scaling>
          <c:orientation val="minMax"/>
          <c:min val="750.0"/>
        </c:scaling>
        <c:delete val="0"/>
        <c:axPos val="b"/>
        <c:numFmt formatCode="General" sourceLinked="1"/>
        <c:majorTickMark val="out"/>
        <c:minorTickMark val="none"/>
        <c:tickLblPos val="nextTo"/>
        <c:crossAx val="2120031912"/>
        <c:crosses val="autoZero"/>
        <c:crossBetween val="midCat"/>
      </c:valAx>
      <c:valAx>
        <c:axId val="2120031912"/>
        <c:scaling>
          <c:orientation val="minMax"/>
        </c:scaling>
        <c:delete val="0"/>
        <c:axPos val="l"/>
        <c:majorGridlines/>
        <c:numFmt formatCode="0.000" sourceLinked="1"/>
        <c:majorTickMark val="out"/>
        <c:minorTickMark val="none"/>
        <c:tickLblPos val="nextTo"/>
        <c:crossAx val="213562144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Y band OCTOCAM</c:v>
          </c:tx>
          <c:marker>
            <c:symbol val="none"/>
          </c:marker>
          <c:xVal>
            <c:numRef>
              <c:f>Spectroscopy!$B$89:$F$89</c:f>
              <c:numCache>
                <c:formatCode>General</c:formatCode>
                <c:ptCount val="5"/>
                <c:pt idx="0">
                  <c:v>960.0</c:v>
                </c:pt>
                <c:pt idx="1">
                  <c:v>1000.0</c:v>
                </c:pt>
                <c:pt idx="2">
                  <c:v>1040.0</c:v>
                </c:pt>
                <c:pt idx="3">
                  <c:v>1090.0</c:v>
                </c:pt>
                <c:pt idx="4">
                  <c:v>1120.0</c:v>
                </c:pt>
              </c:numCache>
            </c:numRef>
          </c:xVal>
          <c:yVal>
            <c:numRef>
              <c:f>Spectroscopy!$B$102:$F$102</c:f>
              <c:numCache>
                <c:formatCode>0.000</c:formatCode>
                <c:ptCount val="5"/>
                <c:pt idx="0">
                  <c:v>0.210258344427529</c:v>
                </c:pt>
                <c:pt idx="1">
                  <c:v>0.293077423967084</c:v>
                </c:pt>
                <c:pt idx="2">
                  <c:v>0.320557902687378</c:v>
                </c:pt>
                <c:pt idx="3">
                  <c:v>0.27123433686546</c:v>
                </c:pt>
                <c:pt idx="4">
                  <c:v>0.21974100184894</c:v>
                </c:pt>
              </c:numCache>
            </c:numRef>
          </c:yVal>
          <c:smooth val="1"/>
        </c:ser>
        <c:ser>
          <c:idx val="1"/>
          <c:order val="1"/>
          <c:tx>
            <c:v>Y band OCTOCAM + Telescope</c:v>
          </c:tx>
          <c:marker>
            <c:symbol val="none"/>
          </c:marker>
          <c:xVal>
            <c:numRef>
              <c:f>Spectroscopy!$B$89:$F$89</c:f>
              <c:numCache>
                <c:formatCode>General</c:formatCode>
                <c:ptCount val="5"/>
                <c:pt idx="0">
                  <c:v>960.0</c:v>
                </c:pt>
                <c:pt idx="1">
                  <c:v>1000.0</c:v>
                </c:pt>
                <c:pt idx="2">
                  <c:v>1040.0</c:v>
                </c:pt>
                <c:pt idx="3">
                  <c:v>1090.0</c:v>
                </c:pt>
                <c:pt idx="4">
                  <c:v>1120.0</c:v>
                </c:pt>
              </c:numCache>
            </c:numRef>
          </c:xVal>
          <c:yVal>
            <c:numRef>
              <c:f>Spectroscopy!$B$104:$F$104</c:f>
              <c:numCache>
                <c:formatCode>0.000</c:formatCode>
                <c:ptCount val="5"/>
                <c:pt idx="0">
                  <c:v>0.195476953380368</c:v>
                </c:pt>
                <c:pt idx="1">
                  <c:v>0.273590354354604</c:v>
                </c:pt>
                <c:pt idx="2">
                  <c:v>0.300103628631857</c:v>
                </c:pt>
                <c:pt idx="3">
                  <c:v>0.254836916564783</c:v>
                </c:pt>
                <c:pt idx="4">
                  <c:v>0.206730649741273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45978120"/>
        <c:axId val="2117636184"/>
      </c:scatterChart>
      <c:valAx>
        <c:axId val="-2145978120"/>
        <c:scaling>
          <c:orientation val="minMax"/>
          <c:min val="950.0"/>
        </c:scaling>
        <c:delete val="0"/>
        <c:axPos val="b"/>
        <c:numFmt formatCode="General" sourceLinked="1"/>
        <c:majorTickMark val="out"/>
        <c:minorTickMark val="none"/>
        <c:tickLblPos val="nextTo"/>
        <c:crossAx val="2117636184"/>
        <c:crosses val="autoZero"/>
        <c:crossBetween val="midCat"/>
      </c:valAx>
      <c:valAx>
        <c:axId val="2117636184"/>
        <c:scaling>
          <c:orientation val="minMax"/>
        </c:scaling>
        <c:delete val="0"/>
        <c:axPos val="l"/>
        <c:majorGridlines/>
        <c:numFmt formatCode="0.000" sourceLinked="1"/>
        <c:majorTickMark val="out"/>
        <c:minorTickMark val="none"/>
        <c:tickLblPos val="nextTo"/>
        <c:crossAx val="-214597812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J band OCTOCAM</c:v>
          </c:tx>
          <c:marker>
            <c:symbol val="none"/>
          </c:marker>
          <c:xVal>
            <c:numRef>
              <c:f>Spectroscopy!$B$107:$F$107</c:f>
              <c:numCache>
                <c:formatCode>General</c:formatCode>
                <c:ptCount val="5"/>
                <c:pt idx="0">
                  <c:v>1150.0</c:v>
                </c:pt>
                <c:pt idx="1">
                  <c:v>1200.0</c:v>
                </c:pt>
                <c:pt idx="2">
                  <c:v>1250.0</c:v>
                </c:pt>
                <c:pt idx="3">
                  <c:v>1300.0</c:v>
                </c:pt>
                <c:pt idx="4">
                  <c:v>1350.0</c:v>
                </c:pt>
              </c:numCache>
            </c:numRef>
          </c:xVal>
          <c:yVal>
            <c:numRef>
              <c:f>Spectroscopy!$B$120:$F$120</c:f>
              <c:numCache>
                <c:formatCode>0.000</c:formatCode>
                <c:ptCount val="5"/>
                <c:pt idx="0">
                  <c:v>0.272968736749504</c:v>
                </c:pt>
                <c:pt idx="1">
                  <c:v>0.365899587646907</c:v>
                </c:pt>
                <c:pt idx="2">
                  <c:v>0.363557907038009</c:v>
                </c:pt>
                <c:pt idx="3">
                  <c:v>0.289201103841924</c:v>
                </c:pt>
                <c:pt idx="4">
                  <c:v>0.214869006067034</c:v>
                </c:pt>
              </c:numCache>
            </c:numRef>
          </c:yVal>
          <c:smooth val="1"/>
        </c:ser>
        <c:ser>
          <c:idx val="1"/>
          <c:order val="1"/>
          <c:tx>
            <c:v>J band OCTOCAM + Telescope</c:v>
          </c:tx>
          <c:marker>
            <c:symbol val="none"/>
          </c:marker>
          <c:xVal>
            <c:numRef>
              <c:f>Spectroscopy!$B$107:$F$107</c:f>
              <c:numCache>
                <c:formatCode>General</c:formatCode>
                <c:ptCount val="5"/>
                <c:pt idx="0">
                  <c:v>1150.0</c:v>
                </c:pt>
                <c:pt idx="1">
                  <c:v>1200.0</c:v>
                </c:pt>
                <c:pt idx="2">
                  <c:v>1250.0</c:v>
                </c:pt>
                <c:pt idx="3">
                  <c:v>1300.0</c:v>
                </c:pt>
                <c:pt idx="4">
                  <c:v>1350.0</c:v>
                </c:pt>
              </c:numCache>
            </c:numRef>
          </c:xVal>
          <c:yVal>
            <c:numRef>
              <c:f>Spectroscopy!$B$122:$F$122</c:f>
              <c:numCache>
                <c:formatCode>0.000</c:formatCode>
                <c:ptCount val="5"/>
                <c:pt idx="0">
                  <c:v>0.25704291682789</c:v>
                </c:pt>
                <c:pt idx="1">
                  <c:v>0.345079192728196</c:v>
                </c:pt>
                <c:pt idx="2">
                  <c:v>0.343747761747428</c:v>
                </c:pt>
                <c:pt idx="3">
                  <c:v>0.274140269217533</c:v>
                </c:pt>
                <c:pt idx="4">
                  <c:v>0.203367860179422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41078392"/>
        <c:axId val="-2141081416"/>
      </c:scatterChart>
      <c:valAx>
        <c:axId val="-2141078392"/>
        <c:scaling>
          <c:orientation val="minMax"/>
          <c:min val="1100.0"/>
        </c:scaling>
        <c:delete val="0"/>
        <c:axPos val="b"/>
        <c:numFmt formatCode="General" sourceLinked="1"/>
        <c:majorTickMark val="out"/>
        <c:minorTickMark val="none"/>
        <c:tickLblPos val="nextTo"/>
        <c:crossAx val="-2141081416"/>
        <c:crosses val="autoZero"/>
        <c:crossBetween val="midCat"/>
      </c:valAx>
      <c:valAx>
        <c:axId val="-2141081416"/>
        <c:scaling>
          <c:orientation val="minMax"/>
        </c:scaling>
        <c:delete val="0"/>
        <c:axPos val="l"/>
        <c:majorGridlines/>
        <c:numFmt formatCode="0.000" sourceLinked="1"/>
        <c:majorTickMark val="out"/>
        <c:minorTickMark val="none"/>
        <c:tickLblPos val="nextTo"/>
        <c:crossAx val="-214107839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H band OCTOCAM</c:v>
          </c:tx>
          <c:marker>
            <c:symbol val="none"/>
          </c:marker>
          <c:xVal>
            <c:numRef>
              <c:f>Spectroscopy!$B$125:$F$125</c:f>
              <c:numCache>
                <c:formatCode>General</c:formatCode>
                <c:ptCount val="5"/>
                <c:pt idx="0">
                  <c:v>1500.0</c:v>
                </c:pt>
                <c:pt idx="1">
                  <c:v>1550.0</c:v>
                </c:pt>
                <c:pt idx="2">
                  <c:v>1630.0</c:v>
                </c:pt>
                <c:pt idx="3">
                  <c:v>1700.0</c:v>
                </c:pt>
                <c:pt idx="4">
                  <c:v>1760.0</c:v>
                </c:pt>
              </c:numCache>
            </c:numRef>
          </c:xVal>
          <c:yVal>
            <c:numRef>
              <c:f>Spectroscopy!$B$139:$F$139</c:f>
              <c:numCache>
                <c:formatCode>0.000</c:formatCode>
                <c:ptCount val="5"/>
                <c:pt idx="0">
                  <c:v>0.223100091505008</c:v>
                </c:pt>
                <c:pt idx="1">
                  <c:v>0.265501340814379</c:v>
                </c:pt>
                <c:pt idx="2">
                  <c:v>0.293882166031512</c:v>
                </c:pt>
                <c:pt idx="3">
                  <c:v>0.266447125389559</c:v>
                </c:pt>
                <c:pt idx="4">
                  <c:v>0.220579251860935</c:v>
                </c:pt>
              </c:numCache>
            </c:numRef>
          </c:yVal>
          <c:smooth val="1"/>
        </c:ser>
        <c:ser>
          <c:idx val="1"/>
          <c:order val="1"/>
          <c:tx>
            <c:v>H band OCTOCAM + Telescope</c:v>
          </c:tx>
          <c:marker>
            <c:symbol val="none"/>
          </c:marker>
          <c:xVal>
            <c:numRef>
              <c:f>Spectroscopy!$B$125:$F$125</c:f>
              <c:numCache>
                <c:formatCode>General</c:formatCode>
                <c:ptCount val="5"/>
                <c:pt idx="0">
                  <c:v>1500.0</c:v>
                </c:pt>
                <c:pt idx="1">
                  <c:v>1550.0</c:v>
                </c:pt>
                <c:pt idx="2">
                  <c:v>1630.0</c:v>
                </c:pt>
                <c:pt idx="3">
                  <c:v>1700.0</c:v>
                </c:pt>
                <c:pt idx="4">
                  <c:v>1760.0</c:v>
                </c:pt>
              </c:numCache>
            </c:numRef>
          </c:xVal>
          <c:yVal>
            <c:numRef>
              <c:f>Spectroscopy!$B$141:$F$141</c:f>
              <c:numCache>
                <c:formatCode>0.000</c:formatCode>
                <c:ptCount val="5"/>
                <c:pt idx="0">
                  <c:v>0.212775973246147</c:v>
                </c:pt>
                <c:pt idx="1">
                  <c:v>0.253601336281395</c:v>
                </c:pt>
                <c:pt idx="2">
                  <c:v>0.281137659676338</c:v>
                </c:pt>
                <c:pt idx="3">
                  <c:v>0.254892368159136</c:v>
                </c:pt>
                <c:pt idx="4">
                  <c:v>0.211142531641929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41108952"/>
        <c:axId val="-2141111976"/>
      </c:scatterChart>
      <c:valAx>
        <c:axId val="-2141108952"/>
        <c:scaling>
          <c:orientation val="minMax"/>
          <c:min val="1450.0"/>
        </c:scaling>
        <c:delete val="0"/>
        <c:axPos val="b"/>
        <c:numFmt formatCode="General" sourceLinked="1"/>
        <c:majorTickMark val="out"/>
        <c:minorTickMark val="none"/>
        <c:tickLblPos val="nextTo"/>
        <c:crossAx val="-2141111976"/>
        <c:crosses val="autoZero"/>
        <c:crossBetween val="midCat"/>
      </c:valAx>
      <c:valAx>
        <c:axId val="-2141111976"/>
        <c:scaling>
          <c:orientation val="minMax"/>
        </c:scaling>
        <c:delete val="0"/>
        <c:axPos val="l"/>
        <c:majorGridlines/>
        <c:numFmt formatCode="0.000" sourceLinked="1"/>
        <c:majorTickMark val="out"/>
        <c:minorTickMark val="none"/>
        <c:tickLblPos val="nextTo"/>
        <c:crossAx val="-214110895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K band OCTOCAM</c:v>
          </c:tx>
          <c:marker>
            <c:symbol val="none"/>
          </c:marker>
          <c:xVal>
            <c:numRef>
              <c:f>Spectroscopy!$B$144:$F$144</c:f>
              <c:numCache>
                <c:formatCode>General</c:formatCode>
                <c:ptCount val="5"/>
                <c:pt idx="0">
                  <c:v>2000.0</c:v>
                </c:pt>
                <c:pt idx="1">
                  <c:v>2100.0</c:v>
                </c:pt>
                <c:pt idx="2">
                  <c:v>2175.0</c:v>
                </c:pt>
                <c:pt idx="3">
                  <c:v>2280.0</c:v>
                </c:pt>
                <c:pt idx="4">
                  <c:v>2350.0</c:v>
                </c:pt>
              </c:numCache>
            </c:numRef>
          </c:xVal>
          <c:yVal>
            <c:numRef>
              <c:f>Spectroscopy!$B$159:$F$159</c:f>
              <c:numCache>
                <c:formatCode>0.000</c:formatCode>
                <c:ptCount val="5"/>
                <c:pt idx="0">
                  <c:v>0.132651369512236</c:v>
                </c:pt>
                <c:pt idx="1">
                  <c:v>0.181048586941122</c:v>
                </c:pt>
                <c:pt idx="2">
                  <c:v>0.189784848471477</c:v>
                </c:pt>
                <c:pt idx="3">
                  <c:v>0.154744245988648</c:v>
                </c:pt>
                <c:pt idx="4">
                  <c:v>0.105104547335021</c:v>
                </c:pt>
              </c:numCache>
            </c:numRef>
          </c:yVal>
          <c:smooth val="1"/>
        </c:ser>
        <c:ser>
          <c:idx val="1"/>
          <c:order val="1"/>
          <c:tx>
            <c:v>K band OCTOCAM + Telescope</c:v>
          </c:tx>
          <c:marker>
            <c:symbol val="none"/>
          </c:marker>
          <c:xVal>
            <c:numRef>
              <c:f>Spectroscopy!$B$144:$F$144</c:f>
              <c:numCache>
                <c:formatCode>General</c:formatCode>
                <c:ptCount val="5"/>
                <c:pt idx="0">
                  <c:v>2000.0</c:v>
                </c:pt>
                <c:pt idx="1">
                  <c:v>2100.0</c:v>
                </c:pt>
                <c:pt idx="2">
                  <c:v>2175.0</c:v>
                </c:pt>
                <c:pt idx="3">
                  <c:v>2280.0</c:v>
                </c:pt>
                <c:pt idx="4">
                  <c:v>2350.0</c:v>
                </c:pt>
              </c:numCache>
            </c:numRef>
          </c:xVal>
          <c:yVal>
            <c:numRef>
              <c:f>Spectroscopy!$B$161:$F$161</c:f>
              <c:numCache>
                <c:formatCode>0.000</c:formatCode>
                <c:ptCount val="5"/>
                <c:pt idx="0">
                  <c:v>0.126899720740969</c:v>
                </c:pt>
                <c:pt idx="1">
                  <c:v>0.173374491349363</c:v>
                </c:pt>
                <c:pt idx="2">
                  <c:v>0.181740449486407</c:v>
                </c:pt>
                <c:pt idx="3">
                  <c:v>0.148109928233238</c:v>
                </c:pt>
                <c:pt idx="4">
                  <c:v>0.0974094755587087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9893560"/>
        <c:axId val="2135303800"/>
      </c:scatterChart>
      <c:valAx>
        <c:axId val="2119893560"/>
        <c:scaling>
          <c:orientation val="minMax"/>
          <c:min val="1950.0"/>
        </c:scaling>
        <c:delete val="0"/>
        <c:axPos val="b"/>
        <c:numFmt formatCode="General" sourceLinked="1"/>
        <c:majorTickMark val="out"/>
        <c:minorTickMark val="none"/>
        <c:tickLblPos val="nextTo"/>
        <c:crossAx val="2135303800"/>
        <c:crosses val="autoZero"/>
        <c:crossBetween val="midCat"/>
      </c:valAx>
      <c:valAx>
        <c:axId val="2135303800"/>
        <c:scaling>
          <c:orientation val="minMax"/>
        </c:scaling>
        <c:delete val="0"/>
        <c:axPos val="l"/>
        <c:majorGridlines/>
        <c:numFmt formatCode="0.000" sourceLinked="1"/>
        <c:majorTickMark val="out"/>
        <c:minorTickMark val="none"/>
        <c:tickLblPos val="nextTo"/>
        <c:crossAx val="211989356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0164127211371"/>
          <c:y val="0.060931899641577"/>
          <c:w val="0.716436752224154"/>
          <c:h val="0.86255693844721"/>
        </c:manualLayout>
      </c:layout>
      <c:scatterChart>
        <c:scatterStyle val="smoothMarker"/>
        <c:varyColors val="0"/>
        <c:ser>
          <c:idx val="0"/>
          <c:order val="0"/>
          <c:tx>
            <c:v>Y band</c:v>
          </c:tx>
          <c:marker>
            <c:symbol val="none"/>
          </c:marker>
          <c:xVal>
            <c:numRef>
              <c:f>Imaging!$B$89:$F$89</c:f>
              <c:numCache>
                <c:formatCode>General</c:formatCode>
                <c:ptCount val="5"/>
                <c:pt idx="0">
                  <c:v>980.0</c:v>
                </c:pt>
                <c:pt idx="1">
                  <c:v>1000.0</c:v>
                </c:pt>
                <c:pt idx="2">
                  <c:v>1040.0</c:v>
                </c:pt>
                <c:pt idx="3">
                  <c:v>1090.0</c:v>
                </c:pt>
                <c:pt idx="4">
                  <c:v>1120.0</c:v>
                </c:pt>
              </c:numCache>
            </c:numRef>
          </c:xVal>
          <c:yVal>
            <c:numRef>
              <c:f>Imaging!$B$101:$F$101</c:f>
              <c:numCache>
                <c:formatCode>0.000</c:formatCode>
                <c:ptCount val="5"/>
                <c:pt idx="0">
                  <c:v>0.438880230975881</c:v>
                </c:pt>
                <c:pt idx="1">
                  <c:v>0.449431176134395</c:v>
                </c:pt>
                <c:pt idx="2">
                  <c:v>0.449437443600434</c:v>
                </c:pt>
                <c:pt idx="3">
                  <c:v>0.436390850773103</c:v>
                </c:pt>
                <c:pt idx="4">
                  <c:v>0.440124782882942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400B-40FC-B283-3981A19D8B14}"/>
            </c:ext>
          </c:extLst>
        </c:ser>
        <c:ser>
          <c:idx val="1"/>
          <c:order val="1"/>
          <c:tx>
            <c:v>J band</c:v>
          </c:tx>
          <c:marker>
            <c:symbol val="none"/>
          </c:marker>
          <c:xVal>
            <c:numRef>
              <c:f>Imaging!$B$107:$F$107</c:f>
              <c:numCache>
                <c:formatCode>General</c:formatCode>
                <c:ptCount val="5"/>
                <c:pt idx="0">
                  <c:v>1150.0</c:v>
                </c:pt>
                <c:pt idx="1">
                  <c:v>1200.0</c:v>
                </c:pt>
                <c:pt idx="2">
                  <c:v>1250.0</c:v>
                </c:pt>
                <c:pt idx="3">
                  <c:v>1300.0</c:v>
                </c:pt>
                <c:pt idx="4">
                  <c:v>1350.0</c:v>
                </c:pt>
              </c:numCache>
            </c:numRef>
          </c:xVal>
          <c:yVal>
            <c:numRef>
              <c:f>Imaging!$B$120:$F$120</c:f>
              <c:numCache>
                <c:formatCode>0.000</c:formatCode>
                <c:ptCount val="5"/>
                <c:pt idx="0">
                  <c:v>0.409179513545415</c:v>
                </c:pt>
                <c:pt idx="1">
                  <c:v>0.424453581240491</c:v>
                </c:pt>
                <c:pt idx="2">
                  <c:v>0.422295759629673</c:v>
                </c:pt>
                <c:pt idx="3">
                  <c:v>0.431842478444848</c:v>
                </c:pt>
                <c:pt idx="4">
                  <c:v>0.424906665902694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400B-40FC-B283-3981A19D8B14}"/>
            </c:ext>
          </c:extLst>
        </c:ser>
        <c:ser>
          <c:idx val="2"/>
          <c:order val="2"/>
          <c:tx>
            <c:v>H band</c:v>
          </c:tx>
          <c:marker>
            <c:symbol val="none"/>
          </c:marker>
          <c:xVal>
            <c:numRef>
              <c:f>Imaging!$B$126:$F$126</c:f>
              <c:numCache>
                <c:formatCode>General</c:formatCode>
                <c:ptCount val="5"/>
                <c:pt idx="0">
                  <c:v>1500.0</c:v>
                </c:pt>
                <c:pt idx="1">
                  <c:v>1550.0</c:v>
                </c:pt>
                <c:pt idx="2">
                  <c:v>1630.0</c:v>
                </c:pt>
                <c:pt idx="3">
                  <c:v>1700.0</c:v>
                </c:pt>
                <c:pt idx="4">
                  <c:v>1760.0</c:v>
                </c:pt>
              </c:numCache>
            </c:numRef>
          </c:xVal>
          <c:yVal>
            <c:numRef>
              <c:f>Imaging!$B$139:$F$139</c:f>
              <c:numCache>
                <c:formatCode>0.000</c:formatCode>
                <c:ptCount val="5"/>
                <c:pt idx="0">
                  <c:v>0.422254659590713</c:v>
                </c:pt>
                <c:pt idx="1">
                  <c:v>0.420971338271979</c:v>
                </c:pt>
                <c:pt idx="2">
                  <c:v>0.419685648975186</c:v>
                </c:pt>
                <c:pt idx="3">
                  <c:v>0.413193143603333</c:v>
                </c:pt>
                <c:pt idx="4">
                  <c:v>0.409074273319629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400B-40FC-B283-3981A19D8B14}"/>
            </c:ext>
          </c:extLst>
        </c:ser>
        <c:ser>
          <c:idx val="3"/>
          <c:order val="3"/>
          <c:tx>
            <c:v>K band</c:v>
          </c:tx>
          <c:marker>
            <c:symbol val="none"/>
          </c:marker>
          <c:xVal>
            <c:numRef>
              <c:f>Imaging!$B$145:$E$145</c:f>
              <c:numCache>
                <c:formatCode>General</c:formatCode>
                <c:ptCount val="4"/>
                <c:pt idx="0">
                  <c:v>2000.0</c:v>
                </c:pt>
                <c:pt idx="1">
                  <c:v>2100.0</c:v>
                </c:pt>
                <c:pt idx="2">
                  <c:v>2175.0</c:v>
                </c:pt>
                <c:pt idx="3">
                  <c:v>2280.0</c:v>
                </c:pt>
              </c:numCache>
            </c:numRef>
          </c:xVal>
          <c:yVal>
            <c:numRef>
              <c:f>Imaging!$B$160:$E$160</c:f>
              <c:numCache>
                <c:formatCode>0.000</c:formatCode>
                <c:ptCount val="4"/>
                <c:pt idx="0">
                  <c:v>0.369134042253445</c:v>
                </c:pt>
                <c:pt idx="1">
                  <c:v>0.340802593828883</c:v>
                </c:pt>
                <c:pt idx="2">
                  <c:v>0.309182748030083</c:v>
                </c:pt>
                <c:pt idx="3">
                  <c:v>0.277573222777606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3-400B-40FC-B283-3981A19D8B14}"/>
            </c:ext>
          </c:extLst>
        </c:ser>
        <c:ser>
          <c:idx val="4"/>
          <c:order val="4"/>
          <c:tx>
            <c:v>g band</c:v>
          </c:tx>
          <c:marker>
            <c:symbol val="none"/>
          </c:marker>
          <c:xVal>
            <c:numRef>
              <c:f>Imaging!$C$5:$F$5</c:f>
              <c:numCache>
                <c:formatCode>General</c:formatCode>
                <c:ptCount val="4"/>
                <c:pt idx="0">
                  <c:v>400.0</c:v>
                </c:pt>
                <c:pt idx="1">
                  <c:v>468.5</c:v>
                </c:pt>
                <c:pt idx="2">
                  <c:v>510.0</c:v>
                </c:pt>
                <c:pt idx="3">
                  <c:v>552.0</c:v>
                </c:pt>
              </c:numCache>
            </c:numRef>
          </c:xVal>
          <c:yVal>
            <c:numRef>
              <c:f>Imaging!$C$20:$F$20</c:f>
              <c:numCache>
                <c:formatCode>0.000</c:formatCode>
                <c:ptCount val="4"/>
                <c:pt idx="0">
                  <c:v>0.355821758212926</c:v>
                </c:pt>
                <c:pt idx="1">
                  <c:v>0.472959342761707</c:v>
                </c:pt>
                <c:pt idx="2">
                  <c:v>0.469999406166034</c:v>
                </c:pt>
                <c:pt idx="3">
                  <c:v>0.471268299975894</c:v>
                </c:pt>
              </c:numCache>
            </c:numRef>
          </c:yVal>
          <c:smooth val="1"/>
        </c:ser>
        <c:ser>
          <c:idx val="5"/>
          <c:order val="5"/>
          <c:tx>
            <c:v>r band</c:v>
          </c:tx>
          <c:marker>
            <c:symbol val="none"/>
          </c:marker>
          <c:xVal>
            <c:numRef>
              <c:f>Imaging!$B$25:$F$25</c:f>
              <c:numCache>
                <c:formatCode>General</c:formatCode>
                <c:ptCount val="5"/>
                <c:pt idx="0">
                  <c:v>552.0</c:v>
                </c:pt>
                <c:pt idx="1">
                  <c:v>580.0</c:v>
                </c:pt>
                <c:pt idx="2">
                  <c:v>622.0</c:v>
                </c:pt>
                <c:pt idx="3">
                  <c:v>650.0</c:v>
                </c:pt>
                <c:pt idx="4">
                  <c:v>691.0</c:v>
                </c:pt>
              </c:numCache>
            </c:numRef>
          </c:xVal>
          <c:yVal>
            <c:numRef>
              <c:f>Imaging!$B$40:$F$40</c:f>
              <c:numCache>
                <c:formatCode>0.000</c:formatCode>
                <c:ptCount val="5"/>
                <c:pt idx="0">
                  <c:v>0.443533332489408</c:v>
                </c:pt>
                <c:pt idx="1">
                  <c:v>0.454544001310112</c:v>
                </c:pt>
                <c:pt idx="2">
                  <c:v>0.447162695778301</c:v>
                </c:pt>
                <c:pt idx="3">
                  <c:v>0.434896063665539</c:v>
                </c:pt>
                <c:pt idx="4">
                  <c:v>0.411226455262585</c:v>
                </c:pt>
              </c:numCache>
            </c:numRef>
          </c:yVal>
          <c:smooth val="1"/>
        </c:ser>
        <c:ser>
          <c:idx val="6"/>
          <c:order val="6"/>
          <c:tx>
            <c:v>i band</c:v>
          </c:tx>
          <c:marker>
            <c:symbol val="none"/>
          </c:marker>
          <c:xVal>
            <c:numRef>
              <c:f>Imaging!$B$46:$F$46</c:f>
              <c:numCache>
                <c:formatCode>General</c:formatCode>
                <c:ptCount val="5"/>
                <c:pt idx="0">
                  <c:v>691.0</c:v>
                </c:pt>
                <c:pt idx="1">
                  <c:v>720.0</c:v>
                </c:pt>
                <c:pt idx="2">
                  <c:v>755.0</c:v>
                </c:pt>
                <c:pt idx="3">
                  <c:v>780.0</c:v>
                </c:pt>
                <c:pt idx="4">
                  <c:v>818.0</c:v>
                </c:pt>
              </c:numCache>
            </c:numRef>
          </c:xVal>
          <c:yVal>
            <c:numRef>
              <c:f>Imaging!$B$61:$F$61</c:f>
              <c:numCache>
                <c:formatCode>0.000</c:formatCode>
                <c:ptCount val="5"/>
                <c:pt idx="0">
                  <c:v>0.470075310066869</c:v>
                </c:pt>
                <c:pt idx="1">
                  <c:v>0.477053132646234</c:v>
                </c:pt>
                <c:pt idx="2">
                  <c:v>0.47669434956577</c:v>
                </c:pt>
                <c:pt idx="3">
                  <c:v>0.471163459983685</c:v>
                </c:pt>
                <c:pt idx="4">
                  <c:v>0.441556387945397</c:v>
                </c:pt>
              </c:numCache>
            </c:numRef>
          </c:yVal>
          <c:smooth val="1"/>
        </c:ser>
        <c:ser>
          <c:idx val="7"/>
          <c:order val="7"/>
          <c:tx>
            <c:v>z band</c:v>
          </c:tx>
          <c:marker>
            <c:symbol val="none"/>
          </c:marker>
          <c:xVal>
            <c:numRef>
              <c:f>Imaging!$B$67:$E$67</c:f>
              <c:numCache>
                <c:formatCode>General</c:formatCode>
                <c:ptCount val="4"/>
                <c:pt idx="0">
                  <c:v>818.0</c:v>
                </c:pt>
                <c:pt idx="1">
                  <c:v>850.0</c:v>
                </c:pt>
                <c:pt idx="2">
                  <c:v>889.0</c:v>
                </c:pt>
                <c:pt idx="3">
                  <c:v>922.0</c:v>
                </c:pt>
              </c:numCache>
            </c:numRef>
          </c:xVal>
          <c:yVal>
            <c:numRef>
              <c:f>Imaging!$B$84:$E$84</c:f>
              <c:numCache>
                <c:formatCode>0.000</c:formatCode>
                <c:ptCount val="4"/>
                <c:pt idx="0">
                  <c:v>0.390548270420082</c:v>
                </c:pt>
                <c:pt idx="1">
                  <c:v>0.368702524285999</c:v>
                </c:pt>
                <c:pt idx="2">
                  <c:v>0.301615088985488</c:v>
                </c:pt>
                <c:pt idx="3">
                  <c:v>0.228721297820807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42319688"/>
        <c:axId val="-2142670584"/>
      </c:scatterChart>
      <c:valAx>
        <c:axId val="-2142319688"/>
        <c:scaling>
          <c:orientation val="minMax"/>
          <c:max val="2350.0"/>
          <c:min val="350.0"/>
        </c:scaling>
        <c:delete val="0"/>
        <c:axPos val="b"/>
        <c:numFmt formatCode="General" sourceLinked="1"/>
        <c:majorTickMark val="out"/>
        <c:minorTickMark val="none"/>
        <c:tickLblPos val="nextTo"/>
        <c:crossAx val="-2142670584"/>
        <c:crosses val="autoZero"/>
        <c:crossBetween val="midCat"/>
      </c:valAx>
      <c:valAx>
        <c:axId val="-2142670584"/>
        <c:scaling>
          <c:orientation val="minMax"/>
        </c:scaling>
        <c:delete val="0"/>
        <c:axPos val="l"/>
        <c:majorGridlines/>
        <c:numFmt formatCode="0.000" sourceLinked="1"/>
        <c:majorTickMark val="out"/>
        <c:minorTickMark val="none"/>
        <c:tickLblPos val="nextTo"/>
        <c:crossAx val="-214231968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0164127211371"/>
          <c:y val="0.060931899641577"/>
          <c:w val="0.716436752224154"/>
          <c:h val="0.86255693844721"/>
        </c:manualLayout>
      </c:layout>
      <c:scatterChart>
        <c:scatterStyle val="smoothMarker"/>
        <c:varyColors val="0"/>
        <c:ser>
          <c:idx val="0"/>
          <c:order val="0"/>
          <c:tx>
            <c:v>Y band</c:v>
          </c:tx>
          <c:marker>
            <c:symbol val="none"/>
          </c:marker>
          <c:xVal>
            <c:numRef>
              <c:f>Spectroscopy!$B$89:$F$89</c:f>
              <c:numCache>
                <c:formatCode>General</c:formatCode>
                <c:ptCount val="5"/>
                <c:pt idx="0">
                  <c:v>960.0</c:v>
                </c:pt>
                <c:pt idx="1">
                  <c:v>1000.0</c:v>
                </c:pt>
                <c:pt idx="2">
                  <c:v>1040.0</c:v>
                </c:pt>
                <c:pt idx="3">
                  <c:v>1090.0</c:v>
                </c:pt>
                <c:pt idx="4">
                  <c:v>1120.0</c:v>
                </c:pt>
              </c:numCache>
            </c:numRef>
          </c:xVal>
          <c:yVal>
            <c:numRef>
              <c:f>Spectroscopy!$B$102:$F$102</c:f>
              <c:numCache>
                <c:formatCode>0.000</c:formatCode>
                <c:ptCount val="5"/>
                <c:pt idx="0">
                  <c:v>0.210258344427529</c:v>
                </c:pt>
                <c:pt idx="1">
                  <c:v>0.293077423967084</c:v>
                </c:pt>
                <c:pt idx="2">
                  <c:v>0.320557902687378</c:v>
                </c:pt>
                <c:pt idx="3">
                  <c:v>0.27123433686546</c:v>
                </c:pt>
                <c:pt idx="4">
                  <c:v>0.21974100184894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489C-42A7-AB3F-0D2CD6362237}"/>
            </c:ext>
          </c:extLst>
        </c:ser>
        <c:ser>
          <c:idx val="1"/>
          <c:order val="1"/>
          <c:tx>
            <c:v>J band</c:v>
          </c:tx>
          <c:marker>
            <c:symbol val="none"/>
          </c:marker>
          <c:xVal>
            <c:numRef>
              <c:f>Spectroscopy!$B$107:$F$107</c:f>
              <c:numCache>
                <c:formatCode>General</c:formatCode>
                <c:ptCount val="5"/>
                <c:pt idx="0">
                  <c:v>1150.0</c:v>
                </c:pt>
                <c:pt idx="1">
                  <c:v>1200.0</c:v>
                </c:pt>
                <c:pt idx="2">
                  <c:v>1250.0</c:v>
                </c:pt>
                <c:pt idx="3">
                  <c:v>1300.0</c:v>
                </c:pt>
                <c:pt idx="4">
                  <c:v>1350.0</c:v>
                </c:pt>
              </c:numCache>
            </c:numRef>
          </c:xVal>
          <c:yVal>
            <c:numRef>
              <c:f>Spectroscopy!$B$120:$F$120</c:f>
              <c:numCache>
                <c:formatCode>0.000</c:formatCode>
                <c:ptCount val="5"/>
                <c:pt idx="0">
                  <c:v>0.272968736749504</c:v>
                </c:pt>
                <c:pt idx="1">
                  <c:v>0.365899587646907</c:v>
                </c:pt>
                <c:pt idx="2">
                  <c:v>0.363557907038009</c:v>
                </c:pt>
                <c:pt idx="3">
                  <c:v>0.289201103841924</c:v>
                </c:pt>
                <c:pt idx="4">
                  <c:v>0.214869006067034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489C-42A7-AB3F-0D2CD6362237}"/>
            </c:ext>
          </c:extLst>
        </c:ser>
        <c:ser>
          <c:idx val="2"/>
          <c:order val="2"/>
          <c:tx>
            <c:v>H band</c:v>
          </c:tx>
          <c:marker>
            <c:symbol val="none"/>
          </c:marker>
          <c:xVal>
            <c:numRef>
              <c:f>Spectroscopy!$B$125:$F$125</c:f>
              <c:numCache>
                <c:formatCode>General</c:formatCode>
                <c:ptCount val="5"/>
                <c:pt idx="0">
                  <c:v>1500.0</c:v>
                </c:pt>
                <c:pt idx="1">
                  <c:v>1550.0</c:v>
                </c:pt>
                <c:pt idx="2">
                  <c:v>1630.0</c:v>
                </c:pt>
                <c:pt idx="3">
                  <c:v>1700.0</c:v>
                </c:pt>
                <c:pt idx="4">
                  <c:v>1760.0</c:v>
                </c:pt>
              </c:numCache>
            </c:numRef>
          </c:xVal>
          <c:yVal>
            <c:numRef>
              <c:f>Spectroscopy!$B$139:$F$139</c:f>
              <c:numCache>
                <c:formatCode>0.000</c:formatCode>
                <c:ptCount val="5"/>
                <c:pt idx="0">
                  <c:v>0.223100091505008</c:v>
                </c:pt>
                <c:pt idx="1">
                  <c:v>0.265501340814379</c:v>
                </c:pt>
                <c:pt idx="2">
                  <c:v>0.293882166031512</c:v>
                </c:pt>
                <c:pt idx="3">
                  <c:v>0.266447125389559</c:v>
                </c:pt>
                <c:pt idx="4">
                  <c:v>0.220579251860935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489C-42A7-AB3F-0D2CD6362237}"/>
            </c:ext>
          </c:extLst>
        </c:ser>
        <c:ser>
          <c:idx val="3"/>
          <c:order val="3"/>
          <c:tx>
            <c:v>K band</c:v>
          </c:tx>
          <c:marker>
            <c:symbol val="none"/>
          </c:marker>
          <c:xVal>
            <c:numRef>
              <c:f>Spectroscopy!$B$144:$F$144</c:f>
              <c:numCache>
                <c:formatCode>General</c:formatCode>
                <c:ptCount val="5"/>
                <c:pt idx="0">
                  <c:v>2000.0</c:v>
                </c:pt>
                <c:pt idx="1">
                  <c:v>2100.0</c:v>
                </c:pt>
                <c:pt idx="2">
                  <c:v>2175.0</c:v>
                </c:pt>
                <c:pt idx="3">
                  <c:v>2280.0</c:v>
                </c:pt>
                <c:pt idx="4">
                  <c:v>2350.0</c:v>
                </c:pt>
              </c:numCache>
            </c:numRef>
          </c:xVal>
          <c:yVal>
            <c:numRef>
              <c:f>Spectroscopy!$B$159:$F$159</c:f>
              <c:numCache>
                <c:formatCode>0.000</c:formatCode>
                <c:ptCount val="5"/>
                <c:pt idx="0">
                  <c:v>0.132651369512236</c:v>
                </c:pt>
                <c:pt idx="1">
                  <c:v>0.181048586941122</c:v>
                </c:pt>
                <c:pt idx="2">
                  <c:v>0.189784848471477</c:v>
                </c:pt>
                <c:pt idx="3">
                  <c:v>0.154744245988648</c:v>
                </c:pt>
                <c:pt idx="4">
                  <c:v>0.105104547335021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3-489C-42A7-AB3F-0D2CD6362237}"/>
            </c:ext>
          </c:extLst>
        </c:ser>
        <c:ser>
          <c:idx val="4"/>
          <c:order val="4"/>
          <c:tx>
            <c:v>g band</c:v>
          </c:tx>
          <c:marker>
            <c:symbol val="none"/>
          </c:marker>
          <c:xVal>
            <c:numRef>
              <c:f>Spectroscopy!$B$5:$F$5</c:f>
              <c:numCache>
                <c:formatCode>General</c:formatCode>
                <c:ptCount val="5"/>
                <c:pt idx="0">
                  <c:v>385.0</c:v>
                </c:pt>
                <c:pt idx="1">
                  <c:v>400.0</c:v>
                </c:pt>
                <c:pt idx="2">
                  <c:v>469.0</c:v>
                </c:pt>
                <c:pt idx="3">
                  <c:v>510.0</c:v>
                </c:pt>
                <c:pt idx="4">
                  <c:v>552.0</c:v>
                </c:pt>
              </c:numCache>
            </c:numRef>
          </c:xVal>
          <c:yVal>
            <c:numRef>
              <c:f>Spectroscopy!$B$20:$F$20</c:f>
              <c:numCache>
                <c:formatCode>0.000</c:formatCode>
                <c:ptCount val="5"/>
                <c:pt idx="0">
                  <c:v>0.116371489693162</c:v>
                </c:pt>
                <c:pt idx="1">
                  <c:v>0.258906522219679</c:v>
                </c:pt>
                <c:pt idx="2">
                  <c:v>0.425824395360637</c:v>
                </c:pt>
                <c:pt idx="3">
                  <c:v>0.38033673904804</c:v>
                </c:pt>
                <c:pt idx="4">
                  <c:v>0.292704980445399</c:v>
                </c:pt>
              </c:numCache>
            </c:numRef>
          </c:yVal>
          <c:smooth val="1"/>
        </c:ser>
        <c:ser>
          <c:idx val="5"/>
          <c:order val="5"/>
          <c:tx>
            <c:v>r band</c:v>
          </c:tx>
          <c:marker>
            <c:symbol val="none"/>
          </c:marker>
          <c:xVal>
            <c:numRef>
              <c:f>Spectroscopy!$B$25:$F$25</c:f>
              <c:numCache>
                <c:formatCode>General</c:formatCode>
                <c:ptCount val="5"/>
                <c:pt idx="0">
                  <c:v>552.0</c:v>
                </c:pt>
                <c:pt idx="1">
                  <c:v>580.0</c:v>
                </c:pt>
                <c:pt idx="2">
                  <c:v>622.0</c:v>
                </c:pt>
                <c:pt idx="3">
                  <c:v>650.0</c:v>
                </c:pt>
                <c:pt idx="4">
                  <c:v>691.0</c:v>
                </c:pt>
              </c:numCache>
            </c:numRef>
          </c:xVal>
          <c:yVal>
            <c:numRef>
              <c:f>Spectroscopy!$B$41:$F$41</c:f>
              <c:numCache>
                <c:formatCode>0.000</c:formatCode>
                <c:ptCount val="5"/>
                <c:pt idx="0">
                  <c:v>0.283958680807259</c:v>
                </c:pt>
                <c:pt idx="1">
                  <c:v>0.350118910375403</c:v>
                </c:pt>
                <c:pt idx="2">
                  <c:v>0.380218639705084</c:v>
                </c:pt>
                <c:pt idx="3">
                  <c:v>0.348036166283189</c:v>
                </c:pt>
                <c:pt idx="4">
                  <c:v>0.272605086594096</c:v>
                </c:pt>
              </c:numCache>
            </c:numRef>
          </c:yVal>
          <c:smooth val="1"/>
        </c:ser>
        <c:ser>
          <c:idx val="6"/>
          <c:order val="6"/>
          <c:tx>
            <c:v>i band</c:v>
          </c:tx>
          <c:marker>
            <c:symbol val="none"/>
          </c:marker>
          <c:xVal>
            <c:numRef>
              <c:f>Spectroscopy!$B$46:$F$46</c:f>
              <c:numCache>
                <c:formatCode>General</c:formatCode>
                <c:ptCount val="5"/>
                <c:pt idx="0">
                  <c:v>691.0</c:v>
                </c:pt>
                <c:pt idx="1">
                  <c:v>720.0</c:v>
                </c:pt>
                <c:pt idx="2">
                  <c:v>755.0</c:v>
                </c:pt>
                <c:pt idx="3">
                  <c:v>780.0</c:v>
                </c:pt>
                <c:pt idx="4">
                  <c:v>818.0</c:v>
                </c:pt>
              </c:numCache>
            </c:numRef>
          </c:xVal>
          <c:yVal>
            <c:numRef>
              <c:f>Spectroscopy!$B$62:$F$62</c:f>
              <c:numCache>
                <c:formatCode>0.000</c:formatCode>
                <c:ptCount val="5"/>
                <c:pt idx="0">
                  <c:v>0.342907426721585</c:v>
                </c:pt>
                <c:pt idx="1">
                  <c:v>0.397011303771178</c:v>
                </c:pt>
                <c:pt idx="2">
                  <c:v>0.41140578236647</c:v>
                </c:pt>
                <c:pt idx="3">
                  <c:v>0.39210982328079</c:v>
                </c:pt>
                <c:pt idx="4">
                  <c:v>0.326640302995707</c:v>
                </c:pt>
              </c:numCache>
            </c:numRef>
          </c:yVal>
          <c:smooth val="1"/>
        </c:ser>
        <c:ser>
          <c:idx val="7"/>
          <c:order val="7"/>
          <c:tx>
            <c:v>z band</c:v>
          </c:tx>
          <c:marker>
            <c:symbol val="none"/>
          </c:marker>
          <c:xVal>
            <c:numRef>
              <c:f>Spectroscopy!$B$67:$F$67</c:f>
              <c:numCache>
                <c:formatCode>General</c:formatCode>
                <c:ptCount val="5"/>
                <c:pt idx="0">
                  <c:v>818.0</c:v>
                </c:pt>
                <c:pt idx="1">
                  <c:v>850.0</c:v>
                </c:pt>
                <c:pt idx="2">
                  <c:v>889.0</c:v>
                </c:pt>
                <c:pt idx="3">
                  <c:v>922.0</c:v>
                </c:pt>
                <c:pt idx="4">
                  <c:v>960.0</c:v>
                </c:pt>
              </c:numCache>
            </c:numRef>
          </c:xVal>
          <c:yVal>
            <c:numRef>
              <c:f>Spectroscopy!$B$84:$F$84</c:f>
              <c:numCache>
                <c:formatCode>0.000</c:formatCode>
                <c:ptCount val="5"/>
                <c:pt idx="0">
                  <c:v>0.265387414495162</c:v>
                </c:pt>
                <c:pt idx="1">
                  <c:v>0.279151819783966</c:v>
                </c:pt>
                <c:pt idx="2">
                  <c:v>0.242143125485279</c:v>
                </c:pt>
                <c:pt idx="3">
                  <c:v>0.186776837590596</c:v>
                </c:pt>
                <c:pt idx="4">
                  <c:v>0.0973315127406564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8757272"/>
        <c:axId val="-2128828104"/>
      </c:scatterChart>
      <c:valAx>
        <c:axId val="-2128757272"/>
        <c:scaling>
          <c:orientation val="minMax"/>
          <c:max val="2350.0"/>
          <c:min val="350.0"/>
        </c:scaling>
        <c:delete val="0"/>
        <c:axPos val="b"/>
        <c:numFmt formatCode="General" sourceLinked="1"/>
        <c:majorTickMark val="out"/>
        <c:minorTickMark val="none"/>
        <c:tickLblPos val="nextTo"/>
        <c:crossAx val="-2128828104"/>
        <c:crosses val="autoZero"/>
        <c:crossBetween val="midCat"/>
      </c:valAx>
      <c:valAx>
        <c:axId val="-2128828104"/>
        <c:scaling>
          <c:orientation val="minMax"/>
        </c:scaling>
        <c:delete val="0"/>
        <c:axPos val="l"/>
        <c:majorGridlines/>
        <c:numFmt formatCode="0.000" sourceLinked="1"/>
        <c:majorTickMark val="out"/>
        <c:minorTickMark val="none"/>
        <c:tickLblPos val="nextTo"/>
        <c:crossAx val="-212875727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0164127211371"/>
          <c:y val="0.060931899641577"/>
          <c:w val="0.716436752224154"/>
          <c:h val="0.86255693844721"/>
        </c:manualLayout>
      </c:layout>
      <c:scatterChart>
        <c:scatterStyle val="smoothMarker"/>
        <c:varyColors val="0"/>
        <c:ser>
          <c:idx val="0"/>
          <c:order val="0"/>
          <c:tx>
            <c:v>Y band</c:v>
          </c:tx>
          <c:marker>
            <c:symbol val="diamond"/>
            <c:size val="5"/>
          </c:marker>
          <c:xVal>
            <c:numRef>
              <c:f>ImagingA!$B$89:$N$89</c:f>
              <c:numCache>
                <c:formatCode>0</c:formatCode>
                <c:ptCount val="13"/>
                <c:pt idx="0" formatCode="General">
                  <c:v>980.0</c:v>
                </c:pt>
                <c:pt idx="1">
                  <c:v>986.6666666666666</c:v>
                </c:pt>
                <c:pt idx="2">
                  <c:v>993.3333333333333</c:v>
                </c:pt>
                <c:pt idx="3" formatCode="General">
                  <c:v>1000.0</c:v>
                </c:pt>
                <c:pt idx="4">
                  <c:v>1013.333333333333</c:v>
                </c:pt>
                <c:pt idx="5">
                  <c:v>1026.666666666667</c:v>
                </c:pt>
                <c:pt idx="6" formatCode="General">
                  <c:v>1040.0</c:v>
                </c:pt>
                <c:pt idx="7">
                  <c:v>1056.666666666667</c:v>
                </c:pt>
                <c:pt idx="8">
                  <c:v>1073.333333333333</c:v>
                </c:pt>
                <c:pt idx="9" formatCode="General">
                  <c:v>1090.0</c:v>
                </c:pt>
                <c:pt idx="10">
                  <c:v>1100.0</c:v>
                </c:pt>
                <c:pt idx="11">
                  <c:v>1110.0</c:v>
                </c:pt>
                <c:pt idx="12" formatCode="General">
                  <c:v>1120.0</c:v>
                </c:pt>
              </c:numCache>
            </c:numRef>
          </c:xVal>
          <c:yVal>
            <c:numRef>
              <c:f>ImagingA!$B$101:$N$101</c:f>
              <c:numCache>
                <c:formatCode>0.000</c:formatCode>
                <c:ptCount val="13"/>
                <c:pt idx="0">
                  <c:v>0.466397694979682</c:v>
                </c:pt>
                <c:pt idx="1">
                  <c:v>0.46633676765395</c:v>
                </c:pt>
                <c:pt idx="2">
                  <c:v>0.466275840328217</c:v>
                </c:pt>
                <c:pt idx="3">
                  <c:v>0.466214913002484</c:v>
                </c:pt>
                <c:pt idx="4">
                  <c:v>0.46621708017608</c:v>
                </c:pt>
                <c:pt idx="5">
                  <c:v>0.466219247349676</c:v>
                </c:pt>
                <c:pt idx="6">
                  <c:v>0.466221414523271</c:v>
                </c:pt>
                <c:pt idx="7">
                  <c:v>0.466224123490266</c:v>
                </c:pt>
                <c:pt idx="8">
                  <c:v>0.46622683245726</c:v>
                </c:pt>
                <c:pt idx="9">
                  <c:v>0.466229541424255</c:v>
                </c:pt>
                <c:pt idx="10">
                  <c:v>0.466230987673706</c:v>
                </c:pt>
                <c:pt idx="11">
                  <c:v>0.466232433923157</c:v>
                </c:pt>
                <c:pt idx="12">
                  <c:v>0.466233880172608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400B-40FC-B283-3981A19D8B14}"/>
            </c:ext>
          </c:extLst>
        </c:ser>
        <c:ser>
          <c:idx val="1"/>
          <c:order val="1"/>
          <c:tx>
            <c:v>J band</c:v>
          </c:tx>
          <c:marker>
            <c:symbol val="diamond"/>
            <c:size val="5"/>
          </c:marker>
          <c:xVal>
            <c:numRef>
              <c:f>ImagingA!$B$107:$N$107</c:f>
              <c:numCache>
                <c:formatCode>0</c:formatCode>
                <c:ptCount val="13"/>
                <c:pt idx="0" formatCode="General">
                  <c:v>1150.0</c:v>
                </c:pt>
                <c:pt idx="1">
                  <c:v>1166.666666666667</c:v>
                </c:pt>
                <c:pt idx="2">
                  <c:v>1183.333333333333</c:v>
                </c:pt>
                <c:pt idx="3" formatCode="General">
                  <c:v>1200.0</c:v>
                </c:pt>
                <c:pt idx="4">
                  <c:v>1216.666666666667</c:v>
                </c:pt>
                <c:pt idx="5">
                  <c:v>1233.333333333333</c:v>
                </c:pt>
                <c:pt idx="6" formatCode="General">
                  <c:v>1250.0</c:v>
                </c:pt>
                <c:pt idx="7">
                  <c:v>1266.666666666667</c:v>
                </c:pt>
                <c:pt idx="8">
                  <c:v>1283.333333333333</c:v>
                </c:pt>
                <c:pt idx="9" formatCode="General">
                  <c:v>1300.0</c:v>
                </c:pt>
                <c:pt idx="10">
                  <c:v>1316.666666666667</c:v>
                </c:pt>
                <c:pt idx="11">
                  <c:v>1333.333333333333</c:v>
                </c:pt>
                <c:pt idx="12" formatCode="General">
                  <c:v>1350.0</c:v>
                </c:pt>
              </c:numCache>
            </c:numRef>
          </c:xVal>
          <c:yVal>
            <c:numRef>
              <c:f>ImagingA!$B$120:$N$120</c:f>
              <c:numCache>
                <c:formatCode>0.000</c:formatCode>
                <c:ptCount val="13"/>
                <c:pt idx="0">
                  <c:v>0.436225494184877</c:v>
                </c:pt>
                <c:pt idx="1">
                  <c:v>0.436227609771929</c:v>
                </c:pt>
                <c:pt idx="2">
                  <c:v>0.436229725358981</c:v>
                </c:pt>
                <c:pt idx="3">
                  <c:v>0.436231840946033</c:v>
                </c:pt>
                <c:pt idx="4">
                  <c:v>0.435491896635997</c:v>
                </c:pt>
                <c:pt idx="5">
                  <c:v>0.434752663575172</c:v>
                </c:pt>
                <c:pt idx="6">
                  <c:v>0.43401414144879</c:v>
                </c:pt>
                <c:pt idx="7">
                  <c:v>0.433434057037074</c:v>
                </c:pt>
                <c:pt idx="8">
                  <c:v>0.432854260953493</c:v>
                </c:pt>
                <c:pt idx="9">
                  <c:v>0.432274753198046</c:v>
                </c:pt>
                <c:pt idx="10">
                  <c:v>0.431683730005312</c:v>
                </c:pt>
                <c:pt idx="11">
                  <c:v>0.431093214876493</c:v>
                </c:pt>
                <c:pt idx="12">
                  <c:v>0.430503207601514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400B-40FC-B283-3981A19D8B14}"/>
            </c:ext>
          </c:extLst>
        </c:ser>
        <c:ser>
          <c:idx val="2"/>
          <c:order val="2"/>
          <c:tx>
            <c:v>H band</c:v>
          </c:tx>
          <c:marker>
            <c:symbol val="diamond"/>
            <c:size val="5"/>
          </c:marker>
          <c:xVal>
            <c:numRef>
              <c:f>ImagingA!$B$126:$N$126</c:f>
              <c:numCache>
                <c:formatCode>0</c:formatCode>
                <c:ptCount val="13"/>
                <c:pt idx="0" formatCode="General">
                  <c:v>1500.0</c:v>
                </c:pt>
                <c:pt idx="1">
                  <c:v>1516.666666666667</c:v>
                </c:pt>
                <c:pt idx="2">
                  <c:v>1533.333333333333</c:v>
                </c:pt>
                <c:pt idx="3" formatCode="General">
                  <c:v>1550.0</c:v>
                </c:pt>
                <c:pt idx="4">
                  <c:v>1576.666666666667</c:v>
                </c:pt>
                <c:pt idx="5">
                  <c:v>1603.333333333333</c:v>
                </c:pt>
                <c:pt idx="6" formatCode="General">
                  <c:v>1630.0</c:v>
                </c:pt>
                <c:pt idx="7">
                  <c:v>1653.333333333333</c:v>
                </c:pt>
                <c:pt idx="8">
                  <c:v>1676.666666666667</c:v>
                </c:pt>
                <c:pt idx="9" formatCode="General">
                  <c:v>1700.0</c:v>
                </c:pt>
                <c:pt idx="10">
                  <c:v>1720.0</c:v>
                </c:pt>
                <c:pt idx="11">
                  <c:v>1740.0</c:v>
                </c:pt>
                <c:pt idx="12" formatCode="General">
                  <c:v>1760.0</c:v>
                </c:pt>
              </c:numCache>
            </c:numRef>
          </c:xVal>
          <c:yVal>
            <c:numRef>
              <c:f>ImagingA!$B$139:$N$139</c:f>
              <c:numCache>
                <c:formatCode>0.000</c:formatCode>
                <c:ptCount val="13"/>
                <c:pt idx="0">
                  <c:v>0.422254659590713</c:v>
                </c:pt>
                <c:pt idx="1">
                  <c:v>0.421826983418576</c:v>
                </c:pt>
                <c:pt idx="2">
                  <c:v>0.421399209549981</c:v>
                </c:pt>
                <c:pt idx="3">
                  <c:v>0.420971338271979</c:v>
                </c:pt>
                <c:pt idx="4">
                  <c:v>0.420545407025373</c:v>
                </c:pt>
                <c:pt idx="5">
                  <c:v>0.420116839726369</c:v>
                </c:pt>
                <c:pt idx="6">
                  <c:v>0.419685648975186</c:v>
                </c:pt>
                <c:pt idx="7">
                  <c:v>0.417513454977842</c:v>
                </c:pt>
                <c:pt idx="8">
                  <c:v>0.415349292816851</c:v>
                </c:pt>
                <c:pt idx="9">
                  <c:v>0.413193143603333</c:v>
                </c:pt>
                <c:pt idx="10">
                  <c:v>0.411818363959401</c:v>
                </c:pt>
                <c:pt idx="11">
                  <c:v>0.410445406011346</c:v>
                </c:pt>
                <c:pt idx="12">
                  <c:v>0.409074273319629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400B-40FC-B283-3981A19D8B14}"/>
            </c:ext>
          </c:extLst>
        </c:ser>
        <c:ser>
          <c:idx val="3"/>
          <c:order val="3"/>
          <c:tx>
            <c:v>K band</c:v>
          </c:tx>
          <c:marker>
            <c:symbol val="diamond"/>
            <c:size val="5"/>
          </c:marker>
          <c:xVal>
            <c:numRef>
              <c:f>ImagingA!$B$145:$K$145</c:f>
              <c:numCache>
                <c:formatCode>0</c:formatCode>
                <c:ptCount val="10"/>
                <c:pt idx="0" formatCode="General">
                  <c:v>2000.0</c:v>
                </c:pt>
                <c:pt idx="1">
                  <c:v>2033.333333333333</c:v>
                </c:pt>
                <c:pt idx="2">
                  <c:v>2066.666666666667</c:v>
                </c:pt>
                <c:pt idx="3" formatCode="General">
                  <c:v>2100.0</c:v>
                </c:pt>
                <c:pt idx="4">
                  <c:v>2125.0</c:v>
                </c:pt>
                <c:pt idx="5">
                  <c:v>2150.0</c:v>
                </c:pt>
                <c:pt idx="6" formatCode="General">
                  <c:v>2175.0</c:v>
                </c:pt>
                <c:pt idx="7">
                  <c:v>2210.0</c:v>
                </c:pt>
                <c:pt idx="8">
                  <c:v>2245.0</c:v>
                </c:pt>
                <c:pt idx="9" formatCode="General">
                  <c:v>2280.0</c:v>
                </c:pt>
              </c:numCache>
            </c:numRef>
          </c:xVal>
          <c:yVal>
            <c:numRef>
              <c:f>ImagingA!$B$160:$K$160</c:f>
              <c:numCache>
                <c:formatCode>0.000</c:formatCode>
                <c:ptCount val="10"/>
                <c:pt idx="0">
                  <c:v>0.378211108866234</c:v>
                </c:pt>
                <c:pt idx="1">
                  <c:v>0.365714206814686</c:v>
                </c:pt>
                <c:pt idx="2">
                  <c:v>0.353473172572143</c:v>
                </c:pt>
                <c:pt idx="3">
                  <c:v>0.341485564958801</c:v>
                </c:pt>
                <c:pt idx="4">
                  <c:v>0.33301319198925</c:v>
                </c:pt>
                <c:pt idx="5">
                  <c:v>0.32467210838712</c:v>
                </c:pt>
                <c:pt idx="6">
                  <c:v>0.316461359293842</c:v>
                </c:pt>
                <c:pt idx="7">
                  <c:v>0.312392945943518</c:v>
                </c:pt>
                <c:pt idx="8">
                  <c:v>0.308358071206396</c:v>
                </c:pt>
                <c:pt idx="9">
                  <c:v>0.304356603922814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3-400B-40FC-B283-3981A19D8B14}"/>
            </c:ext>
          </c:extLst>
        </c:ser>
        <c:ser>
          <c:idx val="4"/>
          <c:order val="4"/>
          <c:tx>
            <c:v>g band</c:v>
          </c:tx>
          <c:marker>
            <c:symbol val="diamond"/>
            <c:size val="5"/>
          </c:marker>
          <c:xVal>
            <c:numRef>
              <c:f>ImagingA!$E$5:$N$5</c:f>
              <c:numCache>
                <c:formatCode>0</c:formatCode>
                <c:ptCount val="10"/>
                <c:pt idx="0">
                  <c:v>400.0</c:v>
                </c:pt>
                <c:pt idx="1">
                  <c:v>423.0</c:v>
                </c:pt>
                <c:pt idx="2">
                  <c:v>446.0</c:v>
                </c:pt>
                <c:pt idx="3">
                  <c:v>469.0</c:v>
                </c:pt>
                <c:pt idx="4">
                  <c:v>482.6666666666666</c:v>
                </c:pt>
                <c:pt idx="5">
                  <c:v>496.3333333333333</c:v>
                </c:pt>
                <c:pt idx="6">
                  <c:v>510.0</c:v>
                </c:pt>
                <c:pt idx="7">
                  <c:v>524.0</c:v>
                </c:pt>
                <c:pt idx="8">
                  <c:v>538.0</c:v>
                </c:pt>
                <c:pt idx="9">
                  <c:v>552.0</c:v>
                </c:pt>
              </c:numCache>
            </c:numRef>
          </c:xVal>
          <c:yVal>
            <c:numRef>
              <c:f>ImagingA!$E$20:$N$20</c:f>
              <c:numCache>
                <c:formatCode>0.000</c:formatCode>
                <c:ptCount val="10"/>
                <c:pt idx="0">
                  <c:v>0.355821758212926</c:v>
                </c:pt>
                <c:pt idx="1">
                  <c:v>0.403367130709833</c:v>
                </c:pt>
                <c:pt idx="2">
                  <c:v>0.439285108627868</c:v>
                </c:pt>
                <c:pt idx="3">
                  <c:v>0.472959342761707</c:v>
                </c:pt>
                <c:pt idx="4">
                  <c:v>0.472042175549801</c:v>
                </c:pt>
                <c:pt idx="5">
                  <c:v>0.471055520288765</c:v>
                </c:pt>
                <c:pt idx="6">
                  <c:v>0.469999406166034</c:v>
                </c:pt>
                <c:pt idx="7">
                  <c:v>0.469546403954278</c:v>
                </c:pt>
                <c:pt idx="8">
                  <c:v>0.470146135987259</c:v>
                </c:pt>
                <c:pt idx="9">
                  <c:v>0.471268299975894</c:v>
                </c:pt>
              </c:numCache>
            </c:numRef>
          </c:yVal>
          <c:smooth val="1"/>
        </c:ser>
        <c:ser>
          <c:idx val="5"/>
          <c:order val="5"/>
          <c:tx>
            <c:v>r band</c:v>
          </c:tx>
          <c:marker>
            <c:symbol val="diamond"/>
            <c:size val="5"/>
          </c:marker>
          <c:xVal>
            <c:numRef>
              <c:f>ImagingA!$B$25:$N$25</c:f>
              <c:numCache>
                <c:formatCode>0</c:formatCode>
                <c:ptCount val="13"/>
                <c:pt idx="0" formatCode="General">
                  <c:v>552.0</c:v>
                </c:pt>
                <c:pt idx="1">
                  <c:v>561.3333333333333</c:v>
                </c:pt>
                <c:pt idx="2">
                  <c:v>570.6666666666666</c:v>
                </c:pt>
                <c:pt idx="3" formatCode="General">
                  <c:v>580.0</c:v>
                </c:pt>
                <c:pt idx="4">
                  <c:v>594.0</c:v>
                </c:pt>
                <c:pt idx="5">
                  <c:v>608.0</c:v>
                </c:pt>
                <c:pt idx="6" formatCode="General">
                  <c:v>622.0</c:v>
                </c:pt>
                <c:pt idx="7">
                  <c:v>631.3333333333333</c:v>
                </c:pt>
                <c:pt idx="8">
                  <c:v>640.6666666666666</c:v>
                </c:pt>
                <c:pt idx="9" formatCode="General">
                  <c:v>650.0</c:v>
                </c:pt>
                <c:pt idx="10">
                  <c:v>663.6666666666666</c:v>
                </c:pt>
                <c:pt idx="11">
                  <c:v>677.3333333333333</c:v>
                </c:pt>
                <c:pt idx="12" formatCode="General">
                  <c:v>691.0</c:v>
                </c:pt>
              </c:numCache>
            </c:numRef>
          </c:xVal>
          <c:yVal>
            <c:numRef>
              <c:f>ImagingA!$B$40:$N$40</c:f>
              <c:numCache>
                <c:formatCode>0.000</c:formatCode>
                <c:ptCount val="13"/>
                <c:pt idx="0">
                  <c:v>0.443533332489408</c:v>
                </c:pt>
                <c:pt idx="1">
                  <c:v>0.447506381225683</c:v>
                </c:pt>
                <c:pt idx="2">
                  <c:v>0.450853352838234</c:v>
                </c:pt>
                <c:pt idx="3">
                  <c:v>0.454544001310112</c:v>
                </c:pt>
                <c:pt idx="4">
                  <c:v>0.453471737443996</c:v>
                </c:pt>
                <c:pt idx="5">
                  <c:v>0.450437821685972</c:v>
                </c:pt>
                <c:pt idx="6">
                  <c:v>0.447162695778301</c:v>
                </c:pt>
                <c:pt idx="7">
                  <c:v>0.444365606628048</c:v>
                </c:pt>
                <c:pt idx="8">
                  <c:v>0.439622991616032</c:v>
                </c:pt>
                <c:pt idx="9">
                  <c:v>0.434896063665539</c:v>
                </c:pt>
                <c:pt idx="10">
                  <c:v>0.426967104976079</c:v>
                </c:pt>
                <c:pt idx="11">
                  <c:v>0.419077230457303</c:v>
                </c:pt>
                <c:pt idx="12">
                  <c:v>0.411226455262585</c:v>
                </c:pt>
              </c:numCache>
            </c:numRef>
          </c:yVal>
          <c:smooth val="1"/>
        </c:ser>
        <c:ser>
          <c:idx val="6"/>
          <c:order val="6"/>
          <c:tx>
            <c:v>i band</c:v>
          </c:tx>
          <c:marker>
            <c:symbol val="diamond"/>
            <c:size val="5"/>
          </c:marker>
          <c:xVal>
            <c:numRef>
              <c:f>ImagingA!$B$46:$N$46</c:f>
              <c:numCache>
                <c:formatCode>0</c:formatCode>
                <c:ptCount val="13"/>
                <c:pt idx="0" formatCode="General">
                  <c:v>691.0</c:v>
                </c:pt>
                <c:pt idx="1">
                  <c:v>700.6666666666666</c:v>
                </c:pt>
                <c:pt idx="2">
                  <c:v>710.3333333333333</c:v>
                </c:pt>
                <c:pt idx="3" formatCode="General">
                  <c:v>720.0</c:v>
                </c:pt>
                <c:pt idx="4">
                  <c:v>731.6666666666666</c:v>
                </c:pt>
                <c:pt idx="5">
                  <c:v>743.3333333333333</c:v>
                </c:pt>
                <c:pt idx="6" formatCode="General">
                  <c:v>755.0</c:v>
                </c:pt>
                <c:pt idx="7">
                  <c:v>763.3333333333333</c:v>
                </c:pt>
                <c:pt idx="8">
                  <c:v>771.6666666666666</c:v>
                </c:pt>
                <c:pt idx="9" formatCode="General">
                  <c:v>780.0</c:v>
                </c:pt>
                <c:pt idx="10">
                  <c:v>792.6666666666666</c:v>
                </c:pt>
                <c:pt idx="11">
                  <c:v>805.3333333333333</c:v>
                </c:pt>
                <c:pt idx="12" formatCode="General">
                  <c:v>818.0</c:v>
                </c:pt>
              </c:numCache>
            </c:numRef>
          </c:xVal>
          <c:yVal>
            <c:numRef>
              <c:f>ImagingA!$B$61:$N$61</c:f>
              <c:numCache>
                <c:formatCode>0.000</c:formatCode>
                <c:ptCount val="13"/>
                <c:pt idx="0">
                  <c:v>0.470075310066869</c:v>
                </c:pt>
                <c:pt idx="1">
                  <c:v>0.472393638375735</c:v>
                </c:pt>
                <c:pt idx="2">
                  <c:v>0.473871254339831</c:v>
                </c:pt>
                <c:pt idx="3">
                  <c:v>0.477053132646234</c:v>
                </c:pt>
                <c:pt idx="4">
                  <c:v>0.476941604213417</c:v>
                </c:pt>
                <c:pt idx="5">
                  <c:v>0.476822020672891</c:v>
                </c:pt>
                <c:pt idx="6">
                  <c:v>0.47669434956577</c:v>
                </c:pt>
                <c:pt idx="7">
                  <c:v>0.474854732597927</c:v>
                </c:pt>
                <c:pt idx="8">
                  <c:v>0.473011101609053</c:v>
                </c:pt>
                <c:pt idx="9">
                  <c:v>0.471163459983685</c:v>
                </c:pt>
                <c:pt idx="10">
                  <c:v>0.461250630564571</c:v>
                </c:pt>
                <c:pt idx="11">
                  <c:v>0.453438031447988</c:v>
                </c:pt>
                <c:pt idx="12">
                  <c:v>0.441556387945397</c:v>
                </c:pt>
              </c:numCache>
            </c:numRef>
          </c:yVal>
          <c:smooth val="1"/>
        </c:ser>
        <c:ser>
          <c:idx val="7"/>
          <c:order val="7"/>
          <c:tx>
            <c:v>z band</c:v>
          </c:tx>
          <c:marker>
            <c:symbol val="diamond"/>
            <c:size val="5"/>
          </c:marker>
          <c:xVal>
            <c:numRef>
              <c:f>ImagingA!$B$67:$K$67</c:f>
              <c:numCache>
                <c:formatCode>0</c:formatCode>
                <c:ptCount val="10"/>
                <c:pt idx="0" formatCode="General">
                  <c:v>818.0</c:v>
                </c:pt>
                <c:pt idx="1">
                  <c:v>828.6666666666666</c:v>
                </c:pt>
                <c:pt idx="2">
                  <c:v>839.3333333333333</c:v>
                </c:pt>
                <c:pt idx="3" formatCode="General">
                  <c:v>850.0</c:v>
                </c:pt>
                <c:pt idx="4">
                  <c:v>863.0</c:v>
                </c:pt>
                <c:pt idx="5">
                  <c:v>876.0</c:v>
                </c:pt>
                <c:pt idx="6" formatCode="General">
                  <c:v>889.0</c:v>
                </c:pt>
                <c:pt idx="7">
                  <c:v>900.0</c:v>
                </c:pt>
                <c:pt idx="8">
                  <c:v>911.0</c:v>
                </c:pt>
                <c:pt idx="9" formatCode="General">
                  <c:v>922.0</c:v>
                </c:pt>
              </c:numCache>
            </c:numRef>
          </c:xVal>
          <c:yVal>
            <c:numRef>
              <c:f>ImagingA!$B$84:$K$84</c:f>
              <c:numCache>
                <c:formatCode>0.000</c:formatCode>
                <c:ptCount val="10"/>
                <c:pt idx="0">
                  <c:v>0.390548270420082</c:v>
                </c:pt>
                <c:pt idx="1">
                  <c:v>0.38431706833455</c:v>
                </c:pt>
                <c:pt idx="2">
                  <c:v>0.37688951709961</c:v>
                </c:pt>
                <c:pt idx="3">
                  <c:v>0.368702524285999</c:v>
                </c:pt>
                <c:pt idx="4">
                  <c:v>0.348832279594412</c:v>
                </c:pt>
                <c:pt idx="5">
                  <c:v>0.328975430151653</c:v>
                </c:pt>
                <c:pt idx="6">
                  <c:v>0.301615088985488</c:v>
                </c:pt>
                <c:pt idx="7">
                  <c:v>0.276776300218031</c:v>
                </c:pt>
                <c:pt idx="8">
                  <c:v>0.252478620376468</c:v>
                </c:pt>
                <c:pt idx="9">
                  <c:v>0.228721297820807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42971656"/>
        <c:axId val="-2142968632"/>
      </c:scatterChart>
      <c:valAx>
        <c:axId val="-2142971656"/>
        <c:scaling>
          <c:orientation val="minMax"/>
          <c:max val="2350.0"/>
          <c:min val="350.0"/>
        </c:scaling>
        <c:delete val="0"/>
        <c:axPos val="b"/>
        <c:numFmt formatCode="General" sourceLinked="1"/>
        <c:majorTickMark val="out"/>
        <c:minorTickMark val="none"/>
        <c:tickLblPos val="nextTo"/>
        <c:crossAx val="-2142968632"/>
        <c:crosses val="autoZero"/>
        <c:crossBetween val="midCat"/>
      </c:valAx>
      <c:valAx>
        <c:axId val="-2142968632"/>
        <c:scaling>
          <c:orientation val="minMax"/>
        </c:scaling>
        <c:delete val="0"/>
        <c:axPos val="l"/>
        <c:majorGridlines/>
        <c:numFmt formatCode="0.000" sourceLinked="1"/>
        <c:majorTickMark val="out"/>
        <c:minorTickMark val="none"/>
        <c:tickLblPos val="nextTo"/>
        <c:crossAx val="-214297165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979996250468691"/>
          <c:y val="0.064516129032258"/>
          <c:w val="0.716436752224154"/>
          <c:h val="0.86255693844721"/>
        </c:manualLayout>
      </c:layout>
      <c:scatterChart>
        <c:scatterStyle val="smoothMarker"/>
        <c:varyColors val="0"/>
        <c:ser>
          <c:idx val="0"/>
          <c:order val="0"/>
          <c:tx>
            <c:v>Y band</c:v>
          </c:tx>
          <c:marker>
            <c:symbol val="diamond"/>
            <c:size val="5"/>
          </c:marker>
          <c:xVal>
            <c:numRef>
              <c:f>SpectroscopyA!$B$89:$N$89</c:f>
              <c:numCache>
                <c:formatCode>0</c:formatCode>
                <c:ptCount val="13"/>
                <c:pt idx="0" formatCode="General">
                  <c:v>960.0</c:v>
                </c:pt>
                <c:pt idx="1">
                  <c:v>973.3333333333333</c:v>
                </c:pt>
                <c:pt idx="2">
                  <c:v>986.6666666666666</c:v>
                </c:pt>
                <c:pt idx="3" formatCode="General">
                  <c:v>1000.0</c:v>
                </c:pt>
                <c:pt idx="4">
                  <c:v>1013.333333333333</c:v>
                </c:pt>
                <c:pt idx="5">
                  <c:v>1026.666666666667</c:v>
                </c:pt>
                <c:pt idx="6" formatCode="General">
                  <c:v>1040.0</c:v>
                </c:pt>
                <c:pt idx="7">
                  <c:v>1056.666666666667</c:v>
                </c:pt>
                <c:pt idx="8">
                  <c:v>1073.333333333333</c:v>
                </c:pt>
                <c:pt idx="9" formatCode="General">
                  <c:v>1090.0</c:v>
                </c:pt>
                <c:pt idx="10">
                  <c:v>1100.0</c:v>
                </c:pt>
                <c:pt idx="11">
                  <c:v>1110.0</c:v>
                </c:pt>
                <c:pt idx="12" formatCode="General">
                  <c:v>1120.0</c:v>
                </c:pt>
              </c:numCache>
            </c:numRef>
          </c:xVal>
          <c:yVal>
            <c:numRef>
              <c:f>SpectroscopyA!$B$102:$N$102</c:f>
              <c:numCache>
                <c:formatCode>0.000</c:formatCode>
                <c:ptCount val="13"/>
                <c:pt idx="0">
                  <c:v>0.223441386214165</c:v>
                </c:pt>
                <c:pt idx="1">
                  <c:v>0.250315736940703</c:v>
                </c:pt>
                <c:pt idx="2">
                  <c:v>0.277176016213396</c:v>
                </c:pt>
                <c:pt idx="3">
                  <c:v>0.304022224032245</c:v>
                </c:pt>
                <c:pt idx="4">
                  <c:v>0.313524375926767</c:v>
                </c:pt>
                <c:pt idx="5">
                  <c:v>0.323026616148169</c:v>
                </c:pt>
                <c:pt idx="6">
                  <c:v>0.332528944696451</c:v>
                </c:pt>
                <c:pt idx="7">
                  <c:v>0.318279553553503</c:v>
                </c:pt>
                <c:pt idx="8">
                  <c:v>0.304029996797656</c:v>
                </c:pt>
                <c:pt idx="9">
                  <c:v>0.28978027442891</c:v>
                </c:pt>
                <c:pt idx="10">
                  <c:v>0.270779129177854</c:v>
                </c:pt>
                <c:pt idx="11">
                  <c:v>0.251777866038041</c:v>
                </c:pt>
                <c:pt idx="12">
                  <c:v>0.23277648500947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489C-42A7-AB3F-0D2CD6362237}"/>
            </c:ext>
          </c:extLst>
        </c:ser>
        <c:ser>
          <c:idx val="1"/>
          <c:order val="1"/>
          <c:tx>
            <c:v>J band</c:v>
          </c:tx>
          <c:marker>
            <c:symbol val="diamond"/>
            <c:size val="5"/>
          </c:marker>
          <c:xVal>
            <c:numRef>
              <c:f>SpectroscopyA!$B$107:$N$107</c:f>
              <c:numCache>
                <c:formatCode>0</c:formatCode>
                <c:ptCount val="13"/>
                <c:pt idx="0" formatCode="General">
                  <c:v>1150.0</c:v>
                </c:pt>
                <c:pt idx="1">
                  <c:v>1166.666666666667</c:v>
                </c:pt>
                <c:pt idx="2">
                  <c:v>1183.333333333333</c:v>
                </c:pt>
                <c:pt idx="3" formatCode="General">
                  <c:v>1200.0</c:v>
                </c:pt>
                <c:pt idx="4">
                  <c:v>1216.666666666667</c:v>
                </c:pt>
                <c:pt idx="5">
                  <c:v>1233.333333333333</c:v>
                </c:pt>
                <c:pt idx="6" formatCode="General">
                  <c:v>1250.0</c:v>
                </c:pt>
                <c:pt idx="7">
                  <c:v>1266.666666666667</c:v>
                </c:pt>
                <c:pt idx="8">
                  <c:v>1283.333333333333</c:v>
                </c:pt>
                <c:pt idx="9" formatCode="General">
                  <c:v>1300.0</c:v>
                </c:pt>
                <c:pt idx="10">
                  <c:v>1316.666666666667</c:v>
                </c:pt>
                <c:pt idx="11">
                  <c:v>1333.333333333333</c:v>
                </c:pt>
                <c:pt idx="12" formatCode="General">
                  <c:v>1350.0</c:v>
                </c:pt>
              </c:numCache>
            </c:numRef>
          </c:xVal>
          <c:yVal>
            <c:numRef>
              <c:f>SpectroscopyA!$B$120:$N$120</c:f>
              <c:numCache>
                <c:formatCode>0.000</c:formatCode>
                <c:ptCount val="13"/>
                <c:pt idx="0">
                  <c:v>0.272968736749504</c:v>
                </c:pt>
                <c:pt idx="1">
                  <c:v>0.303945386604571</c:v>
                </c:pt>
                <c:pt idx="2">
                  <c:v>0.334922336903705</c:v>
                </c:pt>
                <c:pt idx="3">
                  <c:v>0.365899587646907</c:v>
                </c:pt>
                <c:pt idx="4">
                  <c:v>0.365117884437745</c:v>
                </c:pt>
                <c:pt idx="5">
                  <c:v>0.36433732458571</c:v>
                </c:pt>
                <c:pt idx="6">
                  <c:v>0.363557907038009</c:v>
                </c:pt>
                <c:pt idx="7">
                  <c:v>0.338706895253607</c:v>
                </c:pt>
                <c:pt idx="8">
                  <c:v>0.313921310396346</c:v>
                </c:pt>
                <c:pt idx="9">
                  <c:v>0.289201103841924</c:v>
                </c:pt>
                <c:pt idx="10">
                  <c:v>0.264356537116793</c:v>
                </c:pt>
                <c:pt idx="11">
                  <c:v>0.239579200001864</c:v>
                </c:pt>
                <c:pt idx="12">
                  <c:v>0.214869006067034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489C-42A7-AB3F-0D2CD6362237}"/>
            </c:ext>
          </c:extLst>
        </c:ser>
        <c:ser>
          <c:idx val="2"/>
          <c:order val="2"/>
          <c:tx>
            <c:v>H band</c:v>
          </c:tx>
          <c:marker>
            <c:symbol val="diamond"/>
            <c:size val="5"/>
          </c:marker>
          <c:xVal>
            <c:numRef>
              <c:f>SpectroscopyA!$B$125:$N$125</c:f>
              <c:numCache>
                <c:formatCode>0</c:formatCode>
                <c:ptCount val="13"/>
                <c:pt idx="0" formatCode="General">
                  <c:v>1500.0</c:v>
                </c:pt>
                <c:pt idx="1">
                  <c:v>1516.666666666667</c:v>
                </c:pt>
                <c:pt idx="2">
                  <c:v>1533.333333333333</c:v>
                </c:pt>
                <c:pt idx="3" formatCode="General">
                  <c:v>1550.0</c:v>
                </c:pt>
                <c:pt idx="4">
                  <c:v>1576.666666666667</c:v>
                </c:pt>
                <c:pt idx="5">
                  <c:v>1603.333333333333</c:v>
                </c:pt>
                <c:pt idx="6" formatCode="General">
                  <c:v>1630.0</c:v>
                </c:pt>
                <c:pt idx="7">
                  <c:v>1653.333333333333</c:v>
                </c:pt>
                <c:pt idx="8">
                  <c:v>1676.666666666667</c:v>
                </c:pt>
                <c:pt idx="9" formatCode="General">
                  <c:v>1700.0</c:v>
                </c:pt>
                <c:pt idx="10">
                  <c:v>1720.0</c:v>
                </c:pt>
                <c:pt idx="11">
                  <c:v>1740.0</c:v>
                </c:pt>
                <c:pt idx="12" formatCode="General">
                  <c:v>1760.0</c:v>
                </c:pt>
              </c:numCache>
            </c:numRef>
          </c:xVal>
          <c:yVal>
            <c:numRef>
              <c:f>SpectroscopyA!$B$139:$N$139</c:f>
              <c:numCache>
                <c:formatCode>0.000</c:formatCode>
                <c:ptCount val="13"/>
                <c:pt idx="0">
                  <c:v>0.223100091505008</c:v>
                </c:pt>
                <c:pt idx="1">
                  <c:v>0.237263079779777</c:v>
                </c:pt>
                <c:pt idx="2">
                  <c:v>0.251396832821747</c:v>
                </c:pt>
                <c:pt idx="3">
                  <c:v>0.265501340814379</c:v>
                </c:pt>
                <c:pt idx="4">
                  <c:v>0.274983209566144</c:v>
                </c:pt>
                <c:pt idx="5">
                  <c:v>0.284443542815281</c:v>
                </c:pt>
                <c:pt idx="6">
                  <c:v>0.293882166031512</c:v>
                </c:pt>
                <c:pt idx="7">
                  <c:v>0.284651758549972</c:v>
                </c:pt>
                <c:pt idx="8">
                  <c:v>0.275506897369837</c:v>
                </c:pt>
                <c:pt idx="9">
                  <c:v>0.266447125389559</c:v>
                </c:pt>
                <c:pt idx="10">
                  <c:v>0.251060036370593</c:v>
                </c:pt>
                <c:pt idx="11">
                  <c:v>0.235770808698288</c:v>
                </c:pt>
                <c:pt idx="12">
                  <c:v>0.220579251860935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489C-42A7-AB3F-0D2CD6362237}"/>
            </c:ext>
          </c:extLst>
        </c:ser>
        <c:ser>
          <c:idx val="3"/>
          <c:order val="3"/>
          <c:tx>
            <c:v>K band</c:v>
          </c:tx>
          <c:marker>
            <c:symbol val="diamond"/>
            <c:size val="5"/>
          </c:marker>
          <c:xVal>
            <c:numRef>
              <c:f>SpectroscopyA!$B$144:$N$144</c:f>
              <c:numCache>
                <c:formatCode>0</c:formatCode>
                <c:ptCount val="13"/>
                <c:pt idx="0" formatCode="General">
                  <c:v>2000.0</c:v>
                </c:pt>
                <c:pt idx="1">
                  <c:v>2033.333333333333</c:v>
                </c:pt>
                <c:pt idx="2">
                  <c:v>2066.666666666667</c:v>
                </c:pt>
                <c:pt idx="3" formatCode="General">
                  <c:v>2100.0</c:v>
                </c:pt>
                <c:pt idx="4">
                  <c:v>2125.0</c:v>
                </c:pt>
                <c:pt idx="5">
                  <c:v>2150.0</c:v>
                </c:pt>
                <c:pt idx="6" formatCode="General">
                  <c:v>2175.0</c:v>
                </c:pt>
                <c:pt idx="7">
                  <c:v>2210.0</c:v>
                </c:pt>
                <c:pt idx="8">
                  <c:v>2245.0</c:v>
                </c:pt>
                <c:pt idx="9" formatCode="General">
                  <c:v>2280.0</c:v>
                </c:pt>
                <c:pt idx="10">
                  <c:v>2303.333333333333</c:v>
                </c:pt>
                <c:pt idx="11">
                  <c:v>2326.666666666667</c:v>
                </c:pt>
                <c:pt idx="12" formatCode="General">
                  <c:v>2350.0</c:v>
                </c:pt>
              </c:numCache>
            </c:numRef>
          </c:xVal>
          <c:yVal>
            <c:numRef>
              <c:f>SpectroscopyA!$B$159:$N$159</c:f>
              <c:numCache>
                <c:formatCode>0.000</c:formatCode>
                <c:ptCount val="13"/>
                <c:pt idx="0">
                  <c:v>0.132651369512236</c:v>
                </c:pt>
                <c:pt idx="1">
                  <c:v>0.150143560800741</c:v>
                </c:pt>
                <c:pt idx="2">
                  <c:v>0.166261093242212</c:v>
                </c:pt>
                <c:pt idx="3">
                  <c:v>0.181048586941122</c:v>
                </c:pt>
                <c:pt idx="4">
                  <c:v>0.184274852611342</c:v>
                </c:pt>
                <c:pt idx="5">
                  <c:v>0.187184087814709</c:v>
                </c:pt>
                <c:pt idx="6">
                  <c:v>0.189784848471477</c:v>
                </c:pt>
                <c:pt idx="7">
                  <c:v>0.177840044895761</c:v>
                </c:pt>
                <c:pt idx="8">
                  <c:v>0.166160886750057</c:v>
                </c:pt>
                <c:pt idx="9">
                  <c:v>0.154744245988648</c:v>
                </c:pt>
                <c:pt idx="10">
                  <c:v>0.138213273644106</c:v>
                </c:pt>
                <c:pt idx="11">
                  <c:v>0.121665564818688</c:v>
                </c:pt>
                <c:pt idx="12">
                  <c:v>0.105104547335021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3-489C-42A7-AB3F-0D2CD6362237}"/>
            </c:ext>
          </c:extLst>
        </c:ser>
        <c:ser>
          <c:idx val="4"/>
          <c:order val="4"/>
          <c:tx>
            <c:v>g band</c:v>
          </c:tx>
          <c:marker>
            <c:symbol val="diamond"/>
            <c:size val="5"/>
          </c:marker>
          <c:xVal>
            <c:numRef>
              <c:f>SpectroscopyA!$B$5:$N$5</c:f>
              <c:numCache>
                <c:formatCode>0</c:formatCode>
                <c:ptCount val="13"/>
                <c:pt idx="0" formatCode="General">
                  <c:v>385.0</c:v>
                </c:pt>
                <c:pt idx="1">
                  <c:v>390.0</c:v>
                </c:pt>
                <c:pt idx="2">
                  <c:v>395.0</c:v>
                </c:pt>
                <c:pt idx="3" formatCode="General">
                  <c:v>400.0</c:v>
                </c:pt>
                <c:pt idx="4">
                  <c:v>423.0</c:v>
                </c:pt>
                <c:pt idx="5">
                  <c:v>446.0</c:v>
                </c:pt>
                <c:pt idx="6" formatCode="General">
                  <c:v>469.0</c:v>
                </c:pt>
                <c:pt idx="7">
                  <c:v>482.6666666666666</c:v>
                </c:pt>
                <c:pt idx="8">
                  <c:v>496.3333333333333</c:v>
                </c:pt>
                <c:pt idx="9" formatCode="General">
                  <c:v>510.0</c:v>
                </c:pt>
                <c:pt idx="10">
                  <c:v>524.0</c:v>
                </c:pt>
                <c:pt idx="11">
                  <c:v>538.0</c:v>
                </c:pt>
                <c:pt idx="12" formatCode="General">
                  <c:v>552.0</c:v>
                </c:pt>
              </c:numCache>
            </c:numRef>
          </c:xVal>
          <c:yVal>
            <c:numRef>
              <c:f>SpectroscopyA!$B$20:$N$20</c:f>
              <c:numCache>
                <c:formatCode>0.000</c:formatCode>
                <c:ptCount val="13"/>
                <c:pt idx="0">
                  <c:v>0.116371489693162</c:v>
                </c:pt>
                <c:pt idx="1">
                  <c:v>0.156089083646762</c:v>
                </c:pt>
                <c:pt idx="2">
                  <c:v>0.202748149981812</c:v>
                </c:pt>
                <c:pt idx="3">
                  <c:v>0.258906522219679</c:v>
                </c:pt>
                <c:pt idx="4">
                  <c:v>0.316881508200385</c:v>
                </c:pt>
                <c:pt idx="5">
                  <c:v>0.370387488880419</c:v>
                </c:pt>
                <c:pt idx="6">
                  <c:v>0.425824395360637</c:v>
                </c:pt>
                <c:pt idx="7">
                  <c:v>0.410887390163729</c:v>
                </c:pt>
                <c:pt idx="8">
                  <c:v>0.395724039043246</c:v>
                </c:pt>
                <c:pt idx="9">
                  <c:v>0.38033673904804</c:v>
                </c:pt>
                <c:pt idx="10">
                  <c:v>0.350731326955707</c:v>
                </c:pt>
                <c:pt idx="11">
                  <c:v>0.321697534828767</c:v>
                </c:pt>
                <c:pt idx="12">
                  <c:v>0.292704980445399</c:v>
                </c:pt>
              </c:numCache>
            </c:numRef>
          </c:yVal>
          <c:smooth val="1"/>
        </c:ser>
        <c:ser>
          <c:idx val="5"/>
          <c:order val="5"/>
          <c:tx>
            <c:v>r band</c:v>
          </c:tx>
          <c:marker>
            <c:symbol val="diamond"/>
            <c:size val="5"/>
          </c:marker>
          <c:xVal>
            <c:numRef>
              <c:f>SpectroscopyA!$B$25:$N$25</c:f>
              <c:numCache>
                <c:formatCode>0</c:formatCode>
                <c:ptCount val="13"/>
                <c:pt idx="0" formatCode="General">
                  <c:v>552.0</c:v>
                </c:pt>
                <c:pt idx="1">
                  <c:v>561.3333333333333</c:v>
                </c:pt>
                <c:pt idx="2">
                  <c:v>570.6666666666666</c:v>
                </c:pt>
                <c:pt idx="3" formatCode="General">
                  <c:v>580.0</c:v>
                </c:pt>
                <c:pt idx="4">
                  <c:v>594.0</c:v>
                </c:pt>
                <c:pt idx="5">
                  <c:v>608.0</c:v>
                </c:pt>
                <c:pt idx="6" formatCode="General">
                  <c:v>622.0</c:v>
                </c:pt>
                <c:pt idx="7">
                  <c:v>631.3333333333333</c:v>
                </c:pt>
                <c:pt idx="8">
                  <c:v>640.6666666666666</c:v>
                </c:pt>
                <c:pt idx="9" formatCode="General">
                  <c:v>650.0</c:v>
                </c:pt>
                <c:pt idx="10">
                  <c:v>663.6666666666666</c:v>
                </c:pt>
                <c:pt idx="11">
                  <c:v>677.3333333333333</c:v>
                </c:pt>
                <c:pt idx="12" formatCode="General">
                  <c:v>691.0</c:v>
                </c:pt>
              </c:numCache>
            </c:numRef>
          </c:xVal>
          <c:yVal>
            <c:numRef>
              <c:f>SpectroscopyA!$B$41:$N$41</c:f>
              <c:numCache>
                <c:formatCode>0.000</c:formatCode>
                <c:ptCount val="13"/>
                <c:pt idx="0">
                  <c:v>0.283958680807259</c:v>
                </c:pt>
                <c:pt idx="1">
                  <c:v>0.322652333773828</c:v>
                </c:pt>
                <c:pt idx="2">
                  <c:v>0.364396768087701</c:v>
                </c:pt>
                <c:pt idx="3">
                  <c:v>0.410132471474584</c:v>
                </c:pt>
                <c:pt idx="4">
                  <c:v>0.401810450475631</c:v>
                </c:pt>
                <c:pt idx="5">
                  <c:v>0.391294529436906</c:v>
                </c:pt>
                <c:pt idx="6">
                  <c:v>0.380218639705084</c:v>
                </c:pt>
                <c:pt idx="7">
                  <c:v>0.370431665268218</c:v>
                </c:pt>
                <c:pt idx="8">
                  <c:v>0.359148568108282</c:v>
                </c:pt>
                <c:pt idx="9">
                  <c:v>0.348036166283189</c:v>
                </c:pt>
                <c:pt idx="10">
                  <c:v>0.322140442920772</c:v>
                </c:pt>
                <c:pt idx="11">
                  <c:v>0.2969985359663</c:v>
                </c:pt>
                <c:pt idx="12">
                  <c:v>0.272605086594096</c:v>
                </c:pt>
              </c:numCache>
            </c:numRef>
          </c:yVal>
          <c:smooth val="1"/>
        </c:ser>
        <c:ser>
          <c:idx val="6"/>
          <c:order val="6"/>
          <c:tx>
            <c:v>i band</c:v>
          </c:tx>
          <c:marker>
            <c:symbol val="diamond"/>
            <c:size val="5"/>
          </c:marker>
          <c:xVal>
            <c:numRef>
              <c:f>SpectroscopyA!$B$46:$N$46</c:f>
              <c:numCache>
                <c:formatCode>0</c:formatCode>
                <c:ptCount val="13"/>
                <c:pt idx="0" formatCode="General">
                  <c:v>691.0</c:v>
                </c:pt>
                <c:pt idx="1">
                  <c:v>700.6666666666666</c:v>
                </c:pt>
                <c:pt idx="2">
                  <c:v>710.3333333333333</c:v>
                </c:pt>
                <c:pt idx="3" formatCode="General">
                  <c:v>720.0</c:v>
                </c:pt>
                <c:pt idx="4">
                  <c:v>731.6666666666666</c:v>
                </c:pt>
                <c:pt idx="5">
                  <c:v>743.3333333333333</c:v>
                </c:pt>
                <c:pt idx="6" formatCode="General">
                  <c:v>755.0</c:v>
                </c:pt>
                <c:pt idx="7">
                  <c:v>763.3333333333333</c:v>
                </c:pt>
                <c:pt idx="8">
                  <c:v>771.6666666666666</c:v>
                </c:pt>
                <c:pt idx="9" formatCode="General">
                  <c:v>780.0</c:v>
                </c:pt>
                <c:pt idx="10">
                  <c:v>792.6666666666666</c:v>
                </c:pt>
                <c:pt idx="11">
                  <c:v>805.3333333333333</c:v>
                </c:pt>
                <c:pt idx="12" formatCode="General">
                  <c:v>818.0</c:v>
                </c:pt>
              </c:numCache>
            </c:numRef>
          </c:xVal>
          <c:yVal>
            <c:numRef>
              <c:f>SpectroscopyA!$B$62:$N$62</c:f>
              <c:numCache>
                <c:formatCode>0.000</c:formatCode>
                <c:ptCount val="13"/>
                <c:pt idx="0">
                  <c:v>0.342907426721585</c:v>
                </c:pt>
                <c:pt idx="1">
                  <c:v>0.360776922864241</c:v>
                </c:pt>
                <c:pt idx="2">
                  <c:v>0.378134351260622</c:v>
                </c:pt>
                <c:pt idx="3">
                  <c:v>0.397011303771178</c:v>
                </c:pt>
                <c:pt idx="4">
                  <c:v>0.40181871625939</c:v>
                </c:pt>
                <c:pt idx="5">
                  <c:v>0.40661696788929</c:v>
                </c:pt>
                <c:pt idx="6">
                  <c:v>0.41140578236647</c:v>
                </c:pt>
                <c:pt idx="7">
                  <c:v>0.404939334144779</c:v>
                </c:pt>
                <c:pt idx="8">
                  <c:v>0.398507305602849</c:v>
                </c:pt>
                <c:pt idx="9">
                  <c:v>0.39210982328079</c:v>
                </c:pt>
                <c:pt idx="10">
                  <c:v>0.369643162211792</c:v>
                </c:pt>
                <c:pt idx="11">
                  <c:v>0.349405959298696</c:v>
                </c:pt>
                <c:pt idx="12">
                  <c:v>0.326640302995707</c:v>
                </c:pt>
              </c:numCache>
            </c:numRef>
          </c:yVal>
          <c:smooth val="1"/>
        </c:ser>
        <c:ser>
          <c:idx val="7"/>
          <c:order val="7"/>
          <c:tx>
            <c:v>z band</c:v>
          </c:tx>
          <c:marker>
            <c:symbol val="diamond"/>
            <c:size val="5"/>
          </c:marker>
          <c:xVal>
            <c:numRef>
              <c:f>SpectroscopyA!$B$67:$N$67</c:f>
              <c:numCache>
                <c:formatCode>0</c:formatCode>
                <c:ptCount val="13"/>
                <c:pt idx="0" formatCode="General">
                  <c:v>818.0</c:v>
                </c:pt>
                <c:pt idx="1">
                  <c:v>828.6666666666666</c:v>
                </c:pt>
                <c:pt idx="2">
                  <c:v>839.3333333333333</c:v>
                </c:pt>
                <c:pt idx="3" formatCode="General">
                  <c:v>850.0</c:v>
                </c:pt>
                <c:pt idx="4">
                  <c:v>863.0</c:v>
                </c:pt>
                <c:pt idx="5">
                  <c:v>876.0</c:v>
                </c:pt>
                <c:pt idx="6" formatCode="General">
                  <c:v>889.0</c:v>
                </c:pt>
                <c:pt idx="7">
                  <c:v>900.0</c:v>
                </c:pt>
                <c:pt idx="8">
                  <c:v>911.0</c:v>
                </c:pt>
                <c:pt idx="9" formatCode="General">
                  <c:v>922.0</c:v>
                </c:pt>
                <c:pt idx="10">
                  <c:v>934.6666666666666</c:v>
                </c:pt>
                <c:pt idx="11">
                  <c:v>947.3333333333333</c:v>
                </c:pt>
                <c:pt idx="12" formatCode="General">
                  <c:v>960.0</c:v>
                </c:pt>
              </c:numCache>
            </c:numRef>
          </c:xVal>
          <c:yVal>
            <c:numRef>
              <c:f>SpectroscopyA!$B$84:$N$84</c:f>
              <c:numCache>
                <c:formatCode>0.000</c:formatCode>
                <c:ptCount val="13"/>
                <c:pt idx="0">
                  <c:v>0.265387414495162</c:v>
                </c:pt>
                <c:pt idx="1">
                  <c:v>0.271334085248987</c:v>
                </c:pt>
                <c:pt idx="2">
                  <c:v>0.275835424870623</c:v>
                </c:pt>
                <c:pt idx="3">
                  <c:v>0.279151819783966</c:v>
                </c:pt>
                <c:pt idx="4">
                  <c:v>0.269421818101039</c:v>
                </c:pt>
                <c:pt idx="5">
                  <c:v>0.259096955821529</c:v>
                </c:pt>
                <c:pt idx="6">
                  <c:v>0.242143125485279</c:v>
                </c:pt>
                <c:pt idx="7">
                  <c:v>0.223443080925427</c:v>
                </c:pt>
                <c:pt idx="8">
                  <c:v>0.204987762187204</c:v>
                </c:pt>
                <c:pt idx="9">
                  <c:v>0.186776837590596</c:v>
                </c:pt>
                <c:pt idx="10">
                  <c:v>0.15183620253865</c:v>
                </c:pt>
                <c:pt idx="11">
                  <c:v>0.123562339901706</c:v>
                </c:pt>
                <c:pt idx="12">
                  <c:v>0.0973315127406564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41866712"/>
        <c:axId val="-2142172088"/>
      </c:scatterChart>
      <c:valAx>
        <c:axId val="-2141866712"/>
        <c:scaling>
          <c:orientation val="minMax"/>
          <c:max val="2350.0"/>
          <c:min val="350.0"/>
        </c:scaling>
        <c:delete val="0"/>
        <c:axPos val="b"/>
        <c:numFmt formatCode="General" sourceLinked="1"/>
        <c:majorTickMark val="out"/>
        <c:minorTickMark val="none"/>
        <c:tickLblPos val="nextTo"/>
        <c:crossAx val="-2142172088"/>
        <c:crosses val="autoZero"/>
        <c:crossBetween val="midCat"/>
      </c:valAx>
      <c:valAx>
        <c:axId val="-2142172088"/>
        <c:scaling>
          <c:orientation val="minMax"/>
        </c:scaling>
        <c:delete val="0"/>
        <c:axPos val="l"/>
        <c:majorGridlines/>
        <c:numFmt formatCode="0.000" sourceLinked="1"/>
        <c:majorTickMark val="out"/>
        <c:minorTickMark val="none"/>
        <c:tickLblPos val="nextTo"/>
        <c:crossAx val="-214186671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4" Type="http://schemas.openxmlformats.org/officeDocument/2006/relationships/chart" Target="../charts/chart12.xml"/><Relationship Id="rId5" Type="http://schemas.openxmlformats.org/officeDocument/2006/relationships/chart" Target="../charts/chart13.xml"/><Relationship Id="rId6" Type="http://schemas.openxmlformats.org/officeDocument/2006/relationships/chart" Target="../charts/chart14.xml"/><Relationship Id="rId7" Type="http://schemas.openxmlformats.org/officeDocument/2006/relationships/chart" Target="../charts/chart15.xml"/><Relationship Id="rId8" Type="http://schemas.openxmlformats.org/officeDocument/2006/relationships/chart" Target="../charts/chart16.xml"/><Relationship Id="rId1" Type="http://schemas.openxmlformats.org/officeDocument/2006/relationships/chart" Target="../charts/chart9.xml"/><Relationship Id="rId2" Type="http://schemas.openxmlformats.org/officeDocument/2006/relationships/chart" Target="../charts/chart10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9.xml"/><Relationship Id="rId4" Type="http://schemas.openxmlformats.org/officeDocument/2006/relationships/chart" Target="../charts/chart20.xml"/><Relationship Id="rId1" Type="http://schemas.openxmlformats.org/officeDocument/2006/relationships/chart" Target="../charts/chart17.xml"/><Relationship Id="rId2" Type="http://schemas.openxmlformats.org/officeDocument/2006/relationships/chart" Target="../charts/chart1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685800</xdr:colOff>
      <xdr:row>4</xdr:row>
      <xdr:rowOff>12700</xdr:rowOff>
    </xdr:from>
    <xdr:to>
      <xdr:col>12</xdr:col>
      <xdr:colOff>666750</xdr:colOff>
      <xdr:row>21</xdr:row>
      <xdr:rowOff>88900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742950</xdr:colOff>
      <xdr:row>23</xdr:row>
      <xdr:rowOff>127000</xdr:rowOff>
    </xdr:from>
    <xdr:to>
      <xdr:col>12</xdr:col>
      <xdr:colOff>723900</xdr:colOff>
      <xdr:row>40</xdr:row>
      <xdr:rowOff>12700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755650</xdr:colOff>
      <xdr:row>44</xdr:row>
      <xdr:rowOff>177800</xdr:rowOff>
    </xdr:from>
    <xdr:to>
      <xdr:col>12</xdr:col>
      <xdr:colOff>736600</xdr:colOff>
      <xdr:row>61</xdr:row>
      <xdr:rowOff>63500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704850</xdr:colOff>
      <xdr:row>66</xdr:row>
      <xdr:rowOff>152400</xdr:rowOff>
    </xdr:from>
    <xdr:to>
      <xdr:col>12</xdr:col>
      <xdr:colOff>685800</xdr:colOff>
      <xdr:row>84</xdr:row>
      <xdr:rowOff>38100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781050</xdr:colOff>
      <xdr:row>87</xdr:row>
      <xdr:rowOff>127000</xdr:rowOff>
    </xdr:from>
    <xdr:to>
      <xdr:col>12</xdr:col>
      <xdr:colOff>762000</xdr:colOff>
      <xdr:row>105</xdr:row>
      <xdr:rowOff>12700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768350</xdr:colOff>
      <xdr:row>106</xdr:row>
      <xdr:rowOff>50800</xdr:rowOff>
    </xdr:from>
    <xdr:to>
      <xdr:col>12</xdr:col>
      <xdr:colOff>749300</xdr:colOff>
      <xdr:row>124</xdr:row>
      <xdr:rowOff>76200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781050</xdr:colOff>
      <xdr:row>125</xdr:row>
      <xdr:rowOff>177800</xdr:rowOff>
    </xdr:from>
    <xdr:to>
      <xdr:col>12</xdr:col>
      <xdr:colOff>762000</xdr:colOff>
      <xdr:row>143</xdr:row>
      <xdr:rowOff>63500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</xdr:col>
      <xdr:colOff>768350</xdr:colOff>
      <xdr:row>144</xdr:row>
      <xdr:rowOff>101600</xdr:rowOff>
    </xdr:from>
    <xdr:to>
      <xdr:col>12</xdr:col>
      <xdr:colOff>749300</xdr:colOff>
      <xdr:row>162</xdr:row>
      <xdr:rowOff>177800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704850</xdr:colOff>
      <xdr:row>4</xdr:row>
      <xdr:rowOff>88900</xdr:rowOff>
    </xdr:from>
    <xdr:to>
      <xdr:col>12</xdr:col>
      <xdr:colOff>546100</xdr:colOff>
      <xdr:row>20</xdr:row>
      <xdr:rowOff>165100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762000</xdr:colOff>
      <xdr:row>24</xdr:row>
      <xdr:rowOff>38100</xdr:rowOff>
    </xdr:from>
    <xdr:to>
      <xdr:col>12</xdr:col>
      <xdr:colOff>603250</xdr:colOff>
      <xdr:row>40</xdr:row>
      <xdr:rowOff>114300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749300</xdr:colOff>
      <xdr:row>45</xdr:row>
      <xdr:rowOff>165100</xdr:rowOff>
    </xdr:from>
    <xdr:to>
      <xdr:col>12</xdr:col>
      <xdr:colOff>590550</xdr:colOff>
      <xdr:row>62</xdr:row>
      <xdr:rowOff>50800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800100</xdr:colOff>
      <xdr:row>66</xdr:row>
      <xdr:rowOff>127000</xdr:rowOff>
    </xdr:from>
    <xdr:to>
      <xdr:col>12</xdr:col>
      <xdr:colOff>641350</xdr:colOff>
      <xdr:row>83</xdr:row>
      <xdr:rowOff>12700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749300</xdr:colOff>
      <xdr:row>87</xdr:row>
      <xdr:rowOff>152400</xdr:rowOff>
    </xdr:from>
    <xdr:to>
      <xdr:col>12</xdr:col>
      <xdr:colOff>590550</xdr:colOff>
      <xdr:row>105</xdr:row>
      <xdr:rowOff>38100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749300</xdr:colOff>
      <xdr:row>106</xdr:row>
      <xdr:rowOff>88900</xdr:rowOff>
    </xdr:from>
    <xdr:to>
      <xdr:col>12</xdr:col>
      <xdr:colOff>590550</xdr:colOff>
      <xdr:row>122</xdr:row>
      <xdr:rowOff>165100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711200</xdr:colOff>
      <xdr:row>124</xdr:row>
      <xdr:rowOff>76200</xdr:rowOff>
    </xdr:from>
    <xdr:to>
      <xdr:col>12</xdr:col>
      <xdr:colOff>552450</xdr:colOff>
      <xdr:row>141</xdr:row>
      <xdr:rowOff>152400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</xdr:col>
      <xdr:colOff>723900</xdr:colOff>
      <xdr:row>144</xdr:row>
      <xdr:rowOff>25400</xdr:rowOff>
    </xdr:from>
    <xdr:to>
      <xdr:col>12</xdr:col>
      <xdr:colOff>565150</xdr:colOff>
      <xdr:row>161</xdr:row>
      <xdr:rowOff>101600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4</xdr:row>
      <xdr:rowOff>25400</xdr:rowOff>
    </xdr:from>
    <xdr:to>
      <xdr:col>8</xdr:col>
      <xdr:colOff>101600</xdr:colOff>
      <xdr:row>22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00000000-0008-0000-03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38100</xdr:colOff>
      <xdr:row>28</xdr:row>
      <xdr:rowOff>76200</xdr:rowOff>
    </xdr:from>
    <xdr:to>
      <xdr:col>8</xdr:col>
      <xdr:colOff>127000</xdr:colOff>
      <xdr:row>47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xmlns="" id="{00000000-0008-0000-03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0</xdr:colOff>
      <xdr:row>4</xdr:row>
      <xdr:rowOff>0</xdr:rowOff>
    </xdr:from>
    <xdr:to>
      <xdr:col>17</xdr:col>
      <xdr:colOff>88900</xdr:colOff>
      <xdr:row>22</xdr:row>
      <xdr:rowOff>114300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xmlns="" id="{00000000-0008-0000-03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28</xdr:row>
      <xdr:rowOff>0</xdr:rowOff>
    </xdr:from>
    <xdr:to>
      <xdr:col>17</xdr:col>
      <xdr:colOff>88900</xdr:colOff>
      <xdr:row>46</xdr:row>
      <xdr:rowOff>114300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xmlns="" id="{00000000-0008-0000-03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7"/>
  <sheetViews>
    <sheetView topLeftCell="A42" workbookViewId="0">
      <selection activeCell="C6" sqref="C6"/>
    </sheetView>
  </sheetViews>
  <sheetFormatPr baseColWidth="10" defaultRowHeight="15" x14ac:dyDescent="0"/>
  <cols>
    <col min="1" max="1" width="19.6640625" style="84" customWidth="1"/>
    <col min="2" max="2" width="18.5" style="84" customWidth="1"/>
    <col min="3" max="3" width="65.33203125" style="84" customWidth="1"/>
    <col min="4" max="4" width="10.83203125" style="84"/>
    <col min="5" max="5" width="14.33203125" style="84" customWidth="1"/>
    <col min="6" max="16384" width="10.83203125" style="84"/>
  </cols>
  <sheetData>
    <row r="2" spans="1:3" ht="30">
      <c r="A2" s="83" t="s">
        <v>199</v>
      </c>
      <c r="B2" s="83"/>
      <c r="C2" s="83" t="s">
        <v>200</v>
      </c>
    </row>
    <row r="4" spans="1:3">
      <c r="A4" s="85" t="s">
        <v>9</v>
      </c>
      <c r="B4" s="86" t="s">
        <v>194</v>
      </c>
      <c r="C4" s="85" t="s">
        <v>198</v>
      </c>
    </row>
    <row r="5" spans="1:3">
      <c r="A5" s="87" t="s">
        <v>10</v>
      </c>
      <c r="B5" s="88" t="s">
        <v>5</v>
      </c>
      <c r="C5" s="87" t="s">
        <v>254</v>
      </c>
    </row>
    <row r="6" spans="1:3">
      <c r="A6" s="89" t="s">
        <v>11</v>
      </c>
      <c r="B6" s="90" t="s">
        <v>7</v>
      </c>
      <c r="C6" s="87" t="s">
        <v>201</v>
      </c>
    </row>
    <row r="7" spans="1:3">
      <c r="A7" s="89" t="s">
        <v>46</v>
      </c>
      <c r="B7" s="90" t="s">
        <v>8</v>
      </c>
      <c r="C7" s="87" t="s">
        <v>202</v>
      </c>
    </row>
    <row r="8" spans="1:3">
      <c r="A8" s="91" t="s">
        <v>127</v>
      </c>
      <c r="B8" s="90" t="s">
        <v>85</v>
      </c>
      <c r="C8" s="87" t="s">
        <v>228</v>
      </c>
    </row>
    <row r="9" spans="1:3">
      <c r="A9" s="91" t="s">
        <v>128</v>
      </c>
      <c r="B9" s="90" t="s">
        <v>92</v>
      </c>
      <c r="C9" s="87" t="s">
        <v>219</v>
      </c>
    </row>
    <row r="10" spans="1:3">
      <c r="A10" s="91" t="s">
        <v>129</v>
      </c>
      <c r="B10" s="92" t="s">
        <v>104</v>
      </c>
      <c r="C10" s="87" t="s">
        <v>220</v>
      </c>
    </row>
    <row r="11" spans="1:3">
      <c r="A11" s="91" t="s">
        <v>130</v>
      </c>
      <c r="B11" s="92" t="s">
        <v>105</v>
      </c>
      <c r="C11" s="87" t="s">
        <v>221</v>
      </c>
    </row>
    <row r="12" spans="1:3">
      <c r="A12" s="91" t="s">
        <v>131</v>
      </c>
      <c r="B12" s="92" t="s">
        <v>94</v>
      </c>
      <c r="C12" s="87" t="s">
        <v>222</v>
      </c>
    </row>
    <row r="13" spans="1:3">
      <c r="A13" s="91" t="s">
        <v>132</v>
      </c>
      <c r="B13" s="92" t="s">
        <v>98</v>
      </c>
      <c r="C13" s="87" t="s">
        <v>223</v>
      </c>
    </row>
    <row r="14" spans="1:3">
      <c r="A14" s="91" t="s">
        <v>133</v>
      </c>
      <c r="B14" s="92" t="s">
        <v>99</v>
      </c>
      <c r="C14" s="87" t="s">
        <v>224</v>
      </c>
    </row>
    <row r="15" spans="1:3">
      <c r="A15" s="93" t="s">
        <v>134</v>
      </c>
      <c r="B15" s="92" t="s">
        <v>110</v>
      </c>
      <c r="C15" s="87" t="s">
        <v>225</v>
      </c>
    </row>
    <row r="16" spans="1:3">
      <c r="A16" s="93" t="s">
        <v>135</v>
      </c>
      <c r="B16" s="92" t="s">
        <v>111</v>
      </c>
      <c r="C16" s="87" t="s">
        <v>226</v>
      </c>
    </row>
    <row r="17" spans="1:3">
      <c r="A17" s="93" t="s">
        <v>136</v>
      </c>
      <c r="B17" s="92" t="s">
        <v>112</v>
      </c>
      <c r="C17" s="87" t="s">
        <v>227</v>
      </c>
    </row>
    <row r="18" spans="1:3">
      <c r="A18" s="89" t="s">
        <v>47</v>
      </c>
      <c r="B18" s="94" t="s">
        <v>29</v>
      </c>
      <c r="C18" s="89" t="s">
        <v>210</v>
      </c>
    </row>
    <row r="19" spans="1:3">
      <c r="A19" s="89" t="s">
        <v>48</v>
      </c>
      <c r="B19" s="94" t="s">
        <v>42</v>
      </c>
      <c r="C19" s="89" t="s">
        <v>211</v>
      </c>
    </row>
    <row r="20" spans="1:3">
      <c r="A20" s="89" t="s">
        <v>49</v>
      </c>
      <c r="B20" s="94" t="s">
        <v>43</v>
      </c>
      <c r="C20" s="89" t="s">
        <v>212</v>
      </c>
    </row>
    <row r="21" spans="1:3">
      <c r="A21" s="89" t="s">
        <v>50</v>
      </c>
      <c r="B21" s="94" t="s">
        <v>30</v>
      </c>
      <c r="C21" s="89" t="s">
        <v>213</v>
      </c>
    </row>
    <row r="22" spans="1:3">
      <c r="A22" s="89" t="s">
        <v>51</v>
      </c>
      <c r="B22" s="94" t="s">
        <v>115</v>
      </c>
      <c r="C22" s="89" t="s">
        <v>214</v>
      </c>
    </row>
    <row r="23" spans="1:3">
      <c r="A23" s="89" t="s">
        <v>52</v>
      </c>
      <c r="B23" s="94" t="s">
        <v>116</v>
      </c>
      <c r="C23" s="89" t="s">
        <v>215</v>
      </c>
    </row>
    <row r="24" spans="1:3">
      <c r="A24" s="89" t="s">
        <v>53</v>
      </c>
      <c r="B24" s="94" t="s">
        <v>31</v>
      </c>
      <c r="C24" s="89" t="s">
        <v>216</v>
      </c>
    </row>
    <row r="25" spans="1:3">
      <c r="A25" s="89" t="s">
        <v>54</v>
      </c>
      <c r="B25" s="94" t="s">
        <v>44</v>
      </c>
      <c r="C25" s="89" t="s">
        <v>217</v>
      </c>
    </row>
    <row r="26" spans="1:3">
      <c r="A26" s="89" t="s">
        <v>55</v>
      </c>
      <c r="B26" s="94" t="s">
        <v>45</v>
      </c>
      <c r="C26" s="89" t="s">
        <v>218</v>
      </c>
    </row>
    <row r="27" spans="1:3">
      <c r="A27" s="89" t="s">
        <v>56</v>
      </c>
      <c r="B27" s="94" t="s">
        <v>28</v>
      </c>
      <c r="C27" s="87" t="s">
        <v>203</v>
      </c>
    </row>
    <row r="28" spans="1:3">
      <c r="A28" s="89" t="s">
        <v>56</v>
      </c>
      <c r="B28" s="94" t="s">
        <v>27</v>
      </c>
      <c r="C28" s="87" t="s">
        <v>203</v>
      </c>
    </row>
    <row r="29" spans="1:3">
      <c r="A29" s="95" t="s">
        <v>137</v>
      </c>
      <c r="B29" s="94" t="s">
        <v>103</v>
      </c>
      <c r="C29" s="87" t="s">
        <v>207</v>
      </c>
    </row>
    <row r="30" spans="1:3">
      <c r="A30" s="95" t="s">
        <v>137</v>
      </c>
      <c r="B30" s="94" t="s">
        <v>91</v>
      </c>
      <c r="C30" s="87" t="s">
        <v>207</v>
      </c>
    </row>
    <row r="31" spans="1:3">
      <c r="A31" s="95" t="s">
        <v>138</v>
      </c>
      <c r="B31" s="94" t="s">
        <v>97</v>
      </c>
      <c r="C31" s="87" t="s">
        <v>208</v>
      </c>
    </row>
    <row r="32" spans="1:3">
      <c r="A32" s="96" t="s">
        <v>138</v>
      </c>
      <c r="B32" s="94" t="s">
        <v>93</v>
      </c>
      <c r="C32" s="87" t="s">
        <v>208</v>
      </c>
    </row>
    <row r="33" spans="1:3">
      <c r="A33" s="96" t="s">
        <v>139</v>
      </c>
      <c r="B33" s="94" t="s">
        <v>106</v>
      </c>
      <c r="C33" s="87" t="s">
        <v>209</v>
      </c>
    </row>
    <row r="34" spans="1:3">
      <c r="A34" s="96" t="s">
        <v>139</v>
      </c>
      <c r="B34" s="94" t="s">
        <v>109</v>
      </c>
      <c r="C34" s="87" t="s">
        <v>209</v>
      </c>
    </row>
    <row r="35" spans="1:3">
      <c r="A35" s="89" t="s">
        <v>57</v>
      </c>
      <c r="B35" s="94" t="s">
        <v>26</v>
      </c>
      <c r="C35" s="87" t="s">
        <v>204</v>
      </c>
    </row>
    <row r="36" spans="1:3">
      <c r="A36" s="89" t="s">
        <v>57</v>
      </c>
      <c r="B36" s="94" t="s">
        <v>25</v>
      </c>
      <c r="C36" s="87" t="s">
        <v>204</v>
      </c>
    </row>
    <row r="37" spans="1:3">
      <c r="A37" s="89" t="s">
        <v>58</v>
      </c>
      <c r="B37" s="94" t="s">
        <v>21</v>
      </c>
      <c r="C37" s="87" t="s">
        <v>205</v>
      </c>
    </row>
    <row r="38" spans="1:3">
      <c r="A38" s="89" t="s">
        <v>58</v>
      </c>
      <c r="B38" s="94" t="s">
        <v>22</v>
      </c>
      <c r="C38" s="87" t="s">
        <v>205</v>
      </c>
    </row>
    <row r="39" spans="1:3">
      <c r="A39" s="89" t="s">
        <v>59</v>
      </c>
      <c r="B39" s="94" t="s">
        <v>23</v>
      </c>
      <c r="C39" s="87" t="s">
        <v>206</v>
      </c>
    </row>
    <row r="40" spans="1:3">
      <c r="A40" s="89" t="s">
        <v>59</v>
      </c>
      <c r="B40" s="94" t="s">
        <v>24</v>
      </c>
      <c r="C40" s="87" t="s">
        <v>206</v>
      </c>
    </row>
    <row r="41" spans="1:3" ht="30">
      <c r="A41" s="89" t="s">
        <v>140</v>
      </c>
      <c r="B41" s="94" t="s">
        <v>117</v>
      </c>
      <c r="C41" s="89" t="s">
        <v>231</v>
      </c>
    </row>
    <row r="42" spans="1:3" ht="30">
      <c r="A42" s="89" t="s">
        <v>140</v>
      </c>
      <c r="B42" s="94" t="s">
        <v>118</v>
      </c>
      <c r="C42" s="89" t="s">
        <v>232</v>
      </c>
    </row>
    <row r="43" spans="1:3" ht="30">
      <c r="A43" s="89" t="s">
        <v>60</v>
      </c>
      <c r="B43" s="94" t="s">
        <v>38</v>
      </c>
      <c r="C43" s="89" t="s">
        <v>229</v>
      </c>
    </row>
    <row r="44" spans="1:3" ht="30">
      <c r="A44" s="89" t="s">
        <v>60</v>
      </c>
      <c r="B44" s="94" t="s">
        <v>39</v>
      </c>
      <c r="C44" s="89" t="s">
        <v>230</v>
      </c>
    </row>
    <row r="45" spans="1:3" ht="30">
      <c r="A45" s="89" t="s">
        <v>141</v>
      </c>
      <c r="B45" s="94" t="s">
        <v>95</v>
      </c>
      <c r="C45" s="89" t="s">
        <v>234</v>
      </c>
    </row>
    <row r="46" spans="1:3" ht="30">
      <c r="A46" s="89" t="s">
        <v>142</v>
      </c>
      <c r="B46" s="94" t="s">
        <v>100</v>
      </c>
      <c r="C46" s="89" t="s">
        <v>235</v>
      </c>
    </row>
    <row r="47" spans="1:3" ht="30">
      <c r="A47" s="89" t="s">
        <v>143</v>
      </c>
      <c r="B47" s="94" t="s">
        <v>107</v>
      </c>
      <c r="C47" s="89" t="s">
        <v>236</v>
      </c>
    </row>
    <row r="48" spans="1:3" ht="30">
      <c r="A48" s="89" t="s">
        <v>144</v>
      </c>
      <c r="B48" s="94" t="s">
        <v>113</v>
      </c>
      <c r="C48" s="89" t="s">
        <v>237</v>
      </c>
    </row>
    <row r="49" spans="1:3" ht="30">
      <c r="A49" s="89" t="s">
        <v>61</v>
      </c>
      <c r="B49" s="94" t="s">
        <v>17</v>
      </c>
      <c r="C49" s="89" t="s">
        <v>233</v>
      </c>
    </row>
    <row r="50" spans="1:3" ht="30">
      <c r="A50" s="89" t="s">
        <v>62</v>
      </c>
      <c r="B50" s="94" t="s">
        <v>18</v>
      </c>
      <c r="C50" s="89" t="s">
        <v>233</v>
      </c>
    </row>
    <row r="51" spans="1:3" ht="30">
      <c r="A51" s="89" t="s">
        <v>63</v>
      </c>
      <c r="B51" s="94" t="s">
        <v>19</v>
      </c>
      <c r="C51" s="89" t="s">
        <v>233</v>
      </c>
    </row>
    <row r="52" spans="1:3" ht="30">
      <c r="A52" s="89" t="s">
        <v>64</v>
      </c>
      <c r="B52" s="94" t="s">
        <v>20</v>
      </c>
      <c r="C52" s="89" t="s">
        <v>233</v>
      </c>
    </row>
    <row r="53" spans="1:3">
      <c r="A53" s="95" t="s">
        <v>145</v>
      </c>
      <c r="B53" s="94" t="s">
        <v>119</v>
      </c>
      <c r="C53" s="89" t="s">
        <v>245</v>
      </c>
    </row>
    <row r="54" spans="1:3">
      <c r="A54" s="95" t="s">
        <v>146</v>
      </c>
      <c r="B54" s="94" t="s">
        <v>120</v>
      </c>
      <c r="C54" s="89" t="s">
        <v>246</v>
      </c>
    </row>
    <row r="55" spans="1:3">
      <c r="A55" s="95" t="s">
        <v>147</v>
      </c>
      <c r="B55" s="94" t="s">
        <v>121</v>
      </c>
      <c r="C55" s="89" t="s">
        <v>247</v>
      </c>
    </row>
    <row r="56" spans="1:3">
      <c r="A56" s="95" t="s">
        <v>148</v>
      </c>
      <c r="B56" s="94" t="s">
        <v>122</v>
      </c>
      <c r="C56" s="89" t="s">
        <v>248</v>
      </c>
    </row>
    <row r="57" spans="1:3">
      <c r="A57" s="89" t="s">
        <v>65</v>
      </c>
      <c r="B57" s="94" t="s">
        <v>13</v>
      </c>
      <c r="C57" s="89" t="s">
        <v>241</v>
      </c>
    </row>
    <row r="58" spans="1:3">
      <c r="A58" s="89" t="s">
        <v>66</v>
      </c>
      <c r="B58" s="94" t="s">
        <v>14</v>
      </c>
      <c r="C58" s="89" t="s">
        <v>242</v>
      </c>
    </row>
    <row r="59" spans="1:3">
      <c r="A59" s="89" t="s">
        <v>67</v>
      </c>
      <c r="B59" s="94" t="s">
        <v>15</v>
      </c>
      <c r="C59" s="89" t="s">
        <v>243</v>
      </c>
    </row>
    <row r="60" spans="1:3">
      <c r="A60" s="89" t="s">
        <v>68</v>
      </c>
      <c r="B60" s="94" t="s">
        <v>16</v>
      </c>
      <c r="C60" s="89" t="s">
        <v>244</v>
      </c>
    </row>
    <row r="61" spans="1:3">
      <c r="A61" s="95" t="s">
        <v>154</v>
      </c>
      <c r="B61" s="94" t="s">
        <v>153</v>
      </c>
      <c r="C61" s="89" t="s">
        <v>239</v>
      </c>
    </row>
    <row r="62" spans="1:3">
      <c r="A62" s="95" t="s">
        <v>156</v>
      </c>
      <c r="B62" s="94" t="s">
        <v>155</v>
      </c>
      <c r="C62" s="89" t="s">
        <v>240</v>
      </c>
    </row>
    <row r="63" spans="1:3">
      <c r="A63" s="95" t="s">
        <v>158</v>
      </c>
      <c r="B63" s="94" t="s">
        <v>157</v>
      </c>
      <c r="C63" s="89" t="s">
        <v>238</v>
      </c>
    </row>
    <row r="64" spans="1:3">
      <c r="A64" s="95" t="s">
        <v>196</v>
      </c>
      <c r="B64" s="94" t="s">
        <v>195</v>
      </c>
      <c r="C64" s="89" t="s">
        <v>249</v>
      </c>
    </row>
    <row r="65" spans="1:3">
      <c r="A65" s="95" t="s">
        <v>197</v>
      </c>
      <c r="B65" s="94" t="s">
        <v>170</v>
      </c>
      <c r="C65" s="89" t="s">
        <v>250</v>
      </c>
    </row>
    <row r="66" spans="1:3">
      <c r="A66" s="89"/>
      <c r="B66" s="94" t="s">
        <v>149</v>
      </c>
      <c r="C66" s="89" t="s">
        <v>252</v>
      </c>
    </row>
    <row r="67" spans="1:3">
      <c r="A67" s="89"/>
      <c r="B67" s="94" t="s">
        <v>150</v>
      </c>
      <c r="C67" s="89" t="s">
        <v>252</v>
      </c>
    </row>
    <row r="68" spans="1:3">
      <c r="A68" s="89"/>
      <c r="B68" s="94" t="s">
        <v>151</v>
      </c>
      <c r="C68" s="89" t="s">
        <v>252</v>
      </c>
    </row>
    <row r="69" spans="1:3">
      <c r="A69" s="89"/>
      <c r="B69" s="94" t="s">
        <v>152</v>
      </c>
      <c r="C69" s="89" t="s">
        <v>252</v>
      </c>
    </row>
    <row r="70" spans="1:3">
      <c r="A70" s="89"/>
      <c r="B70" s="94" t="s">
        <v>96</v>
      </c>
      <c r="C70" s="89" t="s">
        <v>253</v>
      </c>
    </row>
    <row r="71" spans="1:3">
      <c r="A71" s="89"/>
      <c r="B71" s="94" t="s">
        <v>101</v>
      </c>
      <c r="C71" s="89" t="s">
        <v>253</v>
      </c>
    </row>
    <row r="72" spans="1:3">
      <c r="A72" s="89"/>
      <c r="B72" s="94" t="s">
        <v>108</v>
      </c>
      <c r="C72" s="89" t="s">
        <v>253</v>
      </c>
    </row>
    <row r="73" spans="1:3">
      <c r="A73" s="89"/>
      <c r="B73" s="94" t="s">
        <v>114</v>
      </c>
      <c r="C73" s="89" t="s">
        <v>253</v>
      </c>
    </row>
    <row r="74" spans="1:3">
      <c r="A74" s="89"/>
      <c r="B74" s="94" t="s">
        <v>33</v>
      </c>
      <c r="C74" s="89" t="s">
        <v>251</v>
      </c>
    </row>
    <row r="75" spans="1:3">
      <c r="A75" s="89"/>
      <c r="B75" s="94" t="s">
        <v>32</v>
      </c>
      <c r="C75" s="89" t="s">
        <v>251</v>
      </c>
    </row>
    <row r="76" spans="1:3">
      <c r="A76" s="89"/>
      <c r="B76" s="94" t="s">
        <v>34</v>
      </c>
      <c r="C76" s="89" t="s">
        <v>251</v>
      </c>
    </row>
    <row r="77" spans="1:3">
      <c r="A77" s="89"/>
      <c r="B77" s="94" t="s">
        <v>35</v>
      </c>
      <c r="C77" s="89" t="s">
        <v>251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276"/>
  <sheetViews>
    <sheetView tabSelected="1" topLeftCell="A171" workbookViewId="0">
      <selection activeCell="H199" sqref="H199"/>
    </sheetView>
  </sheetViews>
  <sheetFormatPr baseColWidth="10" defaultRowHeight="15" x14ac:dyDescent="0"/>
  <cols>
    <col min="1" max="1" width="17.33203125" style="5" customWidth="1"/>
    <col min="2" max="2" width="10.83203125" style="4"/>
    <col min="3" max="25" width="7.1640625" style="5" customWidth="1"/>
    <col min="26" max="26" width="8.83203125" style="5" customWidth="1"/>
    <col min="27" max="16384" width="10.83203125" style="5"/>
  </cols>
  <sheetData>
    <row r="2" spans="1:26">
      <c r="A2" s="3" t="s">
        <v>0</v>
      </c>
    </row>
    <row r="4" spans="1:26">
      <c r="A4" s="3" t="s">
        <v>12</v>
      </c>
      <c r="B4" s="6"/>
    </row>
    <row r="5" spans="1:26" s="7" customFormat="1">
      <c r="B5" s="8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>
      <c r="A6" s="5" t="s">
        <v>9</v>
      </c>
      <c r="B6" s="10" t="s">
        <v>6</v>
      </c>
      <c r="C6" s="11">
        <v>385</v>
      </c>
      <c r="D6" s="11">
        <v>400</v>
      </c>
      <c r="E6" s="11">
        <v>500</v>
      </c>
      <c r="F6" s="11">
        <v>600</v>
      </c>
      <c r="G6" s="11">
        <v>700</v>
      </c>
      <c r="H6" s="11">
        <v>800</v>
      </c>
      <c r="I6" s="11">
        <v>900</v>
      </c>
      <c r="J6" s="11">
        <v>1000</v>
      </c>
      <c r="K6" s="11">
        <v>1100</v>
      </c>
      <c r="L6" s="11">
        <v>1200</v>
      </c>
      <c r="M6" s="11">
        <v>1300</v>
      </c>
      <c r="N6" s="11">
        <v>1400</v>
      </c>
      <c r="O6" s="11">
        <v>1500</v>
      </c>
      <c r="P6" s="11">
        <v>1600</v>
      </c>
      <c r="Q6" s="11">
        <v>1700</v>
      </c>
      <c r="R6" s="11">
        <v>1800</v>
      </c>
      <c r="S6" s="11">
        <v>1900</v>
      </c>
      <c r="T6" s="11">
        <v>2000</v>
      </c>
      <c r="U6" s="11">
        <v>2100</v>
      </c>
      <c r="V6" s="11">
        <v>2200</v>
      </c>
      <c r="W6" s="11">
        <v>2300</v>
      </c>
      <c r="X6" s="11">
        <v>2350</v>
      </c>
    </row>
    <row r="7" spans="1:26">
      <c r="A7" s="12" t="s">
        <v>10</v>
      </c>
      <c r="B7" s="13" t="s">
        <v>5</v>
      </c>
      <c r="C7" s="9">
        <v>0.77361957225853306</v>
      </c>
      <c r="D7" s="9">
        <v>0.83587220172409737</v>
      </c>
      <c r="E7" s="9">
        <v>0.85350063863830317</v>
      </c>
      <c r="F7" s="9">
        <v>0.85888807130731493</v>
      </c>
      <c r="G7" s="9">
        <v>0.85728616774113953</v>
      </c>
      <c r="H7" s="9">
        <v>0.86253468155871216</v>
      </c>
      <c r="I7" s="9">
        <v>0.86258605093251062</v>
      </c>
      <c r="J7" s="9">
        <v>0.86089845239258467</v>
      </c>
      <c r="K7" s="9">
        <v>0.86092846617500363</v>
      </c>
      <c r="L7" s="9">
        <v>0.86095351829561739</v>
      </c>
      <c r="M7" s="9">
        <v>0.85925134481414567</v>
      </c>
      <c r="N7" s="9">
        <v>0.85754731634883985</v>
      </c>
      <c r="O7" s="9">
        <v>0.85584328788353414</v>
      </c>
      <c r="P7" s="9">
        <v>0.85414126702427695</v>
      </c>
      <c r="Q7" s="9">
        <v>0.84901626777324324</v>
      </c>
      <c r="R7" s="9">
        <v>0.84391077728880437</v>
      </c>
      <c r="S7" s="9">
        <v>0.84222180802861168</v>
      </c>
      <c r="T7" s="9">
        <v>0.84053474318649235</v>
      </c>
      <c r="U7" s="9">
        <v>0.8152355224078941</v>
      </c>
      <c r="V7" s="9">
        <v>0.79036940987810955</v>
      </c>
      <c r="W7" s="9">
        <v>0.78466058266200733</v>
      </c>
      <c r="X7" s="9">
        <v>0.78181594743445693</v>
      </c>
    </row>
    <row r="8" spans="1:26" s="7" customFormat="1" ht="14">
      <c r="B8" s="8"/>
      <c r="N8" s="70"/>
    </row>
    <row r="9" spans="1:26">
      <c r="B9" s="10" t="s">
        <v>6</v>
      </c>
      <c r="C9" s="11">
        <v>385</v>
      </c>
      <c r="D9" s="11">
        <v>400</v>
      </c>
      <c r="E9" s="11">
        <v>500</v>
      </c>
      <c r="F9" s="11">
        <v>600</v>
      </c>
      <c r="G9" s="11">
        <v>700</v>
      </c>
      <c r="H9" s="11">
        <v>800</v>
      </c>
      <c r="I9" s="11">
        <v>900</v>
      </c>
      <c r="J9" s="11">
        <v>1000</v>
      </c>
      <c r="K9" s="11">
        <v>1100</v>
      </c>
      <c r="L9" s="11">
        <v>1200</v>
      </c>
      <c r="M9" s="11">
        <v>1300</v>
      </c>
      <c r="N9" s="11">
        <v>1400</v>
      </c>
      <c r="O9" s="11">
        <v>1500</v>
      </c>
      <c r="P9" s="11">
        <v>1600</v>
      </c>
      <c r="Q9" s="11">
        <v>1700</v>
      </c>
      <c r="R9" s="11">
        <v>1800</v>
      </c>
      <c r="S9" s="11">
        <v>1900</v>
      </c>
      <c r="T9" s="11">
        <v>2000</v>
      </c>
      <c r="U9" s="11">
        <v>2100</v>
      </c>
      <c r="V9" s="11">
        <v>2200</v>
      </c>
      <c r="W9" s="11">
        <v>2300</v>
      </c>
      <c r="X9" s="11">
        <v>2350</v>
      </c>
    </row>
    <row r="10" spans="1:26">
      <c r="A10" s="14" t="s">
        <v>11</v>
      </c>
      <c r="B10" s="37" t="s">
        <v>7</v>
      </c>
      <c r="C10" s="9">
        <f>0.97*0.97</f>
        <v>0.94089999999999996</v>
      </c>
      <c r="D10" s="9">
        <f t="shared" ref="D10:X10" si="0">0.97*0.97</f>
        <v>0.94089999999999996</v>
      </c>
      <c r="E10" s="9">
        <f t="shared" si="0"/>
        <v>0.94089999999999996</v>
      </c>
      <c r="F10" s="9">
        <f t="shared" si="0"/>
        <v>0.94089999999999996</v>
      </c>
      <c r="G10" s="9">
        <f t="shared" si="0"/>
        <v>0.94089999999999996</v>
      </c>
      <c r="H10" s="9">
        <f t="shared" si="0"/>
        <v>0.94089999999999996</v>
      </c>
      <c r="I10" s="9">
        <f t="shared" si="0"/>
        <v>0.94089999999999996</v>
      </c>
      <c r="J10" s="9">
        <f t="shared" si="0"/>
        <v>0.94089999999999996</v>
      </c>
      <c r="K10" s="9">
        <f t="shared" si="0"/>
        <v>0.94089999999999996</v>
      </c>
      <c r="L10" s="9">
        <f t="shared" si="0"/>
        <v>0.94089999999999996</v>
      </c>
      <c r="M10" s="9">
        <f t="shared" si="0"/>
        <v>0.94089999999999996</v>
      </c>
      <c r="N10" s="9">
        <f t="shared" si="0"/>
        <v>0.94089999999999996</v>
      </c>
      <c r="O10" s="9">
        <f t="shared" si="0"/>
        <v>0.94089999999999996</v>
      </c>
      <c r="P10" s="9">
        <f t="shared" si="0"/>
        <v>0.94089999999999996</v>
      </c>
      <c r="Q10" s="9">
        <f t="shared" si="0"/>
        <v>0.94089999999999996</v>
      </c>
      <c r="R10" s="9">
        <f t="shared" si="0"/>
        <v>0.94089999999999996</v>
      </c>
      <c r="S10" s="9">
        <f t="shared" si="0"/>
        <v>0.94089999999999996</v>
      </c>
      <c r="T10" s="9">
        <f t="shared" si="0"/>
        <v>0.94089999999999996</v>
      </c>
      <c r="U10" s="9">
        <f t="shared" si="0"/>
        <v>0.94089999999999996</v>
      </c>
      <c r="V10" s="9">
        <f t="shared" si="0"/>
        <v>0.94089999999999996</v>
      </c>
      <c r="W10" s="9">
        <f t="shared" si="0"/>
        <v>0.94089999999999996</v>
      </c>
      <c r="X10" s="9">
        <f t="shared" si="0"/>
        <v>0.94089999999999996</v>
      </c>
    </row>
    <row r="11" spans="1:26" s="7" customFormat="1">
      <c r="B11" s="8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>
      <c r="B12" s="10" t="s">
        <v>6</v>
      </c>
      <c r="C12" s="33">
        <v>385</v>
      </c>
      <c r="D12" s="33">
        <v>400</v>
      </c>
      <c r="E12" s="33">
        <v>469</v>
      </c>
      <c r="F12" s="33">
        <v>510</v>
      </c>
      <c r="G12" s="33">
        <v>552</v>
      </c>
      <c r="H12" s="17">
        <v>580</v>
      </c>
      <c r="I12" s="17">
        <v>622</v>
      </c>
      <c r="J12" s="17">
        <v>650</v>
      </c>
      <c r="K12" s="17">
        <v>691</v>
      </c>
      <c r="L12" s="17">
        <v>720</v>
      </c>
      <c r="M12" s="17">
        <v>755</v>
      </c>
      <c r="N12" s="17">
        <v>780</v>
      </c>
      <c r="O12" s="17">
        <v>818</v>
      </c>
      <c r="P12" s="33">
        <v>850</v>
      </c>
      <c r="Q12" s="33">
        <v>889</v>
      </c>
      <c r="R12" s="33">
        <v>920</v>
      </c>
      <c r="S12" s="33">
        <v>960</v>
      </c>
      <c r="T12" s="11"/>
      <c r="U12" s="11"/>
      <c r="V12" s="11"/>
      <c r="W12" s="11"/>
      <c r="X12" s="11"/>
      <c r="Y12" s="11"/>
      <c r="Z12" s="11"/>
    </row>
    <row r="13" spans="1:26">
      <c r="A13" s="14" t="s">
        <v>46</v>
      </c>
      <c r="B13" s="37" t="s">
        <v>8</v>
      </c>
      <c r="C13" s="9">
        <f>0.98*0.98</f>
        <v>0.96039999999999992</v>
      </c>
      <c r="D13" s="9">
        <f t="shared" ref="D13:S13" si="1">0.98*0.98</f>
        <v>0.96039999999999992</v>
      </c>
      <c r="E13" s="9">
        <f t="shared" si="1"/>
        <v>0.96039999999999992</v>
      </c>
      <c r="F13" s="9">
        <f t="shared" si="1"/>
        <v>0.96039999999999992</v>
      </c>
      <c r="G13" s="9">
        <f t="shared" si="1"/>
        <v>0.96039999999999992</v>
      </c>
      <c r="H13" s="9">
        <f t="shared" si="1"/>
        <v>0.96039999999999992</v>
      </c>
      <c r="I13" s="9">
        <f t="shared" si="1"/>
        <v>0.96039999999999992</v>
      </c>
      <c r="J13" s="9">
        <f t="shared" si="1"/>
        <v>0.96039999999999992</v>
      </c>
      <c r="K13" s="9">
        <f>0.98*0.98</f>
        <v>0.96039999999999992</v>
      </c>
      <c r="L13" s="9">
        <f t="shared" si="1"/>
        <v>0.96039999999999992</v>
      </c>
      <c r="M13" s="9">
        <f t="shared" si="1"/>
        <v>0.96039999999999992</v>
      </c>
      <c r="N13" s="9">
        <f t="shared" si="1"/>
        <v>0.96039999999999992</v>
      </c>
      <c r="O13" s="9">
        <f t="shared" si="1"/>
        <v>0.96039999999999992</v>
      </c>
      <c r="P13" s="9">
        <f t="shared" si="1"/>
        <v>0.96039999999999992</v>
      </c>
      <c r="Q13" s="9">
        <f t="shared" si="1"/>
        <v>0.96039999999999992</v>
      </c>
      <c r="R13" s="9">
        <f t="shared" si="1"/>
        <v>0.96039999999999992</v>
      </c>
      <c r="S13" s="9">
        <f t="shared" si="1"/>
        <v>0.96039999999999992</v>
      </c>
      <c r="T13" s="15"/>
      <c r="U13" s="15"/>
      <c r="V13" s="15"/>
      <c r="W13" s="15"/>
      <c r="X13" s="15"/>
      <c r="Y13" s="15"/>
      <c r="Z13" s="15"/>
    </row>
    <row r="14" spans="1:26" s="7" customFormat="1">
      <c r="B14" s="8"/>
      <c r="C14" s="9"/>
      <c r="D14" s="9"/>
      <c r="E14" s="9"/>
      <c r="F14" s="9"/>
      <c r="G14" s="9"/>
      <c r="H14" s="9"/>
      <c r="I14" s="9"/>
      <c r="J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>
      <c r="B15" s="10" t="s">
        <v>6</v>
      </c>
      <c r="C15" s="33">
        <v>385</v>
      </c>
      <c r="D15" s="33">
        <v>400</v>
      </c>
      <c r="E15" s="33">
        <v>469</v>
      </c>
      <c r="F15" s="33">
        <v>510</v>
      </c>
      <c r="G15" s="33">
        <v>552</v>
      </c>
      <c r="H15" s="17">
        <v>580</v>
      </c>
      <c r="I15" s="17">
        <v>622</v>
      </c>
      <c r="J15" s="17">
        <v>650</v>
      </c>
      <c r="K15" s="17">
        <v>691</v>
      </c>
      <c r="L15" s="17">
        <v>720</v>
      </c>
      <c r="M15" s="17">
        <v>755</v>
      </c>
      <c r="N15" s="17">
        <v>780</v>
      </c>
      <c r="O15" s="17">
        <v>818</v>
      </c>
      <c r="P15" s="33">
        <v>850</v>
      </c>
      <c r="Q15" s="33">
        <v>889</v>
      </c>
      <c r="R15" s="33">
        <v>920</v>
      </c>
      <c r="S15" s="33">
        <v>960</v>
      </c>
      <c r="T15" s="11"/>
      <c r="U15" s="11"/>
      <c r="V15" s="11"/>
      <c r="W15" s="11"/>
      <c r="X15" s="11"/>
      <c r="Y15" s="11"/>
      <c r="Z15" s="11"/>
    </row>
    <row r="16" spans="1:26">
      <c r="A16" s="64" t="s">
        <v>127</v>
      </c>
      <c r="B16" s="37" t="s">
        <v>85</v>
      </c>
      <c r="C16" s="9">
        <v>0.57999999999999996</v>
      </c>
      <c r="D16" s="9">
        <v>0.8</v>
      </c>
      <c r="E16" s="9">
        <v>0.95</v>
      </c>
      <c r="F16" s="9">
        <f t="shared" ref="F16:S16" si="2">E16</f>
        <v>0.95</v>
      </c>
      <c r="G16" s="9">
        <f t="shared" si="2"/>
        <v>0.95</v>
      </c>
      <c r="H16" s="9">
        <f t="shared" si="2"/>
        <v>0.95</v>
      </c>
      <c r="I16" s="9">
        <f t="shared" si="2"/>
        <v>0.95</v>
      </c>
      <c r="J16" s="9">
        <f t="shared" si="2"/>
        <v>0.95</v>
      </c>
      <c r="K16" s="9">
        <f t="shared" si="2"/>
        <v>0.95</v>
      </c>
      <c r="L16" s="9">
        <f t="shared" si="2"/>
        <v>0.95</v>
      </c>
      <c r="M16" s="9">
        <f t="shared" si="2"/>
        <v>0.95</v>
      </c>
      <c r="N16" s="9">
        <f t="shared" si="2"/>
        <v>0.95</v>
      </c>
      <c r="O16" s="9">
        <f t="shared" si="2"/>
        <v>0.95</v>
      </c>
      <c r="P16" s="9">
        <f t="shared" si="2"/>
        <v>0.95</v>
      </c>
      <c r="Q16" s="9">
        <f t="shared" si="2"/>
        <v>0.95</v>
      </c>
      <c r="R16" s="9">
        <f t="shared" si="2"/>
        <v>0.95</v>
      </c>
      <c r="S16" s="9">
        <f t="shared" si="2"/>
        <v>0.95</v>
      </c>
      <c r="T16" s="9"/>
      <c r="U16" s="9"/>
      <c r="V16" s="9"/>
      <c r="W16" s="9"/>
      <c r="X16" s="9"/>
      <c r="Y16" s="9"/>
      <c r="Z16" s="9"/>
    </row>
    <row r="17" spans="1:26" s="7" customFormat="1">
      <c r="A17" s="65"/>
      <c r="B17" s="66"/>
      <c r="C17" s="9"/>
      <c r="D17" s="9"/>
      <c r="E17" s="9"/>
      <c r="F17" s="9"/>
      <c r="G17" s="9"/>
      <c r="H17" s="9"/>
      <c r="I17" s="9"/>
      <c r="J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>
      <c r="A18" s="64"/>
      <c r="B18" s="67" t="s">
        <v>6</v>
      </c>
      <c r="C18" s="11">
        <v>385</v>
      </c>
      <c r="D18" s="11">
        <v>400</v>
      </c>
      <c r="E18" s="11">
        <v>469</v>
      </c>
      <c r="F18" s="11">
        <v>510</v>
      </c>
      <c r="G18" s="11">
        <v>552</v>
      </c>
      <c r="H18" s="11">
        <v>580</v>
      </c>
      <c r="I18" s="11">
        <v>622</v>
      </c>
      <c r="J18" s="11">
        <v>650</v>
      </c>
      <c r="K18" s="11">
        <v>691</v>
      </c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>
      <c r="A19" s="64" t="s">
        <v>128</v>
      </c>
      <c r="B19" s="37" t="s">
        <v>92</v>
      </c>
      <c r="C19" s="9">
        <v>0.98</v>
      </c>
      <c r="D19" s="9">
        <f>C19</f>
        <v>0.98</v>
      </c>
      <c r="E19" s="9">
        <f t="shared" ref="E19:K19" si="3">D19</f>
        <v>0.98</v>
      </c>
      <c r="F19" s="9">
        <f t="shared" si="3"/>
        <v>0.98</v>
      </c>
      <c r="G19" s="9">
        <f t="shared" si="3"/>
        <v>0.98</v>
      </c>
      <c r="H19" s="9">
        <f t="shared" si="3"/>
        <v>0.98</v>
      </c>
      <c r="I19" s="9">
        <f t="shared" si="3"/>
        <v>0.98</v>
      </c>
      <c r="J19" s="9">
        <f t="shared" si="3"/>
        <v>0.98</v>
      </c>
      <c r="K19" s="9">
        <f t="shared" si="3"/>
        <v>0.98</v>
      </c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s="7" customFormat="1">
      <c r="A20" s="65"/>
      <c r="B20" s="66"/>
      <c r="C20" s="9"/>
      <c r="D20" s="9"/>
      <c r="E20" s="9"/>
      <c r="F20" s="9"/>
      <c r="G20" s="9"/>
      <c r="H20" s="9"/>
      <c r="I20" s="9"/>
      <c r="J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>
      <c r="A21" s="64"/>
      <c r="B21" s="67" t="s">
        <v>6</v>
      </c>
      <c r="C21" s="11">
        <v>691</v>
      </c>
      <c r="D21" s="11">
        <v>720</v>
      </c>
      <c r="E21" s="11">
        <v>755</v>
      </c>
      <c r="F21" s="11">
        <v>780</v>
      </c>
      <c r="G21" s="11">
        <v>818</v>
      </c>
      <c r="H21" s="11">
        <v>850</v>
      </c>
      <c r="I21" s="11">
        <v>889</v>
      </c>
      <c r="J21" s="11">
        <v>920</v>
      </c>
      <c r="K21" s="11">
        <v>960</v>
      </c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>
      <c r="A22" s="64" t="s">
        <v>129</v>
      </c>
      <c r="B22" s="67" t="s">
        <v>104</v>
      </c>
      <c r="C22" s="9">
        <v>0.97</v>
      </c>
      <c r="D22" s="9">
        <f>C22</f>
        <v>0.97</v>
      </c>
      <c r="E22" s="9">
        <f t="shared" ref="E22:K22" si="4">D22</f>
        <v>0.97</v>
      </c>
      <c r="F22" s="9">
        <f t="shared" si="4"/>
        <v>0.97</v>
      </c>
      <c r="G22" s="9">
        <f t="shared" si="4"/>
        <v>0.97</v>
      </c>
      <c r="H22" s="9">
        <f t="shared" si="4"/>
        <v>0.97</v>
      </c>
      <c r="I22" s="9">
        <f t="shared" si="4"/>
        <v>0.97</v>
      </c>
      <c r="J22" s="9">
        <f t="shared" si="4"/>
        <v>0.97</v>
      </c>
      <c r="K22" s="9">
        <f t="shared" si="4"/>
        <v>0.97</v>
      </c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s="7" customFormat="1">
      <c r="A23" s="65"/>
      <c r="B23" s="66"/>
      <c r="C23" s="9"/>
      <c r="D23" s="9"/>
      <c r="E23" s="9"/>
      <c r="F23" s="9"/>
      <c r="G23" s="9"/>
      <c r="H23" s="9"/>
      <c r="I23" s="9"/>
      <c r="J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>
      <c r="A24" s="64"/>
      <c r="B24" s="67" t="s">
        <v>6</v>
      </c>
      <c r="C24" s="11">
        <v>691</v>
      </c>
      <c r="D24" s="11">
        <v>720</v>
      </c>
      <c r="E24" s="11">
        <v>755</v>
      </c>
      <c r="F24" s="11">
        <v>780</v>
      </c>
      <c r="G24" s="11">
        <v>818</v>
      </c>
      <c r="H24" s="11">
        <v>850</v>
      </c>
      <c r="I24" s="11">
        <v>889</v>
      </c>
      <c r="J24" s="11">
        <v>920</v>
      </c>
      <c r="K24" s="11">
        <v>960</v>
      </c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>
      <c r="A25" s="64" t="s">
        <v>130</v>
      </c>
      <c r="B25" s="67" t="s">
        <v>105</v>
      </c>
      <c r="C25" s="9">
        <v>0.97</v>
      </c>
      <c r="D25" s="9">
        <f>C25</f>
        <v>0.97</v>
      </c>
      <c r="E25" s="9">
        <f t="shared" ref="E25:K25" si="5">D25</f>
        <v>0.97</v>
      </c>
      <c r="F25" s="9">
        <f t="shared" si="5"/>
        <v>0.97</v>
      </c>
      <c r="G25" s="9">
        <f t="shared" si="5"/>
        <v>0.97</v>
      </c>
      <c r="H25" s="9">
        <f t="shared" si="5"/>
        <v>0.97</v>
      </c>
      <c r="I25" s="9">
        <f t="shared" si="5"/>
        <v>0.97</v>
      </c>
      <c r="J25" s="9">
        <f t="shared" si="5"/>
        <v>0.97</v>
      </c>
      <c r="K25" s="9">
        <f t="shared" si="5"/>
        <v>0.97</v>
      </c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s="7" customFormat="1">
      <c r="A26" s="65"/>
      <c r="B26" s="66"/>
      <c r="C26" s="9"/>
      <c r="D26" s="9"/>
      <c r="E26" s="9"/>
      <c r="F26" s="9"/>
      <c r="G26" s="9"/>
      <c r="H26" s="9"/>
      <c r="I26" s="9"/>
      <c r="J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>
      <c r="A27" s="64"/>
      <c r="B27" s="67" t="s">
        <v>6</v>
      </c>
      <c r="C27" s="33">
        <v>385</v>
      </c>
      <c r="D27" s="33">
        <v>400</v>
      </c>
      <c r="E27" s="33">
        <v>469</v>
      </c>
      <c r="F27" s="33">
        <v>510</v>
      </c>
      <c r="G27" s="33">
        <v>552</v>
      </c>
      <c r="H27" s="11"/>
      <c r="I27" s="11"/>
      <c r="J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>
      <c r="A28" s="64" t="s">
        <v>131</v>
      </c>
      <c r="B28" s="67" t="s">
        <v>94</v>
      </c>
      <c r="C28" s="9">
        <v>0.98</v>
      </c>
      <c r="D28" s="9">
        <f>C28</f>
        <v>0.98</v>
      </c>
      <c r="E28" s="9">
        <f t="shared" ref="E28:G28" si="6">D28</f>
        <v>0.98</v>
      </c>
      <c r="F28" s="9">
        <f t="shared" si="6"/>
        <v>0.98</v>
      </c>
      <c r="G28" s="9">
        <f t="shared" si="6"/>
        <v>0.98</v>
      </c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s="7" customFormat="1">
      <c r="A29" s="65"/>
      <c r="B29" s="66"/>
      <c r="C29" s="9"/>
      <c r="D29" s="9"/>
      <c r="E29" s="9"/>
      <c r="F29" s="9"/>
      <c r="G29" s="9"/>
      <c r="H29" s="9"/>
      <c r="I29" s="9"/>
      <c r="J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X29" s="9"/>
      <c r="Y29" s="9"/>
      <c r="Z29" s="9"/>
    </row>
    <row r="30" spans="1:26">
      <c r="A30" s="64"/>
      <c r="B30" s="67" t="s">
        <v>6</v>
      </c>
      <c r="C30" s="17">
        <v>552</v>
      </c>
      <c r="D30" s="17">
        <v>580</v>
      </c>
      <c r="E30" s="17">
        <v>622</v>
      </c>
      <c r="F30" s="17">
        <v>650</v>
      </c>
      <c r="G30" s="17">
        <v>691</v>
      </c>
      <c r="H30" s="11"/>
      <c r="I30" s="11"/>
      <c r="J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X30" s="11"/>
      <c r="Y30" s="11"/>
      <c r="Z30" s="11"/>
    </row>
    <row r="31" spans="1:26">
      <c r="A31" s="64" t="s">
        <v>132</v>
      </c>
      <c r="B31" s="67" t="s">
        <v>98</v>
      </c>
      <c r="C31" s="9">
        <v>0.96</v>
      </c>
      <c r="D31" s="9">
        <f>C31</f>
        <v>0.96</v>
      </c>
      <c r="E31" s="9">
        <f t="shared" ref="E31:G31" si="7">D31</f>
        <v>0.96</v>
      </c>
      <c r="F31" s="9">
        <f t="shared" si="7"/>
        <v>0.96</v>
      </c>
      <c r="G31" s="9">
        <f t="shared" si="7"/>
        <v>0.96</v>
      </c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s="7" customFormat="1">
      <c r="A32" s="65"/>
      <c r="B32" s="66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>
      <c r="A33" s="64"/>
      <c r="B33" s="67" t="s">
        <v>6</v>
      </c>
      <c r="C33" s="17">
        <v>552</v>
      </c>
      <c r="D33" s="17">
        <v>580</v>
      </c>
      <c r="E33" s="17">
        <v>622</v>
      </c>
      <c r="F33" s="17">
        <v>650</v>
      </c>
      <c r="G33" s="17">
        <v>691</v>
      </c>
      <c r="H33" s="11"/>
      <c r="I33" s="11"/>
      <c r="J33" s="11"/>
      <c r="K33" s="9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9"/>
      <c r="X33" s="11"/>
      <c r="Y33" s="11"/>
      <c r="Z33" s="11"/>
    </row>
    <row r="34" spans="1:26">
      <c r="A34" s="64" t="s">
        <v>133</v>
      </c>
      <c r="B34" s="67" t="s">
        <v>99</v>
      </c>
      <c r="C34" s="9">
        <v>0.96</v>
      </c>
      <c r="D34" s="9">
        <f>C34</f>
        <v>0.96</v>
      </c>
      <c r="E34" s="9">
        <f t="shared" ref="E34:G34" si="8">D34</f>
        <v>0.96</v>
      </c>
      <c r="F34" s="9">
        <f t="shared" si="8"/>
        <v>0.96</v>
      </c>
      <c r="G34" s="9">
        <f t="shared" si="8"/>
        <v>0.96</v>
      </c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s="7" customFormat="1">
      <c r="A35" s="65"/>
      <c r="B35" s="66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>
      <c r="A36" s="64"/>
      <c r="B36" s="67" t="s">
        <v>6</v>
      </c>
      <c r="C36" s="17">
        <v>691</v>
      </c>
      <c r="D36" s="17">
        <v>720</v>
      </c>
      <c r="E36" s="17">
        <v>755</v>
      </c>
      <c r="F36" s="17">
        <v>780</v>
      </c>
      <c r="G36" s="17">
        <v>818</v>
      </c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>
      <c r="A37" s="68" t="s">
        <v>134</v>
      </c>
      <c r="B37" s="67" t="s">
        <v>110</v>
      </c>
      <c r="C37" s="9">
        <v>0.98</v>
      </c>
      <c r="D37" s="9">
        <f>C37</f>
        <v>0.98</v>
      </c>
      <c r="E37" s="9">
        <f t="shared" ref="E37:G37" si="9">D37</f>
        <v>0.98</v>
      </c>
      <c r="F37" s="9">
        <f t="shared" si="9"/>
        <v>0.98</v>
      </c>
      <c r="G37" s="9">
        <f t="shared" si="9"/>
        <v>0.98</v>
      </c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s="7" customFormat="1">
      <c r="A38" s="65"/>
      <c r="B38" s="66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>
      <c r="A39" s="64"/>
      <c r="B39" s="67" t="s">
        <v>6</v>
      </c>
      <c r="C39" s="33">
        <v>818</v>
      </c>
      <c r="D39" s="33">
        <v>850</v>
      </c>
      <c r="E39" s="33">
        <v>889</v>
      </c>
      <c r="F39" s="33">
        <v>920</v>
      </c>
      <c r="G39" s="33">
        <v>960</v>
      </c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>
      <c r="A40" s="68" t="s">
        <v>135</v>
      </c>
      <c r="B40" s="67" t="s">
        <v>111</v>
      </c>
      <c r="C40" s="9">
        <v>0.98</v>
      </c>
      <c r="D40" s="9">
        <f>C40</f>
        <v>0.98</v>
      </c>
      <c r="E40" s="9">
        <f t="shared" ref="E40:G40" si="10">D40</f>
        <v>0.98</v>
      </c>
      <c r="F40" s="9">
        <f t="shared" si="10"/>
        <v>0.98</v>
      </c>
      <c r="G40" s="9">
        <f t="shared" si="10"/>
        <v>0.98</v>
      </c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s="7" customFormat="1">
      <c r="A41" s="65"/>
      <c r="B41" s="66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>
      <c r="A42" s="64"/>
      <c r="B42" s="67" t="s">
        <v>6</v>
      </c>
      <c r="C42" s="33">
        <v>818</v>
      </c>
      <c r="D42" s="33">
        <v>850</v>
      </c>
      <c r="E42" s="33">
        <v>889</v>
      </c>
      <c r="F42" s="33">
        <v>920</v>
      </c>
      <c r="G42" s="33">
        <v>960</v>
      </c>
      <c r="H42" s="11"/>
      <c r="I42" s="11"/>
      <c r="J42" s="11"/>
      <c r="K42" s="9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9"/>
      <c r="X42" s="11"/>
      <c r="Y42" s="11"/>
      <c r="Z42" s="11"/>
    </row>
    <row r="43" spans="1:26">
      <c r="A43" s="68" t="s">
        <v>136</v>
      </c>
      <c r="B43" s="67" t="s">
        <v>112</v>
      </c>
      <c r="C43" s="9">
        <v>0.98</v>
      </c>
      <c r="D43" s="9">
        <f>C43</f>
        <v>0.98</v>
      </c>
      <c r="E43" s="9">
        <f t="shared" ref="E43:G43" si="11">D43</f>
        <v>0.98</v>
      </c>
      <c r="F43" s="9">
        <f t="shared" si="11"/>
        <v>0.98</v>
      </c>
      <c r="G43" s="9">
        <f t="shared" si="11"/>
        <v>0.98</v>
      </c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s="7" customFormat="1">
      <c r="B44" s="8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>
      <c r="B45" s="10" t="s">
        <v>6</v>
      </c>
      <c r="C45" s="11">
        <v>960</v>
      </c>
      <c r="D45" s="11">
        <v>1000</v>
      </c>
      <c r="E45" s="11">
        <v>1040</v>
      </c>
      <c r="F45" s="11">
        <v>1090</v>
      </c>
      <c r="G45" s="11">
        <v>1120</v>
      </c>
      <c r="H45" s="11">
        <v>1150</v>
      </c>
      <c r="I45" s="11">
        <v>1200</v>
      </c>
      <c r="J45" s="11">
        <v>1250</v>
      </c>
      <c r="K45" s="11">
        <v>1300</v>
      </c>
      <c r="L45" s="11">
        <v>1350</v>
      </c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>
      <c r="A46" s="14" t="s">
        <v>47</v>
      </c>
      <c r="B46" s="10" t="s">
        <v>29</v>
      </c>
      <c r="C46" s="9">
        <v>0.98</v>
      </c>
      <c r="D46" s="9">
        <f>C46</f>
        <v>0.98</v>
      </c>
      <c r="E46" s="9">
        <f>D46</f>
        <v>0.98</v>
      </c>
      <c r="F46" s="9">
        <f t="shared" ref="F46:L46" si="12">E46</f>
        <v>0.98</v>
      </c>
      <c r="G46" s="9">
        <f t="shared" si="12"/>
        <v>0.98</v>
      </c>
      <c r="H46" s="9">
        <f t="shared" si="12"/>
        <v>0.98</v>
      </c>
      <c r="I46" s="9">
        <f t="shared" si="12"/>
        <v>0.98</v>
      </c>
      <c r="J46" s="9">
        <f t="shared" si="12"/>
        <v>0.98</v>
      </c>
      <c r="K46" s="9">
        <f t="shared" si="12"/>
        <v>0.98</v>
      </c>
      <c r="L46" s="9">
        <f t="shared" si="12"/>
        <v>0.98</v>
      </c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s="7" customFormat="1">
      <c r="B47" s="8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>
      <c r="B48" s="10" t="s">
        <v>6</v>
      </c>
      <c r="C48" s="11">
        <v>1500</v>
      </c>
      <c r="D48" s="11">
        <v>1550</v>
      </c>
      <c r="E48" s="11">
        <v>1630</v>
      </c>
      <c r="F48" s="11">
        <v>1700</v>
      </c>
      <c r="G48" s="11">
        <v>1760</v>
      </c>
      <c r="H48" s="11">
        <v>2000</v>
      </c>
      <c r="I48" s="11">
        <v>2100</v>
      </c>
      <c r="J48" s="11">
        <v>2175</v>
      </c>
      <c r="K48" s="11">
        <v>2260</v>
      </c>
      <c r="L48" s="11">
        <v>2350</v>
      </c>
      <c r="M48" s="11"/>
      <c r="N48" s="9"/>
      <c r="O48" s="11"/>
      <c r="P48" s="11"/>
      <c r="Q48" s="11"/>
      <c r="R48" s="11"/>
      <c r="S48" s="11"/>
      <c r="T48" s="11"/>
      <c r="U48" s="9"/>
      <c r="V48" s="9"/>
      <c r="W48" s="9"/>
      <c r="X48" s="11"/>
      <c r="Y48" s="11"/>
      <c r="Z48" s="11"/>
    </row>
    <row r="49" spans="1:26">
      <c r="A49" s="14" t="s">
        <v>48</v>
      </c>
      <c r="B49" s="10" t="s">
        <v>42</v>
      </c>
      <c r="C49" s="9">
        <v>0.98499999999999999</v>
      </c>
      <c r="D49" s="9">
        <f>C49</f>
        <v>0.98499999999999999</v>
      </c>
      <c r="E49" s="9">
        <f>D49</f>
        <v>0.98499999999999999</v>
      </c>
      <c r="F49" s="9">
        <f t="shared" ref="F49:L49" si="13">E49</f>
        <v>0.98499999999999999</v>
      </c>
      <c r="G49" s="9">
        <f t="shared" si="13"/>
        <v>0.98499999999999999</v>
      </c>
      <c r="H49" s="9">
        <f t="shared" si="13"/>
        <v>0.98499999999999999</v>
      </c>
      <c r="I49" s="9">
        <f t="shared" si="13"/>
        <v>0.98499999999999999</v>
      </c>
      <c r="J49" s="9">
        <f t="shared" si="13"/>
        <v>0.98499999999999999</v>
      </c>
      <c r="K49" s="9">
        <f t="shared" si="13"/>
        <v>0.98499999999999999</v>
      </c>
      <c r="L49" s="9">
        <f t="shared" si="13"/>
        <v>0.98499999999999999</v>
      </c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s="7" customFormat="1">
      <c r="B50" s="8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>
      <c r="B51" s="10" t="s">
        <v>6</v>
      </c>
      <c r="C51" s="11">
        <v>1500</v>
      </c>
      <c r="D51" s="11">
        <v>1550</v>
      </c>
      <c r="E51" s="11">
        <v>1630</v>
      </c>
      <c r="F51" s="11">
        <v>1700</v>
      </c>
      <c r="G51" s="11">
        <v>1760</v>
      </c>
      <c r="H51" s="11">
        <v>2000</v>
      </c>
      <c r="I51" s="11">
        <v>2100</v>
      </c>
      <c r="J51" s="11">
        <v>2175</v>
      </c>
      <c r="K51" s="11">
        <v>2260</v>
      </c>
      <c r="L51" s="11">
        <v>2350</v>
      </c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>
      <c r="A52" s="14" t="s">
        <v>49</v>
      </c>
      <c r="B52" s="10" t="s">
        <v>43</v>
      </c>
      <c r="C52" s="9">
        <v>0.98499999999999999</v>
      </c>
      <c r="D52" s="9">
        <f>C52</f>
        <v>0.98499999999999999</v>
      </c>
      <c r="E52" s="9">
        <f t="shared" ref="E52:L52" si="14">D52</f>
        <v>0.98499999999999999</v>
      </c>
      <c r="F52" s="9">
        <f t="shared" si="14"/>
        <v>0.98499999999999999</v>
      </c>
      <c r="G52" s="9">
        <f t="shared" si="14"/>
        <v>0.98499999999999999</v>
      </c>
      <c r="H52" s="9">
        <f t="shared" si="14"/>
        <v>0.98499999999999999</v>
      </c>
      <c r="I52" s="9">
        <f t="shared" si="14"/>
        <v>0.98499999999999999</v>
      </c>
      <c r="J52" s="9">
        <f t="shared" si="14"/>
        <v>0.98499999999999999</v>
      </c>
      <c r="K52" s="9">
        <f t="shared" si="14"/>
        <v>0.98499999999999999</v>
      </c>
      <c r="L52" s="9">
        <f t="shared" si="14"/>
        <v>0.98499999999999999</v>
      </c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s="7" customFormat="1">
      <c r="B53" s="8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>
      <c r="B54" s="10" t="s">
        <v>6</v>
      </c>
      <c r="C54" s="11">
        <v>960</v>
      </c>
      <c r="D54" s="11">
        <v>1000</v>
      </c>
      <c r="E54" s="11">
        <v>1040</v>
      </c>
      <c r="F54" s="11">
        <v>1090</v>
      </c>
      <c r="G54" s="11">
        <v>1120</v>
      </c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>
      <c r="A55" s="14" t="s">
        <v>50</v>
      </c>
      <c r="B55" s="10" t="s">
        <v>30</v>
      </c>
      <c r="C55" s="9">
        <v>0.98499999999999999</v>
      </c>
      <c r="D55" s="9">
        <f>C55</f>
        <v>0.98499999999999999</v>
      </c>
      <c r="E55" s="9">
        <f t="shared" ref="E55:G55" si="15">D55</f>
        <v>0.98499999999999999</v>
      </c>
      <c r="F55" s="9">
        <f t="shared" si="15"/>
        <v>0.98499999999999999</v>
      </c>
      <c r="G55" s="9">
        <f t="shared" si="15"/>
        <v>0.98499999999999999</v>
      </c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s="7" customFormat="1">
      <c r="B56" s="8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>
      <c r="B57" s="10" t="s">
        <v>6</v>
      </c>
      <c r="C57" s="11">
        <v>1150</v>
      </c>
      <c r="D57" s="11">
        <v>1200</v>
      </c>
      <c r="E57" s="11">
        <v>1250</v>
      </c>
      <c r="F57" s="11">
        <v>1300</v>
      </c>
      <c r="G57" s="11">
        <v>1350</v>
      </c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>
      <c r="A58" s="14" t="s">
        <v>51</v>
      </c>
      <c r="B58" s="10" t="s">
        <v>115</v>
      </c>
      <c r="C58" s="9">
        <v>0.99</v>
      </c>
      <c r="D58" s="9">
        <f>C58</f>
        <v>0.99</v>
      </c>
      <c r="E58" s="9">
        <f t="shared" ref="E58:G58" si="16">D58</f>
        <v>0.99</v>
      </c>
      <c r="F58" s="9">
        <f t="shared" si="16"/>
        <v>0.99</v>
      </c>
      <c r="G58" s="9">
        <f t="shared" si="16"/>
        <v>0.99</v>
      </c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s="7" customFormat="1">
      <c r="B59" s="8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>
      <c r="B60" s="10" t="s">
        <v>6</v>
      </c>
      <c r="C60" s="11">
        <v>1150</v>
      </c>
      <c r="D60" s="11">
        <v>1200</v>
      </c>
      <c r="E60" s="11">
        <v>1250</v>
      </c>
      <c r="F60" s="11">
        <v>1300</v>
      </c>
      <c r="G60" s="11">
        <v>1350</v>
      </c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>
      <c r="A61" s="14" t="s">
        <v>52</v>
      </c>
      <c r="B61" s="10" t="s">
        <v>116</v>
      </c>
      <c r="C61" s="9">
        <v>0.99</v>
      </c>
      <c r="D61" s="9">
        <f>C61</f>
        <v>0.99</v>
      </c>
      <c r="E61" s="9">
        <f t="shared" ref="E61:G61" si="17">D61</f>
        <v>0.99</v>
      </c>
      <c r="F61" s="9">
        <f t="shared" si="17"/>
        <v>0.99</v>
      </c>
      <c r="G61" s="9">
        <f t="shared" si="17"/>
        <v>0.99</v>
      </c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s="7" customFormat="1">
      <c r="B62" s="8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>
      <c r="B63" s="10" t="s">
        <v>6</v>
      </c>
      <c r="C63" s="11">
        <v>1500</v>
      </c>
      <c r="D63" s="11">
        <v>1550</v>
      </c>
      <c r="E63" s="11">
        <v>1630</v>
      </c>
      <c r="F63" s="11">
        <v>1700</v>
      </c>
      <c r="G63" s="11">
        <v>1760</v>
      </c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>
      <c r="A64" s="14" t="s">
        <v>53</v>
      </c>
      <c r="B64" s="10" t="s">
        <v>31</v>
      </c>
      <c r="C64" s="9">
        <v>0.99</v>
      </c>
      <c r="D64" s="9">
        <f>C64</f>
        <v>0.99</v>
      </c>
      <c r="E64" s="9">
        <f t="shared" ref="E64:G64" si="18">D64</f>
        <v>0.99</v>
      </c>
      <c r="F64" s="9">
        <f t="shared" si="18"/>
        <v>0.99</v>
      </c>
      <c r="G64" s="9">
        <f t="shared" si="18"/>
        <v>0.99</v>
      </c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s="7" customFormat="1">
      <c r="B65" s="8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>
      <c r="B66" s="10" t="s">
        <v>6</v>
      </c>
      <c r="C66" s="11">
        <v>2000</v>
      </c>
      <c r="D66" s="11">
        <v>2100</v>
      </c>
      <c r="E66" s="11">
        <v>2175</v>
      </c>
      <c r="F66" s="11">
        <v>2260</v>
      </c>
      <c r="G66" s="11">
        <v>2350</v>
      </c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>
      <c r="A67" s="14" t="s">
        <v>54</v>
      </c>
      <c r="B67" s="10" t="s">
        <v>44</v>
      </c>
      <c r="C67" s="9">
        <v>0.99</v>
      </c>
      <c r="D67" s="9">
        <f>C67</f>
        <v>0.99</v>
      </c>
      <c r="E67" s="9">
        <f t="shared" ref="E67:G67" si="19">D67</f>
        <v>0.99</v>
      </c>
      <c r="F67" s="9">
        <f t="shared" si="19"/>
        <v>0.99</v>
      </c>
      <c r="G67" s="9">
        <f t="shared" si="19"/>
        <v>0.99</v>
      </c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s="7" customFormat="1">
      <c r="B68" s="8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>
      <c r="B69" s="10" t="s">
        <v>6</v>
      </c>
      <c r="C69" s="11">
        <v>2000</v>
      </c>
      <c r="D69" s="11">
        <v>2100</v>
      </c>
      <c r="E69" s="11">
        <v>2175</v>
      </c>
      <c r="F69" s="11">
        <v>2260</v>
      </c>
      <c r="G69" s="11">
        <v>2350</v>
      </c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>
      <c r="A70" s="14" t="s">
        <v>55</v>
      </c>
      <c r="B70" s="10" t="s">
        <v>45</v>
      </c>
      <c r="C70" s="9">
        <v>0.99</v>
      </c>
      <c r="D70" s="9">
        <f>C70</f>
        <v>0.99</v>
      </c>
      <c r="E70" s="9">
        <f t="shared" ref="E70:G70" si="20">D70</f>
        <v>0.99</v>
      </c>
      <c r="F70" s="9">
        <f t="shared" si="20"/>
        <v>0.99</v>
      </c>
      <c r="G70" s="9">
        <f t="shared" si="20"/>
        <v>0.99</v>
      </c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s="7" customFormat="1">
      <c r="B71" s="8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>
      <c r="B72" s="10" t="s">
        <v>6</v>
      </c>
      <c r="C72" s="11">
        <v>960</v>
      </c>
      <c r="D72" s="11">
        <v>1000</v>
      </c>
      <c r="E72" s="11">
        <v>1040</v>
      </c>
      <c r="F72" s="11">
        <v>1090</v>
      </c>
      <c r="G72" s="11">
        <v>1120</v>
      </c>
      <c r="H72" s="11">
        <v>1150</v>
      </c>
      <c r="I72" s="11">
        <v>1200</v>
      </c>
      <c r="J72" s="11">
        <v>1250</v>
      </c>
      <c r="K72" s="11">
        <v>1300</v>
      </c>
      <c r="L72" s="11">
        <v>1350</v>
      </c>
      <c r="M72" s="11">
        <v>1500</v>
      </c>
      <c r="N72" s="11">
        <v>1550</v>
      </c>
      <c r="O72" s="11">
        <v>1630</v>
      </c>
      <c r="P72" s="11">
        <v>1700</v>
      </c>
      <c r="Q72" s="11">
        <v>1760</v>
      </c>
      <c r="R72" s="11">
        <v>2000</v>
      </c>
      <c r="S72" s="11">
        <v>2100</v>
      </c>
      <c r="T72" s="11">
        <v>2175</v>
      </c>
      <c r="U72" s="11">
        <v>2260</v>
      </c>
      <c r="V72" s="11">
        <v>2350</v>
      </c>
      <c r="W72" s="11"/>
      <c r="X72" s="11"/>
      <c r="Y72" s="11"/>
      <c r="Z72" s="11"/>
    </row>
    <row r="73" spans="1:26">
      <c r="A73" s="14" t="s">
        <v>56</v>
      </c>
      <c r="B73" s="10" t="s">
        <v>28</v>
      </c>
      <c r="C73" s="38">
        <v>0.93099999999999994</v>
      </c>
      <c r="D73" s="38">
        <v>0.93099999999999994</v>
      </c>
      <c r="E73" s="38">
        <v>0.93099999999999994</v>
      </c>
      <c r="F73" s="38">
        <v>0.93099999999999994</v>
      </c>
      <c r="G73" s="38">
        <v>0.93099999999999994</v>
      </c>
      <c r="H73" s="38">
        <v>0.93099999999999994</v>
      </c>
      <c r="I73" s="38">
        <v>0.93099999999999994</v>
      </c>
      <c r="J73" s="38">
        <v>0.93099999999999994</v>
      </c>
      <c r="K73" s="38">
        <v>0.93099999999999994</v>
      </c>
      <c r="L73" s="38">
        <v>0.93099999999999994</v>
      </c>
      <c r="M73" s="38">
        <v>0.93099999999999994</v>
      </c>
      <c r="N73" s="38">
        <v>0.93099999999999994</v>
      </c>
      <c r="O73" s="38">
        <v>0.93099999999999994</v>
      </c>
      <c r="P73" s="38">
        <v>0.93099999999999994</v>
      </c>
      <c r="Q73" s="38">
        <v>0.93099999999999994</v>
      </c>
      <c r="R73" s="38">
        <v>0.93099999999999994</v>
      </c>
      <c r="S73" s="38">
        <v>0.93099999999999994</v>
      </c>
      <c r="T73" s="38">
        <v>0.93099999999999994</v>
      </c>
      <c r="U73" s="38">
        <v>0.93099999999999994</v>
      </c>
      <c r="V73" s="38">
        <v>0.9506</v>
      </c>
      <c r="W73" s="9"/>
      <c r="X73" s="9"/>
      <c r="Y73" s="9"/>
      <c r="Z73" s="9"/>
    </row>
    <row r="74" spans="1:26" s="7" customFormat="1">
      <c r="B74" s="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9"/>
      <c r="X74" s="9"/>
      <c r="Y74" s="9"/>
      <c r="Z74" s="9"/>
    </row>
    <row r="75" spans="1:26">
      <c r="B75" s="10" t="s">
        <v>6</v>
      </c>
      <c r="C75" s="42">
        <v>385</v>
      </c>
      <c r="D75" s="42">
        <v>400</v>
      </c>
      <c r="E75" s="42">
        <v>469</v>
      </c>
      <c r="F75" s="42">
        <v>510</v>
      </c>
      <c r="G75" s="42">
        <v>552</v>
      </c>
      <c r="H75" s="43">
        <v>580</v>
      </c>
      <c r="I75" s="43">
        <v>622</v>
      </c>
      <c r="J75" s="43">
        <v>650</v>
      </c>
      <c r="K75" s="43">
        <v>691</v>
      </c>
      <c r="L75" s="43">
        <v>720</v>
      </c>
      <c r="M75" s="43">
        <v>755</v>
      </c>
      <c r="N75" s="43">
        <v>780</v>
      </c>
      <c r="O75" s="43">
        <v>818</v>
      </c>
      <c r="P75" s="42">
        <v>850</v>
      </c>
      <c r="Q75" s="42">
        <v>889</v>
      </c>
      <c r="R75" s="42">
        <v>920</v>
      </c>
      <c r="S75" s="42">
        <v>960</v>
      </c>
      <c r="T75" s="102"/>
      <c r="U75" s="102"/>
      <c r="V75" s="102"/>
      <c r="W75" s="11"/>
      <c r="X75" s="11"/>
      <c r="Y75" s="11"/>
      <c r="Z75" s="11"/>
    </row>
    <row r="76" spans="1:26">
      <c r="A76" s="14" t="s">
        <v>56</v>
      </c>
      <c r="B76" s="10" t="s">
        <v>27</v>
      </c>
      <c r="C76" s="38">
        <v>0.98499999999999999</v>
      </c>
      <c r="D76" s="38">
        <v>0.98499999999999999</v>
      </c>
      <c r="E76" s="38">
        <v>0.98499999999999999</v>
      </c>
      <c r="F76" s="38">
        <v>0.98499999999999999</v>
      </c>
      <c r="G76" s="38">
        <v>0.98499999999999999</v>
      </c>
      <c r="H76" s="38">
        <v>0.98499999999999999</v>
      </c>
      <c r="I76" s="38">
        <v>0.98499999999999999</v>
      </c>
      <c r="J76" s="38">
        <v>0.98499999999999999</v>
      </c>
      <c r="K76" s="38">
        <v>0.98499999999999999</v>
      </c>
      <c r="L76" s="38">
        <v>0.98499999999999999</v>
      </c>
      <c r="M76" s="38">
        <v>0.98499999999999999</v>
      </c>
      <c r="N76" s="38">
        <v>0.98499999999999999</v>
      </c>
      <c r="O76" s="38">
        <v>0.98499999999999999</v>
      </c>
      <c r="P76" s="38">
        <v>0.98499999999999999</v>
      </c>
      <c r="Q76" s="38">
        <v>0.98499999999999999</v>
      </c>
      <c r="R76" s="38">
        <v>0.98499999999999999</v>
      </c>
      <c r="S76" s="38">
        <v>0.98499999999999999</v>
      </c>
      <c r="T76" s="38"/>
      <c r="U76" s="38"/>
      <c r="V76" s="38"/>
      <c r="W76" s="9"/>
      <c r="X76" s="9"/>
      <c r="Y76" s="9"/>
      <c r="Z76" s="9"/>
    </row>
    <row r="77" spans="1:26" s="7" customFormat="1">
      <c r="B77" s="8"/>
      <c r="C77" s="9"/>
      <c r="D77" s="9"/>
      <c r="E77" s="9"/>
      <c r="F77" s="9"/>
      <c r="G77" s="9"/>
      <c r="H77" s="9"/>
      <c r="I77" s="9"/>
      <c r="J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>
      <c r="B78" s="10" t="s">
        <v>6</v>
      </c>
      <c r="C78" s="11">
        <v>691</v>
      </c>
      <c r="D78" s="11">
        <v>720</v>
      </c>
      <c r="E78" s="11">
        <v>755</v>
      </c>
      <c r="F78" s="11">
        <v>780</v>
      </c>
      <c r="G78" s="11">
        <v>818</v>
      </c>
      <c r="H78" s="11">
        <v>850</v>
      </c>
      <c r="I78" s="11">
        <v>889</v>
      </c>
      <c r="J78" s="11">
        <v>920</v>
      </c>
      <c r="K78" s="11">
        <v>960</v>
      </c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>
      <c r="A79" s="5" t="s">
        <v>137</v>
      </c>
      <c r="B79" s="10" t="s">
        <v>103</v>
      </c>
      <c r="C79" s="38">
        <v>0.93099999999999994</v>
      </c>
      <c r="D79" s="38">
        <v>0.93099999999999994</v>
      </c>
      <c r="E79" s="38">
        <v>0.93099999999999994</v>
      </c>
      <c r="F79" s="38">
        <v>0.93099999999999994</v>
      </c>
      <c r="G79" s="38">
        <v>0.93099999999999994</v>
      </c>
      <c r="H79" s="38">
        <v>0.93099999999999994</v>
      </c>
      <c r="I79" s="38">
        <v>0.93099999999999994</v>
      </c>
      <c r="J79" s="38">
        <v>0.93099999999999994</v>
      </c>
      <c r="K79" s="38">
        <v>0.93099999999999994</v>
      </c>
      <c r="L79" s="38"/>
      <c r="M79" s="38"/>
      <c r="N79" s="103"/>
      <c r="O79" s="38"/>
      <c r="P79" s="38"/>
      <c r="Q79" s="38"/>
      <c r="R79" s="38"/>
      <c r="S79" s="38"/>
      <c r="T79" s="38"/>
      <c r="U79" s="38"/>
      <c r="V79" s="38"/>
      <c r="W79" s="9"/>
      <c r="X79" s="9"/>
      <c r="Y79" s="9"/>
      <c r="Z79" s="9"/>
    </row>
    <row r="80" spans="1:26" s="7" customFormat="1">
      <c r="B80" s="8"/>
      <c r="C80" s="38"/>
      <c r="D80" s="38"/>
      <c r="E80" s="38"/>
      <c r="F80" s="38"/>
      <c r="G80" s="38"/>
      <c r="H80" s="38"/>
      <c r="I80" s="38"/>
      <c r="J80" s="38"/>
      <c r="K80" s="65"/>
      <c r="L80" s="38"/>
      <c r="M80" s="38"/>
      <c r="N80" s="103"/>
      <c r="O80" s="38"/>
      <c r="P80" s="38"/>
      <c r="Q80" s="38"/>
      <c r="R80" s="38"/>
      <c r="S80" s="38"/>
      <c r="T80" s="38"/>
      <c r="U80" s="38"/>
      <c r="V80" s="38"/>
      <c r="W80" s="9"/>
      <c r="X80" s="9"/>
      <c r="Y80" s="9"/>
      <c r="Z80" s="9"/>
    </row>
    <row r="81" spans="1:26">
      <c r="B81" s="10" t="s">
        <v>6</v>
      </c>
      <c r="C81" s="102">
        <v>385</v>
      </c>
      <c r="D81" s="102">
        <v>400</v>
      </c>
      <c r="E81" s="102">
        <v>469</v>
      </c>
      <c r="F81" s="102">
        <v>510</v>
      </c>
      <c r="G81" s="102">
        <v>552</v>
      </c>
      <c r="H81" s="102">
        <v>580</v>
      </c>
      <c r="I81" s="102">
        <v>622</v>
      </c>
      <c r="J81" s="102">
        <v>650</v>
      </c>
      <c r="K81" s="102">
        <v>691</v>
      </c>
      <c r="L81" s="102"/>
      <c r="M81" s="102"/>
      <c r="N81" s="103"/>
      <c r="O81" s="102"/>
      <c r="P81" s="102"/>
      <c r="Q81" s="102"/>
      <c r="R81" s="102"/>
      <c r="S81" s="102"/>
      <c r="T81" s="102"/>
      <c r="U81" s="102"/>
      <c r="V81" s="102"/>
      <c r="W81" s="11"/>
      <c r="X81" s="11"/>
      <c r="Y81" s="11"/>
      <c r="Z81" s="11"/>
    </row>
    <row r="82" spans="1:26">
      <c r="A82" s="5" t="s">
        <v>137</v>
      </c>
      <c r="B82" s="10" t="s">
        <v>91</v>
      </c>
      <c r="C82" s="38">
        <v>0.98499999999999999</v>
      </c>
      <c r="D82" s="38">
        <v>0.98499999999999999</v>
      </c>
      <c r="E82" s="38">
        <v>0.98499999999999999</v>
      </c>
      <c r="F82" s="38">
        <v>0.98499999999999999</v>
      </c>
      <c r="G82" s="38">
        <v>0.98499999999999999</v>
      </c>
      <c r="H82" s="38">
        <v>0.98499999999999999</v>
      </c>
      <c r="I82" s="38">
        <v>0.98499999999999999</v>
      </c>
      <c r="J82" s="38">
        <v>0.98499999999999999</v>
      </c>
      <c r="K82" s="38">
        <v>0.98499999999999999</v>
      </c>
      <c r="L82" s="38"/>
      <c r="M82" s="38"/>
      <c r="N82" s="103"/>
      <c r="O82" s="38"/>
      <c r="P82" s="38"/>
      <c r="Q82" s="38"/>
      <c r="R82" s="38"/>
      <c r="S82" s="38"/>
      <c r="T82" s="38"/>
      <c r="U82" s="38"/>
      <c r="V82" s="38"/>
      <c r="W82" s="9"/>
      <c r="X82" s="9"/>
      <c r="Y82" s="9"/>
      <c r="Z82" s="9"/>
    </row>
    <row r="83" spans="1:26" s="7" customFormat="1">
      <c r="B83" s="8"/>
      <c r="C83" s="38"/>
      <c r="D83" s="38"/>
      <c r="E83" s="38"/>
      <c r="F83" s="38"/>
      <c r="G83" s="38"/>
      <c r="H83" s="38"/>
      <c r="I83" s="38"/>
      <c r="J83" s="38"/>
      <c r="K83" s="65"/>
      <c r="L83" s="38"/>
      <c r="M83" s="38"/>
      <c r="N83" s="103"/>
      <c r="O83" s="38"/>
      <c r="P83" s="38"/>
      <c r="Q83" s="38"/>
      <c r="R83" s="38"/>
      <c r="S83" s="38"/>
      <c r="T83" s="38"/>
      <c r="U83" s="38"/>
      <c r="V83" s="38"/>
      <c r="W83" s="9"/>
      <c r="X83" s="9"/>
      <c r="Y83" s="9"/>
      <c r="Z83" s="9"/>
    </row>
    <row r="84" spans="1:26">
      <c r="B84" s="10" t="s">
        <v>6</v>
      </c>
      <c r="C84" s="43">
        <v>552</v>
      </c>
      <c r="D84" s="43">
        <v>580</v>
      </c>
      <c r="E84" s="43">
        <v>622</v>
      </c>
      <c r="F84" s="43">
        <v>650</v>
      </c>
      <c r="G84" s="43">
        <v>691</v>
      </c>
      <c r="H84" s="102"/>
      <c r="I84" s="102"/>
      <c r="J84" s="102"/>
      <c r="K84" s="64"/>
      <c r="L84" s="102"/>
      <c r="M84" s="102"/>
      <c r="N84" s="103"/>
      <c r="O84" s="102"/>
      <c r="P84" s="102"/>
      <c r="Q84" s="102"/>
      <c r="R84" s="102"/>
      <c r="S84" s="102"/>
      <c r="T84" s="102"/>
      <c r="U84" s="102"/>
      <c r="V84" s="102"/>
      <c r="W84" s="11"/>
      <c r="X84" s="11"/>
      <c r="Y84" s="11"/>
      <c r="Z84" s="11"/>
    </row>
    <row r="85" spans="1:26">
      <c r="A85" s="5" t="s">
        <v>138</v>
      </c>
      <c r="B85" s="10" t="s">
        <v>97</v>
      </c>
      <c r="C85" s="38">
        <v>0.93099999999999994</v>
      </c>
      <c r="D85" s="38">
        <v>0.93099999999999994</v>
      </c>
      <c r="E85" s="38">
        <v>0.93099999999999994</v>
      </c>
      <c r="F85" s="38">
        <v>0.93099999999999994</v>
      </c>
      <c r="G85" s="38">
        <v>0.93099999999999994</v>
      </c>
      <c r="H85" s="38"/>
      <c r="I85" s="103"/>
      <c r="J85" s="38"/>
      <c r="K85" s="64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9"/>
      <c r="X85" s="9"/>
      <c r="Y85" s="9"/>
      <c r="Z85" s="9"/>
    </row>
    <row r="86" spans="1:26" s="7" customFormat="1">
      <c r="B86" s="8"/>
      <c r="C86" s="38"/>
      <c r="D86" s="38"/>
      <c r="E86" s="38"/>
      <c r="F86" s="38"/>
      <c r="G86" s="38"/>
      <c r="H86" s="38"/>
      <c r="I86" s="103"/>
      <c r="J86" s="38"/>
      <c r="K86" s="65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9"/>
      <c r="X86" s="9"/>
      <c r="Y86" s="9"/>
      <c r="Z86" s="9"/>
    </row>
    <row r="87" spans="1:26">
      <c r="B87" s="10" t="s">
        <v>6</v>
      </c>
      <c r="C87" s="42">
        <v>385</v>
      </c>
      <c r="D87" s="42">
        <v>400</v>
      </c>
      <c r="E87" s="42">
        <v>469</v>
      </c>
      <c r="F87" s="42">
        <v>510</v>
      </c>
      <c r="G87" s="42">
        <v>552</v>
      </c>
      <c r="H87" s="102"/>
      <c r="I87" s="103"/>
      <c r="J87" s="102"/>
      <c r="K87" s="64"/>
      <c r="L87" s="102"/>
      <c r="M87" s="102"/>
      <c r="N87" s="102"/>
      <c r="O87" s="102"/>
      <c r="P87" s="102"/>
      <c r="Q87" s="102"/>
      <c r="R87" s="102"/>
      <c r="S87" s="102"/>
      <c r="T87" s="102"/>
      <c r="U87" s="102"/>
      <c r="V87" s="102"/>
      <c r="W87" s="11"/>
      <c r="X87" s="11"/>
      <c r="Y87" s="11"/>
      <c r="Z87" s="11"/>
    </row>
    <row r="88" spans="1:26">
      <c r="A88" s="16" t="s">
        <v>138</v>
      </c>
      <c r="B88" s="10" t="s">
        <v>93</v>
      </c>
      <c r="C88" s="38">
        <v>0.98499999999999999</v>
      </c>
      <c r="D88" s="38">
        <v>0.98499999999999999</v>
      </c>
      <c r="E88" s="38">
        <v>0.98499999999999999</v>
      </c>
      <c r="F88" s="38">
        <v>0.98499999999999999</v>
      </c>
      <c r="G88" s="38">
        <v>0.98499999999999999</v>
      </c>
      <c r="H88" s="38"/>
      <c r="I88" s="103"/>
      <c r="J88" s="38"/>
      <c r="K88" s="64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9"/>
      <c r="X88" s="9"/>
      <c r="Y88" s="9"/>
      <c r="Z88" s="9"/>
    </row>
    <row r="89" spans="1:26" s="7" customFormat="1">
      <c r="B89" s="8"/>
      <c r="C89" s="38"/>
      <c r="D89" s="38"/>
      <c r="E89" s="38"/>
      <c r="F89" s="38"/>
      <c r="G89" s="38"/>
      <c r="H89" s="38"/>
      <c r="I89" s="38"/>
      <c r="J89" s="38"/>
      <c r="K89" s="65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9"/>
      <c r="X89" s="9"/>
      <c r="Y89" s="9"/>
      <c r="Z89" s="9"/>
    </row>
    <row r="90" spans="1:26">
      <c r="B90" s="10" t="s">
        <v>6</v>
      </c>
      <c r="C90" s="43">
        <v>818</v>
      </c>
      <c r="D90" s="43">
        <v>850</v>
      </c>
      <c r="E90" s="43">
        <v>889</v>
      </c>
      <c r="F90" s="43">
        <v>920</v>
      </c>
      <c r="G90" s="43">
        <v>960</v>
      </c>
      <c r="H90" s="102"/>
      <c r="I90" s="102"/>
      <c r="J90" s="102"/>
      <c r="K90" s="64"/>
      <c r="L90" s="102"/>
      <c r="M90" s="102"/>
      <c r="N90" s="102"/>
      <c r="O90" s="102"/>
      <c r="P90" s="102"/>
      <c r="Q90" s="102"/>
      <c r="R90" s="102"/>
      <c r="S90" s="102"/>
      <c r="T90" s="102"/>
      <c r="U90" s="102"/>
      <c r="V90" s="102"/>
      <c r="W90" s="11"/>
      <c r="X90" s="11"/>
      <c r="Y90" s="11"/>
      <c r="Z90" s="11"/>
    </row>
    <row r="91" spans="1:26">
      <c r="A91" s="16" t="s">
        <v>139</v>
      </c>
      <c r="B91" s="10" t="s">
        <v>106</v>
      </c>
      <c r="C91" s="38">
        <v>0.93099999999999994</v>
      </c>
      <c r="D91" s="38">
        <v>0.93099999999999994</v>
      </c>
      <c r="E91" s="38">
        <v>0.93099999999999994</v>
      </c>
      <c r="F91" s="38">
        <v>0.93099999999999994</v>
      </c>
      <c r="G91" s="38">
        <v>0.93099999999999994</v>
      </c>
      <c r="H91" s="38"/>
      <c r="I91" s="38"/>
      <c r="J91" s="38"/>
      <c r="K91" s="64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9"/>
      <c r="X91" s="9"/>
      <c r="Y91" s="9"/>
      <c r="Z91" s="9"/>
    </row>
    <row r="92" spans="1:26" s="7" customFormat="1">
      <c r="B92" s="8"/>
      <c r="C92" s="38"/>
      <c r="D92" s="38"/>
      <c r="E92" s="38"/>
      <c r="F92" s="38"/>
      <c r="G92" s="38"/>
      <c r="H92" s="38"/>
      <c r="I92" s="38"/>
      <c r="J92" s="38"/>
      <c r="K92" s="65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9"/>
      <c r="X92" s="9"/>
      <c r="Y92" s="9"/>
      <c r="Z92" s="9"/>
    </row>
    <row r="93" spans="1:26">
      <c r="B93" s="10" t="s">
        <v>6</v>
      </c>
      <c r="C93" s="43">
        <v>691</v>
      </c>
      <c r="D93" s="43">
        <v>720</v>
      </c>
      <c r="E93" s="43">
        <v>755</v>
      </c>
      <c r="F93" s="43">
        <v>780</v>
      </c>
      <c r="G93" s="43">
        <v>818</v>
      </c>
      <c r="H93" s="102"/>
      <c r="I93" s="102"/>
      <c r="J93" s="102"/>
      <c r="K93" s="64"/>
      <c r="L93" s="102"/>
      <c r="M93" s="102"/>
      <c r="N93" s="102"/>
      <c r="O93" s="102"/>
      <c r="P93" s="102"/>
      <c r="Q93" s="102"/>
      <c r="R93" s="102"/>
      <c r="S93" s="102"/>
      <c r="T93" s="102"/>
      <c r="U93" s="102"/>
      <c r="V93" s="102"/>
      <c r="W93" s="11"/>
      <c r="X93" s="11"/>
      <c r="Y93" s="11"/>
      <c r="Z93" s="11"/>
    </row>
    <row r="94" spans="1:26">
      <c r="A94" s="16" t="s">
        <v>139</v>
      </c>
      <c r="B94" s="10" t="s">
        <v>109</v>
      </c>
      <c r="C94" s="38">
        <v>0.98499999999999999</v>
      </c>
      <c r="D94" s="38">
        <v>0.98499999999999999</v>
      </c>
      <c r="E94" s="38">
        <v>0.98499999999999999</v>
      </c>
      <c r="F94" s="38">
        <v>0.98499999999999999</v>
      </c>
      <c r="G94" s="38">
        <v>0.98499999999999999</v>
      </c>
      <c r="H94" s="38"/>
      <c r="I94" s="38"/>
      <c r="J94" s="38"/>
      <c r="K94" s="64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9"/>
      <c r="X94" s="9"/>
      <c r="Y94" s="9"/>
      <c r="Z94" s="9"/>
    </row>
    <row r="95" spans="1:26" s="7" customFormat="1">
      <c r="B95" s="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9"/>
      <c r="X95" s="9"/>
      <c r="Y95" s="9"/>
      <c r="Z95" s="9"/>
    </row>
    <row r="96" spans="1:26">
      <c r="B96" s="10" t="s">
        <v>6</v>
      </c>
      <c r="C96" s="102">
        <v>1500</v>
      </c>
      <c r="D96" s="102">
        <v>1550</v>
      </c>
      <c r="E96" s="102">
        <v>1630</v>
      </c>
      <c r="F96" s="102">
        <v>1700</v>
      </c>
      <c r="G96" s="102">
        <v>1760</v>
      </c>
      <c r="H96" s="102">
        <v>2000</v>
      </c>
      <c r="I96" s="102">
        <v>2100</v>
      </c>
      <c r="J96" s="102">
        <v>2175</v>
      </c>
      <c r="K96" s="102">
        <v>2260</v>
      </c>
      <c r="L96" s="102">
        <v>2350</v>
      </c>
      <c r="M96" s="102"/>
      <c r="N96" s="38"/>
      <c r="O96" s="102"/>
      <c r="P96" s="102"/>
      <c r="Q96" s="102"/>
      <c r="R96" s="102"/>
      <c r="S96" s="102"/>
      <c r="T96" s="102"/>
      <c r="U96" s="102"/>
      <c r="V96" s="102"/>
      <c r="W96" s="11"/>
      <c r="X96" s="11"/>
      <c r="Y96" s="11"/>
      <c r="Z96" s="11"/>
    </row>
    <row r="97" spans="1:26">
      <c r="A97" s="14" t="s">
        <v>57</v>
      </c>
      <c r="B97" s="10" t="s">
        <v>26</v>
      </c>
      <c r="C97" s="38">
        <v>0.92149999999999999</v>
      </c>
      <c r="D97" s="38">
        <v>0.92149999999999999</v>
      </c>
      <c r="E97" s="38">
        <v>0.92149999999999999</v>
      </c>
      <c r="F97" s="38">
        <v>0.92149999999999999</v>
      </c>
      <c r="G97" s="38">
        <v>0.92149999999999999</v>
      </c>
      <c r="H97" s="38">
        <v>0.92149999999999999</v>
      </c>
      <c r="I97" s="38">
        <v>0.92149999999999999</v>
      </c>
      <c r="J97" s="38">
        <v>0.92149999999999999</v>
      </c>
      <c r="K97" s="38">
        <v>0.92149999999999999</v>
      </c>
      <c r="L97" s="38">
        <v>0.92149999999999999</v>
      </c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9"/>
      <c r="X97" s="9"/>
      <c r="Y97" s="9"/>
      <c r="Z97" s="9"/>
    </row>
    <row r="98" spans="1:26" s="7" customFormat="1">
      <c r="B98" s="8"/>
      <c r="C98" s="38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9"/>
      <c r="X98" s="9"/>
      <c r="Y98" s="9"/>
      <c r="Z98" s="9"/>
    </row>
    <row r="99" spans="1:26">
      <c r="B99" s="10" t="s">
        <v>6</v>
      </c>
      <c r="C99" s="102">
        <v>960</v>
      </c>
      <c r="D99" s="102">
        <v>1000</v>
      </c>
      <c r="E99" s="102">
        <v>1040</v>
      </c>
      <c r="F99" s="102">
        <v>1090</v>
      </c>
      <c r="G99" s="102">
        <v>1120</v>
      </c>
      <c r="H99" s="102">
        <v>1150</v>
      </c>
      <c r="I99" s="102">
        <v>1200</v>
      </c>
      <c r="J99" s="102">
        <v>1250</v>
      </c>
      <c r="K99" s="102">
        <v>1300</v>
      </c>
      <c r="L99" s="102">
        <v>1350</v>
      </c>
      <c r="M99" s="102"/>
      <c r="N99" s="102"/>
      <c r="O99" s="102"/>
      <c r="P99" s="102"/>
      <c r="Q99" s="102"/>
      <c r="R99" s="102"/>
      <c r="S99" s="102"/>
      <c r="T99" s="102"/>
      <c r="U99" s="102"/>
      <c r="V99" s="102"/>
      <c r="W99" s="11"/>
      <c r="X99" s="11"/>
      <c r="Y99" s="11"/>
      <c r="Z99" s="11"/>
    </row>
    <row r="100" spans="1:26">
      <c r="A100" s="14" t="s">
        <v>57</v>
      </c>
      <c r="B100" s="10" t="s">
        <v>25</v>
      </c>
      <c r="C100" s="38">
        <v>0.98499999999999999</v>
      </c>
      <c r="D100" s="38">
        <v>0.98499999999999999</v>
      </c>
      <c r="E100" s="38">
        <v>0.98499999999999999</v>
      </c>
      <c r="F100" s="38">
        <v>0.98499999999999999</v>
      </c>
      <c r="G100" s="38">
        <v>0.98499999999999999</v>
      </c>
      <c r="H100" s="38">
        <v>0.98499999999999999</v>
      </c>
      <c r="I100" s="38">
        <v>0.98499999999999999</v>
      </c>
      <c r="J100" s="38">
        <v>0.98499999999999999</v>
      </c>
      <c r="K100" s="38">
        <v>0.98499999999999999</v>
      </c>
      <c r="L100" s="38">
        <v>0.98499999999999999</v>
      </c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9"/>
      <c r="X100" s="9"/>
      <c r="Y100" s="9"/>
      <c r="Z100" s="9"/>
    </row>
    <row r="101" spans="1:26" s="7" customFormat="1">
      <c r="B101" s="8"/>
      <c r="C101" s="38"/>
      <c r="D101" s="38"/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9"/>
      <c r="X101" s="9"/>
      <c r="Y101" s="9"/>
      <c r="Z101" s="9"/>
    </row>
    <row r="102" spans="1:26">
      <c r="B102" s="10" t="s">
        <v>6</v>
      </c>
      <c r="C102" s="43">
        <v>1150</v>
      </c>
      <c r="D102" s="43">
        <v>1200</v>
      </c>
      <c r="E102" s="43">
        <v>1250</v>
      </c>
      <c r="F102" s="43">
        <v>1300</v>
      </c>
      <c r="G102" s="43">
        <v>1350</v>
      </c>
      <c r="H102" s="102"/>
      <c r="I102" s="102"/>
      <c r="J102" s="102"/>
      <c r="K102" s="102"/>
      <c r="L102" s="102"/>
      <c r="M102" s="102"/>
      <c r="N102" s="102"/>
      <c r="O102" s="102"/>
      <c r="P102" s="102"/>
      <c r="Q102" s="102"/>
      <c r="R102" s="102"/>
      <c r="S102" s="102"/>
      <c r="T102" s="102"/>
      <c r="U102" s="102"/>
      <c r="V102" s="102"/>
      <c r="W102" s="11"/>
      <c r="X102" s="11"/>
      <c r="Y102" s="11"/>
      <c r="Z102" s="11"/>
    </row>
    <row r="103" spans="1:26">
      <c r="A103" s="14" t="s">
        <v>58</v>
      </c>
      <c r="B103" s="10" t="s">
        <v>21</v>
      </c>
      <c r="C103" s="38">
        <v>0.92149999999999999</v>
      </c>
      <c r="D103" s="38">
        <v>0.92149999999999999</v>
      </c>
      <c r="E103" s="38">
        <v>0.92149999999999999</v>
      </c>
      <c r="F103" s="38">
        <v>0.92149999999999999</v>
      </c>
      <c r="G103" s="38">
        <v>0.92149999999999999</v>
      </c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9"/>
      <c r="X103" s="9"/>
      <c r="Y103" s="9"/>
      <c r="Z103" s="9"/>
    </row>
    <row r="104" spans="1:26" s="7" customFormat="1">
      <c r="B104" s="8"/>
      <c r="C104" s="38"/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9"/>
      <c r="X104" s="9"/>
      <c r="Y104" s="9"/>
      <c r="Z104" s="9"/>
    </row>
    <row r="105" spans="1:26">
      <c r="B105" s="10" t="s">
        <v>6</v>
      </c>
      <c r="C105" s="43">
        <v>960</v>
      </c>
      <c r="D105" s="43">
        <v>1000</v>
      </c>
      <c r="E105" s="43">
        <v>1040</v>
      </c>
      <c r="F105" s="43">
        <v>1090</v>
      </c>
      <c r="G105" s="43">
        <v>1120</v>
      </c>
      <c r="H105" s="102"/>
      <c r="I105" s="102"/>
      <c r="J105" s="102"/>
      <c r="K105" s="102"/>
      <c r="L105" s="102"/>
      <c r="M105" s="102"/>
      <c r="N105" s="102"/>
      <c r="O105" s="102"/>
      <c r="P105" s="102"/>
      <c r="Q105" s="102"/>
      <c r="R105" s="102"/>
      <c r="S105" s="102"/>
      <c r="T105" s="102"/>
      <c r="U105" s="102"/>
      <c r="V105" s="102"/>
      <c r="W105" s="11"/>
      <c r="X105" s="11"/>
      <c r="Y105" s="11"/>
      <c r="Z105" s="11"/>
    </row>
    <row r="106" spans="1:26">
      <c r="A106" s="14" t="s">
        <v>58</v>
      </c>
      <c r="B106" s="10" t="s">
        <v>22</v>
      </c>
      <c r="C106" s="38">
        <v>0.98</v>
      </c>
      <c r="D106" s="38">
        <v>0.98</v>
      </c>
      <c r="E106" s="38">
        <v>0.98</v>
      </c>
      <c r="F106" s="38">
        <v>0.98</v>
      </c>
      <c r="G106" s="38">
        <v>0.98</v>
      </c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9"/>
      <c r="X106" s="9"/>
      <c r="Y106" s="9"/>
      <c r="Z106" s="9"/>
    </row>
    <row r="107" spans="1:26" s="7" customFormat="1">
      <c r="B107" s="8"/>
      <c r="C107" s="38"/>
      <c r="D107" s="38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9"/>
      <c r="X107" s="9"/>
      <c r="Y107" s="9"/>
      <c r="Z107" s="9"/>
    </row>
    <row r="108" spans="1:26">
      <c r="B108" s="10" t="s">
        <v>6</v>
      </c>
      <c r="C108" s="43">
        <v>2000</v>
      </c>
      <c r="D108" s="43">
        <v>2100</v>
      </c>
      <c r="E108" s="43">
        <v>2175</v>
      </c>
      <c r="F108" s="43">
        <v>2260</v>
      </c>
      <c r="G108" s="43">
        <v>2350</v>
      </c>
      <c r="H108" s="102"/>
      <c r="I108" s="102"/>
      <c r="J108" s="102"/>
      <c r="K108" s="102"/>
      <c r="L108" s="102"/>
      <c r="M108" s="102"/>
      <c r="N108" s="102"/>
      <c r="O108" s="102"/>
      <c r="P108" s="102"/>
      <c r="Q108" s="102"/>
      <c r="R108" s="102"/>
      <c r="S108" s="102"/>
      <c r="T108" s="102"/>
      <c r="U108" s="102"/>
      <c r="V108" s="102"/>
      <c r="W108" s="11"/>
      <c r="X108" s="11"/>
      <c r="Y108" s="11"/>
      <c r="Z108" s="11"/>
    </row>
    <row r="109" spans="1:26">
      <c r="A109" s="14" t="s">
        <v>59</v>
      </c>
      <c r="B109" s="10" t="s">
        <v>23</v>
      </c>
      <c r="C109" s="38">
        <v>0.92149999999999999</v>
      </c>
      <c r="D109" s="38">
        <v>0.92149999999999999</v>
      </c>
      <c r="E109" s="38">
        <v>0.92149999999999999</v>
      </c>
      <c r="F109" s="38">
        <v>0.92149999999999999</v>
      </c>
      <c r="G109" s="38">
        <v>0.92149999999999999</v>
      </c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9"/>
      <c r="X109" s="9"/>
      <c r="Y109" s="9"/>
      <c r="Z109" s="9"/>
    </row>
    <row r="110" spans="1:26" s="7" customFormat="1">
      <c r="B110" s="8"/>
      <c r="C110" s="38"/>
      <c r="D110" s="38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9"/>
      <c r="X110" s="9"/>
      <c r="Y110" s="9"/>
      <c r="Z110" s="9"/>
    </row>
    <row r="111" spans="1:26">
      <c r="B111" s="10" t="s">
        <v>6</v>
      </c>
      <c r="C111" s="43">
        <v>1500</v>
      </c>
      <c r="D111" s="43">
        <v>1550</v>
      </c>
      <c r="E111" s="43">
        <v>1620</v>
      </c>
      <c r="F111" s="43">
        <v>1700</v>
      </c>
      <c r="G111" s="43">
        <v>1760</v>
      </c>
      <c r="H111" s="102"/>
      <c r="I111" s="102"/>
      <c r="J111" s="102"/>
      <c r="K111" s="102"/>
      <c r="L111" s="102"/>
      <c r="M111" s="102"/>
      <c r="N111" s="102"/>
      <c r="O111" s="102"/>
      <c r="P111" s="102"/>
      <c r="Q111" s="102"/>
      <c r="R111" s="102"/>
      <c r="S111" s="102"/>
      <c r="T111" s="102"/>
      <c r="U111" s="102"/>
      <c r="V111" s="102"/>
      <c r="W111" s="11"/>
      <c r="X111" s="11"/>
      <c r="Y111" s="11"/>
      <c r="Z111" s="11"/>
    </row>
    <row r="112" spans="1:26">
      <c r="A112" s="14" t="s">
        <v>59</v>
      </c>
      <c r="B112" s="10" t="s">
        <v>24</v>
      </c>
      <c r="C112" s="38">
        <v>0.98499999999999999</v>
      </c>
      <c r="D112" s="38">
        <v>0.98499999999999999</v>
      </c>
      <c r="E112" s="38">
        <v>0.98499999999999999</v>
      </c>
      <c r="F112" s="38">
        <v>0.98499999999999999</v>
      </c>
      <c r="G112" s="38">
        <v>0.98499999999999999</v>
      </c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9"/>
      <c r="X112" s="9"/>
      <c r="Y112" s="9"/>
      <c r="Z112" s="9"/>
    </row>
    <row r="113" spans="1:26" s="7" customFormat="1">
      <c r="B113" s="8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>
      <c r="B114" s="10" t="s">
        <v>6</v>
      </c>
      <c r="C114" s="11">
        <v>385</v>
      </c>
      <c r="D114" s="11">
        <v>400</v>
      </c>
      <c r="E114" s="11">
        <v>469</v>
      </c>
      <c r="F114" s="11">
        <v>510</v>
      </c>
      <c r="G114" s="11">
        <v>552</v>
      </c>
      <c r="H114" s="11">
        <v>580</v>
      </c>
      <c r="I114" s="11">
        <v>622</v>
      </c>
      <c r="J114" s="11">
        <v>650</v>
      </c>
      <c r="K114" s="11">
        <v>691</v>
      </c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>
      <c r="A115" s="14" t="s">
        <v>140</v>
      </c>
      <c r="B115" s="10" t="s">
        <v>117</v>
      </c>
      <c r="C115" s="9">
        <f>0.78*0.987^2*0.99^2</f>
        <v>0.74473076878199995</v>
      </c>
      <c r="D115" s="9">
        <f>0.877*0.987^2*0.99^2</f>
        <v>0.83734472336129984</v>
      </c>
      <c r="E115" s="9">
        <f>0.936*0.987^2*0.99^2</f>
        <v>0.89367692253840003</v>
      </c>
      <c r="F115" s="9">
        <f>0.953*0.987^2*0.99^2</f>
        <v>0.90990823416569988</v>
      </c>
      <c r="G115" s="9">
        <f>0.959*0.987^2*0.99^2</f>
        <v>0.91563693238709987</v>
      </c>
      <c r="H115" s="9">
        <f>0.961*0.987^2*0.99^2</f>
        <v>0.91754649846089986</v>
      </c>
      <c r="I115" s="9">
        <f>0.96*0.987^2*0.99^2</f>
        <v>0.91659171542399998</v>
      </c>
      <c r="J115" s="9">
        <f>0.959*0.987^2*0.99^2</f>
        <v>0.91563693238709987</v>
      </c>
      <c r="K115" s="9">
        <f>0.959*0.987^2*0.99^2</f>
        <v>0.91563693238709987</v>
      </c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spans="1:26">
      <c r="A116" s="14"/>
      <c r="B116" s="10"/>
      <c r="C116" s="9"/>
      <c r="D116" s="9"/>
      <c r="E116" s="9"/>
      <c r="F116" s="9"/>
      <c r="G116" s="9"/>
      <c r="H116" s="9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spans="1:26">
      <c r="B117" s="10" t="s">
        <v>6</v>
      </c>
      <c r="C117" s="11">
        <v>691</v>
      </c>
      <c r="D117" s="11">
        <v>720</v>
      </c>
      <c r="E117" s="11">
        <v>755</v>
      </c>
      <c r="F117" s="11">
        <v>780</v>
      </c>
      <c r="G117" s="11">
        <v>818</v>
      </c>
      <c r="H117" s="11">
        <v>850</v>
      </c>
      <c r="I117" s="11">
        <v>889</v>
      </c>
      <c r="J117" s="11">
        <v>920</v>
      </c>
      <c r="K117" s="11">
        <v>960</v>
      </c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>
      <c r="A118" s="14" t="s">
        <v>140</v>
      </c>
      <c r="B118" s="10" t="s">
        <v>118</v>
      </c>
      <c r="C118" s="9">
        <f>0.955*0.987^2*0.99^2</f>
        <v>0.91181780023949988</v>
      </c>
      <c r="D118" s="9">
        <f>0.957*0.987^2*0.99^2</f>
        <v>0.91372736631329987</v>
      </c>
      <c r="E118" s="9">
        <f>0.959*0.987^2*0.99^2</f>
        <v>0.91563693238709987</v>
      </c>
      <c r="F118" s="9">
        <f>0.96*0.987^2*0.99^2</f>
        <v>0.91659171542399998</v>
      </c>
      <c r="G118" s="9">
        <f>0.961*0.987^2*0.99^2</f>
        <v>0.91754649846089986</v>
      </c>
      <c r="H118" s="9">
        <f>0.961*0.987^2*0.99^2</f>
        <v>0.91754649846089986</v>
      </c>
      <c r="I118" s="9">
        <f>0.961*0.987^2*0.99^2</f>
        <v>0.91754649846089986</v>
      </c>
      <c r="J118" s="9">
        <f>0.96*0.987^2*0.99^2</f>
        <v>0.91659171542399998</v>
      </c>
      <c r="K118" s="9">
        <f>0.957*0.987^2*0.99^2</f>
        <v>0.91372736631329987</v>
      </c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spans="1:26">
      <c r="A119" s="14"/>
      <c r="B119" s="10"/>
      <c r="C119" s="9"/>
      <c r="D119" s="9"/>
      <c r="E119" s="9"/>
      <c r="F119" s="9"/>
      <c r="G119" s="9"/>
      <c r="H119" s="9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spans="1:26">
      <c r="B120" s="10" t="s">
        <v>6</v>
      </c>
      <c r="C120" s="11">
        <v>960</v>
      </c>
      <c r="D120" s="11">
        <v>1000</v>
      </c>
      <c r="E120" s="11">
        <v>1040</v>
      </c>
      <c r="F120" s="11">
        <v>1090</v>
      </c>
      <c r="G120" s="11">
        <v>1120</v>
      </c>
      <c r="H120" s="11">
        <v>1150</v>
      </c>
      <c r="I120" s="11">
        <v>1200</v>
      </c>
      <c r="J120" s="11">
        <v>1250</v>
      </c>
      <c r="K120" s="11">
        <v>1300</v>
      </c>
      <c r="L120" s="11">
        <v>1350</v>
      </c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>
      <c r="A121" s="14" t="s">
        <v>60</v>
      </c>
      <c r="B121" s="10" t="s">
        <v>38</v>
      </c>
      <c r="C121" s="9">
        <f t="shared" ref="C121:I121" si="21">0.996*0.988^4*0.992^6</f>
        <v>0.90439291139495326</v>
      </c>
      <c r="D121" s="9">
        <f t="shared" si="21"/>
        <v>0.90439291139495326</v>
      </c>
      <c r="E121" s="9">
        <f t="shared" si="21"/>
        <v>0.90439291139495326</v>
      </c>
      <c r="F121" s="9">
        <f t="shared" si="21"/>
        <v>0.90439291139495326</v>
      </c>
      <c r="G121" s="9">
        <f t="shared" si="21"/>
        <v>0.90439291139495326</v>
      </c>
      <c r="H121" s="9">
        <f t="shared" si="21"/>
        <v>0.90439291139495326</v>
      </c>
      <c r="I121" s="9">
        <f t="shared" si="21"/>
        <v>0.90439291139495326</v>
      </c>
      <c r="J121" s="9">
        <f>0.993*0.988^4*0.992^6</f>
        <v>0.90166883636063111</v>
      </c>
      <c r="K121" s="9">
        <f>0.99*0.988^4*0.992^6</f>
        <v>0.89894476132630896</v>
      </c>
      <c r="L121" s="9">
        <f>0.988*0.988^4*0.992^6</f>
        <v>0.89712871130342753</v>
      </c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spans="1:26" s="7" customFormat="1">
      <c r="B122" s="8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>
      <c r="B123" s="10" t="s">
        <v>6</v>
      </c>
      <c r="C123" s="11">
        <v>1500</v>
      </c>
      <c r="D123" s="11">
        <v>1550</v>
      </c>
      <c r="E123" s="11">
        <v>1630</v>
      </c>
      <c r="F123" s="11">
        <v>1700</v>
      </c>
      <c r="G123" s="11">
        <v>1760</v>
      </c>
      <c r="H123" s="11">
        <v>2000</v>
      </c>
      <c r="I123" s="11">
        <v>2100</v>
      </c>
      <c r="J123" s="11">
        <v>2175</v>
      </c>
      <c r="K123" s="11">
        <v>2260</v>
      </c>
      <c r="L123" s="11">
        <v>2350</v>
      </c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>
      <c r="A124" s="14" t="s">
        <v>60</v>
      </c>
      <c r="B124" s="10" t="s">
        <v>39</v>
      </c>
      <c r="C124" s="9">
        <f>0.983*0.988^4*0.992^6</f>
        <v>0.89258858624622395</v>
      </c>
      <c r="D124" s="9">
        <f>0.98*0.988^4*0.992^6</f>
        <v>0.8898645112119018</v>
      </c>
      <c r="E124" s="9">
        <f>0.976*0.988^4*0.992^6</f>
        <v>0.88623241116613893</v>
      </c>
      <c r="F124" s="9">
        <f>0.97*0.988^4*0.992^6</f>
        <v>0.88078426109749464</v>
      </c>
      <c r="G124" s="9">
        <f>0.964*0.988^4*0.992^6</f>
        <v>0.87533611102885034</v>
      </c>
      <c r="H124" s="9">
        <f>0.957*0.988^4*0.992^6</f>
        <v>0.86897993594876533</v>
      </c>
      <c r="I124" s="9">
        <f>0.908*0.988^4*0.992^6</f>
        <v>0.82448671038817023</v>
      </c>
      <c r="J124" s="9">
        <f>0.874*0.988^4*0.992^6</f>
        <v>0.79361385999918588</v>
      </c>
      <c r="K124" s="9">
        <f>0.859*0.988^4*0.992^6</f>
        <v>0.77999348482757513</v>
      </c>
      <c r="L124" s="9">
        <f>0.849*0.988^4*0.992^6</f>
        <v>0.77091323471316797</v>
      </c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s="7" customFormat="1">
      <c r="B125" s="8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>
      <c r="B126" s="10" t="s">
        <v>6</v>
      </c>
      <c r="C126" s="33">
        <v>385</v>
      </c>
      <c r="D126" s="33">
        <v>400</v>
      </c>
      <c r="E126" s="33">
        <v>469</v>
      </c>
      <c r="F126" s="33">
        <v>510</v>
      </c>
      <c r="G126" s="33">
        <v>552</v>
      </c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>
      <c r="A127" s="14" t="s">
        <v>141</v>
      </c>
      <c r="B127" s="10" t="s">
        <v>95</v>
      </c>
      <c r="C127" s="9">
        <f>0.921*0.993^10</f>
        <v>0.85852335713930328</v>
      </c>
      <c r="D127" s="9">
        <f>0.952*0.993^10</f>
        <v>0.88742045167927985</v>
      </c>
      <c r="E127" s="9">
        <f>0.972*0.993^10</f>
        <v>0.90606373847926469</v>
      </c>
      <c r="F127" s="9">
        <f>0.982*0.993^10</f>
        <v>0.91538538187925711</v>
      </c>
      <c r="G127" s="9">
        <f>0.984*0.993^10</f>
        <v>0.91724971055925564</v>
      </c>
      <c r="H127" s="9"/>
      <c r="I127" s="9"/>
      <c r="J127" s="9"/>
      <c r="K127" s="9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spans="1:26" s="7" customFormat="1">
      <c r="B128" s="8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>
      <c r="B129" s="10" t="s">
        <v>6</v>
      </c>
      <c r="C129" s="17">
        <v>552</v>
      </c>
      <c r="D129" s="17">
        <v>580</v>
      </c>
      <c r="E129" s="17">
        <v>622</v>
      </c>
      <c r="F129" s="17">
        <v>650</v>
      </c>
      <c r="G129" s="17">
        <v>691</v>
      </c>
      <c r="H129" s="11"/>
      <c r="I129" s="11"/>
      <c r="J129" s="9"/>
      <c r="K129" s="9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>
      <c r="A130" s="14" t="s">
        <v>142</v>
      </c>
      <c r="B130" s="10" t="s">
        <v>100</v>
      </c>
      <c r="C130" s="9">
        <f>0.962*0.993^10</f>
        <v>0.89674209507927227</v>
      </c>
      <c r="D130" s="9">
        <f>0.966*0.993^10</f>
        <v>0.90047075243926922</v>
      </c>
      <c r="E130" s="9">
        <f>0.966*0.993^10</f>
        <v>0.90047075243926922</v>
      </c>
      <c r="F130" s="9">
        <f>0.965*0.993^10</f>
        <v>0.89953858809927001</v>
      </c>
      <c r="G130" s="9">
        <f>0.966*0.993^10</f>
        <v>0.90047075243926922</v>
      </c>
      <c r="H130" s="9"/>
      <c r="I130" s="9"/>
      <c r="J130" s="9"/>
      <c r="K130" s="9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spans="1:26" s="7" customFormat="1">
      <c r="B131" s="8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>
      <c r="B132" s="10" t="s">
        <v>6</v>
      </c>
      <c r="C132" s="17">
        <v>691</v>
      </c>
      <c r="D132" s="17">
        <v>720</v>
      </c>
      <c r="E132" s="17">
        <v>755</v>
      </c>
      <c r="F132" s="17">
        <v>780</v>
      </c>
      <c r="G132" s="17">
        <v>818</v>
      </c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>
      <c r="A133" s="14" t="s">
        <v>143</v>
      </c>
      <c r="B133" s="10" t="s">
        <v>107</v>
      </c>
      <c r="C133" s="9">
        <f>0.976*0.993^10</f>
        <v>0.90979239583926164</v>
      </c>
      <c r="D133" s="9">
        <f>0.979*0.993^10</f>
        <v>0.91258888885925937</v>
      </c>
      <c r="E133" s="9">
        <f>0.982*0.993^10</f>
        <v>0.91538538187925711</v>
      </c>
      <c r="F133" s="9">
        <f>0.983*0.993^10</f>
        <v>0.91631754621925643</v>
      </c>
      <c r="G133" s="9">
        <f>0.983*0.993^10</f>
        <v>0.91631754621925643</v>
      </c>
      <c r="H133" s="9"/>
      <c r="I133" s="9"/>
      <c r="J133" s="9"/>
      <c r="K133" s="51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spans="1:26" s="7" customFormat="1">
      <c r="B134" s="8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>
      <c r="B135" s="10" t="s">
        <v>6</v>
      </c>
      <c r="C135" s="17">
        <v>818</v>
      </c>
      <c r="D135" s="17">
        <v>850</v>
      </c>
      <c r="E135" s="17">
        <v>889</v>
      </c>
      <c r="F135" s="17">
        <v>920</v>
      </c>
      <c r="G135" s="17">
        <v>960</v>
      </c>
      <c r="H135" s="11"/>
      <c r="I135" s="11"/>
      <c r="J135" s="9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>
      <c r="A136" s="14" t="s">
        <v>144</v>
      </c>
      <c r="B136" s="10" t="s">
        <v>113</v>
      </c>
      <c r="C136" s="9">
        <f>0.985*0.993^10</f>
        <v>0.91818187489925485</v>
      </c>
      <c r="D136" s="9">
        <f>0.985*0.993^10</f>
        <v>0.91818187489925485</v>
      </c>
      <c r="E136" s="9">
        <f>0.984*0.993^10</f>
        <v>0.91724971055925564</v>
      </c>
      <c r="F136" s="9">
        <f>0.984*0.993^10</f>
        <v>0.91724971055925564</v>
      </c>
      <c r="G136" s="9">
        <f>0.983*0.993^10</f>
        <v>0.91631754621925643</v>
      </c>
      <c r="H136" s="9"/>
      <c r="I136" s="9"/>
      <c r="J136" s="9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spans="1:26" s="7" customFormat="1">
      <c r="B137" s="8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>
      <c r="B138" s="10" t="s">
        <v>6</v>
      </c>
      <c r="C138" s="17">
        <v>960</v>
      </c>
      <c r="D138" s="17">
        <v>1000</v>
      </c>
      <c r="E138" s="17">
        <v>1040</v>
      </c>
      <c r="F138" s="17">
        <v>1090</v>
      </c>
      <c r="G138" s="17">
        <v>1120</v>
      </c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>
      <c r="A139" s="14" t="s">
        <v>61</v>
      </c>
      <c r="B139" s="10" t="s">
        <v>17</v>
      </c>
      <c r="C139" s="9">
        <v>0.91700000000000004</v>
      </c>
      <c r="D139" s="9">
        <v>0.91700000000000004</v>
      </c>
      <c r="E139" s="9">
        <v>0.91700000000000004</v>
      </c>
      <c r="F139" s="9">
        <v>0.91700000000000004</v>
      </c>
      <c r="G139" s="9">
        <v>0.91700000000000004</v>
      </c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spans="1:26" s="7" customFormat="1">
      <c r="B140" s="8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>
      <c r="B141" s="10" t="s">
        <v>6</v>
      </c>
      <c r="C141" s="17">
        <v>1150</v>
      </c>
      <c r="D141" s="17">
        <v>1200</v>
      </c>
      <c r="E141" s="17">
        <v>1250</v>
      </c>
      <c r="F141" s="17">
        <v>1300</v>
      </c>
      <c r="G141" s="17">
        <v>1350</v>
      </c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>
      <c r="A142" s="14" t="s">
        <v>62</v>
      </c>
      <c r="B142" s="10" t="s">
        <v>18</v>
      </c>
      <c r="C142" s="9">
        <v>0.91700000000000004</v>
      </c>
      <c r="D142" s="9">
        <v>0.91700000000000004</v>
      </c>
      <c r="E142" s="9">
        <v>0.91600000000000004</v>
      </c>
      <c r="F142" s="9">
        <v>0.91600000000000004</v>
      </c>
      <c r="G142" s="9">
        <v>0.91500000000000004</v>
      </c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spans="1:26" s="7" customFormat="1">
      <c r="B143" s="8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>
      <c r="B144" s="10" t="s">
        <v>6</v>
      </c>
      <c r="C144" s="17">
        <v>1500</v>
      </c>
      <c r="D144" s="17">
        <v>1550</v>
      </c>
      <c r="E144" s="17">
        <v>1620</v>
      </c>
      <c r="F144" s="17">
        <v>1700</v>
      </c>
      <c r="G144" s="17">
        <v>1760</v>
      </c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>
      <c r="A145" s="14" t="s">
        <v>63</v>
      </c>
      <c r="B145" s="10" t="s">
        <v>19</v>
      </c>
      <c r="C145" s="9">
        <v>0.91200000000000003</v>
      </c>
      <c r="D145" s="9">
        <v>0.91200000000000003</v>
      </c>
      <c r="E145" s="9">
        <v>0.91</v>
      </c>
      <c r="F145" s="9">
        <v>0.90800000000000003</v>
      </c>
      <c r="G145" s="9">
        <v>0.90600000000000003</v>
      </c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spans="1:26" s="7" customFormat="1">
      <c r="B146" s="8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>
      <c r="B147" s="10" t="s">
        <v>6</v>
      </c>
      <c r="C147" s="17">
        <v>2000</v>
      </c>
      <c r="D147" s="17">
        <v>2100</v>
      </c>
      <c r="E147" s="17">
        <v>2175</v>
      </c>
      <c r="F147" s="17">
        <v>2260</v>
      </c>
      <c r="G147" s="17">
        <v>2350</v>
      </c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>
      <c r="A148" s="14" t="s">
        <v>64</v>
      </c>
      <c r="B148" s="10" t="s">
        <v>20</v>
      </c>
      <c r="C148" s="9">
        <v>0.90200000000000002</v>
      </c>
      <c r="D148" s="9">
        <v>0.88500000000000001</v>
      </c>
      <c r="E148" s="9">
        <v>0.872</v>
      </c>
      <c r="F148" s="9">
        <v>0.86499999999999999</v>
      </c>
      <c r="G148" s="9">
        <v>0.86199999999999999</v>
      </c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spans="1:26" s="7" customFormat="1">
      <c r="B149" s="8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>
      <c r="B150" s="10" t="s">
        <v>6</v>
      </c>
      <c r="C150" s="33">
        <v>385</v>
      </c>
      <c r="D150" s="33">
        <v>400</v>
      </c>
      <c r="E150" s="33">
        <v>469</v>
      </c>
      <c r="F150" s="33">
        <v>510</v>
      </c>
      <c r="G150" s="33">
        <v>552</v>
      </c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>
      <c r="A151" s="5" t="s">
        <v>145</v>
      </c>
      <c r="B151" s="10" t="s">
        <v>119</v>
      </c>
      <c r="C151" s="38">
        <f>0.988*0.995^4*0.61*$I151</f>
        <v>0.59735376509326688</v>
      </c>
      <c r="D151" s="38">
        <f>0.988*0.995^4*0.72*$I151</f>
        <v>0.70507329650352812</v>
      </c>
      <c r="E151" s="38">
        <f>0.988*0.995^4*0.9*$I151</f>
        <v>0.88134162062941024</v>
      </c>
      <c r="F151" s="38">
        <f>0.988*0.995^4*0.79*$I151</f>
        <v>0.77362208921914888</v>
      </c>
      <c r="G151" s="38">
        <f>0.988*0.995^4*0.6*$I151</f>
        <v>0.58756108041960675</v>
      </c>
      <c r="H151" s="16"/>
      <c r="I151" s="16">
        <f>0.9/0.89</f>
        <v>1.0112359550561798</v>
      </c>
      <c r="J151" s="16"/>
      <c r="K151" s="16" t="s">
        <v>262</v>
      </c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spans="1:26" s="7" customFormat="1">
      <c r="B152" s="8"/>
      <c r="C152" s="9"/>
      <c r="D152" s="9"/>
      <c r="E152" s="9"/>
      <c r="F152" s="9"/>
      <c r="G152" s="9"/>
      <c r="H152" s="9"/>
      <c r="I152" s="16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>
      <c r="B153" s="10" t="s">
        <v>6</v>
      </c>
      <c r="C153" s="17">
        <v>552</v>
      </c>
      <c r="D153" s="17">
        <v>580</v>
      </c>
      <c r="E153" s="17">
        <v>622</v>
      </c>
      <c r="F153" s="17">
        <v>650</v>
      </c>
      <c r="G153" s="17">
        <v>691</v>
      </c>
      <c r="H153" s="11"/>
      <c r="I153" s="16"/>
      <c r="J153" s="9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>
      <c r="A154" s="5" t="s">
        <v>146</v>
      </c>
      <c r="B154" s="10" t="s">
        <v>120</v>
      </c>
      <c r="C154" s="9">
        <f>0.995^4*0.985*0.64*$I154</f>
        <v>0.64021948297209641</v>
      </c>
      <c r="D154" s="9">
        <f>0.995^4*0.985*0.77*$I154</f>
        <v>0.7702640654508035</v>
      </c>
      <c r="E154" s="9">
        <f>0.995^4*0.985*0.85*$I154</f>
        <v>0.85029150082231553</v>
      </c>
      <c r="F154" s="9">
        <f>0.995^4*0.985*0.8*$I154</f>
        <v>0.80027435371512057</v>
      </c>
      <c r="G154" s="9">
        <f>0.995^4*0.989*0.66*$I154</f>
        <v>0.66290746401523837</v>
      </c>
      <c r="H154" s="16"/>
      <c r="I154" s="16">
        <f>0.86/0.83</f>
        <v>1.036144578313253</v>
      </c>
      <c r="J154" s="9"/>
      <c r="K154" s="16" t="s">
        <v>262</v>
      </c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spans="1:26" s="7" customFormat="1">
      <c r="B155" s="8"/>
      <c r="C155" s="9"/>
      <c r="D155" s="9"/>
      <c r="E155" s="9"/>
      <c r="F155" s="9"/>
      <c r="G155" s="9"/>
      <c r="H155" s="9"/>
      <c r="I155" s="16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>
      <c r="B156" s="10" t="s">
        <v>6</v>
      </c>
      <c r="C156" s="17">
        <v>691</v>
      </c>
      <c r="D156" s="17">
        <v>720</v>
      </c>
      <c r="E156" s="17">
        <v>755</v>
      </c>
      <c r="F156" s="17">
        <v>780</v>
      </c>
      <c r="G156" s="17">
        <v>818</v>
      </c>
      <c r="H156" s="11"/>
      <c r="I156" s="16"/>
      <c r="J156" s="9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>
      <c r="A157" s="5" t="s">
        <v>147</v>
      </c>
      <c r="B157" s="10" t="s">
        <v>121</v>
      </c>
      <c r="C157" s="9">
        <f>0.995^4*0.99*0.71*$I157</f>
        <v>0.72947338304750731</v>
      </c>
      <c r="D157" s="9">
        <f>0.995^4*0.99*0.81*$I157</f>
        <v>0.83221611305419863</v>
      </c>
      <c r="E157" s="9">
        <f>0.995^4*0.99*0.84*$I157</f>
        <v>0.86303893205620597</v>
      </c>
      <c r="F157" s="9">
        <f>0.995^4*0.99*0.81*$I157</f>
        <v>0.83221611305419863</v>
      </c>
      <c r="G157" s="9">
        <f>0.995^4*0.99*0.72*$I157</f>
        <v>0.73974765604817649</v>
      </c>
      <c r="H157" s="16"/>
      <c r="I157" s="16">
        <f>0.9/0.85</f>
        <v>1.0588235294117647</v>
      </c>
      <c r="J157" s="16"/>
      <c r="K157" s="16" t="s">
        <v>262</v>
      </c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spans="1:26" s="7" customFormat="1">
      <c r="B158" s="8"/>
      <c r="C158" s="9"/>
      <c r="D158" s="9"/>
      <c r="E158" s="9"/>
      <c r="F158" s="9"/>
      <c r="G158" s="9"/>
      <c r="H158" s="9"/>
      <c r="I158" s="16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>
      <c r="B159" s="10" t="s">
        <v>6</v>
      </c>
      <c r="C159" s="17">
        <v>818</v>
      </c>
      <c r="D159" s="17">
        <v>850</v>
      </c>
      <c r="E159" s="17">
        <v>889</v>
      </c>
      <c r="F159" s="17">
        <v>920</v>
      </c>
      <c r="G159" s="17">
        <v>960</v>
      </c>
      <c r="H159" s="11"/>
      <c r="I159" s="16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>
      <c r="A160" s="5" t="s">
        <v>148</v>
      </c>
      <c r="B160" s="10" t="s">
        <v>122</v>
      </c>
      <c r="C160" s="9">
        <f>0.99^4*0.95*0.66*$I160</f>
        <v>0.64690804628999998</v>
      </c>
      <c r="D160" s="9">
        <f>0.99^4*0.953*0.76*$I160</f>
        <v>0.74727680983559985</v>
      </c>
      <c r="E160" s="9">
        <f>0.99^4*0.96*0.8*$I160</f>
        <v>0.79238497535999997</v>
      </c>
      <c r="F160" s="9">
        <f>0.99^4*0.965*0.78*$I160</f>
        <v>0.77659918092899982</v>
      </c>
      <c r="G160" s="9">
        <f>0.99^4*0.968*0.68*$I160</f>
        <v>0.67913995596479992</v>
      </c>
      <c r="H160" s="16"/>
      <c r="I160" s="16">
        <f>0.87/0.81</f>
        <v>1.074074074074074</v>
      </c>
      <c r="J160" s="16"/>
      <c r="K160" s="16" t="s">
        <v>262</v>
      </c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spans="1:26" s="7" customFormat="1">
      <c r="B161" s="8"/>
      <c r="C161" s="9"/>
      <c r="D161" s="9"/>
      <c r="E161" s="9"/>
      <c r="F161" s="9"/>
      <c r="G161" s="9"/>
      <c r="H161" s="9"/>
      <c r="I161" s="16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>
      <c r="B162" s="10" t="s">
        <v>6</v>
      </c>
      <c r="C162" s="17">
        <v>960</v>
      </c>
      <c r="D162" s="17">
        <v>1000</v>
      </c>
      <c r="E162" s="17">
        <v>1040</v>
      </c>
      <c r="F162" s="17">
        <v>1090</v>
      </c>
      <c r="G162" s="17">
        <v>1120</v>
      </c>
      <c r="H162" s="11"/>
      <c r="I162" s="16"/>
      <c r="J162" s="9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>
      <c r="A163" s="14" t="s">
        <v>65</v>
      </c>
      <c r="B163" s="10" t="s">
        <v>13</v>
      </c>
      <c r="C163" s="9">
        <f>0.47*$I163*0.99^2*0.99^2*0.99</f>
        <v>0.47889141798535712</v>
      </c>
      <c r="D163" s="9">
        <f>0.64*$I163*0.99^2*0.99^2*0.99</f>
        <v>0.65210746278857146</v>
      </c>
      <c r="E163" s="9">
        <f>0.7*$I163*0.99^2*0.99^2*0.99</f>
        <v>0.71324253742499988</v>
      </c>
      <c r="F163" s="9">
        <f>0.61*$I163*0.99^2*0.99^2*0.99</f>
        <v>0.62153992547035708</v>
      </c>
      <c r="G163" s="9">
        <f>0.49*$I163*0.99^2*0.99^2*0.99</f>
        <v>0.49926977619749996</v>
      </c>
      <c r="H163" s="16"/>
      <c r="I163" s="16">
        <f>0.75/0.7</f>
        <v>1.0714285714285714</v>
      </c>
      <c r="K163" s="16" t="s">
        <v>262</v>
      </c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spans="1:26" s="7" customFormat="1">
      <c r="B164" s="8"/>
      <c r="C164" s="9"/>
      <c r="D164" s="9"/>
      <c r="E164" s="9"/>
      <c r="F164" s="9"/>
      <c r="G164" s="9"/>
      <c r="H164" s="9"/>
      <c r="I164" s="16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>
      <c r="B165" s="10" t="s">
        <v>6</v>
      </c>
      <c r="C165" s="17">
        <v>1150</v>
      </c>
      <c r="D165" s="17">
        <v>1200</v>
      </c>
      <c r="E165" s="17">
        <v>1250</v>
      </c>
      <c r="F165" s="17">
        <v>1300</v>
      </c>
      <c r="G165" s="17">
        <v>1350</v>
      </c>
      <c r="H165" s="11"/>
      <c r="I165" s="16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>
      <c r="A166" s="14" t="s">
        <v>66</v>
      </c>
      <c r="B166" s="10" t="s">
        <v>14</v>
      </c>
      <c r="C166" s="9">
        <f>0.47*$I166*0.99^4*0.99</f>
        <v>0.62575145283419986</v>
      </c>
      <c r="D166" s="9">
        <f>0.63*$I166*0.99^4*0.99</f>
        <v>0.83877322401179988</v>
      </c>
      <c r="E166" s="9">
        <f>0.7*AVERAGE($I166,$J166)*0.99^4*0.99</f>
        <v>0.83766373562024976</v>
      </c>
      <c r="F166" s="9">
        <f>0.63*$J166*0.99^4*0.99</f>
        <v>0.66902150010464989</v>
      </c>
      <c r="G166" s="9">
        <f>0.47*$J166*0.99^4*0.99</f>
        <v>0.49911127785584991</v>
      </c>
      <c r="H166" s="16"/>
      <c r="I166" s="16">
        <f>0.77/0.55</f>
        <v>1.4</v>
      </c>
      <c r="J166" s="16">
        <f>0.67/0.6</f>
        <v>1.1166666666666667</v>
      </c>
      <c r="K166" s="16" t="s">
        <v>262</v>
      </c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spans="1:26" s="7" customFormat="1">
      <c r="B167" s="8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>
      <c r="B168" s="10" t="s">
        <v>6</v>
      </c>
      <c r="C168" s="17">
        <v>1500</v>
      </c>
      <c r="D168" s="17">
        <v>1550</v>
      </c>
      <c r="E168" s="17">
        <v>1630</v>
      </c>
      <c r="F168" s="17">
        <v>1700</v>
      </c>
      <c r="G168" s="17">
        <v>1760</v>
      </c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>
      <c r="A169" s="14" t="s">
        <v>67</v>
      </c>
      <c r="B169" s="10" t="s">
        <v>15</v>
      </c>
      <c r="C169" s="9">
        <f>0.51*$I169*0.99^4*0.99*0.998^2</f>
        <v>0.5283543625575533</v>
      </c>
      <c r="D169" s="9">
        <f>0.61*$I169*0.99^4*0.99*0.997^2</f>
        <v>0.63068745227221545</v>
      </c>
      <c r="E169" s="9">
        <f>0.68*$I169*0.99^4*0.99*0.995^2</f>
        <v>0.70024354358823404</v>
      </c>
      <c r="F169" s="9">
        <f>0.63*$I169*0.99^4*0.99*0.992^2</f>
        <v>0.64484885462027186</v>
      </c>
      <c r="G169" s="9">
        <f>0.53*$I169*0.99^4*0.99*0.989^2</f>
        <v>0.53921565409366601</v>
      </c>
      <c r="I169" s="5">
        <f>0.7/0.64</f>
        <v>1.09375</v>
      </c>
      <c r="K169" s="16" t="s">
        <v>262</v>
      </c>
    </row>
    <row r="170" spans="1:26" s="7" customFormat="1">
      <c r="B170" s="8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>
      <c r="B171" s="10" t="s">
        <v>6</v>
      </c>
      <c r="C171" s="17">
        <v>2000</v>
      </c>
      <c r="D171" s="17">
        <v>2100</v>
      </c>
      <c r="E171" s="17">
        <v>2175</v>
      </c>
      <c r="F171" s="17">
        <v>2260</v>
      </c>
      <c r="G171" s="17">
        <v>2350</v>
      </c>
      <c r="H171" s="11"/>
      <c r="I171" s="11"/>
      <c r="J171" s="11"/>
      <c r="K171" s="9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>
      <c r="A172" s="14" t="s">
        <v>68</v>
      </c>
      <c r="B172" s="10" t="s">
        <v>16</v>
      </c>
      <c r="C172" s="9">
        <f>0.38*$I172*0.99^4*0.99*0.978^2</f>
        <v>0.35073366805614437</v>
      </c>
      <c r="D172" s="9">
        <f>0.59*$I172*0.99^4*0.99*0.965^2</f>
        <v>0.53017932679808777</v>
      </c>
      <c r="E172" s="9">
        <f>0.68*$I172*0.99^4*0.99*0.956^2</f>
        <v>0.59970938914933047</v>
      </c>
      <c r="F172" s="9">
        <f>0.59*$I172*0.99^4*0.99*0.945^2</f>
        <v>0.50843071579249088</v>
      </c>
      <c r="G172" s="9">
        <f>0.41*$I172*0.99^4*0.99*0.934^2</f>
        <v>0.34513878045893037</v>
      </c>
      <c r="I172" s="5">
        <f>0.69/0.68</f>
        <v>1.0147058823529411</v>
      </c>
      <c r="K172" s="16" t="s">
        <v>262</v>
      </c>
    </row>
    <row r="173" spans="1:26" s="7" customFormat="1">
      <c r="B173" s="8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>
      <c r="B174" s="10" t="s">
        <v>6</v>
      </c>
      <c r="C174" s="33"/>
      <c r="D174" s="33">
        <v>400</v>
      </c>
      <c r="E174" s="33">
        <v>469</v>
      </c>
      <c r="F174" s="33">
        <v>510</v>
      </c>
      <c r="G174" s="33">
        <v>552</v>
      </c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>
      <c r="A175" s="5" t="s">
        <v>154</v>
      </c>
      <c r="B175" s="10" t="s">
        <v>153</v>
      </c>
      <c r="C175" s="38"/>
      <c r="D175" s="38">
        <v>0.96899999999999997</v>
      </c>
      <c r="E175" s="38">
        <v>0.97899999999999998</v>
      </c>
      <c r="F175" s="38">
        <v>0.95599999999999996</v>
      </c>
      <c r="G175" s="38">
        <v>0.94599999999999995</v>
      </c>
      <c r="H175" s="16"/>
      <c r="I175" s="16" t="s">
        <v>261</v>
      </c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spans="1:26" s="7" customFormat="1">
      <c r="B176" s="8"/>
      <c r="C176" s="38"/>
      <c r="D176" s="38"/>
      <c r="E176" s="38"/>
      <c r="F176" s="38"/>
      <c r="G176" s="38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>
      <c r="B177" s="10" t="s">
        <v>6</v>
      </c>
      <c r="C177" s="42">
        <v>818</v>
      </c>
      <c r="D177" s="42">
        <v>850</v>
      </c>
      <c r="E177" s="42">
        <v>889</v>
      </c>
      <c r="F177" s="42">
        <v>922</v>
      </c>
      <c r="G177" s="42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>
      <c r="A178" s="5" t="s">
        <v>156</v>
      </c>
      <c r="B178" s="10" t="s">
        <v>155</v>
      </c>
      <c r="C178" s="38">
        <v>0.95199999999999996</v>
      </c>
      <c r="D178" s="38">
        <v>0.98699999999999999</v>
      </c>
      <c r="E178" s="38">
        <v>0.98699999999999999</v>
      </c>
      <c r="F178" s="38">
        <v>0.95099999999999996</v>
      </c>
      <c r="G178" s="38"/>
      <c r="H178" s="16"/>
      <c r="I178" s="16" t="s">
        <v>261</v>
      </c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spans="1:26">
      <c r="B179" s="10"/>
      <c r="C179" s="38"/>
      <c r="D179" s="38"/>
      <c r="E179" s="38"/>
      <c r="F179" s="38"/>
      <c r="G179" s="38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spans="1:26">
      <c r="B180" s="10" t="s">
        <v>6</v>
      </c>
      <c r="C180" s="105">
        <v>980</v>
      </c>
      <c r="D180" s="43">
        <v>1000</v>
      </c>
      <c r="E180" s="43">
        <v>1040</v>
      </c>
      <c r="F180" s="43">
        <v>1090</v>
      </c>
      <c r="G180" s="43">
        <v>1120</v>
      </c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>
      <c r="A181" s="5" t="s">
        <v>158</v>
      </c>
      <c r="B181" s="10" t="s">
        <v>258</v>
      </c>
      <c r="C181" s="38">
        <v>0.94099999999999995</v>
      </c>
      <c r="D181" s="38">
        <v>0.96399999999999997</v>
      </c>
      <c r="E181" s="38">
        <v>0.96399999999999997</v>
      </c>
      <c r="F181" s="38">
        <v>0.93600000000000005</v>
      </c>
      <c r="G181" s="38">
        <v>0.94399999999999995</v>
      </c>
      <c r="H181" s="16"/>
      <c r="I181" s="16" t="s">
        <v>263</v>
      </c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spans="1:26">
      <c r="B182" s="10"/>
      <c r="C182" s="38"/>
      <c r="D182" s="38"/>
      <c r="E182" s="38"/>
      <c r="F182" s="38"/>
      <c r="G182" s="38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spans="1:26">
      <c r="B183" s="10" t="s">
        <v>6</v>
      </c>
      <c r="C183" s="43">
        <v>1150</v>
      </c>
      <c r="D183" s="43">
        <v>1200</v>
      </c>
      <c r="E183" s="43">
        <v>1250</v>
      </c>
      <c r="F183" s="43">
        <v>1300</v>
      </c>
      <c r="G183" s="43">
        <v>1350</v>
      </c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>
      <c r="A184" s="5" t="s">
        <v>255</v>
      </c>
      <c r="B184" s="10" t="s">
        <v>259</v>
      </c>
      <c r="C184" s="38">
        <v>0.93799999999999994</v>
      </c>
      <c r="D184" s="38">
        <v>0.97299999999999998</v>
      </c>
      <c r="E184" s="38">
        <v>0.97299999999999998</v>
      </c>
      <c r="F184" s="38">
        <v>0.999</v>
      </c>
      <c r="G184" s="38">
        <v>0.98699999999999999</v>
      </c>
      <c r="H184" s="16"/>
      <c r="I184" s="16" t="s">
        <v>261</v>
      </c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spans="1:26">
      <c r="B185" s="10"/>
      <c r="C185" s="38"/>
      <c r="D185" s="38"/>
      <c r="E185" s="38"/>
      <c r="F185" s="38"/>
      <c r="G185" s="38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spans="1:26">
      <c r="B186" s="10" t="s">
        <v>6</v>
      </c>
      <c r="C186" s="43">
        <v>1500</v>
      </c>
      <c r="D186" s="43">
        <v>1550</v>
      </c>
      <c r="E186" s="43">
        <v>1630</v>
      </c>
      <c r="F186" s="43">
        <v>1700</v>
      </c>
      <c r="G186" s="43">
        <v>1760</v>
      </c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>
      <c r="A187" s="5" t="s">
        <v>256</v>
      </c>
      <c r="B187" s="10" t="s">
        <v>260</v>
      </c>
      <c r="C187" s="38">
        <v>0.99199999999999999</v>
      </c>
      <c r="D187" s="38">
        <v>0.99299999999999999</v>
      </c>
      <c r="E187" s="38">
        <v>0.999</v>
      </c>
      <c r="F187" s="38">
        <v>0.996</v>
      </c>
      <c r="G187" s="38">
        <v>0.998</v>
      </c>
      <c r="H187" s="16"/>
      <c r="I187" s="16" t="s">
        <v>261</v>
      </c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spans="1:26">
      <c r="B188" s="10"/>
      <c r="C188" s="38"/>
      <c r="D188" s="38"/>
      <c r="E188" s="38"/>
      <c r="F188" s="38"/>
      <c r="G188" s="38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spans="1:26">
      <c r="B189" s="10" t="s">
        <v>6</v>
      </c>
      <c r="C189" s="42">
        <v>2000</v>
      </c>
      <c r="D189" s="42">
        <v>2100</v>
      </c>
      <c r="E189" s="42">
        <v>2175</v>
      </c>
      <c r="F189" s="42">
        <v>2280</v>
      </c>
      <c r="G189" s="42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>
      <c r="A190" s="5" t="s">
        <v>257</v>
      </c>
      <c r="B190" s="10" t="s">
        <v>157</v>
      </c>
      <c r="C190" s="38">
        <v>0.97599999999999998</v>
      </c>
      <c r="D190" s="38">
        <v>0.998</v>
      </c>
      <c r="E190" s="38">
        <v>0.97699999999999998</v>
      </c>
      <c r="F190" s="38">
        <v>0.91200000000000003</v>
      </c>
      <c r="G190" s="38"/>
      <c r="H190" s="16"/>
      <c r="I190" s="16" t="s">
        <v>261</v>
      </c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spans="1:26">
      <c r="B191" s="10"/>
      <c r="C191" s="9"/>
      <c r="D191" s="9"/>
      <c r="E191" s="9"/>
      <c r="F191" s="9"/>
      <c r="G191" s="9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spans="1:26">
      <c r="B192" s="10" t="s">
        <v>6</v>
      </c>
      <c r="C192" s="17">
        <v>1500</v>
      </c>
      <c r="D192" s="17">
        <v>1550</v>
      </c>
      <c r="E192" s="17">
        <v>1630</v>
      </c>
      <c r="F192" s="17">
        <v>1700</v>
      </c>
      <c r="G192" s="17">
        <v>1760</v>
      </c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>
      <c r="A193" s="5" t="s">
        <v>196</v>
      </c>
      <c r="B193" s="10" t="s">
        <v>195</v>
      </c>
      <c r="C193" s="9">
        <v>1</v>
      </c>
      <c r="D193" s="9">
        <v>1</v>
      </c>
      <c r="E193" s="9">
        <v>1</v>
      </c>
      <c r="F193" s="9">
        <v>1</v>
      </c>
      <c r="G193" s="9">
        <v>1</v>
      </c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>
      <c r="B194" s="10"/>
      <c r="C194" s="9"/>
      <c r="D194" s="9"/>
      <c r="E194" s="9"/>
      <c r="F194" s="9"/>
      <c r="G194" s="9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spans="1:26">
      <c r="B195" s="10" t="s">
        <v>6</v>
      </c>
      <c r="C195" s="33">
        <v>2000</v>
      </c>
      <c r="D195" s="33">
        <v>2100</v>
      </c>
      <c r="E195" s="33">
        <v>2175</v>
      </c>
      <c r="F195" s="33">
        <v>2260</v>
      </c>
      <c r="G195" s="33">
        <v>2350</v>
      </c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>
      <c r="A196" s="5" t="s">
        <v>197</v>
      </c>
      <c r="B196" s="10" t="s">
        <v>170</v>
      </c>
      <c r="C196" s="9">
        <v>1</v>
      </c>
      <c r="D196" s="9">
        <v>1</v>
      </c>
      <c r="E196" s="9">
        <v>1</v>
      </c>
      <c r="F196" s="9">
        <v>1</v>
      </c>
      <c r="G196" s="9">
        <v>1</v>
      </c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spans="1:26">
      <c r="B197" s="10"/>
      <c r="C197" s="9"/>
      <c r="D197" s="9"/>
      <c r="E197" s="9"/>
      <c r="F197" s="9"/>
      <c r="G197" s="9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spans="1:26">
      <c r="B198" s="10" t="s">
        <v>6</v>
      </c>
      <c r="C198" s="33">
        <v>385</v>
      </c>
      <c r="D198" s="33">
        <v>420</v>
      </c>
      <c r="E198" s="33">
        <v>469</v>
      </c>
      <c r="F198" s="33">
        <v>510</v>
      </c>
      <c r="G198" s="33">
        <v>552</v>
      </c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>
      <c r="A199" s="14"/>
      <c r="B199" s="10" t="s">
        <v>149</v>
      </c>
      <c r="C199" s="9">
        <f>0.995^2</f>
        <v>0.99002500000000004</v>
      </c>
      <c r="D199" s="9">
        <f t="shared" ref="D199:G199" si="22">0.995^2</f>
        <v>0.99002500000000004</v>
      </c>
      <c r="E199" s="9">
        <f t="shared" si="22"/>
        <v>0.99002500000000004</v>
      </c>
      <c r="F199" s="9">
        <f t="shared" si="22"/>
        <v>0.99002500000000004</v>
      </c>
      <c r="G199" s="9">
        <f t="shared" si="22"/>
        <v>0.99002500000000004</v>
      </c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spans="1:26" s="7" customFormat="1">
      <c r="B200" s="8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>
      <c r="B201" s="10" t="s">
        <v>6</v>
      </c>
      <c r="C201" s="17">
        <v>552</v>
      </c>
      <c r="D201" s="17">
        <v>580</v>
      </c>
      <c r="E201" s="17">
        <v>622</v>
      </c>
      <c r="F201" s="17">
        <v>650</v>
      </c>
      <c r="G201" s="17">
        <v>691</v>
      </c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>
      <c r="A202" s="14"/>
      <c r="B202" s="10" t="s">
        <v>150</v>
      </c>
      <c r="C202" s="9">
        <v>0.97799999999999998</v>
      </c>
      <c r="D202" s="9">
        <v>0.99</v>
      </c>
      <c r="E202" s="9">
        <v>0.98799999999999999</v>
      </c>
      <c r="F202" s="9">
        <v>0.98499999999999999</v>
      </c>
      <c r="G202" s="9">
        <v>0.97599999999999998</v>
      </c>
      <c r="H202" s="16"/>
      <c r="I202" s="16" t="s">
        <v>261</v>
      </c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spans="1:26" s="7" customFormat="1">
      <c r="B203" s="8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>
      <c r="B204" s="10" t="s">
        <v>6</v>
      </c>
      <c r="C204" s="17">
        <v>691</v>
      </c>
      <c r="D204" s="17">
        <v>720</v>
      </c>
      <c r="E204" s="17">
        <v>755</v>
      </c>
      <c r="F204" s="17">
        <v>780</v>
      </c>
      <c r="G204" s="17">
        <v>818</v>
      </c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>
      <c r="A205" s="14"/>
      <c r="B205" s="10" t="s">
        <v>151</v>
      </c>
      <c r="C205" s="9">
        <v>0.996</v>
      </c>
      <c r="D205" s="9">
        <v>0.997</v>
      </c>
      <c r="E205" s="9">
        <v>0.997</v>
      </c>
      <c r="F205" s="9">
        <v>0.995</v>
      </c>
      <c r="G205" s="9">
        <v>0.99099999999999999</v>
      </c>
      <c r="H205" s="16"/>
      <c r="I205" s="16" t="s">
        <v>261</v>
      </c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spans="1:26">
      <c r="A206" s="14"/>
      <c r="B206" s="10"/>
      <c r="C206" s="9"/>
      <c r="D206" s="9"/>
      <c r="E206" s="9"/>
      <c r="F206" s="9"/>
      <c r="G206" s="9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spans="1:26">
      <c r="B207" s="10" t="s">
        <v>6</v>
      </c>
      <c r="C207" s="17">
        <v>818</v>
      </c>
      <c r="D207" s="17">
        <v>850</v>
      </c>
      <c r="E207" s="17">
        <v>889</v>
      </c>
      <c r="F207" s="17">
        <v>920</v>
      </c>
      <c r="G207" s="17">
        <v>960</v>
      </c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>
      <c r="A208" s="14"/>
      <c r="B208" s="10" t="s">
        <v>152</v>
      </c>
      <c r="C208" s="9">
        <f t="shared" ref="C208:G208" si="23">0.995^2</f>
        <v>0.99002500000000004</v>
      </c>
      <c r="D208" s="9">
        <f t="shared" si="23"/>
        <v>0.99002500000000004</v>
      </c>
      <c r="E208" s="9">
        <v>0.99</v>
      </c>
      <c r="F208" s="9">
        <f t="shared" si="23"/>
        <v>0.99002500000000004</v>
      </c>
      <c r="G208" s="9">
        <f t="shared" si="23"/>
        <v>0.99002500000000004</v>
      </c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spans="1:26">
      <c r="A209" s="14"/>
      <c r="B209" s="10"/>
      <c r="C209" s="9"/>
      <c r="D209" s="9"/>
      <c r="E209" s="9"/>
      <c r="F209" s="9"/>
      <c r="G209" s="9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spans="1:26">
      <c r="B210" s="10" t="s">
        <v>6</v>
      </c>
      <c r="C210" s="42">
        <v>385</v>
      </c>
      <c r="D210" s="42">
        <v>400</v>
      </c>
      <c r="E210" s="42">
        <v>469</v>
      </c>
      <c r="F210" s="42">
        <v>510</v>
      </c>
      <c r="G210" s="42">
        <v>552</v>
      </c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>
      <c r="A211" s="14"/>
      <c r="B211" s="10" t="s">
        <v>96</v>
      </c>
      <c r="C211" s="38">
        <v>0.82699999999999996</v>
      </c>
      <c r="D211" s="38">
        <v>0.9</v>
      </c>
      <c r="E211" s="38">
        <v>0.90200000000000002</v>
      </c>
      <c r="F211" s="38">
        <v>0.88600000000000001</v>
      </c>
      <c r="G211" s="38">
        <v>0.88800000000000001</v>
      </c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spans="1:26" s="7" customFormat="1">
      <c r="B212" s="8"/>
      <c r="C212" s="38"/>
      <c r="D212" s="38"/>
      <c r="E212" s="38"/>
      <c r="F212" s="38"/>
      <c r="G212" s="38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>
      <c r="B213" s="10" t="s">
        <v>6</v>
      </c>
      <c r="C213" s="43">
        <v>552</v>
      </c>
      <c r="D213" s="43">
        <v>580</v>
      </c>
      <c r="E213" s="43">
        <v>622</v>
      </c>
      <c r="F213" s="43">
        <v>650</v>
      </c>
      <c r="G213" s="43">
        <v>691</v>
      </c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>
      <c r="A214" s="14"/>
      <c r="B214" s="10" t="s">
        <v>101</v>
      </c>
      <c r="C214" s="38">
        <v>0.92100000000000004</v>
      </c>
      <c r="D214" s="38">
        <v>0.92500000000000004</v>
      </c>
      <c r="E214" s="38">
        <v>0.91200000000000003</v>
      </c>
      <c r="F214" s="38">
        <v>0.89200000000000002</v>
      </c>
      <c r="G214" s="38">
        <v>0.85099999999999998</v>
      </c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spans="1:26" s="7" customFormat="1">
      <c r="B215" s="8"/>
      <c r="C215" s="38"/>
      <c r="D215" s="38"/>
      <c r="E215" s="38"/>
      <c r="F215" s="38"/>
      <c r="G215" s="38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>
      <c r="B216" s="10" t="s">
        <v>6</v>
      </c>
      <c r="C216" s="43">
        <v>691</v>
      </c>
      <c r="D216" s="43">
        <v>720</v>
      </c>
      <c r="E216" s="43">
        <v>755</v>
      </c>
      <c r="F216" s="43">
        <v>780</v>
      </c>
      <c r="G216" s="43">
        <v>818</v>
      </c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>
      <c r="A217" s="14"/>
      <c r="B217" s="10" t="s">
        <v>108</v>
      </c>
      <c r="C217" s="38">
        <v>0.92800000000000005</v>
      </c>
      <c r="D217" s="38">
        <v>0.93500000000000005</v>
      </c>
      <c r="E217" s="38">
        <v>0.92500000000000004</v>
      </c>
      <c r="F217" s="38">
        <v>0.91200000000000003</v>
      </c>
      <c r="G217" s="38">
        <v>0.86099999999999999</v>
      </c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spans="1:26" s="7" customFormat="1">
      <c r="B218" s="8"/>
      <c r="C218" s="38"/>
      <c r="D218" s="38"/>
      <c r="E218" s="38"/>
      <c r="F218" s="38"/>
      <c r="G218" s="38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>
      <c r="B219" s="10" t="s">
        <v>6</v>
      </c>
      <c r="C219" s="43">
        <v>818</v>
      </c>
      <c r="D219" s="43">
        <v>850</v>
      </c>
      <c r="E219" s="43">
        <v>889</v>
      </c>
      <c r="F219" s="43">
        <v>920</v>
      </c>
      <c r="G219" s="43">
        <v>960</v>
      </c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>
      <c r="A220" s="14"/>
      <c r="B220" s="10" t="s">
        <v>114</v>
      </c>
      <c r="C220" s="38">
        <v>0.86099999999999999</v>
      </c>
      <c r="D220" s="38">
        <v>0.78400000000000003</v>
      </c>
      <c r="E220" s="38">
        <v>0.64200000000000002</v>
      </c>
      <c r="F220" s="38">
        <v>0.50600000000000001</v>
      </c>
      <c r="G220" s="38">
        <v>0.30299999999999999</v>
      </c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spans="1:26" s="7" customFormat="1">
      <c r="B221" s="8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>
      <c r="B222" s="10" t="s">
        <v>6</v>
      </c>
      <c r="C222" s="11">
        <v>960</v>
      </c>
      <c r="D222" s="11">
        <v>1000</v>
      </c>
      <c r="E222" s="11">
        <v>1040</v>
      </c>
      <c r="F222" s="11">
        <v>1090</v>
      </c>
      <c r="G222" s="11">
        <v>1120</v>
      </c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>
      <c r="A223" s="14"/>
      <c r="B223" s="10" t="s">
        <v>33</v>
      </c>
      <c r="C223" s="9">
        <v>0.8</v>
      </c>
      <c r="D223" s="9">
        <v>0.8</v>
      </c>
      <c r="E223" s="9">
        <v>0.8</v>
      </c>
      <c r="F223" s="9">
        <v>0.8</v>
      </c>
      <c r="G223" s="9">
        <v>0.8</v>
      </c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s="7" customFormat="1">
      <c r="B224" s="8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>
      <c r="B225" s="10" t="s">
        <v>6</v>
      </c>
      <c r="C225" s="17">
        <v>1150</v>
      </c>
      <c r="D225" s="17">
        <v>1200</v>
      </c>
      <c r="E225" s="17">
        <v>1250</v>
      </c>
      <c r="F225" s="17">
        <v>1300</v>
      </c>
      <c r="G225" s="17">
        <v>1350</v>
      </c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>
      <c r="A226" s="14"/>
      <c r="B226" s="10" t="s">
        <v>32</v>
      </c>
      <c r="C226" s="9">
        <v>0.8</v>
      </c>
      <c r="D226" s="9">
        <v>0.8</v>
      </c>
      <c r="E226" s="9">
        <v>0.8</v>
      </c>
      <c r="F226" s="9">
        <v>0.8</v>
      </c>
      <c r="G226" s="9">
        <v>0.8</v>
      </c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s="7" customFormat="1">
      <c r="B227" s="8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>
      <c r="B228" s="10" t="s">
        <v>6</v>
      </c>
      <c r="C228" s="17">
        <v>1500</v>
      </c>
      <c r="D228" s="17">
        <v>1550</v>
      </c>
      <c r="E228" s="17">
        <v>1620</v>
      </c>
      <c r="F228" s="17">
        <v>1700</v>
      </c>
      <c r="G228" s="17">
        <v>1760</v>
      </c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>
      <c r="A229" s="14"/>
      <c r="B229" s="10" t="s">
        <v>34</v>
      </c>
      <c r="C229" s="9">
        <v>0.8</v>
      </c>
      <c r="D229" s="9">
        <v>0.8</v>
      </c>
      <c r="E229" s="9">
        <v>0.8</v>
      </c>
      <c r="F229" s="9">
        <v>0.8</v>
      </c>
      <c r="G229" s="9">
        <v>0.8</v>
      </c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s="7" customFormat="1">
      <c r="B230" s="8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>
      <c r="B231" s="10" t="s">
        <v>6</v>
      </c>
      <c r="C231" s="17">
        <v>2000</v>
      </c>
      <c r="D231" s="17">
        <v>2100</v>
      </c>
      <c r="E231" s="17">
        <v>2175</v>
      </c>
      <c r="F231" s="17">
        <v>2260</v>
      </c>
      <c r="G231" s="17">
        <v>2350</v>
      </c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>
      <c r="A232" s="14"/>
      <c r="B232" s="10" t="s">
        <v>35</v>
      </c>
      <c r="C232" s="9">
        <v>0.8</v>
      </c>
      <c r="D232" s="9">
        <v>0.8</v>
      </c>
      <c r="E232" s="9">
        <v>0.8</v>
      </c>
      <c r="F232" s="9">
        <v>0.8</v>
      </c>
      <c r="G232" s="9">
        <v>0.8</v>
      </c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>
      <c r="A233" s="14"/>
      <c r="B233" s="10"/>
    </row>
    <row r="234" spans="1:26">
      <c r="A234" s="14"/>
      <c r="B234" s="10" t="s">
        <v>6</v>
      </c>
      <c r="C234" s="11">
        <v>385</v>
      </c>
      <c r="D234" s="11">
        <v>400</v>
      </c>
      <c r="E234" s="11">
        <v>500</v>
      </c>
      <c r="F234" s="11">
        <v>600</v>
      </c>
      <c r="G234" s="11">
        <v>700</v>
      </c>
      <c r="H234" s="11">
        <v>800</v>
      </c>
      <c r="I234" s="11">
        <v>900</v>
      </c>
      <c r="J234" s="11">
        <v>1000</v>
      </c>
      <c r="K234" s="11">
        <v>1100</v>
      </c>
      <c r="L234" s="11">
        <v>1200</v>
      </c>
      <c r="M234" s="11">
        <v>1300</v>
      </c>
      <c r="N234" s="11">
        <v>1400</v>
      </c>
      <c r="O234" s="11">
        <v>1500</v>
      </c>
      <c r="P234" s="11">
        <v>1600</v>
      </c>
      <c r="Q234" s="11">
        <v>1700</v>
      </c>
      <c r="R234" s="11">
        <v>1800</v>
      </c>
      <c r="S234" s="11">
        <v>1900</v>
      </c>
      <c r="T234" s="11">
        <v>2000</v>
      </c>
      <c r="U234" s="11">
        <v>2100</v>
      </c>
      <c r="V234" s="11">
        <v>2200</v>
      </c>
      <c r="W234" s="11">
        <v>2300</v>
      </c>
      <c r="X234" s="11">
        <v>2350</v>
      </c>
    </row>
    <row r="235" spans="1:26">
      <c r="A235" s="14"/>
      <c r="B235" s="35" t="s">
        <v>123</v>
      </c>
      <c r="C235" s="9">
        <f>0.758*0.797^2</f>
        <v>0.48148842200000003</v>
      </c>
      <c r="D235" s="9">
        <f>0.797*0.834^2</f>
        <v>0.55435813199999995</v>
      </c>
      <c r="E235" s="9">
        <f>0.905*0.924^2</f>
        <v>0.77266728000000007</v>
      </c>
      <c r="F235" s="9">
        <f>0.938*0.948^2</f>
        <v>0.84298435199999988</v>
      </c>
      <c r="G235" s="9">
        <f>0.954*0.961^2</f>
        <v>0.88103903399999994</v>
      </c>
      <c r="H235" s="9">
        <f>0.966*0.97^2</f>
        <v>0.90890939999999998</v>
      </c>
      <c r="I235" s="9">
        <f>0.968*0.977^2</f>
        <v>0.92398407199999999</v>
      </c>
      <c r="J235" s="9">
        <f>0.972*0.98^2</f>
        <v>0.93350879999999992</v>
      </c>
      <c r="K235" s="9">
        <f>0.975*0.982^2</f>
        <v>0.94021589999999999</v>
      </c>
      <c r="L235" s="9">
        <f>0.976*0.983^2</f>
        <v>0.94309806399999996</v>
      </c>
      <c r="M235" s="9">
        <f>0.979*0.984^2</f>
        <v>0.94792262399999994</v>
      </c>
      <c r="N235" s="9">
        <f>0.98*0.985^2</f>
        <v>0.95082049999999996</v>
      </c>
      <c r="O235" s="9">
        <f>0.981*0.986^2</f>
        <v>0.95372427599999998</v>
      </c>
      <c r="P235" s="9">
        <f>0.982*0.987^2</f>
        <v>0.95663395799999995</v>
      </c>
      <c r="Q235" s="9">
        <f>0.982*0.987^2</f>
        <v>0.95663395799999995</v>
      </c>
      <c r="R235" s="9">
        <f>0.983*0.987^2</f>
        <v>0.95760812699999998</v>
      </c>
      <c r="S235" s="9">
        <f>0.984*0.987^2</f>
        <v>0.95858229599999989</v>
      </c>
      <c r="T235" s="9">
        <f>0.984*0.986^2</f>
        <v>0.95664086399999992</v>
      </c>
      <c r="U235" s="9">
        <f>0.985*0.986^2</f>
        <v>0.9576130599999999</v>
      </c>
      <c r="V235" s="9">
        <f>0.985*0.986^2</f>
        <v>0.9576130599999999</v>
      </c>
      <c r="W235" s="9">
        <f>0.985*0.987^2</f>
        <v>0.95955646499999991</v>
      </c>
      <c r="X235" s="9">
        <f>0.985*0.97^2</f>
        <v>0.92678649999999996</v>
      </c>
    </row>
    <row r="236" spans="1:26"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8" spans="1:26">
      <c r="B238" s="5"/>
    </row>
    <row r="239" spans="1:26">
      <c r="B239" s="5"/>
      <c r="L239" s="54"/>
      <c r="N239" s="54"/>
      <c r="P239" s="54"/>
    </row>
    <row r="240" spans="1:26">
      <c r="B240" s="5"/>
      <c r="L240" s="54"/>
      <c r="N240" s="54"/>
      <c r="P240" s="54"/>
    </row>
    <row r="241" spans="2:16">
      <c r="K241" s="16"/>
      <c r="L241" s="101"/>
      <c r="M241" s="16"/>
      <c r="N241" s="101"/>
      <c r="O241" s="16"/>
      <c r="P241" s="101"/>
    </row>
    <row r="242" spans="2:16">
      <c r="B242" s="5"/>
      <c r="L242" s="54"/>
      <c r="N242" s="54"/>
      <c r="P242" s="54"/>
    </row>
    <row r="243" spans="2:16">
      <c r="B243" s="5"/>
      <c r="L243" s="54"/>
      <c r="N243" s="54"/>
      <c r="P243" s="54"/>
    </row>
    <row r="244" spans="2:16">
      <c r="B244" s="5"/>
      <c r="C244" s="16"/>
    </row>
    <row r="245" spans="2:16">
      <c r="B245" s="5"/>
      <c r="L245" s="54"/>
      <c r="N245" s="54"/>
      <c r="P245" s="54"/>
    </row>
    <row r="246" spans="2:16">
      <c r="B246" s="5"/>
      <c r="L246" s="54"/>
      <c r="N246" s="54"/>
      <c r="P246" s="54"/>
    </row>
    <row r="247" spans="2:16">
      <c r="C247" s="101"/>
    </row>
    <row r="248" spans="2:16">
      <c r="B248" s="5"/>
      <c r="L248" s="54"/>
      <c r="N248" s="54"/>
      <c r="P248" s="54"/>
    </row>
    <row r="249" spans="2:16">
      <c r="B249" s="5"/>
      <c r="L249" s="54"/>
      <c r="N249" s="54"/>
      <c r="P249" s="54"/>
    </row>
    <row r="250" spans="2:16">
      <c r="B250" s="5"/>
      <c r="C250" s="16"/>
    </row>
    <row r="251" spans="2:16">
      <c r="B251" s="5"/>
      <c r="L251" s="54"/>
      <c r="N251" s="54"/>
      <c r="P251" s="54"/>
    </row>
    <row r="252" spans="2:16">
      <c r="B252" s="5"/>
      <c r="L252" s="54"/>
      <c r="N252" s="54"/>
      <c r="P252" s="54"/>
    </row>
    <row r="253" spans="2:16">
      <c r="C253" s="101"/>
    </row>
    <row r="254" spans="2:16">
      <c r="B254" s="5"/>
      <c r="L254" s="54"/>
      <c r="N254" s="54"/>
      <c r="P254" s="54"/>
    </row>
    <row r="255" spans="2:16">
      <c r="B255" s="5"/>
      <c r="L255" s="54"/>
      <c r="N255" s="54"/>
      <c r="P255" s="54"/>
    </row>
    <row r="256" spans="2:16">
      <c r="B256" s="5"/>
      <c r="C256" s="16"/>
    </row>
    <row r="257" spans="2:16">
      <c r="B257" s="5"/>
      <c r="L257" s="54"/>
      <c r="N257" s="54"/>
      <c r="P257" s="54"/>
    </row>
    <row r="258" spans="2:16">
      <c r="B258" s="5"/>
      <c r="L258" s="54"/>
      <c r="N258" s="54"/>
      <c r="P258" s="54"/>
    </row>
    <row r="259" spans="2:16">
      <c r="C259" s="101"/>
    </row>
    <row r="260" spans="2:16">
      <c r="B260" s="5"/>
      <c r="L260" s="54"/>
      <c r="N260" s="54"/>
      <c r="P260" s="54"/>
    </row>
    <row r="261" spans="2:16">
      <c r="B261" s="5"/>
      <c r="L261" s="54"/>
      <c r="N261" s="54"/>
      <c r="P261" s="54"/>
    </row>
    <row r="262" spans="2:16">
      <c r="B262" s="5"/>
    </row>
    <row r="263" spans="2:16">
      <c r="B263" s="5"/>
      <c r="L263" s="54"/>
      <c r="N263" s="54"/>
      <c r="P263" s="54"/>
    </row>
    <row r="264" spans="2:16">
      <c r="B264" s="5"/>
      <c r="L264" s="54"/>
      <c r="N264" s="54"/>
      <c r="P264" s="54"/>
    </row>
    <row r="266" spans="2:16">
      <c r="B266" s="5"/>
      <c r="L266" s="54"/>
      <c r="N266" s="54"/>
      <c r="P266" s="54"/>
    </row>
    <row r="267" spans="2:16">
      <c r="B267" s="5"/>
      <c r="L267" s="54"/>
      <c r="N267" s="54"/>
      <c r="P267" s="54"/>
    </row>
    <row r="268" spans="2:16">
      <c r="B268" s="5"/>
    </row>
    <row r="269" spans="2:16">
      <c r="B269" s="5"/>
      <c r="L269" s="54"/>
      <c r="N269" s="54"/>
      <c r="P269" s="54"/>
    </row>
    <row r="270" spans="2:16">
      <c r="B270" s="5"/>
      <c r="L270" s="54"/>
      <c r="N270" s="54"/>
      <c r="P270" s="54"/>
    </row>
    <row r="272" spans="2:16">
      <c r="B272" s="5"/>
      <c r="L272" s="54"/>
      <c r="N272" s="54"/>
      <c r="P272" s="54"/>
    </row>
    <row r="273" spans="2:16">
      <c r="B273" s="5"/>
      <c r="L273" s="54"/>
      <c r="N273" s="54"/>
      <c r="P273" s="54"/>
    </row>
    <row r="274" spans="2:16">
      <c r="B274" s="5"/>
    </row>
    <row r="275" spans="2:16">
      <c r="B275" s="5"/>
      <c r="L275" s="54"/>
      <c r="N275" s="54"/>
      <c r="P275" s="54"/>
    </row>
    <row r="276" spans="2:16">
      <c r="B276" s="5"/>
      <c r="L276" s="54"/>
      <c r="N276" s="54"/>
      <c r="P276" s="54"/>
    </row>
  </sheetData>
  <phoneticPr fontId="17" type="noConversion"/>
  <pageMargins left="0.75" right="0.75" top="1" bottom="1" header="0.5" footer="0.5"/>
  <pageSetup paperSize="9" orientation="portrait" horizontalDpi="4294967292" verticalDpi="4294967292"/>
  <ignoredErrors>
    <ignoredError sqref="E157" formula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02"/>
  <sheetViews>
    <sheetView topLeftCell="A76" workbookViewId="0">
      <selection activeCell="B99" sqref="B99"/>
    </sheetView>
  </sheetViews>
  <sheetFormatPr baseColWidth="10" defaultRowHeight="15" x14ac:dyDescent="0"/>
  <cols>
    <col min="1" max="1" width="14.1640625" style="5" customWidth="1"/>
    <col min="2" max="5" width="8.83203125" style="5" customWidth="1"/>
    <col min="6" max="6" width="8.83203125" style="52" customWidth="1"/>
    <col min="7" max="15" width="10.83203125" style="56"/>
    <col min="16" max="16384" width="10.83203125" style="5"/>
  </cols>
  <sheetData>
    <row r="2" spans="1:16">
      <c r="A2" s="3" t="s">
        <v>71</v>
      </c>
    </row>
    <row r="4" spans="1:16">
      <c r="A4" s="31" t="s">
        <v>87</v>
      </c>
    </row>
    <row r="5" spans="1:16">
      <c r="A5" s="15" t="s">
        <v>6</v>
      </c>
      <c r="B5" s="47">
        <v>385</v>
      </c>
      <c r="C5" s="30">
        <v>400</v>
      </c>
      <c r="D5" s="30">
        <v>468.5</v>
      </c>
      <c r="E5" s="30">
        <v>510</v>
      </c>
      <c r="F5" s="71">
        <v>552</v>
      </c>
    </row>
    <row r="6" spans="1:16">
      <c r="A6" s="15" t="s">
        <v>5</v>
      </c>
      <c r="B6" s="48">
        <f>'Individual components'!C7</f>
        <v>0.77361957225853306</v>
      </c>
      <c r="C6" s="18">
        <f>'Individual components'!D7</f>
        <v>0.83587220172409737</v>
      </c>
      <c r="D6" s="18">
        <f>('Individual components'!E7-'Individual components'!D7)/('Individual components'!E6-'Individual components'!D6)*(D5-'Individual components'!D6)+'Individual components'!D7</f>
        <v>0.84794768101032836</v>
      </c>
      <c r="E6" s="18">
        <f>('Individual components'!F7-'Individual components'!E7)/('Individual components'!F6-'Individual components'!E6)*(E5-'Individual components'!E6)+'Individual components'!E7</f>
        <v>0.85403938190520434</v>
      </c>
      <c r="F6" s="53">
        <f>('Individual components'!F7-'Individual components'!E7)/('Individual components'!F6-'Individual components'!E6)*(F5-'Individual components'!E6)+'Individual components'!E7</f>
        <v>0.8563021036261893</v>
      </c>
      <c r="L6" s="57"/>
      <c r="M6" s="57"/>
      <c r="N6" s="57"/>
      <c r="P6" s="18"/>
    </row>
    <row r="7" spans="1:16">
      <c r="A7" s="15" t="s">
        <v>7</v>
      </c>
      <c r="B7" s="48">
        <f>'Individual components'!C10</f>
        <v>0.94089999999999996</v>
      </c>
      <c r="C7" s="18">
        <f>'Individual components'!D10</f>
        <v>0.94089999999999996</v>
      </c>
      <c r="D7" s="18">
        <f>'Individual components'!E10</f>
        <v>0.94089999999999996</v>
      </c>
      <c r="E7" s="18">
        <f>'Individual components'!F10</f>
        <v>0.94089999999999996</v>
      </c>
      <c r="F7" s="53">
        <f>'Individual components'!G10</f>
        <v>0.94089999999999996</v>
      </c>
      <c r="L7" s="57"/>
      <c r="M7" s="57"/>
      <c r="N7" s="57"/>
      <c r="P7" s="18"/>
    </row>
    <row r="8" spans="1:16">
      <c r="A8" s="15" t="s">
        <v>27</v>
      </c>
      <c r="B8" s="48">
        <f>'Individual components'!C76</f>
        <v>0.98499999999999999</v>
      </c>
      <c r="C8" s="18">
        <f>'Individual components'!D76</f>
        <v>0.98499999999999999</v>
      </c>
      <c r="D8" s="18">
        <f>'Individual components'!E76</f>
        <v>0.98499999999999999</v>
      </c>
      <c r="E8" s="18">
        <f>'Individual components'!F76</f>
        <v>0.98499999999999999</v>
      </c>
      <c r="F8" s="53">
        <f>'Individual components'!G76</f>
        <v>0.98499999999999999</v>
      </c>
      <c r="L8" s="57"/>
      <c r="M8" s="57"/>
      <c r="N8" s="57"/>
      <c r="P8" s="18"/>
    </row>
    <row r="9" spans="1:16">
      <c r="A9" s="15" t="s">
        <v>8</v>
      </c>
      <c r="B9" s="48">
        <f>'Individual components'!C13</f>
        <v>0.96039999999999992</v>
      </c>
      <c r="C9" s="18">
        <f>'Individual components'!D13</f>
        <v>0.96039999999999992</v>
      </c>
      <c r="D9" s="18">
        <f>'Individual components'!E13</f>
        <v>0.96039999999999992</v>
      </c>
      <c r="E9" s="18">
        <f>'Individual components'!F13</f>
        <v>0.96039999999999992</v>
      </c>
      <c r="F9" s="53">
        <f>'Individual components'!G13</f>
        <v>0.96039999999999992</v>
      </c>
      <c r="L9" s="57"/>
      <c r="M9" s="57"/>
      <c r="N9" s="57"/>
      <c r="P9" s="18"/>
    </row>
    <row r="10" spans="1:16">
      <c r="A10" s="15" t="s">
        <v>85</v>
      </c>
      <c r="B10" s="48">
        <f>'Individual components'!C16</f>
        <v>0.57999999999999996</v>
      </c>
      <c r="C10" s="18">
        <f>'Individual components'!D16</f>
        <v>0.8</v>
      </c>
      <c r="D10" s="18">
        <f>'Individual components'!E16</f>
        <v>0.95</v>
      </c>
      <c r="E10" s="18">
        <f>'Individual components'!F16</f>
        <v>0.95</v>
      </c>
      <c r="F10" s="53">
        <f>'Individual components'!G16</f>
        <v>0.95</v>
      </c>
      <c r="L10" s="57"/>
      <c r="M10" s="57"/>
      <c r="N10" s="57"/>
      <c r="P10" s="18"/>
    </row>
    <row r="11" spans="1:16">
      <c r="A11" s="15" t="s">
        <v>86</v>
      </c>
      <c r="B11" s="49">
        <f>'Individual components'!C115</f>
        <v>0.74473076878199995</v>
      </c>
      <c r="C11" s="40">
        <f>'Individual components'!D115</f>
        <v>0.83734472336129984</v>
      </c>
      <c r="D11" s="40">
        <f>'Individual components'!E115</f>
        <v>0.89367692253840003</v>
      </c>
      <c r="E11" s="40">
        <f>'Individual components'!F115</f>
        <v>0.90990823416569988</v>
      </c>
      <c r="F11" s="72">
        <f>'Individual components'!G115</f>
        <v>0.91563693238709987</v>
      </c>
      <c r="L11" s="57"/>
      <c r="M11" s="57"/>
      <c r="N11" s="57"/>
      <c r="P11" s="18"/>
    </row>
    <row r="12" spans="1:16">
      <c r="A12" s="15" t="s">
        <v>91</v>
      </c>
      <c r="B12" s="48">
        <f>'Individual components'!C82</f>
        <v>0.98499999999999999</v>
      </c>
      <c r="C12" s="40">
        <f>'Individual components'!D82</f>
        <v>0.98499999999999999</v>
      </c>
      <c r="D12" s="40">
        <f>'Individual components'!E82</f>
        <v>0.98499999999999999</v>
      </c>
      <c r="E12" s="40">
        <f>'Individual components'!F82</f>
        <v>0.98499999999999999</v>
      </c>
      <c r="F12" s="72">
        <f>'Individual components'!G82</f>
        <v>0.98499999999999999</v>
      </c>
      <c r="L12" s="57"/>
      <c r="M12" s="57"/>
      <c r="N12" s="57"/>
      <c r="P12" s="18"/>
    </row>
    <row r="13" spans="1:16">
      <c r="A13" s="15" t="s">
        <v>92</v>
      </c>
      <c r="B13" s="48">
        <f>'Individual components'!C19</f>
        <v>0.98</v>
      </c>
      <c r="C13" s="40">
        <f>'Individual components'!D19</f>
        <v>0.98</v>
      </c>
      <c r="D13" s="40">
        <f>'Individual components'!E19</f>
        <v>0.98</v>
      </c>
      <c r="E13" s="40">
        <f>'Individual components'!F19</f>
        <v>0.98</v>
      </c>
      <c r="F13" s="72">
        <f>'Individual components'!G19</f>
        <v>0.98</v>
      </c>
      <c r="L13" s="57"/>
      <c r="M13" s="57"/>
      <c r="N13" s="57"/>
      <c r="P13" s="18"/>
    </row>
    <row r="14" spans="1:16">
      <c r="A14" s="15" t="s">
        <v>93</v>
      </c>
      <c r="B14" s="48">
        <f>'Individual components'!C88</f>
        <v>0.98499999999999999</v>
      </c>
      <c r="C14" s="40">
        <f>'Individual components'!D88</f>
        <v>0.98499999999999999</v>
      </c>
      <c r="D14" s="40">
        <f>'Individual components'!E88</f>
        <v>0.98499999999999999</v>
      </c>
      <c r="E14" s="40">
        <f>'Individual components'!F88</f>
        <v>0.98499999999999999</v>
      </c>
      <c r="F14" s="72">
        <f>'Individual components'!G88</f>
        <v>0.98499999999999999</v>
      </c>
      <c r="L14" s="57"/>
      <c r="M14" s="57"/>
      <c r="N14" s="57"/>
      <c r="P14" s="18"/>
    </row>
    <row r="15" spans="1:16">
      <c r="A15" s="15" t="s">
        <v>94</v>
      </c>
      <c r="B15" s="48">
        <f>'Individual components'!C28</f>
        <v>0.98</v>
      </c>
      <c r="C15" s="40">
        <f>'Individual components'!D28</f>
        <v>0.98</v>
      </c>
      <c r="D15" s="40">
        <f>'Individual components'!E28</f>
        <v>0.98</v>
      </c>
      <c r="E15" s="40">
        <f>'Individual components'!F28</f>
        <v>0.98</v>
      </c>
      <c r="F15" s="72">
        <f>'Individual components'!G28</f>
        <v>0.98</v>
      </c>
      <c r="L15" s="57"/>
      <c r="M15" s="57"/>
      <c r="N15" s="57"/>
      <c r="P15" s="18"/>
    </row>
    <row r="16" spans="1:16">
      <c r="A16" s="15" t="s">
        <v>153</v>
      </c>
      <c r="B16" s="48">
        <f>'Individual components'!C175</f>
        <v>0</v>
      </c>
      <c r="C16" s="18">
        <f>'Individual components'!D175</f>
        <v>0.96899999999999997</v>
      </c>
      <c r="D16" s="18">
        <f>'Individual components'!E175</f>
        <v>0.97899999999999998</v>
      </c>
      <c r="E16" s="18">
        <f>'Individual components'!F175</f>
        <v>0.95599999999999996</v>
      </c>
      <c r="F16" s="53">
        <f>'Individual components'!G175</f>
        <v>0.94599999999999995</v>
      </c>
    </row>
    <row r="17" spans="1:16">
      <c r="A17" s="15" t="s">
        <v>95</v>
      </c>
      <c r="B17" s="48">
        <f>'Individual components'!C127</f>
        <v>0.85852335713930328</v>
      </c>
      <c r="C17" s="18">
        <f>'Individual components'!D127</f>
        <v>0.88742045167927985</v>
      </c>
      <c r="D17" s="18">
        <f>'Individual components'!E127</f>
        <v>0.90606373847926469</v>
      </c>
      <c r="E17" s="18">
        <f>'Individual components'!F127</f>
        <v>0.91538538187925711</v>
      </c>
      <c r="F17" s="53">
        <f>'Individual components'!G127</f>
        <v>0.91724971055925564</v>
      </c>
      <c r="L17" s="57"/>
      <c r="M17" s="57"/>
      <c r="N17" s="57"/>
      <c r="P17" s="18"/>
    </row>
    <row r="18" spans="1:16">
      <c r="A18" s="15" t="s">
        <v>149</v>
      </c>
      <c r="B18" s="48">
        <f>'Individual components'!C199</f>
        <v>0.99002500000000004</v>
      </c>
      <c r="C18" s="18">
        <f>'Individual components'!D199</f>
        <v>0.99002500000000004</v>
      </c>
      <c r="D18" s="18">
        <f>'Individual components'!E199</f>
        <v>0.99002500000000004</v>
      </c>
      <c r="E18" s="18">
        <f>'Individual components'!F199</f>
        <v>0.99002500000000004</v>
      </c>
      <c r="F18" s="53">
        <f>'Individual components'!G199</f>
        <v>0.99002500000000004</v>
      </c>
      <c r="L18" s="57"/>
      <c r="M18" s="57"/>
      <c r="N18" s="57"/>
      <c r="P18" s="18"/>
    </row>
    <row r="19" spans="1:16">
      <c r="A19" s="15" t="s">
        <v>96</v>
      </c>
      <c r="B19" s="48">
        <f>'Individual components'!C211</f>
        <v>0.82699999999999996</v>
      </c>
      <c r="C19" s="18">
        <f>'Individual components'!D211</f>
        <v>0.9</v>
      </c>
      <c r="D19" s="18">
        <f>'Individual components'!E211</f>
        <v>0.90200000000000002</v>
      </c>
      <c r="E19" s="18">
        <f>'Individual components'!F211</f>
        <v>0.88600000000000001</v>
      </c>
      <c r="F19" s="53">
        <f>'Individual components'!G211</f>
        <v>0.88800000000000001</v>
      </c>
      <c r="L19" s="57"/>
      <c r="M19" s="57"/>
      <c r="N19" s="57"/>
      <c r="P19" s="18"/>
    </row>
    <row r="20" spans="1:16">
      <c r="A20" s="10" t="s">
        <v>124</v>
      </c>
      <c r="B20" s="50">
        <f>B6*B7*B8*B9*B10*B11*B12*B13*B14*B15*B16*B17*B18*B19</f>
        <v>0</v>
      </c>
      <c r="C20" s="29">
        <f>C6*C7*C8*C9*C10*C11*C12*C13*C14*C15*C16*C17*C18*C19</f>
        <v>0.35582175821292578</v>
      </c>
      <c r="D20" s="29">
        <f t="shared" ref="D20:E20" si="0">D6*D7*D8*D9*D10*D11*D12*D13*D14*D15*D16*D17*D18*D19</f>
        <v>0.47295934276170654</v>
      </c>
      <c r="E20" s="29">
        <f t="shared" si="0"/>
        <v>0.46999940616603425</v>
      </c>
      <c r="F20" s="73">
        <f>F6*F7*F8*F9*F10*F11*F12*F13*F14*F15*F16*F17*F18*F19</f>
        <v>0.47126829997589431</v>
      </c>
      <c r="G20" s="57"/>
      <c r="H20" s="58"/>
      <c r="I20" s="58"/>
      <c r="J20" s="58"/>
      <c r="L20" s="57"/>
      <c r="M20" s="57"/>
      <c r="N20" s="57"/>
      <c r="O20" s="58"/>
      <c r="P20" s="18"/>
    </row>
    <row r="21" spans="1:16">
      <c r="A21" s="15" t="s">
        <v>126</v>
      </c>
      <c r="B21" s="48">
        <f>'Individual components'!C235</f>
        <v>0.48148842200000003</v>
      </c>
      <c r="C21" s="36">
        <f>'Individual components'!D235</f>
        <v>0.55435813199999995</v>
      </c>
      <c r="D21" s="36">
        <f>('Individual components'!E235-'Individual components'!D235)/('Individual components'!E234-'Individual components'!D234)*(D5-'Individual components'!D234)+'Individual components'!D235</f>
        <v>0.70389989838</v>
      </c>
      <c r="E21" s="36">
        <f>'Individual components'!E235</f>
        <v>0.77266728000000007</v>
      </c>
      <c r="F21" s="74">
        <f>('Individual components'!F235-'Individual components'!E235)/('Individual components'!F234-'Individual components'!E234)*(F5-'Individual components'!E234)+'Individual components'!E235</f>
        <v>0.80923215743999999</v>
      </c>
      <c r="G21" s="57"/>
      <c r="H21" s="58"/>
      <c r="I21" s="58"/>
      <c r="J21" s="58"/>
      <c r="L21" s="57"/>
      <c r="M21" s="57"/>
      <c r="N21" s="57"/>
      <c r="O21" s="58"/>
      <c r="P21" s="18"/>
    </row>
    <row r="22" spans="1:16">
      <c r="A22" s="10" t="s">
        <v>125</v>
      </c>
      <c r="B22" s="50">
        <f>B20*B21</f>
        <v>0</v>
      </c>
      <c r="C22" s="29">
        <f t="shared" ref="C22:F22" si="1">C20*C21</f>
        <v>0.19725268520787317</v>
      </c>
      <c r="D22" s="29">
        <f t="shared" si="1"/>
        <v>0.33291603330783681</v>
      </c>
      <c r="E22" s="29">
        <f t="shared" si="1"/>
        <v>0.36315316276392495</v>
      </c>
      <c r="F22" s="73">
        <f t="shared" si="1"/>
        <v>0.38136546312257402</v>
      </c>
    </row>
    <row r="23" spans="1:16">
      <c r="A23" s="37"/>
    </row>
    <row r="24" spans="1:16">
      <c r="A24" s="32" t="s">
        <v>88</v>
      </c>
    </row>
    <row r="25" spans="1:16">
      <c r="A25" s="15" t="s">
        <v>6</v>
      </c>
      <c r="B25" s="30">
        <v>552</v>
      </c>
      <c r="C25" s="30">
        <v>580</v>
      </c>
      <c r="D25" s="30">
        <v>622</v>
      </c>
      <c r="E25" s="30">
        <v>650</v>
      </c>
      <c r="F25" s="71">
        <v>691</v>
      </c>
      <c r="M25" s="57"/>
    </row>
    <row r="26" spans="1:16">
      <c r="A26" s="15" t="s">
        <v>5</v>
      </c>
      <c r="B26" s="18">
        <f>('Individual components'!F7-'Individual components'!E7)/('Individual components'!F6-'Individual components'!E6)*(B25-'Individual components'!E6)+'Individual components'!E7</f>
        <v>0.8563021036261893</v>
      </c>
      <c r="C26" s="18">
        <f>('Individual components'!F7-'Individual components'!E7)/('Individual components'!F6-'Individual components'!E6)*(C25-'Individual components'!E6)+'Individual components'!E7</f>
        <v>0.85781058477351257</v>
      </c>
      <c r="D26" s="18">
        <f>('Individual components'!G7-'Individual components'!F7)/('Individual components'!G6-'Individual components'!F6)*(D25-'Individual components'!F6)+'Individual components'!F7</f>
        <v>0.85853565252275632</v>
      </c>
      <c r="E26" s="18">
        <f>('Individual components'!G7-'Individual components'!F7)/('Individual components'!G6-'Individual components'!F6)*(E25-'Individual components'!F6)+'Individual components'!F7</f>
        <v>0.85808711952422723</v>
      </c>
      <c r="F26" s="53">
        <f>('Individual components'!G7-'Individual components'!F7)/('Individual components'!G6-'Individual components'!F6)*(F25-'Individual components'!F6)+'Individual components'!F7</f>
        <v>0.85743033906209531</v>
      </c>
      <c r="L26" s="57"/>
      <c r="M26" s="57"/>
      <c r="N26" s="57"/>
      <c r="P26" s="18"/>
    </row>
    <row r="27" spans="1:16">
      <c r="A27" s="15" t="s">
        <v>7</v>
      </c>
      <c r="B27" s="18">
        <f>'Individual components'!E10</f>
        <v>0.94089999999999996</v>
      </c>
      <c r="C27" s="18">
        <f>'Individual components'!F10</f>
        <v>0.94089999999999996</v>
      </c>
      <c r="D27" s="18">
        <f>'Individual components'!G10</f>
        <v>0.94089999999999996</v>
      </c>
      <c r="E27" s="18">
        <f>'Individual components'!H10</f>
        <v>0.94089999999999996</v>
      </c>
      <c r="F27" s="53">
        <f>'Individual components'!I10</f>
        <v>0.94089999999999996</v>
      </c>
      <c r="L27" s="57"/>
      <c r="M27" s="57"/>
      <c r="N27" s="57"/>
      <c r="P27" s="18"/>
    </row>
    <row r="28" spans="1:16">
      <c r="A28" s="15" t="s">
        <v>27</v>
      </c>
      <c r="B28" s="18">
        <f>'Individual components'!G76</f>
        <v>0.98499999999999999</v>
      </c>
      <c r="C28" s="18">
        <f>'Individual components'!H76</f>
        <v>0.98499999999999999</v>
      </c>
      <c r="D28" s="18">
        <f>'Individual components'!I76</f>
        <v>0.98499999999999999</v>
      </c>
      <c r="E28" s="18">
        <f>'Individual components'!J76</f>
        <v>0.98499999999999999</v>
      </c>
      <c r="F28" s="53">
        <f>'Individual components'!K76</f>
        <v>0.98499999999999999</v>
      </c>
      <c r="L28" s="57"/>
      <c r="M28" s="57"/>
      <c r="N28" s="57"/>
      <c r="P28" s="18"/>
    </row>
    <row r="29" spans="1:16">
      <c r="A29" s="15" t="s">
        <v>8</v>
      </c>
      <c r="B29" s="18">
        <f>'Individual components'!G13</f>
        <v>0.96039999999999992</v>
      </c>
      <c r="C29" s="18">
        <f>'Individual components'!H13</f>
        <v>0.96039999999999992</v>
      </c>
      <c r="D29" s="18">
        <f>'Individual components'!I13</f>
        <v>0.96039999999999992</v>
      </c>
      <c r="E29" s="18">
        <f>'Individual components'!J13</f>
        <v>0.96039999999999992</v>
      </c>
      <c r="F29" s="53">
        <f>'Individual components'!K13</f>
        <v>0.96039999999999992</v>
      </c>
      <c r="L29" s="57"/>
      <c r="M29" s="57"/>
      <c r="N29" s="57"/>
      <c r="P29" s="18"/>
    </row>
    <row r="30" spans="1:16">
      <c r="A30" s="15" t="s">
        <v>85</v>
      </c>
      <c r="B30" s="18">
        <f>'Individual components'!G16</f>
        <v>0.95</v>
      </c>
      <c r="C30" s="18">
        <f>'Individual components'!H16</f>
        <v>0.95</v>
      </c>
      <c r="D30" s="18">
        <f>'Individual components'!I16</f>
        <v>0.95</v>
      </c>
      <c r="E30" s="18">
        <f>'Individual components'!J16</f>
        <v>0.95</v>
      </c>
      <c r="F30" s="53">
        <f>'Individual components'!K16</f>
        <v>0.95</v>
      </c>
      <c r="L30" s="57"/>
      <c r="M30" s="57"/>
      <c r="N30" s="57"/>
      <c r="P30" s="18"/>
    </row>
    <row r="31" spans="1:16">
      <c r="A31" s="15" t="s">
        <v>86</v>
      </c>
      <c r="B31" s="18">
        <f>'Individual components'!G115</f>
        <v>0.91563693238709987</v>
      </c>
      <c r="C31" s="18">
        <f>'Individual components'!H115</f>
        <v>0.91754649846089986</v>
      </c>
      <c r="D31" s="18">
        <f>'Individual components'!I115</f>
        <v>0.91659171542399998</v>
      </c>
      <c r="E31" s="18">
        <f>'Individual components'!J115</f>
        <v>0.91563693238709987</v>
      </c>
      <c r="F31" s="53">
        <f>'Individual components'!K115</f>
        <v>0.91563693238709987</v>
      </c>
      <c r="L31" s="57"/>
      <c r="M31" s="57"/>
      <c r="N31" s="57"/>
      <c r="P31" s="18"/>
    </row>
    <row r="32" spans="1:16">
      <c r="A32" s="15" t="s">
        <v>91</v>
      </c>
      <c r="B32" s="18">
        <f>'Individual components'!G82</f>
        <v>0.98499999999999999</v>
      </c>
      <c r="C32" s="18">
        <f>'Individual components'!H82</f>
        <v>0.98499999999999999</v>
      </c>
      <c r="D32" s="18">
        <f>'Individual components'!I82</f>
        <v>0.98499999999999999</v>
      </c>
      <c r="E32" s="18">
        <f>'Individual components'!J82</f>
        <v>0.98499999999999999</v>
      </c>
      <c r="F32" s="53">
        <f>'Individual components'!K82</f>
        <v>0.98499999999999999</v>
      </c>
      <c r="L32" s="57"/>
      <c r="M32" s="57"/>
      <c r="N32" s="57"/>
      <c r="P32" s="18"/>
    </row>
    <row r="33" spans="1:16">
      <c r="A33" s="15" t="s">
        <v>92</v>
      </c>
      <c r="B33" s="18">
        <f>'Individual components'!G19</f>
        <v>0.98</v>
      </c>
      <c r="C33" s="18">
        <f>'Individual components'!H19</f>
        <v>0.98</v>
      </c>
      <c r="D33" s="18">
        <f>'Individual components'!I19</f>
        <v>0.98</v>
      </c>
      <c r="E33" s="18">
        <f>'Individual components'!J19</f>
        <v>0.98</v>
      </c>
      <c r="F33" s="53">
        <f>'Individual components'!K19</f>
        <v>0.98</v>
      </c>
      <c r="L33" s="57"/>
      <c r="M33" s="57"/>
      <c r="N33" s="57"/>
      <c r="P33" s="18"/>
    </row>
    <row r="34" spans="1:16">
      <c r="A34" s="15" t="s">
        <v>97</v>
      </c>
      <c r="B34" s="18">
        <f>'Individual components'!C85</f>
        <v>0.93099999999999994</v>
      </c>
      <c r="C34" s="18">
        <f>'Individual components'!D85</f>
        <v>0.93099999999999994</v>
      </c>
      <c r="D34" s="18">
        <f>'Individual components'!E85</f>
        <v>0.93099999999999994</v>
      </c>
      <c r="E34" s="18">
        <f>'Individual components'!F85</f>
        <v>0.93099999999999994</v>
      </c>
      <c r="F34" s="53">
        <f>'Individual components'!G85</f>
        <v>0.93099999999999994</v>
      </c>
      <c r="L34" s="57"/>
      <c r="M34" s="57"/>
      <c r="N34" s="57"/>
      <c r="P34" s="18"/>
    </row>
    <row r="35" spans="1:16">
      <c r="A35" s="15" t="s">
        <v>98</v>
      </c>
      <c r="B35" s="18">
        <f>'Individual components'!C31</f>
        <v>0.96</v>
      </c>
      <c r="C35" s="18">
        <f>'Individual components'!D31</f>
        <v>0.96</v>
      </c>
      <c r="D35" s="18">
        <f>'Individual components'!E31</f>
        <v>0.96</v>
      </c>
      <c r="E35" s="18">
        <f>'Individual components'!F31</f>
        <v>0.96</v>
      </c>
      <c r="F35" s="53">
        <f>'Individual components'!G31</f>
        <v>0.96</v>
      </c>
      <c r="L35" s="57"/>
      <c r="M35" s="57"/>
      <c r="N35" s="57"/>
      <c r="P35" s="18"/>
    </row>
    <row r="36" spans="1:16">
      <c r="A36" s="15" t="s">
        <v>99</v>
      </c>
      <c r="B36" s="18">
        <f>'Individual components'!C34</f>
        <v>0.96</v>
      </c>
      <c r="C36" s="18">
        <f>'Individual components'!D34</f>
        <v>0.96</v>
      </c>
      <c r="D36" s="18">
        <f>'Individual components'!E34</f>
        <v>0.96</v>
      </c>
      <c r="E36" s="18">
        <f>'Individual components'!F34</f>
        <v>0.96</v>
      </c>
      <c r="F36" s="53">
        <f>'Individual components'!G34</f>
        <v>0.96</v>
      </c>
      <c r="L36" s="57"/>
      <c r="M36" s="57"/>
      <c r="N36" s="57"/>
      <c r="P36" s="18"/>
    </row>
    <row r="37" spans="1:16">
      <c r="A37" s="15" t="s">
        <v>100</v>
      </c>
      <c r="B37" s="18">
        <f>'Individual components'!C130</f>
        <v>0.89674209507927227</v>
      </c>
      <c r="C37" s="18">
        <f>'Individual components'!D130</f>
        <v>0.90047075243926922</v>
      </c>
      <c r="D37" s="18">
        <f>'Individual components'!E130</f>
        <v>0.90047075243926922</v>
      </c>
      <c r="E37" s="18">
        <f>'Individual components'!F130</f>
        <v>0.89953858809927001</v>
      </c>
      <c r="F37" s="53">
        <f>'Individual components'!G130</f>
        <v>0.90047075243926922</v>
      </c>
      <c r="L37" s="57"/>
      <c r="M37" s="57"/>
      <c r="N37" s="57"/>
      <c r="P37" s="18"/>
    </row>
    <row r="38" spans="1:16">
      <c r="A38" s="15" t="s">
        <v>150</v>
      </c>
      <c r="B38" s="18">
        <f>'Individual components'!C202</f>
        <v>0.97799999999999998</v>
      </c>
      <c r="C38" s="18">
        <f>'Individual components'!D202</f>
        <v>0.99</v>
      </c>
      <c r="D38" s="18">
        <f>'Individual components'!E202</f>
        <v>0.98799999999999999</v>
      </c>
      <c r="E38" s="18">
        <f>'Individual components'!F202</f>
        <v>0.98499999999999999</v>
      </c>
      <c r="F38" s="53">
        <f>'Individual components'!G202</f>
        <v>0.97599999999999998</v>
      </c>
      <c r="L38" s="57"/>
      <c r="M38" s="57"/>
      <c r="N38" s="57"/>
      <c r="P38" s="18"/>
    </row>
    <row r="39" spans="1:16">
      <c r="A39" s="15" t="s">
        <v>101</v>
      </c>
      <c r="B39" s="18">
        <f>'Individual components'!C214</f>
        <v>0.92100000000000004</v>
      </c>
      <c r="C39" s="18">
        <f>'Individual components'!D214</f>
        <v>0.92500000000000004</v>
      </c>
      <c r="D39" s="18">
        <f>'Individual components'!E214</f>
        <v>0.91200000000000003</v>
      </c>
      <c r="E39" s="18">
        <f>'Individual components'!F214</f>
        <v>0.89200000000000002</v>
      </c>
      <c r="F39" s="53">
        <f>'Individual components'!G214</f>
        <v>0.85099999999999998</v>
      </c>
      <c r="L39" s="57"/>
      <c r="M39" s="57"/>
      <c r="N39" s="57"/>
      <c r="P39" s="18"/>
    </row>
    <row r="40" spans="1:16">
      <c r="A40" s="10" t="s">
        <v>40</v>
      </c>
      <c r="B40" s="29">
        <f>B26*B27*B28*B29*B30*B31*B32*B33*B34*B35*B36*B37*B38*B39</f>
        <v>0.44353333248940763</v>
      </c>
      <c r="C40" s="29">
        <f>C26*C27*C28*C29*C30*C31*C32*C33*C34*C35*C36*C37*C38*C39</f>
        <v>0.45454400131011252</v>
      </c>
      <c r="D40" s="29">
        <f>D26*D27*D28*D29*D30*D31*D32*D33*D34*D35*D36*D37*D38*D39</f>
        <v>0.44716269577830131</v>
      </c>
      <c r="E40" s="29">
        <f>E26*E27*E28*E29*E30*E31*E32*E33*E34*E35*E36*E37*E38*E39</f>
        <v>0.43489606366553918</v>
      </c>
      <c r="F40" s="73">
        <f>F26*F27*F28*F29*F30*F31*F32*F33*F34*F35*F36*F37*F38*F39</f>
        <v>0.41122645526258544</v>
      </c>
      <c r="G40" s="57"/>
      <c r="H40" s="58"/>
      <c r="I40" s="58"/>
      <c r="J40" s="58"/>
      <c r="L40" s="57"/>
      <c r="M40" s="57"/>
      <c r="N40" s="57"/>
      <c r="O40" s="58"/>
      <c r="P40" s="18"/>
    </row>
    <row r="41" spans="1:16">
      <c r="A41" s="15" t="s">
        <v>126</v>
      </c>
      <c r="B41" s="36">
        <f>('Individual components'!F235-'Individual components'!E235)/('Individual components'!F234-'Individual components'!E234)*(F5-'Individual components'!E234)+'Individual components'!E235</f>
        <v>0.80923215743999999</v>
      </c>
      <c r="C41" s="36">
        <f>('Individual components'!F235-'Individual components'!E235)/('Individual components'!F234-'Individual components'!E234)*(C25-'Individual components'!E234)+'Individual components'!E235</f>
        <v>0.82892093759999996</v>
      </c>
      <c r="D41" s="36">
        <f>('Individual components'!G235-'Individual components'!F235)/('Individual components'!G234-'Individual components'!F234)*(D25-'Individual components'!F234)+'Individual components'!F235</f>
        <v>0.85135638203999986</v>
      </c>
      <c r="E41" s="36">
        <f>('Individual components'!G235-'Individual components'!F235)/('Individual components'!G234-'Individual components'!F234)*(E25-'Individual components'!F234)+'Individual components'!F235</f>
        <v>0.86201169299999991</v>
      </c>
      <c r="F41" s="74">
        <f>('Individual components'!G235-'Individual components'!F235)/('Individual components'!G234-'Individual components'!F234)*(F25-'Individual components'!F234)+'Individual components'!F235</f>
        <v>0.87761411261999989</v>
      </c>
      <c r="G41" s="57"/>
      <c r="H41" s="58"/>
      <c r="I41" s="58"/>
      <c r="J41" s="58"/>
      <c r="L41" s="57"/>
      <c r="M41" s="57"/>
      <c r="N41" s="57"/>
      <c r="O41" s="58"/>
      <c r="P41" s="18"/>
    </row>
    <row r="42" spans="1:16">
      <c r="A42" s="10" t="s">
        <v>125</v>
      </c>
      <c r="B42" s="29">
        <f>B40*B41</f>
        <v>0.35892143554695616</v>
      </c>
      <c r="C42" s="29">
        <f t="shared" ref="C42" si="2">C40*C41</f>
        <v>0.37678103974643407</v>
      </c>
      <c r="D42" s="29">
        <f t="shared" ref="D42" si="3">D40*D41</f>
        <v>0.38069481486106771</v>
      </c>
      <c r="E42" s="29">
        <f t="shared" ref="E42" si="4">E40*E41</f>
        <v>0.37488549211936717</v>
      </c>
      <c r="F42" s="73">
        <f t="shared" ref="F42" si="5">F40*F41</f>
        <v>0.36089814062114201</v>
      </c>
    </row>
    <row r="43" spans="1:16">
      <c r="B43" s="29"/>
      <c r="C43" s="29"/>
      <c r="D43" s="29"/>
      <c r="E43" s="29"/>
      <c r="F43" s="73"/>
    </row>
    <row r="45" spans="1:16">
      <c r="A45" s="34" t="s">
        <v>89</v>
      </c>
    </row>
    <row r="46" spans="1:16">
      <c r="A46" s="15" t="s">
        <v>6</v>
      </c>
      <c r="B46" s="30">
        <v>691</v>
      </c>
      <c r="C46" s="30">
        <v>720</v>
      </c>
      <c r="D46" s="30">
        <v>755</v>
      </c>
      <c r="E46" s="30">
        <v>780</v>
      </c>
      <c r="F46" s="71">
        <v>818</v>
      </c>
      <c r="N46" s="57"/>
    </row>
    <row r="47" spans="1:16">
      <c r="A47" s="15" t="s">
        <v>5</v>
      </c>
      <c r="B47" s="18">
        <f>('Individual components'!G7-'Individual components'!F7)/('Individual components'!G6-'Individual components'!F6)*(B46-'Individual components'!F6)+'Individual components'!F7</f>
        <v>0.85743033906209531</v>
      </c>
      <c r="C47" s="18">
        <f>('Individual components'!H7-'Individual components'!G7)/('Individual components'!H6-'Individual components'!G6)*(C46-'Individual components'!G6)+'Individual components'!G7</f>
        <v>0.8583358705046541</v>
      </c>
      <c r="D47" s="18">
        <f>('Individual components'!I7-'Individual components'!H7)/('Individual components'!I6-'Individual components'!H6)*(D46-'Individual components'!H6)+'Individual components'!H7</f>
        <v>0.86251156534050288</v>
      </c>
      <c r="E47" s="18">
        <f>('Individual components'!J7-'Individual components'!I7)/('Individual components'!J6-'Individual components'!I6)*(E46-'Individual components'!I6)+'Individual components'!I7</f>
        <v>0.8646111691804218</v>
      </c>
      <c r="F47" s="53">
        <f>('Individual components'!K7-'Individual components'!J7)/('Individual components'!K6-'Individual components'!J6)*(F46-'Individual components'!J6)+'Individual components'!J7</f>
        <v>0.86084382730858211</v>
      </c>
      <c r="L47" s="57"/>
      <c r="M47" s="57"/>
      <c r="N47" s="57"/>
      <c r="P47" s="18"/>
    </row>
    <row r="48" spans="1:16">
      <c r="A48" s="15" t="s">
        <v>7</v>
      </c>
      <c r="B48" s="18">
        <f>'Individual components'!I10</f>
        <v>0.94089999999999996</v>
      </c>
      <c r="C48" s="18">
        <f>'Individual components'!J10</f>
        <v>0.94089999999999996</v>
      </c>
      <c r="D48" s="18">
        <f>'Individual components'!K10</f>
        <v>0.94089999999999996</v>
      </c>
      <c r="E48" s="18">
        <f>'Individual components'!L10</f>
        <v>0.94089999999999996</v>
      </c>
      <c r="F48" s="53">
        <f>'Individual components'!M10</f>
        <v>0.94089999999999996</v>
      </c>
      <c r="L48" s="57"/>
      <c r="M48" s="57"/>
      <c r="N48" s="57"/>
      <c r="P48" s="18"/>
    </row>
    <row r="49" spans="1:16">
      <c r="A49" s="15" t="s">
        <v>27</v>
      </c>
      <c r="B49" s="18">
        <f>'Individual components'!K76</f>
        <v>0.98499999999999999</v>
      </c>
      <c r="C49" s="18">
        <f>'Individual components'!L76</f>
        <v>0.98499999999999999</v>
      </c>
      <c r="D49" s="18">
        <f>'Individual components'!M76</f>
        <v>0.98499999999999999</v>
      </c>
      <c r="E49" s="18">
        <f>'Individual components'!N76</f>
        <v>0.98499999999999999</v>
      </c>
      <c r="F49" s="53">
        <f>'Individual components'!O76</f>
        <v>0.98499999999999999</v>
      </c>
      <c r="L49" s="57"/>
      <c r="M49" s="57"/>
      <c r="N49" s="57"/>
      <c r="P49" s="18"/>
    </row>
    <row r="50" spans="1:16">
      <c r="A50" s="15" t="s">
        <v>8</v>
      </c>
      <c r="B50" s="18">
        <f>'Individual components'!F13</f>
        <v>0.96039999999999992</v>
      </c>
      <c r="C50" s="18">
        <f>'Individual components'!G13</f>
        <v>0.96039999999999992</v>
      </c>
      <c r="D50" s="18">
        <f>'Individual components'!H13</f>
        <v>0.96039999999999992</v>
      </c>
      <c r="E50" s="18">
        <f>'Individual components'!I13</f>
        <v>0.96039999999999992</v>
      </c>
      <c r="F50" s="53">
        <f>'Individual components'!J13</f>
        <v>0.96039999999999992</v>
      </c>
      <c r="L50" s="57"/>
      <c r="M50" s="57"/>
      <c r="N50" s="57"/>
      <c r="P50" s="18"/>
    </row>
    <row r="51" spans="1:16">
      <c r="A51" s="15" t="s">
        <v>85</v>
      </c>
      <c r="B51" s="18">
        <f>'Individual components'!K16</f>
        <v>0.95</v>
      </c>
      <c r="C51" s="18">
        <f>'Individual components'!L16</f>
        <v>0.95</v>
      </c>
      <c r="D51" s="18">
        <f>'Individual components'!M16</f>
        <v>0.95</v>
      </c>
      <c r="E51" s="18">
        <f>'Individual components'!N16</f>
        <v>0.95</v>
      </c>
      <c r="F51" s="53">
        <f>'Individual components'!O16</f>
        <v>0.95</v>
      </c>
      <c r="L51" s="57"/>
      <c r="M51" s="57"/>
      <c r="N51" s="57"/>
      <c r="P51" s="18"/>
    </row>
    <row r="52" spans="1:16">
      <c r="A52" s="15" t="s">
        <v>102</v>
      </c>
      <c r="B52" s="18">
        <f>'Individual components'!C118</f>
        <v>0.91181780023949988</v>
      </c>
      <c r="C52" s="18">
        <f>'Individual components'!D118</f>
        <v>0.91372736631329987</v>
      </c>
      <c r="D52" s="18">
        <f>'Individual components'!E118</f>
        <v>0.91563693238709987</v>
      </c>
      <c r="E52" s="18">
        <f>'Individual components'!F118</f>
        <v>0.91659171542399998</v>
      </c>
      <c r="F52" s="53">
        <f>'Individual components'!G118</f>
        <v>0.91754649846089986</v>
      </c>
      <c r="L52" s="57"/>
      <c r="M52" s="57"/>
      <c r="N52" s="57"/>
      <c r="P52" s="18"/>
    </row>
    <row r="53" spans="1:16">
      <c r="A53" s="15" t="s">
        <v>103</v>
      </c>
      <c r="B53" s="18">
        <f>'Individual components'!C79</f>
        <v>0.93099999999999994</v>
      </c>
      <c r="C53" s="18">
        <f>'Individual components'!D79</f>
        <v>0.93099999999999994</v>
      </c>
      <c r="D53" s="18">
        <f>'Individual components'!E79</f>
        <v>0.93099999999999994</v>
      </c>
      <c r="E53" s="18">
        <f>'Individual components'!F79</f>
        <v>0.93099999999999994</v>
      </c>
      <c r="F53" s="53">
        <f>'Individual components'!G79</f>
        <v>0.93099999999999994</v>
      </c>
      <c r="L53" s="57"/>
      <c r="M53" s="57"/>
      <c r="N53" s="57"/>
      <c r="P53" s="18"/>
    </row>
    <row r="54" spans="1:16">
      <c r="A54" s="15" t="s">
        <v>104</v>
      </c>
      <c r="B54" s="18">
        <f>'Individual components'!C22</f>
        <v>0.97</v>
      </c>
      <c r="C54" s="18">
        <f>'Individual components'!D22</f>
        <v>0.97</v>
      </c>
      <c r="D54" s="18">
        <f>'Individual components'!E22</f>
        <v>0.97</v>
      </c>
      <c r="E54" s="18">
        <f>'Individual components'!F22</f>
        <v>0.97</v>
      </c>
      <c r="F54" s="53">
        <f>'Individual components'!G22</f>
        <v>0.97</v>
      </c>
      <c r="L54" s="57"/>
      <c r="M54" s="57"/>
      <c r="N54" s="57"/>
      <c r="P54" s="18"/>
    </row>
    <row r="55" spans="1:16">
      <c r="A55" s="15" t="s">
        <v>105</v>
      </c>
      <c r="B55" s="18">
        <f>'Individual components'!C25</f>
        <v>0.97</v>
      </c>
      <c r="C55" s="18">
        <f>'Individual components'!D25</f>
        <v>0.97</v>
      </c>
      <c r="D55" s="18">
        <f>'Individual components'!E25</f>
        <v>0.97</v>
      </c>
      <c r="E55" s="18">
        <f>'Individual components'!F25</f>
        <v>0.97</v>
      </c>
      <c r="F55" s="53">
        <f>'Individual components'!G25</f>
        <v>0.97</v>
      </c>
      <c r="L55" s="57"/>
      <c r="M55" s="57"/>
      <c r="N55" s="57"/>
      <c r="P55" s="18"/>
    </row>
    <row r="56" spans="1:16">
      <c r="A56" s="15" t="s">
        <v>109</v>
      </c>
      <c r="B56" s="18">
        <f>'Individual components'!C94</f>
        <v>0.98499999999999999</v>
      </c>
      <c r="C56" s="18">
        <f>'Individual components'!D94</f>
        <v>0.98499999999999999</v>
      </c>
      <c r="D56" s="18">
        <f>'Individual components'!E94</f>
        <v>0.98499999999999999</v>
      </c>
      <c r="E56" s="18">
        <f>'Individual components'!F94</f>
        <v>0.98499999999999999</v>
      </c>
      <c r="F56" s="53">
        <f>'Individual components'!G94</f>
        <v>0.98499999999999999</v>
      </c>
      <c r="L56" s="57"/>
      <c r="M56" s="57"/>
      <c r="N56" s="57"/>
      <c r="P56" s="18"/>
    </row>
    <row r="57" spans="1:16">
      <c r="A57" s="15" t="s">
        <v>110</v>
      </c>
      <c r="B57" s="18">
        <f>'Individual components'!C37</f>
        <v>0.98</v>
      </c>
      <c r="C57" s="18">
        <f>'Individual components'!D37</f>
        <v>0.98</v>
      </c>
      <c r="D57" s="18">
        <f>'Individual components'!E37</f>
        <v>0.98</v>
      </c>
      <c r="E57" s="18">
        <f>'Individual components'!F37</f>
        <v>0.98</v>
      </c>
      <c r="F57" s="53">
        <f>'Individual components'!G37</f>
        <v>0.98</v>
      </c>
      <c r="L57" s="57"/>
      <c r="M57" s="57"/>
      <c r="N57" s="57"/>
      <c r="P57" s="18"/>
    </row>
    <row r="58" spans="1:16">
      <c r="A58" s="15" t="s">
        <v>107</v>
      </c>
      <c r="B58" s="18">
        <f>'Individual components'!C133</f>
        <v>0.90979239583926164</v>
      </c>
      <c r="C58" s="18">
        <f>'Individual components'!D133</f>
        <v>0.91258888885925937</v>
      </c>
      <c r="D58" s="18">
        <f>'Individual components'!E133</f>
        <v>0.91538538187925711</v>
      </c>
      <c r="E58" s="18">
        <f>'Individual components'!F133</f>
        <v>0.91631754621925643</v>
      </c>
      <c r="F58" s="53">
        <f>'Individual components'!G133</f>
        <v>0.91631754621925643</v>
      </c>
      <c r="L58" s="57"/>
      <c r="M58" s="57"/>
      <c r="N58" s="57"/>
      <c r="P58" s="18"/>
    </row>
    <row r="59" spans="1:16">
      <c r="A59" s="15" t="s">
        <v>151</v>
      </c>
      <c r="B59" s="18">
        <f>'Individual components'!C205</f>
        <v>0.996</v>
      </c>
      <c r="C59" s="18">
        <f>'Individual components'!D205</f>
        <v>0.997</v>
      </c>
      <c r="D59" s="18">
        <f>'Individual components'!E205</f>
        <v>0.997</v>
      </c>
      <c r="E59" s="18">
        <f>'Individual components'!F205</f>
        <v>0.995</v>
      </c>
      <c r="F59" s="53">
        <f>'Individual components'!G205</f>
        <v>0.99099999999999999</v>
      </c>
      <c r="L59" s="57"/>
      <c r="M59" s="57"/>
      <c r="N59" s="57"/>
      <c r="P59" s="18"/>
    </row>
    <row r="60" spans="1:16">
      <c r="A60" s="15" t="s">
        <v>108</v>
      </c>
      <c r="B60" s="18">
        <f>'Individual components'!C217</f>
        <v>0.92800000000000005</v>
      </c>
      <c r="C60" s="18">
        <f>'Individual components'!D217</f>
        <v>0.93500000000000005</v>
      </c>
      <c r="D60" s="18">
        <f>'Individual components'!E217</f>
        <v>0.92500000000000004</v>
      </c>
      <c r="E60" s="18">
        <f>'Individual components'!F217</f>
        <v>0.91200000000000003</v>
      </c>
      <c r="F60" s="53">
        <f>'Individual components'!G217</f>
        <v>0.86099999999999999</v>
      </c>
      <c r="L60" s="57"/>
      <c r="M60" s="57"/>
      <c r="N60" s="57"/>
      <c r="P60" s="18"/>
    </row>
    <row r="61" spans="1:16">
      <c r="A61" s="10" t="s">
        <v>40</v>
      </c>
      <c r="B61" s="29">
        <f>B47*B48*B49*B50*B51*B52*B53*B54*B55*B56*B57*B58*B59*B60</f>
        <v>0.47007531006686915</v>
      </c>
      <c r="C61" s="29">
        <f>C47*C48*C49*C50*C51*C52*C53*C54*C55*C56*C57*C58*C59*C60</f>
        <v>0.47705313264623372</v>
      </c>
      <c r="D61" s="29">
        <f>D47*D48*D49*D50*D51*D52*D53*D54*D55*D56*D57*D58*D59*D60</f>
        <v>0.47669434956577039</v>
      </c>
      <c r="E61" s="29">
        <f>E47*E48*E49*E50*E51*E52*E53*E54*E55*E56*E57*E58*E59*E60</f>
        <v>0.47116345998368475</v>
      </c>
      <c r="F61" s="73">
        <f>F47*F48*F49*F50*F51*F52*F53*F54*F55*F56*F57*F58*F59*F60</f>
        <v>0.4415563879453972</v>
      </c>
      <c r="G61" s="57"/>
      <c r="H61" s="58"/>
      <c r="I61" s="58"/>
      <c r="J61" s="58"/>
      <c r="L61" s="57"/>
      <c r="M61" s="57"/>
      <c r="N61" s="57"/>
      <c r="O61" s="58"/>
      <c r="P61" s="18"/>
    </row>
    <row r="62" spans="1:16">
      <c r="A62" s="15" t="s">
        <v>126</v>
      </c>
      <c r="B62" s="18">
        <f>('Individual components'!G235-'Individual components'!F235)/('Individual components'!G234-'Individual components'!F234)*(B46-'Individual components'!F234)+'Individual components'!F235</f>
        <v>0.87761411261999989</v>
      </c>
      <c r="C62" s="18">
        <f>('Individual components'!G235-'Individual components'!F235)/('Individual components'!G234-'Individual components'!F234)*(C46-'Individual components'!F234)+'Individual components'!F235</f>
        <v>0.88864997039999993</v>
      </c>
      <c r="D62" s="18">
        <f>('Individual components'!H235-'Individual components'!G235)/('Individual components'!H234-'Individual components'!G234)*(D46-'Individual components'!G234)+'Individual components'!G235</f>
        <v>0.89636773529999991</v>
      </c>
      <c r="E62" s="18">
        <f>('Individual components'!H235-'Individual components'!G235)/('Individual components'!H234-'Individual components'!G234)*(E46-'Individual components'!G234)+'Individual components'!G235</f>
        <v>0.90333532679999995</v>
      </c>
      <c r="F62" s="53">
        <f>('Individual components'!I235-'Individual components'!H235)/('Individual components'!I234-'Individual components'!H234)*(F46-'Individual components'!H234)+'Individual components'!H235</f>
        <v>0.91162284096000001</v>
      </c>
      <c r="G62" s="57"/>
      <c r="H62" s="58"/>
      <c r="I62" s="58"/>
      <c r="J62" s="58"/>
      <c r="L62" s="57"/>
      <c r="M62" s="57"/>
      <c r="N62" s="57"/>
      <c r="O62" s="58"/>
      <c r="P62" s="18"/>
    </row>
    <row r="63" spans="1:16">
      <c r="A63" s="10" t="s">
        <v>125</v>
      </c>
      <c r="B63" s="29">
        <f>B61*B62</f>
        <v>0.41254472610890669</v>
      </c>
      <c r="C63" s="29">
        <f t="shared" ref="C63" si="6">C61*C62</f>
        <v>0.42393325220530287</v>
      </c>
      <c r="D63" s="29">
        <f t="shared" ref="D63" si="7">D61*D62</f>
        <v>0.42729343455057611</v>
      </c>
      <c r="E63" s="29">
        <f t="shared" ref="E63" si="8">E61*E62</f>
        <v>0.42561859810058056</v>
      </c>
      <c r="F63" s="73">
        <f t="shared" ref="F63" si="9">F61*F62</f>
        <v>0.4025328888228189</v>
      </c>
    </row>
    <row r="64" spans="1:16">
      <c r="A64" s="10"/>
      <c r="B64" s="29"/>
      <c r="C64" s="29"/>
      <c r="D64" s="29"/>
      <c r="E64" s="29"/>
      <c r="F64" s="73"/>
    </row>
    <row r="65" spans="1:16">
      <c r="A65" s="10"/>
    </row>
    <row r="66" spans="1:16">
      <c r="A66" s="24" t="s">
        <v>90</v>
      </c>
    </row>
    <row r="67" spans="1:16">
      <c r="A67" s="15" t="s">
        <v>6</v>
      </c>
      <c r="B67" s="30">
        <v>818</v>
      </c>
      <c r="C67" s="30">
        <v>850</v>
      </c>
      <c r="D67" s="30">
        <v>889</v>
      </c>
      <c r="E67" s="30">
        <v>922</v>
      </c>
      <c r="F67" s="75">
        <v>960</v>
      </c>
    </row>
    <row r="68" spans="1:16">
      <c r="A68" s="15" t="s">
        <v>5</v>
      </c>
      <c r="B68" s="18">
        <f t="array" ref="B68">('Individual components'!I7-'Individual components'!H7)/('Individual components'!I6-'Individual components'!H6)*(B67-'Individual components'!H6)+'Individual components'!H7</f>
        <v>0.86254392804599589</v>
      </c>
      <c r="C68" s="18">
        <f>('Individual components'!I7-'Individual components'!H7)/('Individual components'!I6-'Individual components'!H6)*(C67-'Individual components'!H6)+'Individual components'!H7</f>
        <v>0.86256036624561139</v>
      </c>
      <c r="D68" s="18">
        <f>('Individual components'!I7-'Individual components'!H7)/('Individual components'!I6-'Individual components'!H6)*(D67-'Individual components'!H6)+'Individual components'!H7</f>
        <v>0.86258040030139282</v>
      </c>
      <c r="E68" s="18">
        <f>('Individual components'!J7-'Individual components'!I7)/('Individual components'!J6-'Individual components'!I6)*(E67-'Individual components'!I6)+'Individual components'!I7</f>
        <v>0.86221477925372692</v>
      </c>
      <c r="F68" s="76">
        <f>('Individual components'!J7-'Individual components'!I7)/('Individual components'!J6-'Individual components'!I6)*(F67-'Individual components'!I6)+'Individual components'!I7</f>
        <v>0.86157349180855503</v>
      </c>
      <c r="L68" s="57"/>
      <c r="M68" s="57"/>
      <c r="N68" s="57"/>
      <c r="P68" s="18"/>
    </row>
    <row r="69" spans="1:16">
      <c r="A69" s="15" t="s">
        <v>7</v>
      </c>
      <c r="B69" s="18">
        <f>'Individual components'!I10</f>
        <v>0.94089999999999996</v>
      </c>
      <c r="C69" s="18">
        <f>'Individual components'!J10</f>
        <v>0.94089999999999996</v>
      </c>
      <c r="D69" s="18">
        <f>'Individual components'!K10</f>
        <v>0.94089999999999996</v>
      </c>
      <c r="E69" s="18">
        <f>'Individual components'!L10</f>
        <v>0.94089999999999996</v>
      </c>
      <c r="F69" s="76">
        <f>'Individual components'!M10</f>
        <v>0.94089999999999996</v>
      </c>
      <c r="L69" s="57"/>
      <c r="M69" s="57"/>
      <c r="N69" s="57"/>
      <c r="P69" s="18"/>
    </row>
    <row r="70" spans="1:16">
      <c r="A70" s="15" t="s">
        <v>27</v>
      </c>
      <c r="B70" s="18">
        <f>'Individual components'!O76</f>
        <v>0.98499999999999999</v>
      </c>
      <c r="C70" s="18">
        <f>'Individual components'!P76</f>
        <v>0.98499999999999999</v>
      </c>
      <c r="D70" s="18">
        <f>'Individual components'!Q76</f>
        <v>0.98499999999999999</v>
      </c>
      <c r="E70" s="18">
        <f>'Individual components'!R76</f>
        <v>0.98499999999999999</v>
      </c>
      <c r="F70" s="76">
        <f>'Individual components'!S76</f>
        <v>0.98499999999999999</v>
      </c>
      <c r="L70" s="57"/>
      <c r="M70" s="57"/>
      <c r="N70" s="57"/>
      <c r="P70" s="18"/>
    </row>
    <row r="71" spans="1:16">
      <c r="A71" s="15" t="s">
        <v>8</v>
      </c>
      <c r="B71" s="18">
        <f>'Individual components'!O13</f>
        <v>0.96039999999999992</v>
      </c>
      <c r="C71" s="18">
        <f>'Individual components'!P13</f>
        <v>0.96039999999999992</v>
      </c>
      <c r="D71" s="18">
        <f>'Individual components'!Q13</f>
        <v>0.96039999999999992</v>
      </c>
      <c r="E71" s="18">
        <f>'Individual components'!R13</f>
        <v>0.96039999999999992</v>
      </c>
      <c r="F71" s="76">
        <f>'Individual components'!S13</f>
        <v>0.96039999999999992</v>
      </c>
      <c r="L71" s="57"/>
      <c r="M71" s="57"/>
      <c r="N71" s="57"/>
      <c r="P71" s="18"/>
    </row>
    <row r="72" spans="1:16">
      <c r="A72" s="15" t="s">
        <v>85</v>
      </c>
      <c r="B72" s="18">
        <f>'Individual components'!O16</f>
        <v>0.95</v>
      </c>
      <c r="C72" s="18">
        <f>'Individual components'!P16</f>
        <v>0.95</v>
      </c>
      <c r="D72" s="18">
        <f>'Individual components'!Q16</f>
        <v>0.95</v>
      </c>
      <c r="E72" s="18">
        <f>'Individual components'!R16</f>
        <v>0.95</v>
      </c>
      <c r="F72" s="76">
        <f>'Individual components'!S16</f>
        <v>0.95</v>
      </c>
      <c r="L72" s="57"/>
      <c r="M72" s="57"/>
      <c r="N72" s="57"/>
      <c r="P72" s="18"/>
    </row>
    <row r="73" spans="1:16">
      <c r="A73" s="15" t="s">
        <v>102</v>
      </c>
      <c r="B73" s="18">
        <f>'Individual components'!G118</f>
        <v>0.91754649846089986</v>
      </c>
      <c r="C73" s="18">
        <f>'Individual components'!H118</f>
        <v>0.91754649846089986</v>
      </c>
      <c r="D73" s="18">
        <f>'Individual components'!I118</f>
        <v>0.91754649846089986</v>
      </c>
      <c r="E73" s="18">
        <f>'Individual components'!J118</f>
        <v>0.91659171542399998</v>
      </c>
      <c r="F73" s="76">
        <f>'Individual components'!K118</f>
        <v>0.91372736631329987</v>
      </c>
      <c r="L73" s="57"/>
      <c r="M73" s="57"/>
      <c r="N73" s="57"/>
      <c r="P73" s="18"/>
    </row>
    <row r="74" spans="1:16">
      <c r="A74" s="15" t="s">
        <v>103</v>
      </c>
      <c r="B74" s="18">
        <f>'Individual components'!G79</f>
        <v>0.93099999999999994</v>
      </c>
      <c r="C74" s="18">
        <f>'Individual components'!H79</f>
        <v>0.93099999999999994</v>
      </c>
      <c r="D74" s="18">
        <f>'Individual components'!I79</f>
        <v>0.93099999999999994</v>
      </c>
      <c r="E74" s="18">
        <f>'Individual components'!J79</f>
        <v>0.93099999999999994</v>
      </c>
      <c r="F74" s="76">
        <f>'Individual components'!K79</f>
        <v>0.93099999999999994</v>
      </c>
      <c r="L74" s="57"/>
      <c r="M74" s="57"/>
      <c r="N74" s="57"/>
      <c r="P74" s="18"/>
    </row>
    <row r="75" spans="1:16">
      <c r="A75" s="15" t="s">
        <v>104</v>
      </c>
      <c r="B75" s="18">
        <f>'Individual components'!G22</f>
        <v>0.97</v>
      </c>
      <c r="C75" s="18">
        <f>'Individual components'!H22</f>
        <v>0.97</v>
      </c>
      <c r="D75" s="18">
        <f>'Individual components'!I22</f>
        <v>0.97</v>
      </c>
      <c r="E75" s="18">
        <f>'Individual components'!J22</f>
        <v>0.97</v>
      </c>
      <c r="F75" s="76">
        <f>'Individual components'!K22</f>
        <v>0.97</v>
      </c>
      <c r="L75" s="57"/>
      <c r="M75" s="57"/>
      <c r="N75" s="57"/>
      <c r="P75" s="18"/>
    </row>
    <row r="76" spans="1:16">
      <c r="A76" s="15" t="s">
        <v>105</v>
      </c>
      <c r="B76" s="18">
        <f>'Individual components'!G25</f>
        <v>0.97</v>
      </c>
      <c r="C76" s="18">
        <f>'Individual components'!H25</f>
        <v>0.97</v>
      </c>
      <c r="D76" s="18">
        <f>'Individual components'!I25</f>
        <v>0.97</v>
      </c>
      <c r="E76" s="18">
        <f>'Individual components'!J25</f>
        <v>0.97</v>
      </c>
      <c r="F76" s="76">
        <f>'Individual components'!K25</f>
        <v>0.97</v>
      </c>
      <c r="L76" s="57"/>
      <c r="M76" s="57"/>
      <c r="N76" s="57"/>
      <c r="P76" s="18"/>
    </row>
    <row r="77" spans="1:16">
      <c r="A77" s="15" t="s">
        <v>106</v>
      </c>
      <c r="B77" s="18">
        <f>'Individual components'!C91</f>
        <v>0.93099999999999994</v>
      </c>
      <c r="C77" s="18">
        <f>'Individual components'!D91</f>
        <v>0.93099999999999994</v>
      </c>
      <c r="D77" s="18">
        <f>'Individual components'!E91</f>
        <v>0.93099999999999994</v>
      </c>
      <c r="E77" s="18">
        <f>'Individual components'!F91</f>
        <v>0.93099999999999994</v>
      </c>
      <c r="F77" s="76">
        <f>'Individual components'!G91</f>
        <v>0.93099999999999994</v>
      </c>
      <c r="L77" s="57"/>
      <c r="M77" s="57"/>
      <c r="N77" s="57"/>
      <c r="P77" s="18"/>
    </row>
    <row r="78" spans="1:16">
      <c r="A78" s="15" t="s">
        <v>111</v>
      </c>
      <c r="B78" s="18">
        <f>'Individual components'!C40</f>
        <v>0.98</v>
      </c>
      <c r="C78" s="18">
        <f>'Individual components'!D40</f>
        <v>0.98</v>
      </c>
      <c r="D78" s="18">
        <f>'Individual components'!E40</f>
        <v>0.98</v>
      </c>
      <c r="E78" s="18">
        <f>'Individual components'!F40</f>
        <v>0.98</v>
      </c>
      <c r="F78" s="76">
        <f>'Individual components'!G40</f>
        <v>0.98</v>
      </c>
      <c r="L78" s="57"/>
      <c r="M78" s="57"/>
      <c r="N78" s="57"/>
      <c r="P78" s="18"/>
    </row>
    <row r="79" spans="1:16">
      <c r="A79" s="15" t="s">
        <v>112</v>
      </c>
      <c r="B79" s="18">
        <f>'Individual components'!C43</f>
        <v>0.98</v>
      </c>
      <c r="C79" s="18">
        <f>'Individual components'!D43</f>
        <v>0.98</v>
      </c>
      <c r="D79" s="18">
        <f>'Individual components'!E43</f>
        <v>0.98</v>
      </c>
      <c r="E79" s="18">
        <f>'Individual components'!F43</f>
        <v>0.98</v>
      </c>
      <c r="F79" s="76">
        <f>'Individual components'!G43</f>
        <v>0.98</v>
      </c>
      <c r="L79" s="57"/>
      <c r="M79" s="57"/>
      <c r="N79" s="57"/>
      <c r="P79" s="18"/>
    </row>
    <row r="80" spans="1:16">
      <c r="A80" s="15" t="s">
        <v>155</v>
      </c>
      <c r="B80" s="18">
        <f>'Individual components'!C178</f>
        <v>0.95199999999999996</v>
      </c>
      <c r="C80" s="18">
        <f>'Individual components'!D178</f>
        <v>0.98699999999999999</v>
      </c>
      <c r="D80" s="18">
        <f>'Individual components'!E178</f>
        <v>0.98699999999999999</v>
      </c>
      <c r="E80" s="18">
        <f>'Individual components'!F178</f>
        <v>0.95099999999999996</v>
      </c>
      <c r="F80" s="76">
        <f>'Individual components'!G178</f>
        <v>0</v>
      </c>
      <c r="L80" s="57"/>
      <c r="M80" s="57"/>
      <c r="N80" s="57"/>
      <c r="P80" s="18"/>
    </row>
    <row r="81" spans="1:17">
      <c r="A81" s="15" t="s">
        <v>113</v>
      </c>
      <c r="B81" s="18">
        <f>'Individual components'!C136</f>
        <v>0.91818187489925485</v>
      </c>
      <c r="C81" s="18">
        <f>'Individual components'!D136</f>
        <v>0.91818187489925485</v>
      </c>
      <c r="D81" s="18">
        <f>'Individual components'!E136</f>
        <v>0.91724971055925564</v>
      </c>
      <c r="E81" s="18">
        <f>'Individual components'!F136</f>
        <v>0.91724971055925564</v>
      </c>
      <c r="F81" s="76">
        <f>'Individual components'!G136</f>
        <v>0.91631754621925643</v>
      </c>
      <c r="L81" s="57"/>
      <c r="M81" s="57"/>
      <c r="N81" s="57"/>
      <c r="P81" s="18"/>
    </row>
    <row r="82" spans="1:17">
      <c r="A82" s="15" t="s">
        <v>152</v>
      </c>
      <c r="B82" s="18">
        <f>'Individual components'!C208</f>
        <v>0.99002500000000004</v>
      </c>
      <c r="C82" s="18">
        <f>'Individual components'!D208</f>
        <v>0.99002500000000004</v>
      </c>
      <c r="D82" s="18">
        <f>'Individual components'!E208</f>
        <v>0.99</v>
      </c>
      <c r="E82" s="18">
        <f>'Individual components'!F208</f>
        <v>0.99002500000000004</v>
      </c>
      <c r="F82" s="76">
        <f>'Individual components'!G208</f>
        <v>0.99002500000000004</v>
      </c>
      <c r="L82" s="57"/>
      <c r="M82" s="57"/>
      <c r="N82" s="57"/>
      <c r="P82" s="18"/>
    </row>
    <row r="83" spans="1:17">
      <c r="A83" s="15" t="s">
        <v>114</v>
      </c>
      <c r="B83" s="18">
        <f>'Individual components'!C220</f>
        <v>0.86099999999999999</v>
      </c>
      <c r="C83" s="18">
        <f>'Individual components'!D220</f>
        <v>0.78400000000000003</v>
      </c>
      <c r="D83" s="18">
        <f>'Individual components'!E220</f>
        <v>0.64200000000000002</v>
      </c>
      <c r="E83" s="18">
        <f>'Individual components'!F220</f>
        <v>0.50600000000000001</v>
      </c>
      <c r="F83" s="76">
        <f>'Individual components'!G220</f>
        <v>0.30299999999999999</v>
      </c>
      <c r="L83" s="57"/>
      <c r="M83" s="57"/>
      <c r="N83" s="57"/>
      <c r="P83" s="18"/>
    </row>
    <row r="84" spans="1:17">
      <c r="A84" s="10" t="s">
        <v>40</v>
      </c>
      <c r="B84" s="29">
        <f>B68*B69*B70*B71*B72*B73*B74*B75*B76*B77*B78*B79*B80*B81*B82*B83</f>
        <v>0.39054827042008233</v>
      </c>
      <c r="C84" s="29">
        <f>C68*C69*C70*C71*C72*C73*C74*C75*C76*C77*C78*C79*C80*C81*C82*C83</f>
        <v>0.36870252428599914</v>
      </c>
      <c r="D84" s="29">
        <f>D68*D69*D70*D71*D72*D73*D74*D75*D76*D77*D78*D79*D80*D81*D82*D83</f>
        <v>0.30161508898548828</v>
      </c>
      <c r="E84" s="29">
        <f>E68*E69*E70*E71*E72*E73*E74*E75*E76*E77*E78*E79*E80*E81*E82*E83</f>
        <v>0.22872129782080733</v>
      </c>
      <c r="F84" s="77">
        <f>F68*F69*F70*F71*F72*F73*F74*F75*F76*F77*F78*F79*F80*F81*F82*F83</f>
        <v>0</v>
      </c>
      <c r="G84" s="57"/>
      <c r="H84" s="58"/>
      <c r="I84" s="58"/>
      <c r="J84" s="58"/>
      <c r="M84" s="57"/>
      <c r="O84" s="58"/>
      <c r="Q84" s="18"/>
    </row>
    <row r="85" spans="1:17">
      <c r="A85" s="15" t="s">
        <v>126</v>
      </c>
      <c r="B85" s="18">
        <f>('Individual components'!H235-'Individual components'!G235)/('Individual components'!H234-'Individual components'!G234)*(B67-'Individual components'!G234)+'Individual components'!G235</f>
        <v>0.91392606588000003</v>
      </c>
      <c r="C85" s="18">
        <f>('Individual components'!I235-'Individual components'!H235)/('Individual components'!I234-'Individual components'!H234)*(C67-'Individual components'!H234)+'Individual components'!H235</f>
        <v>0.91644673599999993</v>
      </c>
      <c r="D85" s="18">
        <f>('Individual components'!I235-'Individual components'!H235)/('Individual components'!I234-'Individual components'!H234)*(D67-'Individual components'!H234)+'Individual components'!H235</f>
        <v>0.92232585808000001</v>
      </c>
      <c r="E85" s="18">
        <f>('Individual components'!J235-'Individual components'!I235)/('Individual components'!J234-'Individual components'!I234)*(E67-'Individual components'!I234)+'Individual components'!I235</f>
        <v>0.92607951215999995</v>
      </c>
      <c r="F85" s="76">
        <f>('Individual components'!J235-'Individual components'!I235)/('Individual components'!J234-'Individual components'!I234)*(F67-'Individual components'!I234)+'Individual components'!I235</f>
        <v>0.92969890879999995</v>
      </c>
      <c r="G85" s="57"/>
      <c r="H85" s="58"/>
      <c r="I85" s="58"/>
      <c r="J85" s="58"/>
      <c r="L85" s="57"/>
      <c r="M85" s="57"/>
      <c r="N85" s="57"/>
      <c r="O85" s="58"/>
      <c r="P85" s="18"/>
    </row>
    <row r="86" spans="1:17">
      <c r="A86" s="10" t="s">
        <v>125</v>
      </c>
      <c r="B86" s="29">
        <f>B84*B85</f>
        <v>0.35693224432126425</v>
      </c>
      <c r="C86" s="29">
        <f t="shared" ref="C86" si="10">C84*C85</f>
        <v>0.33789622493686461</v>
      </c>
      <c r="D86" s="29">
        <f t="shared" ref="D86" si="11">D84*D85</f>
        <v>0.27818739575841606</v>
      </c>
      <c r="E86" s="29">
        <f t="shared" ref="E86" si="12">E84*E85</f>
        <v>0.21181410790649532</v>
      </c>
      <c r="F86" s="77">
        <f t="shared" ref="F86" si="13">F84*F85</f>
        <v>0</v>
      </c>
    </row>
    <row r="87" spans="1:17">
      <c r="A87" s="10"/>
      <c r="B87" s="29"/>
      <c r="C87" s="29"/>
      <c r="D87" s="29"/>
      <c r="E87" s="29"/>
      <c r="F87" s="73"/>
      <c r="G87" s="57"/>
      <c r="H87" s="58"/>
      <c r="I87" s="58"/>
      <c r="J87" s="58"/>
      <c r="M87" s="57"/>
      <c r="O87" s="58"/>
      <c r="Q87" s="18"/>
    </row>
    <row r="88" spans="1:17">
      <c r="A88" s="21" t="s">
        <v>1</v>
      </c>
    </row>
    <row r="89" spans="1:17">
      <c r="A89" s="15" t="s">
        <v>6</v>
      </c>
      <c r="B89" s="30">
        <v>980</v>
      </c>
      <c r="C89" s="30">
        <v>1000</v>
      </c>
      <c r="D89" s="30">
        <v>1040</v>
      </c>
      <c r="E89" s="30">
        <v>1090</v>
      </c>
      <c r="F89" s="71">
        <v>1120</v>
      </c>
    </row>
    <row r="90" spans="1:17">
      <c r="A90" s="15" t="s">
        <v>5</v>
      </c>
      <c r="B90" s="18">
        <f>('Individual components'!J7-'Individual components'!I7)/('Individual components'!J6-'Individual components'!I6)*(B$89-'Individual components'!I6)+'Individual components'!I7</f>
        <v>0.8612359721005699</v>
      </c>
      <c r="C90" s="18">
        <f>('Individual components'!J7-'Individual components'!I7)/('Individual components'!J6-'Individual components'!I6)*(C$89-'Individual components'!I6)+'Individual components'!I7</f>
        <v>0.86089845239258467</v>
      </c>
      <c r="D90" s="18">
        <f>('Individual components'!K7-'Individual components'!J7)/('Individual components'!K6-'Individual components'!J6)*(D$89-'Individual components'!J6)+'Individual components'!J7</f>
        <v>0.86091045790555221</v>
      </c>
      <c r="E90" s="18">
        <f>('Individual components'!K7-'Individual components'!J7)/('Individual components'!K6-'Individual components'!J6)*(E$89-'Individual components'!J6)+'Individual components'!J7</f>
        <v>0.86092546479676169</v>
      </c>
      <c r="F90" s="53">
        <f>('Individual components'!L7-'Individual components'!K7)/('Individual components'!L6-'Individual components'!K6)*(F$89-'Individual components'!K6)+'Individual components'!K7</f>
        <v>0.86093347659912633</v>
      </c>
      <c r="L90" s="57"/>
      <c r="M90" s="57"/>
      <c r="N90" s="57"/>
      <c r="P90" s="18"/>
    </row>
    <row r="91" spans="1:17">
      <c r="A91" s="15" t="s">
        <v>7</v>
      </c>
      <c r="B91" s="18">
        <f>'Individual components'!I10</f>
        <v>0.94089999999999996</v>
      </c>
      <c r="C91" s="18">
        <f>'Individual components'!J10</f>
        <v>0.94089999999999996</v>
      </c>
      <c r="D91" s="18">
        <f>'Individual components'!K10</f>
        <v>0.94089999999999996</v>
      </c>
      <c r="E91" s="18">
        <f>'Individual components'!L10</f>
        <v>0.94089999999999996</v>
      </c>
      <c r="F91" s="53">
        <f>'Individual components'!M10</f>
        <v>0.94089999999999996</v>
      </c>
      <c r="L91" s="57"/>
      <c r="M91" s="57"/>
      <c r="N91" s="57"/>
      <c r="P91" s="18"/>
    </row>
    <row r="92" spans="1:17">
      <c r="A92" s="15" t="s">
        <v>28</v>
      </c>
      <c r="B92" s="18">
        <f>'Individual components'!C73</f>
        <v>0.93099999999999994</v>
      </c>
      <c r="C92" s="18">
        <f>'Individual components'!D73</f>
        <v>0.93099999999999994</v>
      </c>
      <c r="D92" s="18">
        <f>'Individual components'!E73</f>
        <v>0.93099999999999994</v>
      </c>
      <c r="E92" s="18">
        <f>'Individual components'!F73</f>
        <v>0.93099999999999994</v>
      </c>
      <c r="F92" s="53">
        <f>'Individual components'!G73</f>
        <v>0.93099999999999994</v>
      </c>
      <c r="L92" s="57"/>
      <c r="M92" s="57"/>
      <c r="N92" s="57"/>
      <c r="P92" s="18"/>
    </row>
    <row r="93" spans="1:17">
      <c r="A93" s="15" t="s">
        <v>37</v>
      </c>
      <c r="B93" s="18">
        <f>'Individual components'!C121</f>
        <v>0.90439291139495326</v>
      </c>
      <c r="C93" s="18">
        <f>'Individual components'!D121</f>
        <v>0.90439291139495326</v>
      </c>
      <c r="D93" s="18">
        <f>'Individual components'!E121</f>
        <v>0.90439291139495326</v>
      </c>
      <c r="E93" s="18">
        <f>'Individual components'!F121</f>
        <v>0.90439291139495326</v>
      </c>
      <c r="F93" s="53">
        <f>'Individual components'!G121</f>
        <v>0.90439291139495326</v>
      </c>
      <c r="L93" s="57"/>
      <c r="M93" s="57"/>
      <c r="N93" s="57"/>
      <c r="P93" s="18"/>
    </row>
    <row r="94" spans="1:17">
      <c r="A94" s="15" t="s">
        <v>25</v>
      </c>
      <c r="B94" s="18">
        <f>'Individual components'!C100</f>
        <v>0.98499999999999999</v>
      </c>
      <c r="C94" s="18">
        <f>'Individual components'!D100</f>
        <v>0.98499999999999999</v>
      </c>
      <c r="D94" s="18">
        <f>'Individual components'!E100</f>
        <v>0.98499999999999999</v>
      </c>
      <c r="E94" s="18">
        <f>'Individual components'!F100</f>
        <v>0.98499999999999999</v>
      </c>
      <c r="F94" s="53">
        <f>'Individual components'!G100</f>
        <v>0.98499999999999999</v>
      </c>
      <c r="L94" s="57"/>
      <c r="M94" s="57"/>
      <c r="N94" s="57"/>
      <c r="P94" s="18"/>
    </row>
    <row r="95" spans="1:17">
      <c r="A95" s="15" t="s">
        <v>29</v>
      </c>
      <c r="B95" s="18">
        <f>'Individual components'!C46</f>
        <v>0.98</v>
      </c>
      <c r="C95" s="18">
        <f>'Individual components'!D46</f>
        <v>0.98</v>
      </c>
      <c r="D95" s="18">
        <f>'Individual components'!E46</f>
        <v>0.98</v>
      </c>
      <c r="E95" s="18">
        <f>'Individual components'!F46</f>
        <v>0.98</v>
      </c>
      <c r="F95" s="53">
        <f>'Individual components'!G46</f>
        <v>0.98</v>
      </c>
      <c r="L95" s="57"/>
      <c r="M95" s="57"/>
      <c r="N95" s="57"/>
      <c r="P95" s="18"/>
    </row>
    <row r="96" spans="1:17">
      <c r="A96" s="15" t="s">
        <v>22</v>
      </c>
      <c r="B96" s="18">
        <f>'Individual components'!C106</f>
        <v>0.98</v>
      </c>
      <c r="C96" s="18">
        <f>'Individual components'!D106</f>
        <v>0.98</v>
      </c>
      <c r="D96" s="18">
        <f>'Individual components'!E106</f>
        <v>0.98</v>
      </c>
      <c r="E96" s="18">
        <f>'Individual components'!F106</f>
        <v>0.98</v>
      </c>
      <c r="F96" s="53">
        <f>'Individual components'!G106</f>
        <v>0.98</v>
      </c>
      <c r="L96" s="57"/>
      <c r="M96" s="57"/>
      <c r="N96" s="57"/>
      <c r="P96" s="18"/>
    </row>
    <row r="97" spans="1:16">
      <c r="A97" s="15" t="s">
        <v>30</v>
      </c>
      <c r="B97" s="18">
        <f>'Individual components'!C55</f>
        <v>0.98499999999999999</v>
      </c>
      <c r="C97" s="18">
        <f>'Individual components'!D55</f>
        <v>0.98499999999999999</v>
      </c>
      <c r="D97" s="18">
        <f>'Individual components'!E55</f>
        <v>0.98499999999999999</v>
      </c>
      <c r="E97" s="18">
        <f>'Individual components'!F55</f>
        <v>0.98499999999999999</v>
      </c>
      <c r="F97" s="53">
        <f>'Individual components'!G55</f>
        <v>0.98499999999999999</v>
      </c>
      <c r="L97" s="57"/>
      <c r="M97" s="57"/>
      <c r="N97" s="57"/>
      <c r="P97" s="18"/>
    </row>
    <row r="98" spans="1:16">
      <c r="A98" s="15" t="s">
        <v>258</v>
      </c>
      <c r="B98" s="18">
        <f>'Individual components'!C181</f>
        <v>0.94099999999999995</v>
      </c>
      <c r="C98" s="18">
        <f>'Individual components'!D181</f>
        <v>0.96399999999999997</v>
      </c>
      <c r="D98" s="18">
        <f>'Individual components'!E181</f>
        <v>0.96399999999999997</v>
      </c>
      <c r="E98" s="18">
        <f>'Individual components'!F181</f>
        <v>0.93600000000000005</v>
      </c>
      <c r="F98" s="53">
        <f>'Individual components'!G181</f>
        <v>0.94399999999999995</v>
      </c>
      <c r="L98" s="57"/>
      <c r="M98" s="57"/>
      <c r="N98" s="57"/>
      <c r="P98" s="18"/>
    </row>
    <row r="99" spans="1:16">
      <c r="A99" s="15" t="s">
        <v>17</v>
      </c>
      <c r="B99" s="18">
        <f>'Individual components'!C139</f>
        <v>0.91700000000000004</v>
      </c>
      <c r="C99" s="18">
        <f>'Individual components'!D139</f>
        <v>0.91700000000000004</v>
      </c>
      <c r="D99" s="18">
        <f>'Individual components'!E139</f>
        <v>0.91700000000000004</v>
      </c>
      <c r="E99" s="18">
        <f>'Individual components'!F139</f>
        <v>0.91700000000000004</v>
      </c>
      <c r="F99" s="53">
        <f>'Individual components'!G139</f>
        <v>0.91700000000000004</v>
      </c>
      <c r="L99" s="57"/>
      <c r="M99" s="57"/>
      <c r="N99" s="57"/>
      <c r="P99" s="18"/>
    </row>
    <row r="100" spans="1:16">
      <c r="A100" s="15" t="s">
        <v>33</v>
      </c>
      <c r="B100" s="18">
        <f>'Individual components'!C223</f>
        <v>0.8</v>
      </c>
      <c r="C100" s="18">
        <f>'Individual components'!D223</f>
        <v>0.8</v>
      </c>
      <c r="D100" s="18">
        <f>'Individual components'!E223</f>
        <v>0.8</v>
      </c>
      <c r="E100" s="18">
        <f>'Individual components'!F223</f>
        <v>0.8</v>
      </c>
      <c r="F100" s="53">
        <f>'Individual components'!G223</f>
        <v>0.8</v>
      </c>
      <c r="L100" s="57"/>
      <c r="M100" s="57"/>
      <c r="N100" s="57"/>
      <c r="P100" s="18"/>
    </row>
    <row r="101" spans="1:16">
      <c r="A101" s="10" t="s">
        <v>40</v>
      </c>
      <c r="B101" s="29">
        <f>B90*B91*B92*B93*B94*B95*B96*B97*B98*B99*B100</f>
        <v>0.43888023097588119</v>
      </c>
      <c r="C101" s="29">
        <f t="shared" ref="C101:F101" si="14">C90*C91*C92*C93*C94*C95*C96*C97*C98*C99*C100</f>
        <v>0.44943117613439487</v>
      </c>
      <c r="D101" s="29">
        <f>D90*D91*D92*D93*D94*D95*D96*D97*D98*D99*D100</f>
        <v>0.44943744360043358</v>
      </c>
      <c r="E101" s="29">
        <f t="shared" si="14"/>
        <v>0.43639085077310286</v>
      </c>
      <c r="F101" s="73">
        <f t="shared" si="14"/>
        <v>0.44012478288294221</v>
      </c>
      <c r="G101" s="57"/>
      <c r="H101" s="58"/>
      <c r="I101" s="58"/>
      <c r="J101" s="58"/>
      <c r="L101" s="57"/>
      <c r="M101" s="57"/>
      <c r="N101" s="57"/>
      <c r="O101" s="58"/>
      <c r="P101" s="18"/>
    </row>
    <row r="102" spans="1:16">
      <c r="A102" s="15" t="s">
        <v>126</v>
      </c>
      <c r="B102" s="36">
        <f>('Individual components'!J235-'Individual components'!I235)/('Individual components'!J234-'Individual components'!I234)*(B89-'Individual components'!I234)+'Individual components'!I235</f>
        <v>0.93160385439999993</v>
      </c>
      <c r="C102" s="36">
        <f>('Individual components'!J235-'Individual components'!I235)/('Individual components'!J234-'Individual components'!I234)*(C89-'Individual components'!I234)+'Individual components'!I235</f>
        <v>0.93350879999999992</v>
      </c>
      <c r="D102" s="36">
        <f>('Individual components'!K235-'Individual components'!J235)/('Individual components'!K234-'Individual components'!J234)*(D89-'Individual components'!J234)+'Individual components'!J235</f>
        <v>0.93619163999999999</v>
      </c>
      <c r="E102" s="36">
        <f>('Individual components'!K235-'Individual components'!J235)/('Individual components'!K234-'Individual components'!J234)*(E89-'Individual components'!J234)+'Individual components'!J235</f>
        <v>0.93954519000000003</v>
      </c>
      <c r="F102" s="74">
        <f>('Individual components'!L235-'Individual components'!K235)/('Individual components'!L234-'Individual components'!K234)*(F89-'Individual components'!K234)+'Individual components'!K235</f>
        <v>0.94079233279999996</v>
      </c>
      <c r="G102" s="57"/>
      <c r="H102" s="58"/>
      <c r="I102" s="58"/>
      <c r="J102" s="58"/>
      <c r="L102" s="57"/>
      <c r="M102" s="57"/>
      <c r="N102" s="57"/>
      <c r="O102" s="58"/>
      <c r="P102" s="18"/>
    </row>
    <row r="103" spans="1:16">
      <c r="A103" s="10" t="s">
        <v>125</v>
      </c>
      <c r="B103" s="29">
        <f>B101*B102</f>
        <v>0.40886251479709318</v>
      </c>
      <c r="C103" s="29">
        <f t="shared" ref="C103" si="15">C101*C102</f>
        <v>0.41954795791580757</v>
      </c>
      <c r="D103" s="29">
        <f t="shared" ref="D103" si="16">D101*D102</f>
        <v>0.42075957740169739</v>
      </c>
      <c r="E103" s="29">
        <f t="shared" ref="E103" si="17">E101*E102</f>
        <v>0.41000892480387657</v>
      </c>
      <c r="F103" s="73">
        <f t="shared" ref="F103" si="18">F101*F102</f>
        <v>0.41406602121153668</v>
      </c>
    </row>
    <row r="104" spans="1:16">
      <c r="A104" s="10"/>
    </row>
    <row r="105" spans="1:16">
      <c r="A105" s="37"/>
      <c r="B105" s="17"/>
      <c r="C105" s="17"/>
      <c r="D105" s="17"/>
      <c r="E105" s="17"/>
      <c r="F105" s="69"/>
    </row>
    <row r="106" spans="1:16">
      <c r="A106" s="22" t="s">
        <v>2</v>
      </c>
    </row>
    <row r="107" spans="1:16">
      <c r="A107" s="15" t="s">
        <v>6</v>
      </c>
      <c r="B107" s="30">
        <v>1150</v>
      </c>
      <c r="C107" s="30">
        <v>1200</v>
      </c>
      <c r="D107" s="30">
        <v>1250</v>
      </c>
      <c r="E107" s="30">
        <v>1300</v>
      </c>
      <c r="F107" s="71">
        <v>1350</v>
      </c>
      <c r="M107" s="57"/>
    </row>
    <row r="108" spans="1:16">
      <c r="A108" s="15" t="s">
        <v>5</v>
      </c>
      <c r="B108" s="18">
        <f>('Individual components'!L7-'Individual components'!K7)/('Individual components'!L6-'Individual components'!K6)*(B$107-'Individual components'!K6)+'Individual components'!K7</f>
        <v>0.86094099223531051</v>
      </c>
      <c r="C108" s="18">
        <f>('Individual components'!L7-'Individual components'!K7)/('Individual components'!L6-'Individual components'!K6)*(C$107-'Individual components'!K6)+'Individual components'!K7</f>
        <v>0.86095351829561739</v>
      </c>
      <c r="D108" s="18">
        <f>('Individual components'!M7-'Individual components'!L7)/('Individual components'!M$6-'Individual components'!L$6)*(D$107-'Individual components'!L$6)+'Individual components'!L7</f>
        <v>0.86010243155488153</v>
      </c>
      <c r="E108" s="18">
        <f>('Individual components'!M7-'Individual components'!L7)/('Individual components'!M$6-'Individual components'!L$6)*(E$107-'Individual components'!L$6)+'Individual components'!L7</f>
        <v>0.85925134481414567</v>
      </c>
      <c r="F108" s="53">
        <f>('Individual components'!N7-'Individual components'!M7)/('Individual components'!N$6-'Individual components'!M$6)*(F$107-'Individual components'!M$6)+'Individual components'!M7</f>
        <v>0.85839933058149276</v>
      </c>
      <c r="G108" s="78"/>
      <c r="H108" s="78"/>
      <c r="L108" s="57"/>
      <c r="M108" s="57"/>
      <c r="N108" s="57"/>
      <c r="O108" s="78"/>
      <c r="P108" s="18"/>
    </row>
    <row r="109" spans="1:16">
      <c r="A109" s="15" t="s">
        <v>7</v>
      </c>
      <c r="B109" s="18">
        <f>'Individual components'!K10</f>
        <v>0.94089999999999996</v>
      </c>
      <c r="C109" s="18">
        <f>'Individual components'!L10</f>
        <v>0.94089999999999996</v>
      </c>
      <c r="D109" s="18">
        <f>'Individual components'!M10</f>
        <v>0.94089999999999996</v>
      </c>
      <c r="E109" s="18">
        <f>'Individual components'!N10</f>
        <v>0.94089999999999996</v>
      </c>
      <c r="F109" s="53">
        <f>'Individual components'!O10</f>
        <v>0.94089999999999996</v>
      </c>
      <c r="L109" s="57"/>
      <c r="M109" s="57"/>
      <c r="N109" s="57"/>
      <c r="P109" s="18"/>
    </row>
    <row r="110" spans="1:16">
      <c r="A110" s="15" t="s">
        <v>28</v>
      </c>
      <c r="B110" s="18">
        <f>'Individual components'!H73</f>
        <v>0.93099999999999994</v>
      </c>
      <c r="C110" s="18">
        <f>'Individual components'!I73</f>
        <v>0.93099999999999994</v>
      </c>
      <c r="D110" s="18">
        <f>'Individual components'!J73</f>
        <v>0.93099999999999994</v>
      </c>
      <c r="E110" s="18">
        <f>'Individual components'!K73</f>
        <v>0.93099999999999994</v>
      </c>
      <c r="F110" s="53">
        <f>'Individual components'!L73</f>
        <v>0.93099999999999994</v>
      </c>
      <c r="L110" s="57"/>
      <c r="M110" s="57"/>
      <c r="N110" s="57"/>
      <c r="P110" s="18"/>
    </row>
    <row r="111" spans="1:16">
      <c r="A111" s="15" t="s">
        <v>37</v>
      </c>
      <c r="B111" s="18">
        <f>'Individual components'!H121</f>
        <v>0.90439291139495326</v>
      </c>
      <c r="C111" s="18">
        <f>'Individual components'!I121</f>
        <v>0.90439291139495326</v>
      </c>
      <c r="D111" s="18">
        <f>'Individual components'!J121</f>
        <v>0.90166883636063111</v>
      </c>
      <c r="E111" s="18">
        <f>'Individual components'!K121</f>
        <v>0.89894476132630896</v>
      </c>
      <c r="F111" s="53">
        <f>'Individual components'!L121</f>
        <v>0.89712871130342753</v>
      </c>
      <c r="G111" s="57"/>
      <c r="L111" s="57"/>
      <c r="M111" s="57"/>
      <c r="N111" s="57"/>
      <c r="P111" s="18"/>
    </row>
    <row r="112" spans="1:16">
      <c r="A112" s="15" t="s">
        <v>25</v>
      </c>
      <c r="B112" s="18">
        <f>'Individual components'!H100</f>
        <v>0.98499999999999999</v>
      </c>
      <c r="C112" s="18">
        <f>'Individual components'!I100</f>
        <v>0.98499999999999999</v>
      </c>
      <c r="D112" s="18">
        <f>'Individual components'!J100</f>
        <v>0.98499999999999999</v>
      </c>
      <c r="E112" s="18">
        <f>'Individual components'!K100</f>
        <v>0.98499999999999999</v>
      </c>
      <c r="F112" s="53">
        <f>'Individual components'!L100</f>
        <v>0.98499999999999999</v>
      </c>
      <c r="L112" s="57"/>
      <c r="M112" s="57"/>
      <c r="N112" s="57"/>
      <c r="P112" s="18"/>
    </row>
    <row r="113" spans="1:16">
      <c r="A113" s="15" t="s">
        <v>29</v>
      </c>
      <c r="B113" s="18">
        <f>'Individual components'!H46</f>
        <v>0.98</v>
      </c>
      <c r="C113" s="18">
        <f>'Individual components'!I46</f>
        <v>0.98</v>
      </c>
      <c r="D113" s="18">
        <f>'Individual components'!J46</f>
        <v>0.98</v>
      </c>
      <c r="E113" s="18">
        <f>'Individual components'!K46</f>
        <v>0.98</v>
      </c>
      <c r="F113" s="53">
        <f>'Individual components'!L46</f>
        <v>0.98</v>
      </c>
      <c r="L113" s="57"/>
      <c r="M113" s="57"/>
      <c r="N113" s="57"/>
      <c r="P113" s="18"/>
    </row>
    <row r="114" spans="1:16">
      <c r="A114" s="15" t="s">
        <v>21</v>
      </c>
      <c r="B114" s="18">
        <f>'Individual components'!C103</f>
        <v>0.92149999999999999</v>
      </c>
      <c r="C114" s="18">
        <f>'Individual components'!D103</f>
        <v>0.92149999999999999</v>
      </c>
      <c r="D114" s="18">
        <f>'Individual components'!E103</f>
        <v>0.92149999999999999</v>
      </c>
      <c r="E114" s="18">
        <f>'Individual components'!F103</f>
        <v>0.92149999999999999</v>
      </c>
      <c r="F114" s="53">
        <f>'Individual components'!G103</f>
        <v>0.92149999999999999</v>
      </c>
      <c r="L114" s="57"/>
      <c r="M114" s="57"/>
      <c r="N114" s="57"/>
      <c r="P114" s="18"/>
    </row>
    <row r="115" spans="1:16">
      <c r="A115" s="15" t="s">
        <v>69</v>
      </c>
      <c r="B115" s="18">
        <f>'Individual components'!C58</f>
        <v>0.99</v>
      </c>
      <c r="C115" s="18">
        <f>'Individual components'!D58</f>
        <v>0.99</v>
      </c>
      <c r="D115" s="18">
        <f>'Individual components'!E58</f>
        <v>0.99</v>
      </c>
      <c r="E115" s="18">
        <f>'Individual components'!F58</f>
        <v>0.99</v>
      </c>
      <c r="F115" s="53">
        <f>'Individual components'!G58</f>
        <v>0.99</v>
      </c>
      <c r="L115" s="57"/>
      <c r="M115" s="57"/>
      <c r="N115" s="57"/>
      <c r="P115" s="18"/>
    </row>
    <row r="116" spans="1:16">
      <c r="A116" s="15" t="s">
        <v>70</v>
      </c>
      <c r="B116" s="18">
        <f>'Individual components'!C61</f>
        <v>0.99</v>
      </c>
      <c r="C116" s="18">
        <f>'Individual components'!D61</f>
        <v>0.99</v>
      </c>
      <c r="D116" s="18">
        <f>'Individual components'!E61</f>
        <v>0.99</v>
      </c>
      <c r="E116" s="18">
        <f>'Individual components'!F61</f>
        <v>0.99</v>
      </c>
      <c r="F116" s="53">
        <f>'Individual components'!G61</f>
        <v>0.99</v>
      </c>
      <c r="L116" s="57"/>
      <c r="M116" s="57"/>
      <c r="N116" s="57"/>
      <c r="P116" s="18"/>
    </row>
    <row r="117" spans="1:16">
      <c r="A117" s="15" t="s">
        <v>259</v>
      </c>
      <c r="B117" s="18">
        <f>'Individual components'!C184</f>
        <v>0.93799999999999994</v>
      </c>
      <c r="C117" s="18">
        <f>'Individual components'!D184</f>
        <v>0.97299999999999998</v>
      </c>
      <c r="D117" s="18">
        <f>'Individual components'!E184</f>
        <v>0.97299999999999998</v>
      </c>
      <c r="E117" s="18">
        <f>'Individual components'!F184</f>
        <v>0.999</v>
      </c>
      <c r="F117" s="53">
        <f>'Individual components'!G184</f>
        <v>0.98699999999999999</v>
      </c>
      <c r="L117" s="57"/>
      <c r="M117" s="57"/>
      <c r="N117" s="57"/>
      <c r="P117" s="18"/>
    </row>
    <row r="118" spans="1:16">
      <c r="A118" s="15" t="s">
        <v>18</v>
      </c>
      <c r="B118" s="18">
        <f>'Individual components'!C142</f>
        <v>0.91700000000000004</v>
      </c>
      <c r="C118" s="18">
        <f>'Individual components'!D142</f>
        <v>0.91700000000000004</v>
      </c>
      <c r="D118" s="18">
        <f>'Individual components'!E142</f>
        <v>0.91600000000000004</v>
      </c>
      <c r="E118" s="18">
        <f>'Individual components'!F142</f>
        <v>0.91600000000000004</v>
      </c>
      <c r="F118" s="53">
        <f>'Individual components'!G142</f>
        <v>0.91500000000000004</v>
      </c>
      <c r="L118" s="57"/>
      <c r="M118" s="57"/>
      <c r="N118" s="57"/>
      <c r="P118" s="18"/>
    </row>
    <row r="119" spans="1:16">
      <c r="A119" s="15" t="s">
        <v>32</v>
      </c>
      <c r="B119" s="18">
        <f>'Individual components'!C226</f>
        <v>0.8</v>
      </c>
      <c r="C119" s="18">
        <f>'Individual components'!D226</f>
        <v>0.8</v>
      </c>
      <c r="D119" s="18">
        <f>'Individual components'!E226</f>
        <v>0.8</v>
      </c>
      <c r="E119" s="18">
        <f>'Individual components'!F226</f>
        <v>0.8</v>
      </c>
      <c r="F119" s="53">
        <f>'Individual components'!G226</f>
        <v>0.8</v>
      </c>
      <c r="L119" s="57"/>
      <c r="M119" s="57"/>
      <c r="N119" s="57"/>
      <c r="P119" s="18"/>
    </row>
    <row r="120" spans="1:16">
      <c r="A120" s="10" t="s">
        <v>40</v>
      </c>
      <c r="B120" s="29">
        <f>B108*B109*B110*B111*B112*B113*B114*B115*B116*B117*B118*B119</f>
        <v>0.4091795135454146</v>
      </c>
      <c r="C120" s="29">
        <f>C108*C109*C110*C111*C112*C113*C114*C115*C116*C117*C118*C119</f>
        <v>0.42445358124049054</v>
      </c>
      <c r="D120" s="29">
        <f t="shared" ref="D120:F120" si="19">D108*D109*D110*D111*D112*D113*D114*D115*D116*D117*D118*D119</f>
        <v>0.42229575962967286</v>
      </c>
      <c r="E120" s="29">
        <f t="shared" si="19"/>
        <v>0.43184247844484791</v>
      </c>
      <c r="F120" s="73">
        <f t="shared" si="19"/>
        <v>0.42490666590269388</v>
      </c>
      <c r="G120" s="57"/>
      <c r="H120" s="58"/>
      <c r="I120" s="58"/>
      <c r="J120" s="58"/>
      <c r="L120" s="57"/>
      <c r="M120" s="57"/>
      <c r="N120" s="57"/>
      <c r="O120" s="58"/>
      <c r="P120" s="18"/>
    </row>
    <row r="121" spans="1:16">
      <c r="A121" s="15" t="s">
        <v>126</v>
      </c>
      <c r="B121" s="36">
        <f>('Individual components'!L235-'Individual components'!K235)/('Individual components'!L234-'Individual components'!K234)*(B107-'Individual components'!K234)+'Individual components'!K235</f>
        <v>0.94165698200000003</v>
      </c>
      <c r="C121" s="36">
        <f>('Individual components'!L235-'Individual components'!K235)/('Individual components'!L234-'Individual components'!K234)*(C107-'Individual components'!K234)+'Individual components'!K235</f>
        <v>0.94309806399999996</v>
      </c>
      <c r="D121" s="36">
        <f>('Individual components'!M235-'Individual components'!L235)/('Individual components'!M234-'Individual components'!L234)*(D107-'Individual components'!L234)+'Individual components'!L235</f>
        <v>0.94551034399999989</v>
      </c>
      <c r="E121" s="36">
        <f>('Individual components'!M235-'Individual components'!L235)/('Individual components'!M234-'Individual components'!L234)*(E107-'Individual components'!L234)+'Individual components'!L235</f>
        <v>0.94792262399999994</v>
      </c>
      <c r="F121" s="74">
        <f>('Individual components'!N235-'Individual components'!M235)/('Individual components'!N234-'Individual components'!M234)*(D107-'Individual components'!N234)+'Individual components'!N235</f>
        <v>0.94647368599999993</v>
      </c>
      <c r="G121" s="57"/>
      <c r="H121" s="58"/>
      <c r="I121" s="58"/>
      <c r="J121" s="58"/>
      <c r="L121" s="57"/>
      <c r="M121" s="57"/>
      <c r="N121" s="57"/>
      <c r="O121" s="58"/>
      <c r="P121" s="18"/>
    </row>
    <row r="122" spans="1:16">
      <c r="A122" s="10" t="s">
        <v>125</v>
      </c>
      <c r="B122" s="29">
        <f>B120*B121</f>
        <v>0.38530674582140323</v>
      </c>
      <c r="C122" s="29">
        <f t="shared" ref="C122" si="20">C120*C121</f>
        <v>0.40030135072577333</v>
      </c>
      <c r="D122" s="29">
        <f t="shared" ref="D122" si="21">D120*D121</f>
        <v>0.39928500895719327</v>
      </c>
      <c r="E122" s="29">
        <f t="shared" ref="E122" si="22">E120*E121</f>
        <v>0.40935325532210365</v>
      </c>
      <c r="F122" s="73">
        <f t="shared" ref="F122" si="23">F120*F121</f>
        <v>0.40216297828289316</v>
      </c>
    </row>
    <row r="123" spans="1:16">
      <c r="B123" s="29"/>
      <c r="C123" s="29"/>
      <c r="D123" s="29"/>
      <c r="E123" s="29"/>
      <c r="F123" s="73"/>
    </row>
    <row r="124" spans="1:16">
      <c r="A124" s="37"/>
    </row>
    <row r="125" spans="1:16">
      <c r="A125" s="23" t="s">
        <v>3</v>
      </c>
    </row>
    <row r="126" spans="1:16">
      <c r="A126" s="15" t="s">
        <v>6</v>
      </c>
      <c r="B126" s="30">
        <v>1500</v>
      </c>
      <c r="C126" s="30">
        <v>1550</v>
      </c>
      <c r="D126" s="30">
        <v>1630</v>
      </c>
      <c r="E126" s="30">
        <v>1700</v>
      </c>
      <c r="F126" s="71">
        <v>1760</v>
      </c>
      <c r="N126" s="57"/>
    </row>
    <row r="127" spans="1:16">
      <c r="A127" s="15" t="s">
        <v>5</v>
      </c>
      <c r="B127" s="18">
        <f>('Individual components'!O7-'Individual components'!N7)/('Individual components'!O$6-'Individual components'!N$6)*(B$126-'Individual components'!N$6)+'Individual components'!N7</f>
        <v>0.85584328788353414</v>
      </c>
      <c r="C127" s="18">
        <f>('Individual components'!P7-'Individual components'!O7)/('Individual components'!P$6-'Individual components'!O$6)*(C$126-'Individual components'!O$6)+'Individual components'!O7</f>
        <v>0.8549922774539056</v>
      </c>
      <c r="D127" s="18">
        <f>('Individual components'!Q7-'Individual components'!P7)/('Individual components'!Q$6-'Individual components'!P$6)*(D$126-'Individual components'!P$6)+'Individual components'!P7</f>
        <v>0.8526037672489668</v>
      </c>
      <c r="E127" s="18">
        <f>('Individual components'!Q7-'Individual components'!P7)/('Individual components'!Q$6-'Individual components'!P$6)*(E$126-'Individual components'!P$6)+'Individual components'!P7</f>
        <v>0.84901626777324324</v>
      </c>
      <c r="F127" s="53">
        <f>('Individual components'!R7-'Individual components'!Q7)/('Individual components'!R$6-'Individual components'!Q$6)*(F$126-'Individual components'!Q$6)+'Individual components'!Q7</f>
        <v>0.84595297348257992</v>
      </c>
      <c r="G127" s="57"/>
      <c r="H127" s="57"/>
      <c r="L127" s="57"/>
      <c r="M127" s="57"/>
      <c r="N127" s="57"/>
      <c r="O127" s="57"/>
      <c r="P127" s="18"/>
    </row>
    <row r="128" spans="1:16">
      <c r="A128" s="15" t="s">
        <v>7</v>
      </c>
      <c r="B128" s="18">
        <f>'Individual components'!O10</f>
        <v>0.94089999999999996</v>
      </c>
      <c r="C128" s="18">
        <f>'Individual components'!P10</f>
        <v>0.94089999999999996</v>
      </c>
      <c r="D128" s="18">
        <f>'Individual components'!Q10</f>
        <v>0.94089999999999996</v>
      </c>
      <c r="E128" s="18">
        <f>'Individual components'!R10</f>
        <v>0.94089999999999996</v>
      </c>
      <c r="F128" s="53">
        <f>'Individual components'!S10</f>
        <v>0.94089999999999996</v>
      </c>
      <c r="L128" s="57"/>
      <c r="M128" s="57"/>
      <c r="N128" s="57"/>
      <c r="P128" s="18"/>
    </row>
    <row r="129" spans="1:16">
      <c r="A129" s="15" t="s">
        <v>28</v>
      </c>
      <c r="B129" s="18">
        <f>'Individual components'!M73</f>
        <v>0.93099999999999994</v>
      </c>
      <c r="C129" s="18">
        <f>'Individual components'!N73</f>
        <v>0.93099999999999994</v>
      </c>
      <c r="D129" s="18">
        <f>'Individual components'!O73</f>
        <v>0.93099999999999994</v>
      </c>
      <c r="E129" s="18">
        <f>'Individual components'!P73</f>
        <v>0.93099999999999994</v>
      </c>
      <c r="F129" s="53">
        <f>'Individual components'!Q73</f>
        <v>0.93099999999999994</v>
      </c>
      <c r="L129" s="57"/>
      <c r="M129" s="57"/>
      <c r="N129" s="57"/>
      <c r="P129" s="18"/>
    </row>
    <row r="130" spans="1:16">
      <c r="A130" s="15" t="s">
        <v>41</v>
      </c>
      <c r="B130" s="18">
        <f>'Individual components'!C124</f>
        <v>0.89258858624622395</v>
      </c>
      <c r="C130" s="18">
        <f>'Individual components'!D124</f>
        <v>0.8898645112119018</v>
      </c>
      <c r="D130" s="18">
        <f>'Individual components'!E124</f>
        <v>0.88623241116613893</v>
      </c>
      <c r="E130" s="18">
        <f>'Individual components'!F124</f>
        <v>0.88078426109749464</v>
      </c>
      <c r="F130" s="53">
        <f>'Individual components'!G124</f>
        <v>0.87533611102885034</v>
      </c>
      <c r="H130" s="57"/>
      <c r="I130" s="57"/>
      <c r="J130" s="57"/>
      <c r="K130" s="57"/>
      <c r="L130" s="57"/>
      <c r="M130" s="57"/>
      <c r="N130" s="57"/>
      <c r="O130" s="57"/>
      <c r="P130" s="18"/>
    </row>
    <row r="131" spans="1:16">
      <c r="A131" s="15" t="s">
        <v>26</v>
      </c>
      <c r="B131" s="18">
        <f>'Individual components'!C97</f>
        <v>0.92149999999999999</v>
      </c>
      <c r="C131" s="18">
        <f>'Individual components'!D97</f>
        <v>0.92149999999999999</v>
      </c>
      <c r="D131" s="18">
        <f>'Individual components'!E97</f>
        <v>0.92149999999999999</v>
      </c>
      <c r="E131" s="18">
        <f>'Individual components'!F97</f>
        <v>0.92149999999999999</v>
      </c>
      <c r="F131" s="53">
        <f>'Individual components'!G97</f>
        <v>0.92149999999999999</v>
      </c>
      <c r="L131" s="57"/>
      <c r="M131" s="57"/>
      <c r="N131" s="57"/>
      <c r="P131" s="18"/>
    </row>
    <row r="132" spans="1:16">
      <c r="A132" s="15" t="s">
        <v>42</v>
      </c>
      <c r="B132" s="18">
        <f>'Individual components'!C49</f>
        <v>0.98499999999999999</v>
      </c>
      <c r="C132" s="18">
        <f>'Individual components'!D49</f>
        <v>0.98499999999999999</v>
      </c>
      <c r="D132" s="18">
        <f>'Individual components'!E49</f>
        <v>0.98499999999999999</v>
      </c>
      <c r="E132" s="18">
        <f>'Individual components'!F49</f>
        <v>0.98499999999999999</v>
      </c>
      <c r="F132" s="53">
        <f>'Individual components'!G49</f>
        <v>0.98499999999999999</v>
      </c>
      <c r="L132" s="57"/>
      <c r="M132" s="57"/>
      <c r="N132" s="57"/>
      <c r="P132" s="18"/>
    </row>
    <row r="133" spans="1:16">
      <c r="A133" s="15" t="s">
        <v>43</v>
      </c>
      <c r="B133" s="18">
        <f>'Individual components'!C52</f>
        <v>0.98499999999999999</v>
      </c>
      <c r="C133" s="18">
        <f>'Individual components'!D52</f>
        <v>0.98499999999999999</v>
      </c>
      <c r="D133" s="18">
        <f>'Individual components'!E52</f>
        <v>0.98499999999999999</v>
      </c>
      <c r="E133" s="18">
        <f>'Individual components'!F52</f>
        <v>0.98499999999999999</v>
      </c>
      <c r="F133" s="53">
        <f>'Individual components'!G52</f>
        <v>0.98499999999999999</v>
      </c>
      <c r="L133" s="57"/>
      <c r="M133" s="57"/>
      <c r="N133" s="57"/>
      <c r="P133" s="18"/>
    </row>
    <row r="134" spans="1:16">
      <c r="A134" s="15" t="s">
        <v>24</v>
      </c>
      <c r="B134" s="18">
        <f>'Individual components'!C112</f>
        <v>0.98499999999999999</v>
      </c>
      <c r="C134" s="18">
        <f>'Individual components'!D112</f>
        <v>0.98499999999999999</v>
      </c>
      <c r="D134" s="18">
        <f>'Individual components'!E112</f>
        <v>0.98499999999999999</v>
      </c>
      <c r="E134" s="18">
        <f>'Individual components'!F112</f>
        <v>0.98499999999999999</v>
      </c>
      <c r="F134" s="53">
        <f>'Individual components'!G112</f>
        <v>0.98499999999999999</v>
      </c>
      <c r="L134" s="57"/>
      <c r="M134" s="57"/>
      <c r="N134" s="57"/>
      <c r="P134" s="18"/>
    </row>
    <row r="135" spans="1:16">
      <c r="A135" s="15" t="s">
        <v>31</v>
      </c>
      <c r="B135" s="18">
        <f>'Individual components'!C64</f>
        <v>0.99</v>
      </c>
      <c r="C135" s="18">
        <f>'Individual components'!D64</f>
        <v>0.99</v>
      </c>
      <c r="D135" s="18">
        <f>'Individual components'!E64</f>
        <v>0.99</v>
      </c>
      <c r="E135" s="18">
        <f>'Individual components'!F64</f>
        <v>0.99</v>
      </c>
      <c r="F135" s="53">
        <f>'Individual components'!G64</f>
        <v>0.99</v>
      </c>
      <c r="L135" s="57"/>
      <c r="M135" s="57"/>
      <c r="N135" s="57"/>
      <c r="P135" s="18"/>
    </row>
    <row r="136" spans="1:16">
      <c r="A136" s="15" t="s">
        <v>260</v>
      </c>
      <c r="B136" s="18">
        <f>'Individual components'!C187</f>
        <v>0.99199999999999999</v>
      </c>
      <c r="C136" s="18">
        <f>'Individual components'!D187</f>
        <v>0.99299999999999999</v>
      </c>
      <c r="D136" s="18">
        <f>'Individual components'!E187</f>
        <v>0.999</v>
      </c>
      <c r="E136" s="18">
        <f>'Individual components'!F187</f>
        <v>0.996</v>
      </c>
      <c r="F136" s="53">
        <f>'Individual components'!G187</f>
        <v>0.998</v>
      </c>
      <c r="L136" s="57"/>
      <c r="M136" s="57"/>
      <c r="N136" s="57"/>
      <c r="P136" s="18"/>
    </row>
    <row r="137" spans="1:16">
      <c r="A137" s="15" t="s">
        <v>19</v>
      </c>
      <c r="B137" s="18">
        <f>'Individual components'!C145</f>
        <v>0.91200000000000003</v>
      </c>
      <c r="C137" s="18">
        <f>'Individual components'!D145</f>
        <v>0.91200000000000003</v>
      </c>
      <c r="D137" s="18">
        <f>'Individual components'!E145</f>
        <v>0.91</v>
      </c>
      <c r="E137" s="18">
        <f>'Individual components'!F145</f>
        <v>0.90800000000000003</v>
      </c>
      <c r="F137" s="53">
        <f>'Individual components'!G145</f>
        <v>0.90600000000000003</v>
      </c>
      <c r="L137" s="57"/>
      <c r="M137" s="57"/>
      <c r="N137" s="57"/>
      <c r="P137" s="18"/>
    </row>
    <row r="138" spans="1:16">
      <c r="A138" s="15" t="s">
        <v>34</v>
      </c>
      <c r="B138" s="18">
        <f>'Individual components'!C229</f>
        <v>0.8</v>
      </c>
      <c r="C138" s="18">
        <f>'Individual components'!D229</f>
        <v>0.8</v>
      </c>
      <c r="D138" s="18">
        <f>'Individual components'!E229</f>
        <v>0.8</v>
      </c>
      <c r="E138" s="18">
        <f>'Individual components'!F229</f>
        <v>0.8</v>
      </c>
      <c r="F138" s="53">
        <f>'Individual components'!G229</f>
        <v>0.8</v>
      </c>
      <c r="L138" s="57"/>
      <c r="M138" s="57"/>
      <c r="N138" s="57"/>
      <c r="P138" s="18"/>
    </row>
    <row r="139" spans="1:16">
      <c r="A139" s="10" t="s">
        <v>40</v>
      </c>
      <c r="B139" s="29">
        <f>B127*B128*B129*B130*B131*B132*B133*B134*B135*B136*B137*B138</f>
        <v>0.42225465959071312</v>
      </c>
      <c r="C139" s="29">
        <f t="shared" ref="C139:F139" si="24">C127*C128*C129*C130*C131*C132*C133*C134*C135*C136*C137*C138</f>
        <v>0.42097133827197891</v>
      </c>
      <c r="D139" s="29">
        <f t="shared" si="24"/>
        <v>0.41968564897518568</v>
      </c>
      <c r="E139" s="29">
        <f t="shared" si="24"/>
        <v>0.41319314360333292</v>
      </c>
      <c r="F139" s="73">
        <f t="shared" si="24"/>
        <v>0.40907427331962909</v>
      </c>
      <c r="G139" s="57"/>
      <c r="H139" s="58"/>
      <c r="I139" s="58"/>
      <c r="J139" s="58"/>
      <c r="L139" s="57"/>
      <c r="M139" s="57"/>
      <c r="N139" s="57"/>
      <c r="O139" s="58"/>
      <c r="P139" s="18"/>
    </row>
    <row r="140" spans="1:16">
      <c r="A140" s="15" t="s">
        <v>126</v>
      </c>
      <c r="B140" s="36">
        <f>'Individual components'!O235</f>
        <v>0.95372427599999998</v>
      </c>
      <c r="C140" s="36">
        <f>('Individual components'!P235-'Individual components'!O235)/('Individual components'!P234-'Individual components'!O234)*(C126-'Individual components'!O234)+'Individual components'!O235</f>
        <v>0.95517911699999991</v>
      </c>
      <c r="D140" s="36">
        <f>('Individual components'!Q235-'Individual components'!P235)/('Individual components'!Q234-'Individual components'!P234)*(D126-'Individual components'!P234)+'Individual components'!P235</f>
        <v>0.95663395799999995</v>
      </c>
      <c r="E140" s="36">
        <f>'Individual components'!Q235</f>
        <v>0.95663395799999995</v>
      </c>
      <c r="F140" s="74">
        <f>('Individual components'!R235-'Individual components'!Q235)/('Individual components'!R234-'Individual components'!Q234)*(F126-'Individual components'!Q234)+'Individual components'!Q235</f>
        <v>0.95721845939999994</v>
      </c>
      <c r="G140" s="57"/>
      <c r="H140" s="58"/>
      <c r="I140" s="58"/>
      <c r="J140" s="58"/>
      <c r="L140" s="57"/>
      <c r="M140" s="57"/>
      <c r="N140" s="57"/>
      <c r="O140" s="58"/>
      <c r="P140" s="18"/>
    </row>
    <row r="141" spans="1:16">
      <c r="A141" s="10" t="s">
        <v>125</v>
      </c>
      <c r="B141" s="29">
        <f>B139*B140</f>
        <v>0.4027145195057793</v>
      </c>
      <c r="C141" s="29">
        <f t="shared" ref="C141" si="25">C139*C140</f>
        <v>0.40210303117293711</v>
      </c>
      <c r="D141" s="29">
        <f t="shared" ref="D141" si="26">D139*D140</f>
        <v>0.40148554349493049</v>
      </c>
      <c r="E141" s="29">
        <f t="shared" ref="E141" si="27">E139*E140</f>
        <v>0.39527459238371876</v>
      </c>
      <c r="F141" s="73">
        <f t="shared" ref="F141" si="28">F139*F140</f>
        <v>0.39157344568718988</v>
      </c>
    </row>
    <row r="142" spans="1:16">
      <c r="B142" s="29"/>
      <c r="C142" s="29"/>
      <c r="D142" s="29"/>
      <c r="E142" s="29"/>
      <c r="F142" s="73"/>
    </row>
    <row r="143" spans="1:16">
      <c r="A143" s="37"/>
    </row>
    <row r="144" spans="1:16">
      <c r="A144" s="24" t="s">
        <v>4</v>
      </c>
    </row>
    <row r="145" spans="1:17">
      <c r="A145" s="15" t="s">
        <v>6</v>
      </c>
      <c r="B145" s="30">
        <v>2000</v>
      </c>
      <c r="C145" s="30">
        <v>2100</v>
      </c>
      <c r="D145" s="30">
        <v>2175</v>
      </c>
      <c r="E145" s="30">
        <v>2280</v>
      </c>
      <c r="F145" s="75">
        <v>2350</v>
      </c>
    </row>
    <row r="146" spans="1:17">
      <c r="A146" s="15" t="s">
        <v>5</v>
      </c>
      <c r="B146" s="18">
        <f>('Individual components'!T7-'Individual components'!S7)/('Individual components'!T$6-'Individual components'!S$6)*(B$145-'Individual components'!S$6)+'Individual components'!S7</f>
        <v>0.84053474318649235</v>
      </c>
      <c r="C146" s="18">
        <f>('Individual components'!U7-'Individual components'!T7)/('Individual components'!U$6-'Individual components'!T$6)*(C$145-'Individual components'!T$6)+'Individual components'!T7</f>
        <v>0.8152355224078941</v>
      </c>
      <c r="D146" s="18">
        <f>('Individual components'!V7-'Individual components'!U7)/('Individual components'!V$6-'Individual components'!U$6)*(D$145-'Individual components'!U$6)+'Individual components'!U7</f>
        <v>0.79658593801055566</v>
      </c>
      <c r="E146" s="18">
        <f>('Individual components'!W7-'Individual components'!V7)/('Individual components'!W$6-'Individual components'!V$6)*(E$145-'Individual components'!V$6)+'Individual components'!V7</f>
        <v>0.78580234810522775</v>
      </c>
      <c r="F146" s="76">
        <f>'Individual components'!X7</f>
        <v>0.78181594743445693</v>
      </c>
      <c r="M146" s="57"/>
      <c r="N146" s="57"/>
      <c r="P146" s="18"/>
      <c r="Q146" s="18"/>
    </row>
    <row r="147" spans="1:17">
      <c r="A147" s="15" t="s">
        <v>7</v>
      </c>
      <c r="B147" s="18">
        <f>0.977*0.977</f>
        <v>0.95452899999999996</v>
      </c>
      <c r="C147" s="18">
        <f>0.977*0.977</f>
        <v>0.95452899999999996</v>
      </c>
      <c r="D147" s="18">
        <f>0.977*0.977</f>
        <v>0.95452899999999996</v>
      </c>
      <c r="E147" s="18">
        <f>0.977*0.977</f>
        <v>0.95452899999999996</v>
      </c>
      <c r="F147" s="76">
        <f>0.977*0.977</f>
        <v>0.95452899999999996</v>
      </c>
      <c r="M147" s="57"/>
      <c r="N147" s="57"/>
      <c r="P147" s="18"/>
      <c r="Q147" s="18"/>
    </row>
    <row r="148" spans="1:17">
      <c r="A148" s="15" t="s">
        <v>28</v>
      </c>
      <c r="B148" s="18">
        <f>'Individual components'!R73</f>
        <v>0.93099999999999994</v>
      </c>
      <c r="C148" s="18">
        <f>'Individual components'!S73</f>
        <v>0.93099999999999994</v>
      </c>
      <c r="D148" s="18">
        <f>'Individual components'!T73</f>
        <v>0.93099999999999994</v>
      </c>
      <c r="E148" s="18">
        <f>'Individual components'!U73</f>
        <v>0.93099999999999994</v>
      </c>
      <c r="F148" s="76">
        <f>'Individual components'!V73</f>
        <v>0.9506</v>
      </c>
      <c r="M148" s="57"/>
      <c r="N148" s="57"/>
      <c r="P148" s="18"/>
      <c r="Q148" s="18"/>
    </row>
    <row r="149" spans="1:17">
      <c r="A149" s="15" t="s">
        <v>41</v>
      </c>
      <c r="B149" s="18">
        <f>'Individual components'!H124</f>
        <v>0.86897993594876533</v>
      </c>
      <c r="C149" s="18">
        <f>'Individual components'!I124</f>
        <v>0.82448671038817023</v>
      </c>
      <c r="D149" s="18">
        <f>'Individual components'!J124</f>
        <v>0.79361385999918588</v>
      </c>
      <c r="E149" s="18">
        <f>'Individual components'!K124</f>
        <v>0.77999348482757513</v>
      </c>
      <c r="F149" s="76">
        <f>'Individual components'!L124</f>
        <v>0.77091323471316797</v>
      </c>
      <c r="M149" s="57"/>
      <c r="N149" s="57"/>
      <c r="P149" s="18"/>
      <c r="Q149" s="18"/>
    </row>
    <row r="150" spans="1:17">
      <c r="A150" s="15" t="s">
        <v>26</v>
      </c>
      <c r="B150" s="18">
        <f>'Individual components'!H97</f>
        <v>0.92149999999999999</v>
      </c>
      <c r="C150" s="18">
        <f>'Individual components'!I97</f>
        <v>0.92149999999999999</v>
      </c>
      <c r="D150" s="18">
        <f>'Individual components'!J97</f>
        <v>0.92149999999999999</v>
      </c>
      <c r="E150" s="18">
        <f>'Individual components'!K97</f>
        <v>0.92149999999999999</v>
      </c>
      <c r="F150" s="76">
        <f>'Individual components'!L97</f>
        <v>0.92149999999999999</v>
      </c>
      <c r="M150" s="57"/>
      <c r="N150" s="57"/>
      <c r="P150" s="18"/>
      <c r="Q150" s="18"/>
    </row>
    <row r="151" spans="1:17">
      <c r="A151" s="15" t="s">
        <v>42</v>
      </c>
      <c r="B151" s="18">
        <f>'Individual components'!H49</f>
        <v>0.98499999999999999</v>
      </c>
      <c r="C151" s="18">
        <f>'Individual components'!I49</f>
        <v>0.98499999999999999</v>
      </c>
      <c r="D151" s="18">
        <f>'Individual components'!J49</f>
        <v>0.98499999999999999</v>
      </c>
      <c r="E151" s="18">
        <f>'Individual components'!K49</f>
        <v>0.98499999999999999</v>
      </c>
      <c r="F151" s="76">
        <f>'Individual components'!L49</f>
        <v>0.98499999999999999</v>
      </c>
      <c r="M151" s="57"/>
      <c r="N151" s="57"/>
      <c r="P151" s="18"/>
      <c r="Q151" s="18"/>
    </row>
    <row r="152" spans="1:17">
      <c r="A152" s="15" t="s">
        <v>43</v>
      </c>
      <c r="B152" s="18">
        <f>'Individual components'!H52</f>
        <v>0.98499999999999999</v>
      </c>
      <c r="C152" s="18">
        <f>'Individual components'!I52</f>
        <v>0.98499999999999999</v>
      </c>
      <c r="D152" s="18">
        <f>'Individual components'!J52</f>
        <v>0.98499999999999999</v>
      </c>
      <c r="E152" s="18">
        <f>'Individual components'!K52</f>
        <v>0.98499999999999999</v>
      </c>
      <c r="F152" s="76">
        <f>'Individual components'!L52</f>
        <v>0.98499999999999999</v>
      </c>
      <c r="M152" s="57"/>
      <c r="N152" s="57"/>
      <c r="P152" s="18"/>
      <c r="Q152" s="18"/>
    </row>
    <row r="153" spans="1:17">
      <c r="A153" s="15" t="s">
        <v>23</v>
      </c>
      <c r="B153" s="18">
        <f>'Individual components'!C109</f>
        <v>0.92149999999999999</v>
      </c>
      <c r="C153" s="18">
        <f>'Individual components'!D109</f>
        <v>0.92149999999999999</v>
      </c>
      <c r="D153" s="18">
        <f>'Individual components'!E109</f>
        <v>0.92149999999999999</v>
      </c>
      <c r="E153" s="18">
        <f>'Individual components'!F109</f>
        <v>0.92149999999999999</v>
      </c>
      <c r="F153" s="76">
        <f>'Individual components'!G109</f>
        <v>0.92149999999999999</v>
      </c>
      <c r="M153" s="57"/>
      <c r="N153" s="57"/>
      <c r="P153" s="18"/>
      <c r="Q153" s="18"/>
    </row>
    <row r="154" spans="1:17">
      <c r="A154" s="15" t="s">
        <v>44</v>
      </c>
      <c r="B154" s="18">
        <f>'Individual components'!C67</f>
        <v>0.99</v>
      </c>
      <c r="C154" s="18">
        <f>'Individual components'!D67</f>
        <v>0.99</v>
      </c>
      <c r="D154" s="18">
        <f>'Individual components'!E67</f>
        <v>0.99</v>
      </c>
      <c r="E154" s="18">
        <f>'Individual components'!F67</f>
        <v>0.99</v>
      </c>
      <c r="F154" s="76">
        <f>'Individual components'!G67</f>
        <v>0.99</v>
      </c>
      <c r="M154" s="57"/>
      <c r="N154" s="57"/>
      <c r="P154" s="18"/>
      <c r="Q154" s="18"/>
    </row>
    <row r="155" spans="1:17">
      <c r="A155" s="15" t="s">
        <v>45</v>
      </c>
      <c r="B155" s="18">
        <f>'Individual components'!C70</f>
        <v>0.99</v>
      </c>
      <c r="C155" s="18">
        <f>'Individual components'!D70</f>
        <v>0.99</v>
      </c>
      <c r="D155" s="18">
        <f>'Individual components'!E70</f>
        <v>0.99</v>
      </c>
      <c r="E155" s="18">
        <f>'Individual components'!F70</f>
        <v>0.99</v>
      </c>
      <c r="F155" s="76">
        <f>'Individual components'!G70</f>
        <v>0.99</v>
      </c>
      <c r="M155" s="57"/>
      <c r="N155" s="57"/>
      <c r="P155" s="18"/>
      <c r="Q155" s="18"/>
    </row>
    <row r="156" spans="1:17">
      <c r="A156" s="15" t="s">
        <v>170</v>
      </c>
      <c r="B156" s="18">
        <f>'Individual components'!C196</f>
        <v>1</v>
      </c>
      <c r="C156" s="18">
        <f>'Individual components'!D196</f>
        <v>1</v>
      </c>
      <c r="D156" s="18">
        <f>'Individual components'!E196</f>
        <v>1</v>
      </c>
      <c r="E156" s="18">
        <f>'Individual components'!F196</f>
        <v>1</v>
      </c>
      <c r="F156" s="76">
        <f>'Individual components'!G196</f>
        <v>1</v>
      </c>
      <c r="M156" s="57"/>
      <c r="N156" s="57"/>
      <c r="P156" s="18"/>
      <c r="Q156" s="18"/>
    </row>
    <row r="157" spans="1:17">
      <c r="A157" s="15" t="s">
        <v>157</v>
      </c>
      <c r="B157" s="18">
        <f>'Individual components'!C190</f>
        <v>0.97599999999999998</v>
      </c>
      <c r="C157" s="18">
        <f>'Individual components'!D190</f>
        <v>0.998</v>
      </c>
      <c r="D157" s="18">
        <f>'Individual components'!E190</f>
        <v>0.97699999999999998</v>
      </c>
      <c r="E157" s="18">
        <f>'Individual components'!F190</f>
        <v>0.91200000000000003</v>
      </c>
      <c r="F157" s="76">
        <f>'Individual components'!G190</f>
        <v>0</v>
      </c>
      <c r="M157" s="57"/>
      <c r="N157" s="57"/>
      <c r="P157" s="18"/>
      <c r="Q157" s="18"/>
    </row>
    <row r="158" spans="1:17">
      <c r="A158" s="15" t="s">
        <v>20</v>
      </c>
      <c r="B158" s="18">
        <f>'Individual components'!C148</f>
        <v>0.90200000000000002</v>
      </c>
      <c r="C158" s="18">
        <f>'Individual components'!D148</f>
        <v>0.88500000000000001</v>
      </c>
      <c r="D158" s="18">
        <f>'Individual components'!E148</f>
        <v>0.872</v>
      </c>
      <c r="E158" s="18">
        <f>'Individual components'!F148</f>
        <v>0.86499999999999999</v>
      </c>
      <c r="F158" s="76">
        <f>'Individual components'!G148</f>
        <v>0.86199999999999999</v>
      </c>
      <c r="M158" s="57"/>
      <c r="N158" s="57"/>
      <c r="P158" s="18"/>
      <c r="Q158" s="18"/>
    </row>
    <row r="159" spans="1:17">
      <c r="A159" s="15" t="s">
        <v>35</v>
      </c>
      <c r="B159" s="18">
        <f>'Individual components'!C232</f>
        <v>0.8</v>
      </c>
      <c r="C159" s="18">
        <f>'Individual components'!D232</f>
        <v>0.8</v>
      </c>
      <c r="D159" s="18">
        <f>'Individual components'!E232</f>
        <v>0.8</v>
      </c>
      <c r="E159" s="18">
        <f>'Individual components'!F232</f>
        <v>0.8</v>
      </c>
      <c r="F159" s="76">
        <f>'Individual components'!G232</f>
        <v>0.8</v>
      </c>
      <c r="M159" s="57"/>
      <c r="N159" s="57"/>
      <c r="P159" s="18"/>
      <c r="Q159" s="18"/>
    </row>
    <row r="160" spans="1:17">
      <c r="A160" s="10" t="s">
        <v>40</v>
      </c>
      <c r="B160" s="29">
        <f>B146*B147*B148*B149*B150*B151*B152*B153*B154*B155*B156*B157*B158*B159</f>
        <v>0.36913404225344476</v>
      </c>
      <c r="C160" s="29">
        <f t="shared" ref="C160:F160" si="29">C146*C147*C148*C149*C150*C151*C152*C153*C154*C155*C156*C157*C158*C159</f>
        <v>0.34080259382888306</v>
      </c>
      <c r="D160" s="29">
        <f t="shared" si="29"/>
        <v>0.30918274803008339</v>
      </c>
      <c r="E160" s="29">
        <f t="shared" si="29"/>
        <v>0.27757322277760599</v>
      </c>
      <c r="F160" s="77">
        <f t="shared" si="29"/>
        <v>0</v>
      </c>
      <c r="G160" s="57"/>
      <c r="H160" s="58"/>
      <c r="I160" s="58"/>
      <c r="J160" s="58"/>
      <c r="M160" s="57"/>
      <c r="O160" s="58"/>
      <c r="Q160" s="18"/>
    </row>
    <row r="161" spans="1:16">
      <c r="A161" s="15" t="s">
        <v>126</v>
      </c>
      <c r="B161" s="36">
        <f>'Individual components'!T235</f>
        <v>0.95664086399999992</v>
      </c>
      <c r="C161" s="36">
        <f>'Individual components'!U235</f>
        <v>0.9576130599999999</v>
      </c>
      <c r="D161" s="36">
        <f>('Individual components'!V235-'Individual components'!U235)/('Individual components'!V234-'Individual components'!U234)*(D145-'Individual components'!U234)+'Individual components'!U235</f>
        <v>0.9576130599999999</v>
      </c>
      <c r="E161" s="36">
        <f>('Individual components'!W235-'Individual components'!V235)/('Individual components'!W234-'Individual components'!V234)*(D145-'Individual components'!V234)+'Individual components'!V235</f>
        <v>0.9571272087499999</v>
      </c>
      <c r="F161" s="76">
        <f>('Individual components'!X235-'Individual components'!W235)/('Individual components'!X234-'Individual components'!W234)*(F145-'Individual components'!W234)+'Individual components'!W235</f>
        <v>0.92678649999999996</v>
      </c>
      <c r="G161" s="57"/>
      <c r="H161" s="58"/>
      <c r="I161" s="58"/>
      <c r="J161" s="58"/>
      <c r="L161" s="57"/>
      <c r="M161" s="57"/>
      <c r="N161" s="57"/>
      <c r="O161" s="58"/>
      <c r="P161" s="18"/>
    </row>
    <row r="162" spans="1:16">
      <c r="A162" s="10" t="s">
        <v>125</v>
      </c>
      <c r="B162" s="29">
        <f>B160*B161</f>
        <v>0.35312870911314787</v>
      </c>
      <c r="C162" s="29">
        <f t="shared" ref="C162" si="30">C160*C161</f>
        <v>0.3263570147324138</v>
      </c>
      <c r="D162" s="29">
        <f t="shared" ref="D162" si="31">D160*D161</f>
        <v>0.29607743744029708</v>
      </c>
      <c r="E162" s="29">
        <f t="shared" ref="E162" si="32">E160*E161</f>
        <v>0.26567288394087191</v>
      </c>
      <c r="F162" s="77">
        <f t="shared" ref="F162" si="33">F160*F161</f>
        <v>0</v>
      </c>
    </row>
    <row r="163" spans="1:16">
      <c r="A163" s="10"/>
      <c r="B163" s="29"/>
      <c r="C163" s="29"/>
      <c r="D163" s="29"/>
      <c r="E163" s="29"/>
      <c r="F163" s="73"/>
    </row>
    <row r="164" spans="1:16">
      <c r="A164" s="10"/>
      <c r="B164" s="17"/>
      <c r="C164" s="17"/>
      <c r="D164" s="17"/>
      <c r="E164" s="17"/>
      <c r="F164" s="69"/>
    </row>
    <row r="198" spans="1:1">
      <c r="A198" s="19"/>
    </row>
    <row r="202" spans="1:1">
      <c r="A202" s="19"/>
    </row>
  </sheetData>
  <phoneticPr fontId="17" type="noConversion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01"/>
  <sheetViews>
    <sheetView topLeftCell="A66" workbookViewId="0">
      <selection activeCell="D160" sqref="D160"/>
    </sheetView>
  </sheetViews>
  <sheetFormatPr baseColWidth="10" defaultRowHeight="15" x14ac:dyDescent="0"/>
  <cols>
    <col min="1" max="1" width="14.1640625" style="5" customWidth="1"/>
    <col min="2" max="6" width="8.83203125" style="5" customWidth="1"/>
    <col min="7" max="7" width="10.83203125" style="79"/>
    <col min="8" max="8" width="10.83203125" style="56"/>
    <col min="9" max="9" width="12.6640625" style="56" bestFit="1" customWidth="1"/>
    <col min="10" max="15" width="10.83203125" style="56"/>
    <col min="16" max="16" width="10.83203125" style="54"/>
    <col min="17" max="16384" width="10.83203125" style="5"/>
  </cols>
  <sheetData>
    <row r="2" spans="1:16">
      <c r="A2" s="3" t="s">
        <v>36</v>
      </c>
    </row>
    <row r="4" spans="1:16">
      <c r="A4" s="31" t="s">
        <v>87</v>
      </c>
    </row>
    <row r="5" spans="1:16">
      <c r="A5" s="10" t="s">
        <v>6</v>
      </c>
      <c r="B5" s="30">
        <v>385</v>
      </c>
      <c r="C5" s="30">
        <v>400</v>
      </c>
      <c r="D5" s="30">
        <v>469</v>
      </c>
      <c r="E5" s="30">
        <v>510</v>
      </c>
      <c r="F5" s="30">
        <v>552</v>
      </c>
    </row>
    <row r="6" spans="1:16">
      <c r="A6" s="15" t="s">
        <v>5</v>
      </c>
      <c r="B6" s="18">
        <f>'Individual components'!C7</f>
        <v>0.77361957225853306</v>
      </c>
      <c r="C6" s="18">
        <f>'Individual components'!D7</f>
        <v>0.83587220172409737</v>
      </c>
      <c r="D6" s="18">
        <f>('Individual components'!E7-'Individual components'!D7)/('Individual components'!E6-'Individual components'!D6)*(D5-'Individual components'!D6)+'Individual components'!D7</f>
        <v>0.84803582319489934</v>
      </c>
      <c r="E6" s="18">
        <f>('Individual components'!F7-'Individual components'!E7)/('Individual components'!F6-'Individual components'!E6)*(E5-'Individual components'!E6)+'Individual components'!E7</f>
        <v>0.85403938190520434</v>
      </c>
      <c r="F6" s="18">
        <f>('Individual components'!F7-'Individual components'!E7)/('Individual components'!F6-'Individual components'!E6)*(F5-'Individual components'!E6)+'Individual components'!E7</f>
        <v>0.8563021036261893</v>
      </c>
      <c r="L6" s="57"/>
      <c r="M6" s="57"/>
      <c r="N6" s="57"/>
      <c r="O6" s="57"/>
      <c r="P6" s="55"/>
    </row>
    <row r="7" spans="1:16">
      <c r="A7" s="15" t="s">
        <v>7</v>
      </c>
      <c r="B7" s="18">
        <f>'Individual components'!C10</f>
        <v>0.94089999999999996</v>
      </c>
      <c r="C7" s="18">
        <f>'Individual components'!D10</f>
        <v>0.94089999999999996</v>
      </c>
      <c r="D7" s="18">
        <f>'Individual components'!E10</f>
        <v>0.94089999999999996</v>
      </c>
      <c r="E7" s="18">
        <f>'Individual components'!F10</f>
        <v>0.94089999999999996</v>
      </c>
      <c r="F7" s="18">
        <f>'Individual components'!G10</f>
        <v>0.94089999999999996</v>
      </c>
      <c r="L7" s="57"/>
      <c r="M7" s="57"/>
      <c r="N7" s="57"/>
      <c r="O7" s="57"/>
      <c r="P7" s="55"/>
    </row>
    <row r="8" spans="1:16">
      <c r="A8" s="15" t="s">
        <v>27</v>
      </c>
      <c r="B8" s="18">
        <f>'Individual components'!C76</f>
        <v>0.98499999999999999</v>
      </c>
      <c r="C8" s="18">
        <f>'Individual components'!D76</f>
        <v>0.98499999999999999</v>
      </c>
      <c r="D8" s="18">
        <f>'Individual components'!E76</f>
        <v>0.98499999999999999</v>
      </c>
      <c r="E8" s="18">
        <f>'Individual components'!F76</f>
        <v>0.98499999999999999</v>
      </c>
      <c r="F8" s="18">
        <f>'Individual components'!G76</f>
        <v>0.98499999999999999</v>
      </c>
      <c r="L8" s="57"/>
      <c r="M8" s="57"/>
      <c r="N8" s="57"/>
      <c r="O8" s="57"/>
      <c r="P8" s="55"/>
    </row>
    <row r="9" spans="1:16">
      <c r="A9" s="15" t="s">
        <v>8</v>
      </c>
      <c r="B9" s="18">
        <f>'Individual components'!C13</f>
        <v>0.96039999999999992</v>
      </c>
      <c r="C9" s="18">
        <f>'Individual components'!D13</f>
        <v>0.96039999999999992</v>
      </c>
      <c r="D9" s="18">
        <f>'Individual components'!E13</f>
        <v>0.96039999999999992</v>
      </c>
      <c r="E9" s="18">
        <f>'Individual components'!F13</f>
        <v>0.96039999999999992</v>
      </c>
      <c r="F9" s="18">
        <f>'Individual components'!G13</f>
        <v>0.96039999999999992</v>
      </c>
      <c r="L9" s="57"/>
      <c r="M9" s="57"/>
      <c r="N9" s="57"/>
      <c r="O9" s="57"/>
      <c r="P9" s="55"/>
    </row>
    <row r="10" spans="1:16">
      <c r="A10" s="15" t="s">
        <v>85</v>
      </c>
      <c r="B10" s="18">
        <f>'Individual components'!C16</f>
        <v>0.57999999999999996</v>
      </c>
      <c r="C10" s="18">
        <f>'Individual components'!D16</f>
        <v>0.8</v>
      </c>
      <c r="D10" s="18">
        <f>'Individual components'!E16</f>
        <v>0.95</v>
      </c>
      <c r="E10" s="18">
        <f>'Individual components'!F16</f>
        <v>0.95</v>
      </c>
      <c r="F10" s="18">
        <f>'Individual components'!G16</f>
        <v>0.95</v>
      </c>
      <c r="L10" s="57"/>
      <c r="M10" s="57"/>
      <c r="N10" s="57"/>
      <c r="O10" s="57"/>
      <c r="P10" s="55"/>
    </row>
    <row r="11" spans="1:16">
      <c r="A11" s="15" t="s">
        <v>86</v>
      </c>
      <c r="B11" s="40">
        <f>'Individual components'!C115</f>
        <v>0.74473076878199995</v>
      </c>
      <c r="C11" s="40">
        <f>'Individual components'!D115</f>
        <v>0.83734472336129984</v>
      </c>
      <c r="D11" s="40">
        <f>'Individual components'!E115</f>
        <v>0.89367692253840003</v>
      </c>
      <c r="E11" s="40">
        <f>'Individual components'!F115</f>
        <v>0.90990823416569988</v>
      </c>
      <c r="F11" s="40">
        <f>'Individual components'!G115</f>
        <v>0.91563693238709987</v>
      </c>
      <c r="L11" s="57"/>
      <c r="M11" s="57"/>
      <c r="N11" s="57"/>
      <c r="O11" s="57"/>
      <c r="P11" s="55"/>
    </row>
    <row r="12" spans="1:16">
      <c r="A12" s="15" t="s">
        <v>91</v>
      </c>
      <c r="B12" s="40">
        <f>'Individual components'!C82</f>
        <v>0.98499999999999999</v>
      </c>
      <c r="C12" s="40">
        <f>'Individual components'!D82</f>
        <v>0.98499999999999999</v>
      </c>
      <c r="D12" s="40">
        <f>'Individual components'!E82</f>
        <v>0.98499999999999999</v>
      </c>
      <c r="E12" s="40">
        <f>'Individual components'!F82</f>
        <v>0.98499999999999999</v>
      </c>
      <c r="F12" s="40">
        <f>'Individual components'!G82</f>
        <v>0.98499999999999999</v>
      </c>
      <c r="L12" s="57"/>
      <c r="M12" s="57"/>
      <c r="N12" s="57"/>
      <c r="O12" s="57"/>
      <c r="P12" s="55"/>
    </row>
    <row r="13" spans="1:16">
      <c r="A13" s="15" t="s">
        <v>92</v>
      </c>
      <c r="B13" s="40">
        <f>'Individual components'!C19</f>
        <v>0.98</v>
      </c>
      <c r="C13" s="40">
        <f>'Individual components'!D19</f>
        <v>0.98</v>
      </c>
      <c r="D13" s="40">
        <f>'Individual components'!E19</f>
        <v>0.98</v>
      </c>
      <c r="E13" s="40">
        <f>'Individual components'!F19</f>
        <v>0.98</v>
      </c>
      <c r="F13" s="40">
        <f>'Individual components'!G19</f>
        <v>0.98</v>
      </c>
      <c r="L13" s="57"/>
      <c r="M13" s="57"/>
      <c r="N13" s="57"/>
      <c r="O13" s="57"/>
      <c r="P13" s="55"/>
    </row>
    <row r="14" spans="1:16">
      <c r="A14" s="15" t="s">
        <v>93</v>
      </c>
      <c r="B14" s="40">
        <f>'Individual components'!C88</f>
        <v>0.98499999999999999</v>
      </c>
      <c r="C14" s="40">
        <f>'Individual components'!D88</f>
        <v>0.98499999999999999</v>
      </c>
      <c r="D14" s="40">
        <f>'Individual components'!E88</f>
        <v>0.98499999999999999</v>
      </c>
      <c r="E14" s="40">
        <f>'Individual components'!F88</f>
        <v>0.98499999999999999</v>
      </c>
      <c r="F14" s="40">
        <f>'Individual components'!G88</f>
        <v>0.98499999999999999</v>
      </c>
      <c r="L14" s="57"/>
      <c r="M14" s="57"/>
      <c r="N14" s="57"/>
      <c r="O14" s="57"/>
      <c r="P14" s="55"/>
    </row>
    <row r="15" spans="1:16">
      <c r="A15" s="15" t="s">
        <v>94</v>
      </c>
      <c r="B15" s="40">
        <f>'Individual components'!C28</f>
        <v>0.98</v>
      </c>
      <c r="C15" s="40">
        <f>'Individual components'!D28</f>
        <v>0.98</v>
      </c>
      <c r="D15" s="40">
        <f>'Individual components'!E28</f>
        <v>0.98</v>
      </c>
      <c r="E15" s="40">
        <f>'Individual components'!F28</f>
        <v>0.98</v>
      </c>
      <c r="F15" s="40">
        <f>'Individual components'!G28</f>
        <v>0.98</v>
      </c>
      <c r="L15" s="57"/>
      <c r="M15" s="57"/>
      <c r="N15" s="57"/>
      <c r="O15" s="57"/>
      <c r="P15" s="55"/>
    </row>
    <row r="16" spans="1:16">
      <c r="A16" s="15" t="s">
        <v>119</v>
      </c>
      <c r="B16" s="18">
        <f>'Individual components'!C151</f>
        <v>0.59735376509326688</v>
      </c>
      <c r="C16" s="18">
        <f>'Individual components'!D151</f>
        <v>0.70507329650352812</v>
      </c>
      <c r="D16" s="18">
        <f>'Individual components'!E151</f>
        <v>0.88134162062941024</v>
      </c>
      <c r="E16" s="18">
        <f>'Individual components'!F151</f>
        <v>0.77362208921914888</v>
      </c>
      <c r="F16" s="18">
        <f>'Individual components'!G151</f>
        <v>0.58756108041960675</v>
      </c>
      <c r="L16" s="57"/>
      <c r="M16" s="57"/>
      <c r="N16" s="57"/>
      <c r="O16" s="57"/>
      <c r="P16" s="55"/>
    </row>
    <row r="17" spans="1:16">
      <c r="A17" s="15" t="s">
        <v>95</v>
      </c>
      <c r="B17" s="18">
        <f>'Individual components'!C127</f>
        <v>0.85852335713930328</v>
      </c>
      <c r="C17" s="18">
        <f>'Individual components'!D127</f>
        <v>0.88742045167927985</v>
      </c>
      <c r="D17" s="18">
        <f>'Individual components'!E127</f>
        <v>0.90606373847926469</v>
      </c>
      <c r="E17" s="18">
        <f>'Individual components'!F127</f>
        <v>0.91538538187925711</v>
      </c>
      <c r="F17" s="18">
        <f>'Individual components'!G127</f>
        <v>0.91724971055925564</v>
      </c>
      <c r="L17" s="57"/>
      <c r="M17" s="57"/>
      <c r="N17" s="57"/>
      <c r="O17" s="57"/>
      <c r="P17" s="55"/>
    </row>
    <row r="18" spans="1:16">
      <c r="A18" s="15" t="s">
        <v>149</v>
      </c>
      <c r="B18" s="18">
        <f>'Individual components'!C199</f>
        <v>0.99002500000000004</v>
      </c>
      <c r="C18" s="18">
        <f>'Individual components'!D199</f>
        <v>0.99002500000000004</v>
      </c>
      <c r="D18" s="18">
        <f>'Individual components'!E199</f>
        <v>0.99002500000000004</v>
      </c>
      <c r="E18" s="18">
        <f>'Individual components'!F199</f>
        <v>0.99002500000000004</v>
      </c>
      <c r="F18" s="18">
        <f>'Individual components'!G199</f>
        <v>0.99002500000000004</v>
      </c>
      <c r="L18" s="57"/>
      <c r="M18" s="57"/>
      <c r="N18" s="57"/>
      <c r="O18" s="57"/>
      <c r="P18" s="55"/>
    </row>
    <row r="19" spans="1:16">
      <c r="A19" s="15" t="s">
        <v>96</v>
      </c>
      <c r="B19" s="18">
        <f>'Individual components'!C211</f>
        <v>0.82699999999999996</v>
      </c>
      <c r="C19" s="18">
        <f>'Individual components'!D211</f>
        <v>0.9</v>
      </c>
      <c r="D19" s="18">
        <f>'Individual components'!E211</f>
        <v>0.90200000000000002</v>
      </c>
      <c r="E19" s="18">
        <f>'Individual components'!F211</f>
        <v>0.88600000000000001</v>
      </c>
      <c r="F19" s="18">
        <f>'Individual components'!G211</f>
        <v>0.88800000000000001</v>
      </c>
      <c r="L19" s="57"/>
      <c r="M19" s="57"/>
      <c r="N19" s="57"/>
      <c r="O19" s="57"/>
      <c r="P19" s="55"/>
    </row>
    <row r="20" spans="1:16">
      <c r="A20" s="10" t="s">
        <v>124</v>
      </c>
      <c r="B20" s="29">
        <f>B6*B7*B8*B9*B10*B11*B12*B13*B14*B15*B16*B17*B18*B19</f>
        <v>0.11637148969316197</v>
      </c>
      <c r="C20" s="29">
        <f t="shared" ref="C20:F20" si="0">C6*C7*C8*C9*C10*C11*C12*C13*C14*C15*C16*C17*C18*C19</f>
        <v>0.25890652221967897</v>
      </c>
      <c r="D20" s="29">
        <f>D6*D7*D8*D9*D10*D11*D12*D13*D14*D15*D16*D17*D18*D19</f>
        <v>0.4258243953606371</v>
      </c>
      <c r="E20" s="29">
        <f t="shared" si="0"/>
        <v>0.3803367390480405</v>
      </c>
      <c r="F20" s="29">
        <f t="shared" si="0"/>
        <v>0.29270498044539939</v>
      </c>
      <c r="G20" s="80"/>
      <c r="H20" s="58"/>
      <c r="I20" s="58"/>
      <c r="J20" s="58"/>
      <c r="L20" s="57"/>
      <c r="M20" s="57"/>
      <c r="N20" s="57"/>
      <c r="O20" s="57"/>
      <c r="P20" s="55"/>
    </row>
    <row r="21" spans="1:16">
      <c r="A21" s="15" t="s">
        <v>126</v>
      </c>
      <c r="B21" s="36">
        <f>'Individual components'!C235</f>
        <v>0.48148842200000003</v>
      </c>
      <c r="C21" s="36">
        <f>'Individual components'!D235</f>
        <v>0.55435813199999995</v>
      </c>
      <c r="D21" s="36">
        <f>('Individual components'!E235-'Individual components'!D235)/('Individual components'!E234-'Individual components'!D234)*(D5-'Individual components'!D234)+'Individual components'!D235</f>
        <v>0.70499144412000003</v>
      </c>
      <c r="E21" s="36">
        <f>'Individual components'!E235</f>
        <v>0.77266728000000007</v>
      </c>
      <c r="F21" s="36">
        <f>('Individual components'!F235-'Individual components'!E235)/('Individual components'!F234-'Individual components'!E234)*(F5-'Individual components'!E234)+'Individual components'!E235</f>
        <v>0.80923215743999999</v>
      </c>
      <c r="G21" s="80"/>
      <c r="H21" s="58"/>
      <c r="I21" s="58"/>
      <c r="J21" s="58"/>
      <c r="L21" s="57"/>
      <c r="M21" s="57"/>
      <c r="N21" s="57"/>
      <c r="O21" s="57"/>
      <c r="P21" s="55"/>
    </row>
    <row r="22" spans="1:16">
      <c r="A22" s="10" t="s">
        <v>125</v>
      </c>
      <c r="B22" s="29">
        <f>B20*B21</f>
        <v>5.6031524938149821E-2</v>
      </c>
      <c r="C22" s="29">
        <f t="shared" ref="C22:F22" si="1">C20*C21</f>
        <v>0.14352693602031771</v>
      </c>
      <c r="D22" s="29">
        <f t="shared" si="1"/>
        <v>0.30020255542682139</v>
      </c>
      <c r="E22" s="29">
        <f t="shared" si="1"/>
        <v>0.29387375364431928</v>
      </c>
      <c r="F22" s="29">
        <f t="shared" si="1"/>
        <v>0.23686628281926356</v>
      </c>
    </row>
    <row r="23" spans="1:16">
      <c r="A23" s="10"/>
      <c r="B23" s="41"/>
      <c r="C23" s="29"/>
      <c r="D23" s="29"/>
      <c r="E23" s="29"/>
      <c r="F23" s="29"/>
    </row>
    <row r="24" spans="1:16">
      <c r="A24" s="32" t="s">
        <v>88</v>
      </c>
    </row>
    <row r="25" spans="1:16">
      <c r="A25" s="10" t="s">
        <v>6</v>
      </c>
      <c r="B25" s="30">
        <v>552</v>
      </c>
      <c r="C25" s="30">
        <v>580</v>
      </c>
      <c r="D25" s="30">
        <v>622</v>
      </c>
      <c r="E25" s="30">
        <v>650</v>
      </c>
      <c r="F25" s="30">
        <v>691</v>
      </c>
      <c r="M25" s="57"/>
    </row>
    <row r="26" spans="1:16">
      <c r="A26" s="15" t="s">
        <v>5</v>
      </c>
      <c r="B26" s="18">
        <f>('Individual components'!F7-'Individual components'!E7)/('Individual components'!F6-'Individual components'!E6)*(B25-'Individual components'!E6)+'Individual components'!E7</f>
        <v>0.8563021036261893</v>
      </c>
      <c r="C26" s="18">
        <f>('Individual components'!F7-'Individual components'!E7)/('Individual components'!F6-'Individual components'!E6)*(C25-'Individual components'!E6)+'Individual components'!E7</f>
        <v>0.85781058477351257</v>
      </c>
      <c r="D26" s="18">
        <f>('Individual components'!G7-'Individual components'!F7)/('Individual components'!G6-'Individual components'!F6)*(D25-'Individual components'!F6)+'Individual components'!F7</f>
        <v>0.85853565252275632</v>
      </c>
      <c r="E26" s="18">
        <f>('Individual components'!G7-'Individual components'!F7)/('Individual components'!G6-'Individual components'!F6)*(E25-'Individual components'!F6)+'Individual components'!F7</f>
        <v>0.85808711952422723</v>
      </c>
      <c r="F26" s="18">
        <f>('Individual components'!G7-'Individual components'!F7)/('Individual components'!G6-'Individual components'!F6)*(F25-'Individual components'!F6)+'Individual components'!F7</f>
        <v>0.85743033906209531</v>
      </c>
      <c r="L26" s="57"/>
      <c r="M26" s="57"/>
      <c r="N26" s="57"/>
      <c r="O26" s="57"/>
      <c r="P26" s="55"/>
    </row>
    <row r="27" spans="1:16">
      <c r="A27" s="15" t="s">
        <v>7</v>
      </c>
      <c r="B27" s="18">
        <f>'Individual components'!E10</f>
        <v>0.94089999999999996</v>
      </c>
      <c r="C27" s="18">
        <f>'Individual components'!F10</f>
        <v>0.94089999999999996</v>
      </c>
      <c r="D27" s="18">
        <f>'Individual components'!G10</f>
        <v>0.94089999999999996</v>
      </c>
      <c r="E27" s="18">
        <f>'Individual components'!H10</f>
        <v>0.94089999999999996</v>
      </c>
      <c r="F27" s="18">
        <f>'Individual components'!I10</f>
        <v>0.94089999999999996</v>
      </c>
      <c r="L27" s="57"/>
      <c r="M27" s="57"/>
      <c r="N27" s="57"/>
      <c r="O27" s="57"/>
      <c r="P27" s="55"/>
    </row>
    <row r="28" spans="1:16">
      <c r="A28" s="15" t="s">
        <v>27</v>
      </c>
      <c r="B28" s="18">
        <f>'Individual components'!G76</f>
        <v>0.98499999999999999</v>
      </c>
      <c r="C28" s="18">
        <f>'Individual components'!H76</f>
        <v>0.98499999999999999</v>
      </c>
      <c r="D28" s="18">
        <f>'Individual components'!I76</f>
        <v>0.98499999999999999</v>
      </c>
      <c r="E28" s="18">
        <f>'Individual components'!J76</f>
        <v>0.98499999999999999</v>
      </c>
      <c r="F28" s="18">
        <f>'Individual components'!K76</f>
        <v>0.98499999999999999</v>
      </c>
      <c r="L28" s="57"/>
      <c r="M28" s="57"/>
      <c r="N28" s="57"/>
      <c r="O28" s="57"/>
      <c r="P28" s="55"/>
    </row>
    <row r="29" spans="1:16">
      <c r="A29" s="15" t="s">
        <v>8</v>
      </c>
      <c r="B29" s="18">
        <f>'Individual components'!G13</f>
        <v>0.96039999999999992</v>
      </c>
      <c r="C29" s="18">
        <f>'Individual components'!H13</f>
        <v>0.96039999999999992</v>
      </c>
      <c r="D29" s="18">
        <f>'Individual components'!I13</f>
        <v>0.96039999999999992</v>
      </c>
      <c r="E29" s="18">
        <f>'Individual components'!J13</f>
        <v>0.96039999999999992</v>
      </c>
      <c r="F29" s="18">
        <f>'Individual components'!K13</f>
        <v>0.96039999999999992</v>
      </c>
      <c r="L29" s="57"/>
      <c r="M29" s="57"/>
      <c r="N29" s="57"/>
      <c r="O29" s="57"/>
      <c r="P29" s="55"/>
    </row>
    <row r="30" spans="1:16">
      <c r="A30" s="15" t="s">
        <v>85</v>
      </c>
      <c r="B30" s="18">
        <f>'Individual components'!G16</f>
        <v>0.95</v>
      </c>
      <c r="C30" s="18">
        <f>'Individual components'!H16</f>
        <v>0.95</v>
      </c>
      <c r="D30" s="18">
        <f>'Individual components'!I16</f>
        <v>0.95</v>
      </c>
      <c r="E30" s="18">
        <f>'Individual components'!J16</f>
        <v>0.95</v>
      </c>
      <c r="F30" s="18">
        <f>'Individual components'!K16</f>
        <v>0.95</v>
      </c>
      <c r="L30" s="57"/>
      <c r="M30" s="57"/>
      <c r="N30" s="57"/>
      <c r="O30" s="57"/>
      <c r="P30" s="55"/>
    </row>
    <row r="31" spans="1:16">
      <c r="A31" s="15" t="s">
        <v>86</v>
      </c>
      <c r="B31" s="18">
        <f>'Individual components'!G115</f>
        <v>0.91563693238709987</v>
      </c>
      <c r="C31" s="18">
        <f>'Individual components'!H115</f>
        <v>0.91754649846089986</v>
      </c>
      <c r="D31" s="18">
        <f>'Individual components'!I115</f>
        <v>0.91659171542399998</v>
      </c>
      <c r="E31" s="18">
        <f>'Individual components'!J115</f>
        <v>0.91563693238709987</v>
      </c>
      <c r="F31" s="18">
        <f>'Individual components'!K115</f>
        <v>0.91563693238709987</v>
      </c>
      <c r="L31" s="57"/>
      <c r="M31" s="57"/>
      <c r="N31" s="57"/>
      <c r="O31" s="57"/>
      <c r="P31" s="55"/>
    </row>
    <row r="32" spans="1:16">
      <c r="A32" s="15" t="s">
        <v>91</v>
      </c>
      <c r="B32" s="18">
        <f>'Individual components'!G82</f>
        <v>0.98499999999999999</v>
      </c>
      <c r="C32" s="18">
        <f>'Individual components'!H82</f>
        <v>0.98499999999999999</v>
      </c>
      <c r="D32" s="18">
        <f>'Individual components'!I82</f>
        <v>0.98499999999999999</v>
      </c>
      <c r="E32" s="18">
        <f>'Individual components'!J82</f>
        <v>0.98499999999999999</v>
      </c>
      <c r="F32" s="18">
        <f>'Individual components'!K82</f>
        <v>0.98499999999999999</v>
      </c>
      <c r="L32" s="57"/>
      <c r="M32" s="57"/>
      <c r="N32" s="57"/>
      <c r="O32" s="57"/>
      <c r="P32" s="55"/>
    </row>
    <row r="33" spans="1:16">
      <c r="A33" s="15" t="s">
        <v>92</v>
      </c>
      <c r="B33" s="18">
        <f>'Individual components'!G19</f>
        <v>0.98</v>
      </c>
      <c r="C33" s="18">
        <f>'Individual components'!H19</f>
        <v>0.98</v>
      </c>
      <c r="D33" s="18">
        <f>'Individual components'!I19</f>
        <v>0.98</v>
      </c>
      <c r="E33" s="18">
        <f>'Individual components'!J19</f>
        <v>0.98</v>
      </c>
      <c r="F33" s="18">
        <f>'Individual components'!K19</f>
        <v>0.98</v>
      </c>
      <c r="L33" s="57"/>
      <c r="M33" s="57"/>
      <c r="N33" s="57"/>
      <c r="O33" s="57"/>
      <c r="P33" s="55"/>
    </row>
    <row r="34" spans="1:16">
      <c r="A34" s="15" t="s">
        <v>97</v>
      </c>
      <c r="B34" s="18">
        <f>'Individual components'!C85</f>
        <v>0.93099999999999994</v>
      </c>
      <c r="C34" s="18">
        <f>'Individual components'!D85</f>
        <v>0.93099999999999994</v>
      </c>
      <c r="D34" s="18">
        <f>'Individual components'!E85</f>
        <v>0.93099999999999994</v>
      </c>
      <c r="E34" s="18">
        <f>'Individual components'!F85</f>
        <v>0.93099999999999994</v>
      </c>
      <c r="F34" s="18">
        <f>'Individual components'!G85</f>
        <v>0.93099999999999994</v>
      </c>
      <c r="L34" s="57"/>
      <c r="M34" s="57"/>
      <c r="N34" s="57"/>
      <c r="O34" s="57"/>
      <c r="P34" s="55"/>
    </row>
    <row r="35" spans="1:16">
      <c r="A35" s="15" t="s">
        <v>98</v>
      </c>
      <c r="B35" s="18">
        <f>'Individual components'!C31</f>
        <v>0.96</v>
      </c>
      <c r="C35" s="18">
        <f>'Individual components'!D31</f>
        <v>0.96</v>
      </c>
      <c r="D35" s="18">
        <f>'Individual components'!E31</f>
        <v>0.96</v>
      </c>
      <c r="E35" s="18">
        <f>'Individual components'!F31</f>
        <v>0.96</v>
      </c>
      <c r="F35" s="18">
        <f>'Individual components'!G31</f>
        <v>0.96</v>
      </c>
      <c r="L35" s="57"/>
      <c r="M35" s="57"/>
      <c r="N35" s="57"/>
      <c r="O35" s="57"/>
      <c r="P35" s="55"/>
    </row>
    <row r="36" spans="1:16">
      <c r="A36" s="15" t="s">
        <v>99</v>
      </c>
      <c r="B36" s="18">
        <f>'Individual components'!C34</f>
        <v>0.96</v>
      </c>
      <c r="C36" s="18">
        <f>'Individual components'!D34</f>
        <v>0.96</v>
      </c>
      <c r="D36" s="18">
        <f>'Individual components'!E34</f>
        <v>0.96</v>
      </c>
      <c r="E36" s="18">
        <f>'Individual components'!F34</f>
        <v>0.96</v>
      </c>
      <c r="F36" s="18">
        <f>'Individual components'!G34</f>
        <v>0.96</v>
      </c>
      <c r="L36" s="57"/>
      <c r="M36" s="57"/>
      <c r="N36" s="57"/>
      <c r="O36" s="57"/>
      <c r="P36" s="55"/>
    </row>
    <row r="37" spans="1:16">
      <c r="A37" s="15" t="s">
        <v>120</v>
      </c>
      <c r="B37" s="18">
        <f>'Individual components'!C154</f>
        <v>0.64021948297209641</v>
      </c>
      <c r="C37" s="18">
        <f>'Individual components'!D154</f>
        <v>0.7702640654508035</v>
      </c>
      <c r="D37" s="18">
        <f>'Individual components'!E154</f>
        <v>0.85029150082231553</v>
      </c>
      <c r="E37" s="18">
        <f>'Individual components'!F154</f>
        <v>0.80027435371512057</v>
      </c>
      <c r="F37" s="18">
        <f>'Individual components'!G154</f>
        <v>0.66290746401523837</v>
      </c>
      <c r="L37" s="57"/>
      <c r="M37" s="57"/>
      <c r="N37" s="57"/>
      <c r="O37" s="57"/>
      <c r="P37" s="55"/>
    </row>
    <row r="38" spans="1:16">
      <c r="A38" s="15" t="s">
        <v>100</v>
      </c>
      <c r="B38" s="18">
        <f>'Individual components'!C130</f>
        <v>0.89674209507927227</v>
      </c>
      <c r="C38" s="18">
        <f>'Individual components'!D130</f>
        <v>0.90047075243926922</v>
      </c>
      <c r="D38" s="18">
        <f>'Individual components'!E130</f>
        <v>0.90047075243926922</v>
      </c>
      <c r="E38" s="18">
        <f>'Individual components'!F130</f>
        <v>0.89953858809927001</v>
      </c>
      <c r="F38" s="18">
        <f>'Individual components'!G130</f>
        <v>0.90047075243926922</v>
      </c>
      <c r="L38" s="57"/>
      <c r="M38" s="57"/>
      <c r="N38" s="57"/>
      <c r="O38" s="57"/>
      <c r="P38" s="55"/>
    </row>
    <row r="39" spans="1:16">
      <c r="A39" s="15" t="s">
        <v>150</v>
      </c>
      <c r="B39" s="18">
        <f>'Individual components'!C202</f>
        <v>0.97799999999999998</v>
      </c>
      <c r="C39" s="18">
        <f>'Individual components'!D202</f>
        <v>0.99</v>
      </c>
      <c r="D39" s="18">
        <f>'Individual components'!E202</f>
        <v>0.98799999999999999</v>
      </c>
      <c r="E39" s="18">
        <f>'Individual components'!F202</f>
        <v>0.98499999999999999</v>
      </c>
      <c r="F39" s="18">
        <f>'Individual components'!G202</f>
        <v>0.97599999999999998</v>
      </c>
      <c r="L39" s="57"/>
      <c r="M39" s="57"/>
      <c r="N39" s="57"/>
      <c r="O39" s="57"/>
      <c r="P39" s="55"/>
    </row>
    <row r="40" spans="1:16">
      <c r="A40" s="15" t="s">
        <v>101</v>
      </c>
      <c r="B40" s="18">
        <f>'Individual components'!C214</f>
        <v>0.92100000000000004</v>
      </c>
      <c r="C40" s="18">
        <f>'Individual components'!D214</f>
        <v>0.92500000000000004</v>
      </c>
      <c r="D40" s="18">
        <f>'Individual components'!E214</f>
        <v>0.91200000000000003</v>
      </c>
      <c r="E40" s="18">
        <f>'Individual components'!F214</f>
        <v>0.89200000000000002</v>
      </c>
      <c r="F40" s="18">
        <f>'Individual components'!G214</f>
        <v>0.85099999999999998</v>
      </c>
      <c r="L40" s="57"/>
      <c r="M40" s="57"/>
      <c r="N40" s="57"/>
      <c r="O40" s="57"/>
      <c r="P40" s="55"/>
    </row>
    <row r="41" spans="1:16">
      <c r="A41" s="10" t="s">
        <v>40</v>
      </c>
      <c r="B41" s="29">
        <f>B26*B27*B28*B29*B30*B31*B32*B33*B34*B35*B36*B37*B38*B39*B40</f>
        <v>0.2839586808072595</v>
      </c>
      <c r="C41" s="29">
        <f>C26*C27*C28*C29*C30*C31*C32*C33*C34*C35*C36*C37*C38*C39*C40</f>
        <v>0.3501189103754026</v>
      </c>
      <c r="D41" s="29">
        <f>D26*D27*D28*D29*D30*D31*D32*D33*D34*D35*D36*D37*D38*D39*D40</f>
        <v>0.38021863970508429</v>
      </c>
      <c r="E41" s="29">
        <f>E26*E27*E28*E29*E30*E31*E32*E33*E34*E35*E36*E37*E38*E39*E40</f>
        <v>0.34803616628318923</v>
      </c>
      <c r="F41" s="29">
        <f t="shared" ref="F41" si="2">F26*F27*F28*F29*F30*F31*F32*F33*F34*F35*F36*F37*F38*F39*F40</f>
        <v>0.27260508659409638</v>
      </c>
      <c r="G41" s="80"/>
      <c r="H41" s="58"/>
      <c r="I41" s="58"/>
      <c r="J41" s="58"/>
      <c r="L41" s="57"/>
      <c r="M41" s="57"/>
      <c r="N41" s="57"/>
      <c r="O41" s="57"/>
      <c r="P41" s="55"/>
    </row>
    <row r="42" spans="1:16">
      <c r="A42" s="15" t="s">
        <v>126</v>
      </c>
      <c r="B42" s="36">
        <f>('Individual components'!F235-'Individual components'!E235)/('Individual components'!F234-'Individual components'!E234)*(F5-'Individual components'!E234)+'Individual components'!E235</f>
        <v>0.80923215743999999</v>
      </c>
      <c r="C42" s="36">
        <f>('Individual components'!F235-'Individual components'!E235)/('Individual components'!F234-'Individual components'!E234)*(C25-'Individual components'!E234)+'Individual components'!E235</f>
        <v>0.82892093759999996</v>
      </c>
      <c r="D42" s="36">
        <f>('Individual components'!G235-'Individual components'!F235)/('Individual components'!G234-'Individual components'!F234)*(D25-'Individual components'!F234)+'Individual components'!F235</f>
        <v>0.85135638203999986</v>
      </c>
      <c r="E42" s="36">
        <f>('Individual components'!G235-'Individual components'!F235)/('Individual components'!G234-'Individual components'!F234)*(E25-'Individual components'!F234)+'Individual components'!F235</f>
        <v>0.86201169299999991</v>
      </c>
      <c r="F42" s="36">
        <f>('Individual components'!G235-'Individual components'!F235)/('Individual components'!G234-'Individual components'!F234)*(F25-'Individual components'!F234)+'Individual components'!F235</f>
        <v>0.87761411261999989</v>
      </c>
      <c r="G42" s="80"/>
      <c r="H42" s="58"/>
      <c r="I42" s="58"/>
      <c r="J42" s="58"/>
      <c r="L42" s="57"/>
      <c r="M42" s="57"/>
      <c r="N42" s="57"/>
      <c r="O42" s="57"/>
      <c r="P42" s="55"/>
    </row>
    <row r="43" spans="1:16">
      <c r="A43" s="10" t="s">
        <v>125</v>
      </c>
      <c r="B43" s="29">
        <f>B41*B42</f>
        <v>0.22978849589347491</v>
      </c>
      <c r="C43" s="29">
        <f t="shared" ref="C43:F43" si="3">C41*C42</f>
        <v>0.29022089545986907</v>
      </c>
      <c r="D43" s="29">
        <f t="shared" si="3"/>
        <v>0.32370156548349083</v>
      </c>
      <c r="E43" s="29">
        <f t="shared" si="3"/>
        <v>0.30001124492300141</v>
      </c>
      <c r="F43" s="29">
        <f t="shared" si="3"/>
        <v>0.23924207116697613</v>
      </c>
    </row>
    <row r="44" spans="1:16">
      <c r="B44" s="29"/>
      <c r="C44" s="29"/>
      <c r="D44" s="29"/>
      <c r="E44" s="29"/>
      <c r="F44" s="29"/>
    </row>
    <row r="45" spans="1:16">
      <c r="A45" s="34" t="s">
        <v>89</v>
      </c>
    </row>
    <row r="46" spans="1:16">
      <c r="A46" s="10" t="s">
        <v>6</v>
      </c>
      <c r="B46" s="30">
        <v>691</v>
      </c>
      <c r="C46" s="30">
        <v>720</v>
      </c>
      <c r="D46" s="30">
        <v>755</v>
      </c>
      <c r="E46" s="30">
        <v>780</v>
      </c>
      <c r="F46" s="30">
        <v>818</v>
      </c>
      <c r="N46" s="57"/>
    </row>
    <row r="47" spans="1:16">
      <c r="A47" s="15" t="s">
        <v>5</v>
      </c>
      <c r="B47" s="18">
        <f>('Individual components'!G7-'Individual components'!F7)/('Individual components'!G6-'Individual components'!F6)*(B46-'Individual components'!F6)+'Individual components'!F7</f>
        <v>0.85743033906209531</v>
      </c>
      <c r="C47" s="18">
        <f>('Individual components'!H7-'Individual components'!G7)/('Individual components'!H6-'Individual components'!G6)*(C46-'Individual components'!G6)+'Individual components'!G7</f>
        <v>0.8583358705046541</v>
      </c>
      <c r="D47" s="18">
        <f>('Individual components'!I7-'Individual components'!H7)/('Individual components'!I6-'Individual components'!H6)*(D46-'Individual components'!H6)+'Individual components'!H7</f>
        <v>0.86251156534050288</v>
      </c>
      <c r="E47" s="18">
        <f>('Individual components'!J7-'Individual components'!I7)/('Individual components'!J6-'Individual components'!I6)*(E46-'Individual components'!I6)+'Individual components'!I7</f>
        <v>0.8646111691804218</v>
      </c>
      <c r="F47" s="18">
        <f>('Individual components'!K7-'Individual components'!J7)/('Individual components'!K6-'Individual components'!J6)*(F46-'Individual components'!J6)+'Individual components'!J7</f>
        <v>0.86084382730858211</v>
      </c>
      <c r="L47" s="57"/>
      <c r="M47" s="57"/>
      <c r="N47" s="57"/>
      <c r="O47" s="57"/>
      <c r="P47" s="55"/>
    </row>
    <row r="48" spans="1:16">
      <c r="A48" s="15" t="s">
        <v>7</v>
      </c>
      <c r="B48" s="18">
        <f>'Individual components'!I10</f>
        <v>0.94089999999999996</v>
      </c>
      <c r="C48" s="18">
        <f>'Individual components'!J10</f>
        <v>0.94089999999999996</v>
      </c>
      <c r="D48" s="18">
        <f>'Individual components'!K10</f>
        <v>0.94089999999999996</v>
      </c>
      <c r="E48" s="18">
        <f>'Individual components'!L10</f>
        <v>0.94089999999999996</v>
      </c>
      <c r="F48" s="18">
        <f>'Individual components'!M10</f>
        <v>0.94089999999999996</v>
      </c>
      <c r="L48" s="57"/>
      <c r="M48" s="57"/>
      <c r="N48" s="57"/>
      <c r="O48" s="57"/>
      <c r="P48" s="55"/>
    </row>
    <row r="49" spans="1:16">
      <c r="A49" s="15" t="s">
        <v>27</v>
      </c>
      <c r="B49" s="18">
        <f>'Individual components'!K76</f>
        <v>0.98499999999999999</v>
      </c>
      <c r="C49" s="18">
        <f>'Individual components'!L76</f>
        <v>0.98499999999999999</v>
      </c>
      <c r="D49" s="18">
        <f>'Individual components'!M76</f>
        <v>0.98499999999999999</v>
      </c>
      <c r="E49" s="18">
        <f>'Individual components'!N76</f>
        <v>0.98499999999999999</v>
      </c>
      <c r="F49" s="18">
        <f>'Individual components'!O76</f>
        <v>0.98499999999999999</v>
      </c>
      <c r="L49" s="57"/>
      <c r="M49" s="57"/>
      <c r="N49" s="57"/>
      <c r="O49" s="57"/>
      <c r="P49" s="55"/>
    </row>
    <row r="50" spans="1:16">
      <c r="A50" s="15" t="s">
        <v>8</v>
      </c>
      <c r="B50" s="18">
        <f>'Individual components'!F13</f>
        <v>0.96039999999999992</v>
      </c>
      <c r="C50" s="18">
        <f>'Individual components'!G13</f>
        <v>0.96039999999999992</v>
      </c>
      <c r="D50" s="18">
        <f>'Individual components'!H13</f>
        <v>0.96039999999999992</v>
      </c>
      <c r="E50" s="18">
        <f>'Individual components'!I13</f>
        <v>0.96039999999999992</v>
      </c>
      <c r="F50" s="18">
        <f>'Individual components'!J13</f>
        <v>0.96039999999999992</v>
      </c>
      <c r="L50" s="57"/>
      <c r="M50" s="57"/>
      <c r="N50" s="57"/>
      <c r="O50" s="57"/>
      <c r="P50" s="55"/>
    </row>
    <row r="51" spans="1:16">
      <c r="A51" s="15" t="s">
        <v>85</v>
      </c>
      <c r="B51" s="18">
        <f>'Individual components'!K16</f>
        <v>0.95</v>
      </c>
      <c r="C51" s="18">
        <f>'Individual components'!L16</f>
        <v>0.95</v>
      </c>
      <c r="D51" s="18">
        <f>'Individual components'!M16</f>
        <v>0.95</v>
      </c>
      <c r="E51" s="18">
        <f>'Individual components'!N16</f>
        <v>0.95</v>
      </c>
      <c r="F51" s="18">
        <f>'Individual components'!O16</f>
        <v>0.95</v>
      </c>
      <c r="L51" s="57"/>
      <c r="M51" s="57"/>
      <c r="N51" s="57"/>
      <c r="O51" s="57"/>
      <c r="P51" s="55"/>
    </row>
    <row r="52" spans="1:16">
      <c r="A52" s="15" t="s">
        <v>102</v>
      </c>
      <c r="B52" s="18">
        <f>'Individual components'!C118</f>
        <v>0.91181780023949988</v>
      </c>
      <c r="C52" s="18">
        <f>'Individual components'!D118</f>
        <v>0.91372736631329987</v>
      </c>
      <c r="D52" s="18">
        <f>'Individual components'!E118</f>
        <v>0.91563693238709987</v>
      </c>
      <c r="E52" s="18">
        <f>'Individual components'!F118</f>
        <v>0.91659171542399998</v>
      </c>
      <c r="F52" s="18">
        <f>'Individual components'!G118</f>
        <v>0.91754649846089986</v>
      </c>
      <c r="L52" s="57"/>
      <c r="M52" s="57"/>
      <c r="N52" s="57"/>
      <c r="O52" s="57"/>
      <c r="P52" s="55"/>
    </row>
    <row r="53" spans="1:16">
      <c r="A53" s="15" t="s">
        <v>103</v>
      </c>
      <c r="B53" s="18">
        <f>'Individual components'!C79</f>
        <v>0.93099999999999994</v>
      </c>
      <c r="C53" s="18">
        <f>'Individual components'!D79</f>
        <v>0.93099999999999994</v>
      </c>
      <c r="D53" s="18">
        <f>'Individual components'!E79</f>
        <v>0.93099999999999994</v>
      </c>
      <c r="E53" s="18">
        <f>'Individual components'!F79</f>
        <v>0.93099999999999994</v>
      </c>
      <c r="F53" s="18">
        <f>'Individual components'!G79</f>
        <v>0.93099999999999994</v>
      </c>
      <c r="L53" s="57"/>
      <c r="M53" s="57"/>
      <c r="N53" s="57"/>
      <c r="O53" s="57"/>
      <c r="P53" s="55"/>
    </row>
    <row r="54" spans="1:16">
      <c r="A54" s="15" t="s">
        <v>104</v>
      </c>
      <c r="B54" s="18">
        <f>'Individual components'!C22</f>
        <v>0.97</v>
      </c>
      <c r="C54" s="18">
        <f>'Individual components'!D22</f>
        <v>0.97</v>
      </c>
      <c r="D54" s="18">
        <f>'Individual components'!E22</f>
        <v>0.97</v>
      </c>
      <c r="E54" s="18">
        <f>'Individual components'!F22</f>
        <v>0.97</v>
      </c>
      <c r="F54" s="18">
        <f>'Individual components'!G22</f>
        <v>0.97</v>
      </c>
      <c r="L54" s="57"/>
      <c r="M54" s="57"/>
      <c r="N54" s="57"/>
      <c r="O54" s="57"/>
      <c r="P54" s="55"/>
    </row>
    <row r="55" spans="1:16">
      <c r="A55" s="15" t="s">
        <v>105</v>
      </c>
      <c r="B55" s="18">
        <f>'Individual components'!C25</f>
        <v>0.97</v>
      </c>
      <c r="C55" s="18">
        <f>'Individual components'!D25</f>
        <v>0.97</v>
      </c>
      <c r="D55" s="18">
        <f>'Individual components'!E25</f>
        <v>0.97</v>
      </c>
      <c r="E55" s="18">
        <f>'Individual components'!F25</f>
        <v>0.97</v>
      </c>
      <c r="F55" s="18">
        <f>'Individual components'!G25</f>
        <v>0.97</v>
      </c>
      <c r="L55" s="57"/>
      <c r="M55" s="57"/>
      <c r="N55" s="57"/>
      <c r="O55" s="57"/>
      <c r="P55" s="55"/>
    </row>
    <row r="56" spans="1:16">
      <c r="A56" s="15" t="s">
        <v>109</v>
      </c>
      <c r="B56" s="18">
        <f>'Individual components'!C94</f>
        <v>0.98499999999999999</v>
      </c>
      <c r="C56" s="18">
        <f>'Individual components'!D94</f>
        <v>0.98499999999999999</v>
      </c>
      <c r="D56" s="18">
        <f>'Individual components'!E94</f>
        <v>0.98499999999999999</v>
      </c>
      <c r="E56" s="18">
        <f>'Individual components'!F94</f>
        <v>0.98499999999999999</v>
      </c>
      <c r="F56" s="18">
        <f>'Individual components'!G94</f>
        <v>0.98499999999999999</v>
      </c>
      <c r="L56" s="57"/>
      <c r="M56" s="57"/>
      <c r="N56" s="57"/>
      <c r="O56" s="57"/>
      <c r="P56" s="55"/>
    </row>
    <row r="57" spans="1:16">
      <c r="A57" s="15" t="s">
        <v>110</v>
      </c>
      <c r="B57" s="18">
        <f>'Individual components'!C37</f>
        <v>0.98</v>
      </c>
      <c r="C57" s="18">
        <f>'Individual components'!D37</f>
        <v>0.98</v>
      </c>
      <c r="D57" s="18">
        <f>'Individual components'!E37</f>
        <v>0.98</v>
      </c>
      <c r="E57" s="18">
        <f>'Individual components'!F37</f>
        <v>0.98</v>
      </c>
      <c r="F57" s="18">
        <f>'Individual components'!G37</f>
        <v>0.98</v>
      </c>
      <c r="L57" s="57"/>
      <c r="M57" s="57"/>
      <c r="N57" s="57"/>
      <c r="O57" s="57"/>
      <c r="P57" s="55"/>
    </row>
    <row r="58" spans="1:16">
      <c r="A58" s="15" t="s">
        <v>121</v>
      </c>
      <c r="B58" s="18">
        <f>'Individual components'!C157</f>
        <v>0.72947338304750731</v>
      </c>
      <c r="C58" s="18">
        <f>'Individual components'!D157</f>
        <v>0.83221611305419863</v>
      </c>
      <c r="D58" s="18">
        <f>'Individual components'!E157</f>
        <v>0.86303893205620597</v>
      </c>
      <c r="E58" s="18">
        <f>'Individual components'!F157</f>
        <v>0.83221611305419863</v>
      </c>
      <c r="F58" s="18">
        <f>'Individual components'!G157</f>
        <v>0.73974765604817649</v>
      </c>
      <c r="L58" s="57"/>
      <c r="M58" s="57"/>
      <c r="N58" s="57"/>
      <c r="O58" s="57"/>
      <c r="P58" s="55"/>
    </row>
    <row r="59" spans="1:16">
      <c r="A59" s="15" t="s">
        <v>107</v>
      </c>
      <c r="B59" s="18">
        <f>'Individual components'!C133</f>
        <v>0.90979239583926164</v>
      </c>
      <c r="C59" s="18">
        <f>'Individual components'!D133</f>
        <v>0.91258888885925937</v>
      </c>
      <c r="D59" s="18">
        <f>'Individual components'!E133</f>
        <v>0.91538538187925711</v>
      </c>
      <c r="E59" s="18">
        <f>'Individual components'!F133</f>
        <v>0.91631754621925643</v>
      </c>
      <c r="F59" s="18">
        <f>'Individual components'!G133</f>
        <v>0.91631754621925643</v>
      </c>
      <c r="L59" s="57"/>
      <c r="M59" s="57"/>
      <c r="N59" s="57"/>
      <c r="O59" s="57"/>
      <c r="P59" s="55"/>
    </row>
    <row r="60" spans="1:16">
      <c r="A60" s="15" t="s">
        <v>151</v>
      </c>
      <c r="B60" s="18">
        <f>'Individual components'!C205</f>
        <v>0.996</v>
      </c>
      <c r="C60" s="18">
        <f>'Individual components'!D205</f>
        <v>0.997</v>
      </c>
      <c r="D60" s="18">
        <f>'Individual components'!E205</f>
        <v>0.997</v>
      </c>
      <c r="E60" s="18">
        <f>'Individual components'!F205</f>
        <v>0.995</v>
      </c>
      <c r="F60" s="18">
        <f>'Individual components'!G205</f>
        <v>0.99099999999999999</v>
      </c>
      <c r="L60" s="57"/>
      <c r="M60" s="57"/>
      <c r="N60" s="57"/>
      <c r="O60" s="57"/>
      <c r="P60" s="55"/>
    </row>
    <row r="61" spans="1:16">
      <c r="A61" s="15" t="s">
        <v>108</v>
      </c>
      <c r="B61" s="18">
        <f>'Individual components'!C217</f>
        <v>0.92800000000000005</v>
      </c>
      <c r="C61" s="18">
        <f>'Individual components'!D217</f>
        <v>0.93500000000000005</v>
      </c>
      <c r="D61" s="18">
        <f>'Individual components'!E217</f>
        <v>0.92500000000000004</v>
      </c>
      <c r="E61" s="18">
        <f>'Individual components'!F217</f>
        <v>0.91200000000000003</v>
      </c>
      <c r="F61" s="18">
        <f>'Individual components'!G217</f>
        <v>0.86099999999999999</v>
      </c>
      <c r="L61" s="57"/>
      <c r="M61" s="57"/>
      <c r="N61" s="57"/>
      <c r="O61" s="57"/>
      <c r="P61" s="55"/>
    </row>
    <row r="62" spans="1:16">
      <c r="A62" s="10" t="s">
        <v>40</v>
      </c>
      <c r="B62" s="29">
        <f>B47*B48*B49*B50*B51*B52*B53*B54*B55*B56*B57*B58*B59*B60*B61</f>
        <v>0.34290742672158497</v>
      </c>
      <c r="C62" s="29">
        <f t="shared" ref="C62:F62" si="4">C47*C48*C49*C50*C51*C52*C53*C54*C55*C56*C57*C58*C59*C60*C61</f>
        <v>0.3970113037711776</v>
      </c>
      <c r="D62" s="29">
        <f t="shared" si="4"/>
        <v>0.41140578236647024</v>
      </c>
      <c r="E62" s="29">
        <f t="shared" si="4"/>
        <v>0.39210982328078958</v>
      </c>
      <c r="F62" s="29">
        <f t="shared" si="4"/>
        <v>0.3266403029957069</v>
      </c>
      <c r="G62" s="80"/>
      <c r="H62" s="58"/>
      <c r="I62" s="58"/>
      <c r="J62" s="58"/>
      <c r="L62" s="57"/>
      <c r="M62" s="57"/>
      <c r="N62" s="57"/>
      <c r="O62" s="57"/>
      <c r="P62" s="55"/>
    </row>
    <row r="63" spans="1:16">
      <c r="A63" s="15" t="s">
        <v>126</v>
      </c>
      <c r="B63" s="18">
        <f>('Individual components'!G235-'Individual components'!F235)/('Individual components'!G234-'Individual components'!F234)*(B46-'Individual components'!F234)+'Individual components'!F235</f>
        <v>0.87761411261999989</v>
      </c>
      <c r="C63" s="18">
        <f>('Individual components'!G235-'Individual components'!F235)/('Individual components'!G234-'Individual components'!F234)*(C46-'Individual components'!F234)+'Individual components'!F235</f>
        <v>0.88864997039999993</v>
      </c>
      <c r="D63" s="18">
        <f>('Individual components'!H235-'Individual components'!G235)/('Individual components'!H234-'Individual components'!G234)*(D46-'Individual components'!G234)+'Individual components'!G235</f>
        <v>0.89636773529999991</v>
      </c>
      <c r="E63" s="18">
        <f>('Individual components'!H235-'Individual components'!G235)/('Individual components'!H234-'Individual components'!G234)*(E46-'Individual components'!G234)+'Individual components'!G235</f>
        <v>0.90333532679999995</v>
      </c>
      <c r="F63" s="18">
        <f>('Individual components'!I235-'Individual components'!H235)/('Individual components'!I234-'Individual components'!H234)*(F46-'Individual components'!H234)+'Individual components'!H235</f>
        <v>0.91162284096000001</v>
      </c>
      <c r="G63" s="80"/>
      <c r="H63" s="58"/>
      <c r="I63" s="58"/>
      <c r="J63" s="58"/>
      <c r="L63" s="57"/>
      <c r="M63" s="57"/>
      <c r="N63" s="57"/>
      <c r="O63" s="57"/>
      <c r="P63" s="55"/>
    </row>
    <row r="64" spans="1:16">
      <c r="A64" s="10" t="s">
        <v>125</v>
      </c>
      <c r="B64" s="29">
        <f>B62*B63</f>
        <v>0.30094039701307146</v>
      </c>
      <c r="C64" s="29">
        <f t="shared" ref="C64:F64" si="5">C62*C63</f>
        <v>0.35280408334472235</v>
      </c>
      <c r="D64" s="29">
        <f t="shared" si="5"/>
        <v>0.36877086942915754</v>
      </c>
      <c r="E64" s="29">
        <f t="shared" si="5"/>
        <v>0.3542066553548423</v>
      </c>
      <c r="F64" s="29">
        <f t="shared" si="5"/>
        <v>0.29777276098898153</v>
      </c>
    </row>
    <row r="65" spans="1:16">
      <c r="A65" s="10"/>
      <c r="B65" s="29"/>
      <c r="C65" s="29"/>
      <c r="D65" s="29"/>
      <c r="E65" s="29"/>
      <c r="F65" s="29"/>
    </row>
    <row r="66" spans="1:16">
      <c r="A66" s="24" t="s">
        <v>90</v>
      </c>
    </row>
    <row r="67" spans="1:16">
      <c r="A67" s="10" t="s">
        <v>6</v>
      </c>
      <c r="B67" s="30">
        <v>818</v>
      </c>
      <c r="C67" s="30">
        <v>850</v>
      </c>
      <c r="D67" s="30">
        <v>889</v>
      </c>
      <c r="E67" s="30">
        <v>922</v>
      </c>
      <c r="F67" s="30">
        <v>960</v>
      </c>
    </row>
    <row r="68" spans="1:16">
      <c r="A68" s="15" t="s">
        <v>5</v>
      </c>
      <c r="B68" s="18">
        <f t="array" ref="B68">('Individual components'!I7-'Individual components'!H7)/('Individual components'!I6-'Individual components'!H6)*(B67-'Individual components'!H6)+'Individual components'!H7</f>
        <v>0.86254392804599589</v>
      </c>
      <c r="C68" s="18">
        <f>('Individual components'!I7-'Individual components'!H7)/('Individual components'!I6-'Individual components'!H6)*(C67-'Individual components'!H6)+'Individual components'!H7</f>
        <v>0.86256036624561139</v>
      </c>
      <c r="D68" s="18">
        <f>('Individual components'!I7-'Individual components'!H7)/('Individual components'!I6-'Individual components'!H6)*(D67-'Individual components'!H6)+'Individual components'!H7</f>
        <v>0.86258040030139282</v>
      </c>
      <c r="E68" s="18">
        <f>('Individual components'!J7-'Individual components'!I7)/('Individual components'!J6-'Individual components'!I6)*(E67-'Individual components'!I6)+'Individual components'!I7</f>
        <v>0.86221477925372692</v>
      </c>
      <c r="F68" s="18">
        <f>('Individual components'!J7-'Individual components'!I7)/('Individual components'!J6-'Individual components'!I6)*(F67-'Individual components'!I6)+'Individual components'!I7</f>
        <v>0.86157349180855503</v>
      </c>
      <c r="L68" s="57"/>
      <c r="M68" s="57"/>
      <c r="N68" s="57"/>
      <c r="O68" s="57"/>
      <c r="P68" s="55"/>
    </row>
    <row r="69" spans="1:16">
      <c r="A69" s="15" t="s">
        <v>7</v>
      </c>
      <c r="B69" s="18">
        <f>'Individual components'!I10</f>
        <v>0.94089999999999996</v>
      </c>
      <c r="C69" s="18">
        <f>'Individual components'!J10</f>
        <v>0.94089999999999996</v>
      </c>
      <c r="D69" s="18">
        <f>'Individual components'!K10</f>
        <v>0.94089999999999996</v>
      </c>
      <c r="E69" s="18">
        <f>'Individual components'!L10</f>
        <v>0.94089999999999996</v>
      </c>
      <c r="F69" s="18">
        <f>'Individual components'!M10</f>
        <v>0.94089999999999996</v>
      </c>
      <c r="L69" s="57"/>
      <c r="M69" s="57"/>
      <c r="N69" s="57"/>
      <c r="O69" s="57"/>
      <c r="P69" s="55"/>
    </row>
    <row r="70" spans="1:16">
      <c r="A70" s="15" t="s">
        <v>27</v>
      </c>
      <c r="B70" s="18">
        <f>'Individual components'!O76</f>
        <v>0.98499999999999999</v>
      </c>
      <c r="C70" s="18">
        <f>'Individual components'!P76</f>
        <v>0.98499999999999999</v>
      </c>
      <c r="D70" s="18">
        <f>'Individual components'!Q76</f>
        <v>0.98499999999999999</v>
      </c>
      <c r="E70" s="18">
        <f>'Individual components'!R76</f>
        <v>0.98499999999999999</v>
      </c>
      <c r="F70" s="18">
        <f>'Individual components'!S76</f>
        <v>0.98499999999999999</v>
      </c>
      <c r="L70" s="57"/>
      <c r="M70" s="57"/>
      <c r="N70" s="57"/>
      <c r="O70" s="57"/>
      <c r="P70" s="55"/>
    </row>
    <row r="71" spans="1:16">
      <c r="A71" s="15" t="s">
        <v>8</v>
      </c>
      <c r="B71" s="18">
        <f>'Individual components'!O13</f>
        <v>0.96039999999999992</v>
      </c>
      <c r="C71" s="18">
        <f>'Individual components'!P13</f>
        <v>0.96039999999999992</v>
      </c>
      <c r="D71" s="18">
        <f>'Individual components'!Q13</f>
        <v>0.96039999999999992</v>
      </c>
      <c r="E71" s="18">
        <f>'Individual components'!R13</f>
        <v>0.96039999999999992</v>
      </c>
      <c r="F71" s="18">
        <f>'Individual components'!S13</f>
        <v>0.96039999999999992</v>
      </c>
      <c r="L71" s="57"/>
      <c r="M71" s="57"/>
      <c r="N71" s="57"/>
      <c r="O71" s="57"/>
      <c r="P71" s="55"/>
    </row>
    <row r="72" spans="1:16">
      <c r="A72" s="15" t="s">
        <v>85</v>
      </c>
      <c r="B72" s="18">
        <f>'Individual components'!O16</f>
        <v>0.95</v>
      </c>
      <c r="C72" s="18">
        <f>'Individual components'!P16</f>
        <v>0.95</v>
      </c>
      <c r="D72" s="18">
        <f>'Individual components'!Q16</f>
        <v>0.95</v>
      </c>
      <c r="E72" s="18">
        <f>'Individual components'!R16</f>
        <v>0.95</v>
      </c>
      <c r="F72" s="18">
        <f>'Individual components'!S16</f>
        <v>0.95</v>
      </c>
      <c r="L72" s="57"/>
      <c r="M72" s="57"/>
      <c r="N72" s="57"/>
      <c r="O72" s="57"/>
      <c r="P72" s="55"/>
    </row>
    <row r="73" spans="1:16">
      <c r="A73" s="15" t="s">
        <v>102</v>
      </c>
      <c r="B73" s="18">
        <f>'Individual components'!G118</f>
        <v>0.91754649846089986</v>
      </c>
      <c r="C73" s="18">
        <f>'Individual components'!H118</f>
        <v>0.91754649846089986</v>
      </c>
      <c r="D73" s="18">
        <f>'Individual components'!I118</f>
        <v>0.91754649846089986</v>
      </c>
      <c r="E73" s="18">
        <f>'Individual components'!J118</f>
        <v>0.91659171542399998</v>
      </c>
      <c r="F73" s="18">
        <f>'Individual components'!K118</f>
        <v>0.91372736631329987</v>
      </c>
      <c r="L73" s="57"/>
      <c r="M73" s="57"/>
      <c r="N73" s="57"/>
      <c r="O73" s="57"/>
      <c r="P73" s="55"/>
    </row>
    <row r="74" spans="1:16">
      <c r="A74" s="15" t="s">
        <v>103</v>
      </c>
      <c r="B74" s="18">
        <f>'Individual components'!G79</f>
        <v>0.93099999999999994</v>
      </c>
      <c r="C74" s="18">
        <f>'Individual components'!H79</f>
        <v>0.93099999999999994</v>
      </c>
      <c r="D74" s="18">
        <f>'Individual components'!I79</f>
        <v>0.93099999999999994</v>
      </c>
      <c r="E74" s="18">
        <f>'Individual components'!J79</f>
        <v>0.93099999999999994</v>
      </c>
      <c r="F74" s="18">
        <f>'Individual components'!K79</f>
        <v>0.93099999999999994</v>
      </c>
      <c r="L74" s="57"/>
      <c r="M74" s="57"/>
      <c r="N74" s="57"/>
      <c r="O74" s="57"/>
      <c r="P74" s="55"/>
    </row>
    <row r="75" spans="1:16">
      <c r="A75" s="15" t="s">
        <v>104</v>
      </c>
      <c r="B75" s="18">
        <f>'Individual components'!G22</f>
        <v>0.97</v>
      </c>
      <c r="C75" s="18">
        <f>'Individual components'!H22</f>
        <v>0.97</v>
      </c>
      <c r="D75" s="18">
        <f>'Individual components'!I22</f>
        <v>0.97</v>
      </c>
      <c r="E75" s="18">
        <f>'Individual components'!J22</f>
        <v>0.97</v>
      </c>
      <c r="F75" s="18">
        <f>'Individual components'!K22</f>
        <v>0.97</v>
      </c>
      <c r="L75" s="57"/>
      <c r="M75" s="57"/>
      <c r="N75" s="57"/>
      <c r="O75" s="57"/>
      <c r="P75" s="55"/>
    </row>
    <row r="76" spans="1:16">
      <c r="A76" s="15" t="s">
        <v>105</v>
      </c>
      <c r="B76" s="18">
        <f>'Individual components'!G25</f>
        <v>0.97</v>
      </c>
      <c r="C76" s="18">
        <f>'Individual components'!H25</f>
        <v>0.97</v>
      </c>
      <c r="D76" s="18">
        <f>'Individual components'!I25</f>
        <v>0.97</v>
      </c>
      <c r="E76" s="18">
        <f>'Individual components'!J25</f>
        <v>0.97</v>
      </c>
      <c r="F76" s="18">
        <f>'Individual components'!K25</f>
        <v>0.97</v>
      </c>
      <c r="L76" s="57"/>
      <c r="M76" s="57"/>
      <c r="N76" s="57"/>
      <c r="O76" s="57"/>
      <c r="P76" s="55"/>
    </row>
    <row r="77" spans="1:16">
      <c r="A77" s="15" t="s">
        <v>106</v>
      </c>
      <c r="B77" s="18">
        <f>'Individual components'!C91</f>
        <v>0.93099999999999994</v>
      </c>
      <c r="C77" s="18">
        <f>'Individual components'!D91</f>
        <v>0.93099999999999994</v>
      </c>
      <c r="D77" s="18">
        <f>'Individual components'!E91</f>
        <v>0.93099999999999994</v>
      </c>
      <c r="E77" s="18">
        <f>'Individual components'!F91</f>
        <v>0.93099999999999994</v>
      </c>
      <c r="F77" s="18">
        <f>'Individual components'!G91</f>
        <v>0.93099999999999994</v>
      </c>
      <c r="L77" s="57"/>
      <c r="M77" s="57"/>
      <c r="N77" s="57"/>
      <c r="O77" s="57"/>
      <c r="P77" s="55"/>
    </row>
    <row r="78" spans="1:16">
      <c r="A78" s="15" t="s">
        <v>111</v>
      </c>
      <c r="B78" s="18">
        <f>'Individual components'!C40</f>
        <v>0.98</v>
      </c>
      <c r="C78" s="18">
        <f>'Individual components'!D40</f>
        <v>0.98</v>
      </c>
      <c r="D78" s="18">
        <f>'Individual components'!E40</f>
        <v>0.98</v>
      </c>
      <c r="E78" s="18">
        <f>'Individual components'!F40</f>
        <v>0.98</v>
      </c>
      <c r="F78" s="18">
        <f>'Individual components'!G40</f>
        <v>0.98</v>
      </c>
      <c r="L78" s="57"/>
      <c r="M78" s="57"/>
      <c r="N78" s="57"/>
      <c r="O78" s="57"/>
      <c r="P78" s="55"/>
    </row>
    <row r="79" spans="1:16">
      <c r="A79" s="15" t="s">
        <v>112</v>
      </c>
      <c r="B79" s="18">
        <f>'Individual components'!C43</f>
        <v>0.98</v>
      </c>
      <c r="C79" s="18">
        <f>'Individual components'!D43</f>
        <v>0.98</v>
      </c>
      <c r="D79" s="18">
        <f>'Individual components'!E43</f>
        <v>0.98</v>
      </c>
      <c r="E79" s="18">
        <f>'Individual components'!F43</f>
        <v>0.98</v>
      </c>
      <c r="F79" s="18">
        <f>'Individual components'!G43</f>
        <v>0.98</v>
      </c>
      <c r="L79" s="57"/>
      <c r="M79" s="57"/>
      <c r="N79" s="57"/>
      <c r="O79" s="57"/>
      <c r="P79" s="55"/>
    </row>
    <row r="80" spans="1:16">
      <c r="A80" s="15" t="s">
        <v>122</v>
      </c>
      <c r="B80" s="18">
        <f>'Individual components'!C160</f>
        <v>0.64690804628999998</v>
      </c>
      <c r="C80" s="18">
        <f>'Individual components'!D160</f>
        <v>0.74727680983559985</v>
      </c>
      <c r="D80" s="18">
        <f>'Individual components'!E160</f>
        <v>0.79238497535999997</v>
      </c>
      <c r="E80" s="18">
        <f>'Individual components'!F160</f>
        <v>0.77659918092899982</v>
      </c>
      <c r="F80" s="18">
        <f>'Individual components'!G160</f>
        <v>0.67913995596479992</v>
      </c>
      <c r="L80" s="57"/>
      <c r="M80" s="57"/>
      <c r="N80" s="57"/>
      <c r="O80" s="57"/>
      <c r="P80" s="55"/>
    </row>
    <row r="81" spans="1:17">
      <c r="A81" s="15" t="s">
        <v>113</v>
      </c>
      <c r="B81" s="18">
        <f>'Individual components'!C136</f>
        <v>0.91818187489925485</v>
      </c>
      <c r="C81" s="18">
        <f>'Individual components'!D136</f>
        <v>0.91818187489925485</v>
      </c>
      <c r="D81" s="18">
        <f>'Individual components'!E136</f>
        <v>0.91724971055925564</v>
      </c>
      <c r="E81" s="18">
        <f>'Individual components'!F136</f>
        <v>0.91724971055925564</v>
      </c>
      <c r="F81" s="18">
        <f>'Individual components'!G136</f>
        <v>0.91631754621925643</v>
      </c>
      <c r="L81" s="57"/>
      <c r="M81" s="57"/>
      <c r="N81" s="57"/>
      <c r="O81" s="57"/>
      <c r="P81" s="55"/>
    </row>
    <row r="82" spans="1:17">
      <c r="A82" s="15" t="s">
        <v>152</v>
      </c>
      <c r="B82" s="18">
        <f>'Individual components'!C208</f>
        <v>0.99002500000000004</v>
      </c>
      <c r="C82" s="18">
        <f>'Individual components'!D208</f>
        <v>0.99002500000000004</v>
      </c>
      <c r="D82" s="18">
        <f>'Individual components'!E208</f>
        <v>0.99</v>
      </c>
      <c r="E82" s="18">
        <f>'Individual components'!F208</f>
        <v>0.99002500000000004</v>
      </c>
      <c r="F82" s="18">
        <f>'Individual components'!G208</f>
        <v>0.99002500000000004</v>
      </c>
      <c r="L82" s="57"/>
      <c r="M82" s="57"/>
      <c r="N82" s="57"/>
      <c r="O82" s="57"/>
      <c r="P82" s="55"/>
    </row>
    <row r="83" spans="1:17">
      <c r="A83" s="15" t="s">
        <v>114</v>
      </c>
      <c r="B83" s="18">
        <f>'Individual components'!C220</f>
        <v>0.86099999999999999</v>
      </c>
      <c r="C83" s="18">
        <f>'Individual components'!D220</f>
        <v>0.78400000000000003</v>
      </c>
      <c r="D83" s="18">
        <f>'Individual components'!E220</f>
        <v>0.64200000000000002</v>
      </c>
      <c r="E83" s="18">
        <f>'Individual components'!F220</f>
        <v>0.50600000000000001</v>
      </c>
      <c r="F83" s="18">
        <f>'Individual components'!G220</f>
        <v>0.30299999999999999</v>
      </c>
      <c r="L83" s="57"/>
      <c r="M83" s="57"/>
      <c r="N83" s="57"/>
      <c r="O83" s="57"/>
      <c r="P83" s="55"/>
    </row>
    <row r="84" spans="1:17">
      <c r="A84" s="10" t="s">
        <v>40</v>
      </c>
      <c r="B84" s="29">
        <f>B68*B69*B70*B71*B72*B73*B74*B75*B76*B77*B78*B79*B80*B81*B82*B83</f>
        <v>0.26538741449516179</v>
      </c>
      <c r="C84" s="29">
        <f t="shared" ref="C84:F84" si="6">C68*C69*C70*C71*C72*C73*C74*C75*C76*C77*C78*C79*C80*C81*C82*C83</f>
        <v>0.27915181978396575</v>
      </c>
      <c r="D84" s="29">
        <f>D68*D69*D70*D71*D72*D73*D74*D75*D76*D77*D78*D79*D80*D81*D82*D83</f>
        <v>0.24214312548527897</v>
      </c>
      <c r="E84" s="29">
        <f t="shared" si="6"/>
        <v>0.18677683759059596</v>
      </c>
      <c r="F84" s="29">
        <f t="shared" si="6"/>
        <v>9.733151274065642E-2</v>
      </c>
      <c r="G84" s="80"/>
      <c r="H84" s="58"/>
      <c r="I84" s="58"/>
      <c r="J84" s="58"/>
      <c r="M84" s="57"/>
      <c r="O84" s="57"/>
      <c r="Q84" s="18"/>
    </row>
    <row r="85" spans="1:17">
      <c r="A85" s="15" t="s">
        <v>126</v>
      </c>
      <c r="B85" s="18">
        <f>('Individual components'!H235-'Individual components'!G235)/('Individual components'!H234-'Individual components'!G234)*(B67-'Individual components'!G234)+'Individual components'!G235</f>
        <v>0.91392606588000003</v>
      </c>
      <c r="C85" s="18">
        <f>('Individual components'!I235-'Individual components'!H235)/('Individual components'!I234-'Individual components'!H234)*(C67-'Individual components'!H234)+'Individual components'!H235</f>
        <v>0.91644673599999993</v>
      </c>
      <c r="D85" s="18">
        <f>('Individual components'!I235-'Individual components'!H235)/('Individual components'!I234-'Individual components'!H234)*(D67-'Individual components'!H234)+'Individual components'!H235</f>
        <v>0.92232585808000001</v>
      </c>
      <c r="E85" s="18">
        <f>('Individual components'!J235-'Individual components'!I235)/('Individual components'!J234-'Individual components'!I234)*(E67-'Individual components'!I234)+'Individual components'!I235</f>
        <v>0.92607951215999995</v>
      </c>
      <c r="F85" s="18">
        <f>('Individual components'!J235-'Individual components'!I235)/('Individual components'!J234-'Individual components'!I234)*(F67-'Individual components'!I234)+'Individual components'!I235</f>
        <v>0.92969890879999995</v>
      </c>
      <c r="G85" s="80"/>
      <c r="H85" s="58"/>
      <c r="I85" s="58"/>
      <c r="J85" s="58"/>
      <c r="L85" s="57"/>
      <c r="M85" s="57"/>
      <c r="N85" s="57"/>
      <c r="O85" s="57"/>
      <c r="P85" s="55"/>
    </row>
    <row r="86" spans="1:17">
      <c r="A86" s="10" t="s">
        <v>125</v>
      </c>
      <c r="B86" s="29">
        <f>B84*B85</f>
        <v>0.24254447566362811</v>
      </c>
      <c r="C86" s="29">
        <f t="shared" ref="C86:F86" si="7">C84*C85</f>
        <v>0.2558277740894756</v>
      </c>
      <c r="D86" s="29">
        <f t="shared" si="7"/>
        <v>0.22333486599138305</v>
      </c>
      <c r="E86" s="29">
        <f t="shared" si="7"/>
        <v>0.17297020263868665</v>
      </c>
      <c r="F86" s="29">
        <f t="shared" si="7"/>
        <v>9.0489001186841569E-2</v>
      </c>
    </row>
    <row r="87" spans="1:17">
      <c r="A87" s="10"/>
      <c r="B87" s="29"/>
      <c r="C87" s="29"/>
      <c r="D87" s="29"/>
      <c r="E87" s="29"/>
      <c r="F87" s="29"/>
    </row>
    <row r="88" spans="1:17">
      <c r="A88" s="21" t="s">
        <v>1</v>
      </c>
    </row>
    <row r="89" spans="1:17">
      <c r="A89" s="10" t="s">
        <v>6</v>
      </c>
      <c r="B89" s="30">
        <v>960</v>
      </c>
      <c r="C89" s="30">
        <v>1000</v>
      </c>
      <c r="D89" s="30">
        <v>1040</v>
      </c>
      <c r="E89" s="30">
        <v>1090</v>
      </c>
      <c r="F89" s="30">
        <v>1120</v>
      </c>
    </row>
    <row r="90" spans="1:17">
      <c r="A90" s="15" t="s">
        <v>5</v>
      </c>
      <c r="B90" s="18">
        <f>('Individual components'!J7-'Individual components'!I7)/('Individual components'!J6-'Individual components'!I6)*(B$89-'Individual components'!I6)+'Individual components'!I7</f>
        <v>0.86157349180855503</v>
      </c>
      <c r="C90" s="18">
        <f>('Individual components'!J7-'Individual components'!I7)/('Individual components'!J6-'Individual components'!I6)*(C$89-'Individual components'!I6)+'Individual components'!I7</f>
        <v>0.86089845239258467</v>
      </c>
      <c r="D90" s="18">
        <f>('Individual components'!K7-'Individual components'!J7)/('Individual components'!K6-'Individual components'!J6)*(D$89-'Individual components'!J6)+'Individual components'!J7</f>
        <v>0.86091045790555221</v>
      </c>
      <c r="E90" s="18">
        <f>('Individual components'!K7-'Individual components'!J7)/('Individual components'!K6-'Individual components'!J6)*(E$89-'Individual components'!J6)+'Individual components'!J7</f>
        <v>0.86092546479676169</v>
      </c>
      <c r="F90" s="18">
        <f>('Individual components'!L7-'Individual components'!K7)/('Individual components'!L6-'Individual components'!K6)*(F$89-'Individual components'!K6)+'Individual components'!K7</f>
        <v>0.86093347659912633</v>
      </c>
      <c r="L90" s="57"/>
      <c r="M90" s="57"/>
      <c r="N90" s="57"/>
      <c r="O90" s="57"/>
      <c r="P90" s="55"/>
    </row>
    <row r="91" spans="1:17">
      <c r="A91" s="15" t="s">
        <v>7</v>
      </c>
      <c r="B91" s="18">
        <f>'Individual components'!I10</f>
        <v>0.94089999999999996</v>
      </c>
      <c r="C91" s="18">
        <f>'Individual components'!J10</f>
        <v>0.94089999999999996</v>
      </c>
      <c r="D91" s="18">
        <f>'Individual components'!K10</f>
        <v>0.94089999999999996</v>
      </c>
      <c r="E91" s="18">
        <f>'Individual components'!L10</f>
        <v>0.94089999999999996</v>
      </c>
      <c r="F91" s="18">
        <f>'Individual components'!M10</f>
        <v>0.94089999999999996</v>
      </c>
      <c r="L91" s="57"/>
      <c r="M91" s="57"/>
      <c r="N91" s="57"/>
      <c r="O91" s="57"/>
      <c r="P91" s="55"/>
    </row>
    <row r="92" spans="1:17">
      <c r="A92" s="15" t="s">
        <v>28</v>
      </c>
      <c r="B92" s="18">
        <f>'Individual components'!C73</f>
        <v>0.93099999999999994</v>
      </c>
      <c r="C92" s="18">
        <f>'Individual components'!D73</f>
        <v>0.93099999999999994</v>
      </c>
      <c r="D92" s="18">
        <f>'Individual components'!E73</f>
        <v>0.93099999999999994</v>
      </c>
      <c r="E92" s="18">
        <f>'Individual components'!F73</f>
        <v>0.93099999999999994</v>
      </c>
      <c r="F92" s="18">
        <f>'Individual components'!G73</f>
        <v>0.93099999999999994</v>
      </c>
      <c r="L92" s="57"/>
      <c r="M92" s="57"/>
      <c r="N92" s="57"/>
      <c r="O92" s="57"/>
      <c r="P92" s="55"/>
    </row>
    <row r="93" spans="1:17">
      <c r="A93" s="15" t="s">
        <v>37</v>
      </c>
      <c r="B93" s="18">
        <f>'Individual components'!C121</f>
        <v>0.90439291139495326</v>
      </c>
      <c r="C93" s="18">
        <f>'Individual components'!D121</f>
        <v>0.90439291139495326</v>
      </c>
      <c r="D93" s="18">
        <f>'Individual components'!E121</f>
        <v>0.90439291139495326</v>
      </c>
      <c r="E93" s="18">
        <f>'Individual components'!F121</f>
        <v>0.90439291139495326</v>
      </c>
      <c r="F93" s="18">
        <f>'Individual components'!G121</f>
        <v>0.90439291139495326</v>
      </c>
      <c r="L93" s="57"/>
      <c r="M93" s="57"/>
      <c r="N93" s="57"/>
      <c r="O93" s="57"/>
      <c r="P93" s="55"/>
    </row>
    <row r="94" spans="1:17">
      <c r="A94" s="15" t="s">
        <v>25</v>
      </c>
      <c r="B94" s="18">
        <f>'Individual components'!C100</f>
        <v>0.98499999999999999</v>
      </c>
      <c r="C94" s="18">
        <f>'Individual components'!D100</f>
        <v>0.98499999999999999</v>
      </c>
      <c r="D94" s="18">
        <f>'Individual components'!E100</f>
        <v>0.98499999999999999</v>
      </c>
      <c r="E94" s="18">
        <f>'Individual components'!F100</f>
        <v>0.98499999999999999</v>
      </c>
      <c r="F94" s="18">
        <f>'Individual components'!G100</f>
        <v>0.98499999999999999</v>
      </c>
      <c r="L94" s="57"/>
      <c r="M94" s="57"/>
      <c r="N94" s="57"/>
      <c r="O94" s="57"/>
      <c r="P94" s="55"/>
    </row>
    <row r="95" spans="1:17">
      <c r="A95" s="15" t="s">
        <v>29</v>
      </c>
      <c r="B95" s="18">
        <f>'Individual components'!C46</f>
        <v>0.98</v>
      </c>
      <c r="C95" s="18">
        <f>'Individual components'!D46</f>
        <v>0.98</v>
      </c>
      <c r="D95" s="18">
        <f>'Individual components'!E46</f>
        <v>0.98</v>
      </c>
      <c r="E95" s="18">
        <f>'Individual components'!F46</f>
        <v>0.98</v>
      </c>
      <c r="F95" s="18">
        <f>'Individual components'!G46</f>
        <v>0.98</v>
      </c>
      <c r="L95" s="57"/>
      <c r="M95" s="57"/>
      <c r="N95" s="57"/>
      <c r="O95" s="57"/>
      <c r="P95" s="55"/>
    </row>
    <row r="96" spans="1:17">
      <c r="A96" s="15" t="s">
        <v>22</v>
      </c>
      <c r="B96" s="18">
        <f>'Individual components'!C106</f>
        <v>0.98</v>
      </c>
      <c r="C96" s="18">
        <f>'Individual components'!D106</f>
        <v>0.98</v>
      </c>
      <c r="D96" s="18">
        <f>'Individual components'!E106</f>
        <v>0.98</v>
      </c>
      <c r="E96" s="18">
        <f>'Individual components'!F106</f>
        <v>0.98</v>
      </c>
      <c r="F96" s="18">
        <f>'Individual components'!G106</f>
        <v>0.98</v>
      </c>
      <c r="L96" s="57"/>
      <c r="M96" s="57"/>
      <c r="N96" s="57"/>
      <c r="O96" s="57"/>
      <c r="P96" s="55"/>
    </row>
    <row r="97" spans="1:16">
      <c r="A97" s="15" t="s">
        <v>30</v>
      </c>
      <c r="B97" s="18">
        <f>'Individual components'!C55</f>
        <v>0.98499999999999999</v>
      </c>
      <c r="C97" s="18">
        <f>'Individual components'!D55</f>
        <v>0.98499999999999999</v>
      </c>
      <c r="D97" s="18">
        <f>'Individual components'!E55</f>
        <v>0.98499999999999999</v>
      </c>
      <c r="E97" s="18">
        <f>'Individual components'!F55</f>
        <v>0.98499999999999999</v>
      </c>
      <c r="F97" s="18">
        <f>'Individual components'!G55</f>
        <v>0.98499999999999999</v>
      </c>
      <c r="L97" s="57"/>
      <c r="M97" s="57"/>
      <c r="N97" s="57"/>
      <c r="O97" s="57"/>
      <c r="P97" s="55"/>
    </row>
    <row r="98" spans="1:16">
      <c r="A98" s="15" t="s">
        <v>258</v>
      </c>
      <c r="B98" s="18">
        <f>'Individual components'!C181</f>
        <v>0.94099999999999995</v>
      </c>
      <c r="C98" s="18">
        <f>'Individual components'!D181</f>
        <v>0.96399999999999997</v>
      </c>
      <c r="D98" s="18">
        <f>'Individual components'!E181</f>
        <v>0.96399999999999997</v>
      </c>
      <c r="E98" s="18">
        <f>'Individual components'!F181</f>
        <v>0.93600000000000005</v>
      </c>
      <c r="F98" s="18">
        <f>'Individual components'!G181</f>
        <v>0.94399999999999995</v>
      </c>
      <c r="L98" s="57"/>
      <c r="M98" s="57"/>
      <c r="N98" s="57"/>
      <c r="O98" s="57"/>
      <c r="P98" s="55"/>
    </row>
    <row r="99" spans="1:16">
      <c r="A99" s="15" t="s">
        <v>13</v>
      </c>
      <c r="B99" s="18">
        <f>'Individual components'!C163</f>
        <v>0.47889141798535712</v>
      </c>
      <c r="C99" s="18">
        <f>'Individual components'!D163</f>
        <v>0.65210746278857146</v>
      </c>
      <c r="D99" s="18">
        <f>'Individual components'!E163</f>
        <v>0.71324253742499988</v>
      </c>
      <c r="E99" s="18">
        <f>'Individual components'!F163</f>
        <v>0.62153992547035708</v>
      </c>
      <c r="F99" s="18">
        <f>'Individual components'!G163</f>
        <v>0.49926977619749996</v>
      </c>
      <c r="L99" s="57"/>
      <c r="M99" s="57"/>
      <c r="N99" s="57"/>
      <c r="O99" s="57"/>
      <c r="P99" s="55"/>
    </row>
    <row r="100" spans="1:16">
      <c r="A100" s="15" t="s">
        <v>17</v>
      </c>
      <c r="B100" s="18">
        <f>'Individual components'!C139</f>
        <v>0.91700000000000004</v>
      </c>
      <c r="C100" s="18">
        <f>'Individual components'!D139</f>
        <v>0.91700000000000004</v>
      </c>
      <c r="D100" s="18">
        <f>'Individual components'!E139</f>
        <v>0.91700000000000004</v>
      </c>
      <c r="E100" s="18">
        <f>'Individual components'!F139</f>
        <v>0.91700000000000004</v>
      </c>
      <c r="F100" s="18">
        <f>'Individual components'!G139</f>
        <v>0.91700000000000004</v>
      </c>
      <c r="L100" s="57"/>
      <c r="M100" s="57"/>
      <c r="N100" s="57"/>
      <c r="O100" s="57"/>
      <c r="P100" s="55"/>
    </row>
    <row r="101" spans="1:16">
      <c r="A101" s="15" t="s">
        <v>33</v>
      </c>
      <c r="B101" s="18">
        <f>'Individual components'!C223</f>
        <v>0.8</v>
      </c>
      <c r="C101" s="18">
        <f>'Individual components'!D223</f>
        <v>0.8</v>
      </c>
      <c r="D101" s="18">
        <f>'Individual components'!E223</f>
        <v>0.8</v>
      </c>
      <c r="E101" s="18">
        <f>'Individual components'!F223</f>
        <v>0.8</v>
      </c>
      <c r="F101" s="18">
        <f>'Individual components'!G223</f>
        <v>0.8</v>
      </c>
      <c r="L101" s="57"/>
      <c r="M101" s="57"/>
      <c r="N101" s="57"/>
      <c r="O101" s="57"/>
      <c r="P101" s="55"/>
    </row>
    <row r="102" spans="1:16">
      <c r="A102" s="10" t="s">
        <v>40</v>
      </c>
      <c r="B102" s="29">
        <f>B90*B91*B92*B93*B94*B95*B96*B97*B98*B99*B100*B101</f>
        <v>0.21025834442752889</v>
      </c>
      <c r="C102" s="29">
        <f t="shared" ref="C102:F102" si="8">C90*C91*C92*C93*C94*C95*C96*C97*C98*C99*C100*C101</f>
        <v>0.29307742396708386</v>
      </c>
      <c r="D102" s="29">
        <f t="shared" si="8"/>
        <v>0.32055790268737849</v>
      </c>
      <c r="E102" s="29">
        <f t="shared" si="8"/>
        <v>0.27123433686546006</v>
      </c>
      <c r="F102" s="29">
        <f t="shared" si="8"/>
        <v>0.21974100184893977</v>
      </c>
      <c r="H102" s="58"/>
      <c r="I102" s="58"/>
      <c r="J102" s="58"/>
      <c r="L102" s="57"/>
      <c r="M102" s="57"/>
      <c r="N102" s="57"/>
      <c r="O102" s="57"/>
      <c r="P102" s="55"/>
    </row>
    <row r="103" spans="1:16">
      <c r="A103" s="15" t="s">
        <v>126</v>
      </c>
      <c r="B103" s="36">
        <f>('Individual components'!J235-'Individual components'!I235)/('Individual components'!J234-'Individual components'!I234)*(B89-'Individual components'!I234)+'Individual components'!I235</f>
        <v>0.92969890879999995</v>
      </c>
      <c r="C103" s="36">
        <f>('Individual components'!J235-'Individual components'!I235)/('Individual components'!J234-'Individual components'!I234)*(C89-'Individual components'!I234)+'Individual components'!I235</f>
        <v>0.93350879999999992</v>
      </c>
      <c r="D103" s="36">
        <f>('Individual components'!K235-'Individual components'!J235)/('Individual components'!K234-'Individual components'!J234)*(D89-'Individual components'!J234)+'Individual components'!J235</f>
        <v>0.93619163999999999</v>
      </c>
      <c r="E103" s="36">
        <f>('Individual components'!K235-'Individual components'!J235)/('Individual components'!K234-'Individual components'!J234)*(E89-'Individual components'!J234)+'Individual components'!J235</f>
        <v>0.93954519000000003</v>
      </c>
      <c r="F103" s="36">
        <f>('Individual components'!L235-'Individual components'!K235)/('Individual components'!L234-'Individual components'!K234)*(F89-'Individual components'!K234)+'Individual components'!K235</f>
        <v>0.94079233279999996</v>
      </c>
      <c r="G103" s="80"/>
      <c r="H103" s="58"/>
      <c r="I103" s="58"/>
      <c r="J103" s="58"/>
      <c r="L103" s="57"/>
      <c r="M103" s="57"/>
      <c r="N103" s="57"/>
      <c r="O103" s="57"/>
      <c r="P103" s="55"/>
    </row>
    <row r="104" spans="1:16">
      <c r="A104" s="10" t="s">
        <v>125</v>
      </c>
      <c r="B104" s="29">
        <f>B102*B103</f>
        <v>0.19547695338036816</v>
      </c>
      <c r="C104" s="29">
        <f t="shared" ref="C104" si="9">C102*C103</f>
        <v>0.27359035435460366</v>
      </c>
      <c r="D104" s="29">
        <f t="shared" ref="D104" si="10">D102*D103</f>
        <v>0.3001036286318573</v>
      </c>
      <c r="E104" s="29">
        <f t="shared" ref="E104" si="11">E102*E103</f>
        <v>0.25483691656478269</v>
      </c>
      <c r="F104" s="29">
        <f t="shared" ref="F104" si="12">F102*F103</f>
        <v>0.20673064974127314</v>
      </c>
    </row>
    <row r="105" spans="1:16">
      <c r="A105" s="10"/>
      <c r="B105" s="17"/>
      <c r="C105" s="17"/>
      <c r="D105" s="17"/>
      <c r="E105" s="17"/>
      <c r="F105" s="17"/>
    </row>
    <row r="106" spans="1:16">
      <c r="A106" s="22" t="s">
        <v>2</v>
      </c>
    </row>
    <row r="107" spans="1:16">
      <c r="A107" s="10" t="s">
        <v>6</v>
      </c>
      <c r="B107" s="30">
        <v>1150</v>
      </c>
      <c r="C107" s="30">
        <v>1200</v>
      </c>
      <c r="D107" s="30">
        <v>1250</v>
      </c>
      <c r="E107" s="30">
        <v>1300</v>
      </c>
      <c r="F107" s="30">
        <v>1350</v>
      </c>
      <c r="M107" s="57"/>
    </row>
    <row r="108" spans="1:16">
      <c r="A108" s="15" t="s">
        <v>5</v>
      </c>
      <c r="B108" s="18">
        <f>('Individual components'!L7-'Individual components'!K7)/('Individual components'!L6-'Individual components'!K6)*(B$107-'Individual components'!K6)+'Individual components'!K7</f>
        <v>0.86094099223531051</v>
      </c>
      <c r="C108" s="18">
        <f>('Individual components'!L7-'Individual components'!K7)/('Individual components'!L6-'Individual components'!K6)*(C$107-'Individual components'!K6)+'Individual components'!K7</f>
        <v>0.86095351829561739</v>
      </c>
      <c r="D108" s="18">
        <f>('Individual components'!M7-'Individual components'!L7)/('Individual components'!M$6-'Individual components'!L$6)*(D$107-'Individual components'!L$6)+'Individual components'!L7</f>
        <v>0.86010243155488153</v>
      </c>
      <c r="E108" s="18">
        <f>('Individual components'!M7-'Individual components'!L7)/('Individual components'!M$6-'Individual components'!L$6)*(E$107-'Individual components'!L$6)+'Individual components'!L7</f>
        <v>0.85925134481414567</v>
      </c>
      <c r="F108" s="18">
        <f>('Individual components'!N7-'Individual components'!M7)/('Individual components'!N$6-'Individual components'!M$6)*(F$107-'Individual components'!M$6)+'Individual components'!M7</f>
        <v>0.85839933058149276</v>
      </c>
      <c r="G108" s="81"/>
      <c r="H108" s="78"/>
      <c r="L108" s="57"/>
      <c r="M108" s="57"/>
      <c r="N108" s="57"/>
      <c r="O108" s="57"/>
      <c r="P108" s="55"/>
    </row>
    <row r="109" spans="1:16">
      <c r="A109" s="15" t="s">
        <v>7</v>
      </c>
      <c r="B109" s="18">
        <f>'Individual components'!K10</f>
        <v>0.94089999999999996</v>
      </c>
      <c r="C109" s="18">
        <f>'Individual components'!L10</f>
        <v>0.94089999999999996</v>
      </c>
      <c r="D109" s="18">
        <f>'Individual components'!M10</f>
        <v>0.94089999999999996</v>
      </c>
      <c r="E109" s="18">
        <f>'Individual components'!N10</f>
        <v>0.94089999999999996</v>
      </c>
      <c r="F109" s="18">
        <f>'Individual components'!O10</f>
        <v>0.94089999999999996</v>
      </c>
      <c r="L109" s="57"/>
      <c r="M109" s="57"/>
      <c r="N109" s="57"/>
      <c r="O109" s="57"/>
      <c r="P109" s="55"/>
    </row>
    <row r="110" spans="1:16">
      <c r="A110" s="15" t="s">
        <v>28</v>
      </c>
      <c r="B110" s="18">
        <f>'Individual components'!H73</f>
        <v>0.93099999999999994</v>
      </c>
      <c r="C110" s="18">
        <f>'Individual components'!I73</f>
        <v>0.93099999999999994</v>
      </c>
      <c r="D110" s="18">
        <f>'Individual components'!J73</f>
        <v>0.93099999999999994</v>
      </c>
      <c r="E110" s="18">
        <f>'Individual components'!K73</f>
        <v>0.93099999999999994</v>
      </c>
      <c r="F110" s="18">
        <f>'Individual components'!L73</f>
        <v>0.93099999999999994</v>
      </c>
      <c r="L110" s="57"/>
      <c r="M110" s="57"/>
      <c r="N110" s="57"/>
      <c r="O110" s="57"/>
      <c r="P110" s="55"/>
    </row>
    <row r="111" spans="1:16">
      <c r="A111" s="15" t="s">
        <v>37</v>
      </c>
      <c r="B111" s="18">
        <f>'Individual components'!H121</f>
        <v>0.90439291139495326</v>
      </c>
      <c r="C111" s="18">
        <f>'Individual components'!I121</f>
        <v>0.90439291139495326</v>
      </c>
      <c r="D111" s="18">
        <f>'Individual components'!J121</f>
        <v>0.90166883636063111</v>
      </c>
      <c r="E111" s="18">
        <f>'Individual components'!K121</f>
        <v>0.89894476132630896</v>
      </c>
      <c r="F111" s="18">
        <f>'Individual components'!L121</f>
        <v>0.89712871130342753</v>
      </c>
      <c r="G111" s="80"/>
      <c r="L111" s="57"/>
      <c r="M111" s="57"/>
      <c r="N111" s="57"/>
      <c r="O111" s="57"/>
      <c r="P111" s="55"/>
    </row>
    <row r="112" spans="1:16">
      <c r="A112" s="15" t="s">
        <v>25</v>
      </c>
      <c r="B112" s="18">
        <f>'Individual components'!H100</f>
        <v>0.98499999999999999</v>
      </c>
      <c r="C112" s="18">
        <f>'Individual components'!I100</f>
        <v>0.98499999999999999</v>
      </c>
      <c r="D112" s="18">
        <f>'Individual components'!J100</f>
        <v>0.98499999999999999</v>
      </c>
      <c r="E112" s="18">
        <f>'Individual components'!K100</f>
        <v>0.98499999999999999</v>
      </c>
      <c r="F112" s="18">
        <f>'Individual components'!L100</f>
        <v>0.98499999999999999</v>
      </c>
      <c r="L112" s="57"/>
      <c r="M112" s="57"/>
      <c r="N112" s="57"/>
      <c r="O112" s="57"/>
      <c r="P112" s="55"/>
    </row>
    <row r="113" spans="1:16">
      <c r="A113" s="15" t="s">
        <v>29</v>
      </c>
      <c r="B113" s="18">
        <f>'Individual components'!H46</f>
        <v>0.98</v>
      </c>
      <c r="C113" s="18">
        <f>'Individual components'!I46</f>
        <v>0.98</v>
      </c>
      <c r="D113" s="18">
        <f>'Individual components'!J46</f>
        <v>0.98</v>
      </c>
      <c r="E113" s="18">
        <f>'Individual components'!K46</f>
        <v>0.98</v>
      </c>
      <c r="F113" s="18">
        <f>'Individual components'!L46</f>
        <v>0.98</v>
      </c>
      <c r="L113" s="57"/>
      <c r="M113" s="57"/>
      <c r="N113" s="57"/>
      <c r="O113" s="57"/>
      <c r="P113" s="55"/>
    </row>
    <row r="114" spans="1:16">
      <c r="A114" s="15" t="s">
        <v>21</v>
      </c>
      <c r="B114" s="18">
        <f>'Individual components'!C103</f>
        <v>0.92149999999999999</v>
      </c>
      <c r="C114" s="18">
        <f>'Individual components'!D103</f>
        <v>0.92149999999999999</v>
      </c>
      <c r="D114" s="18">
        <f>'Individual components'!E103</f>
        <v>0.92149999999999999</v>
      </c>
      <c r="E114" s="18">
        <f>'Individual components'!F103</f>
        <v>0.92149999999999999</v>
      </c>
      <c r="F114" s="18">
        <f>'Individual components'!G103</f>
        <v>0.92149999999999999</v>
      </c>
      <c r="L114" s="57"/>
      <c r="M114" s="57"/>
      <c r="N114" s="57"/>
      <c r="O114" s="57"/>
      <c r="P114" s="55"/>
    </row>
    <row r="115" spans="1:16">
      <c r="A115" s="15" t="s">
        <v>69</v>
      </c>
      <c r="B115" s="18">
        <f>'Individual components'!C58</f>
        <v>0.99</v>
      </c>
      <c r="C115" s="18">
        <f>'Individual components'!D58</f>
        <v>0.99</v>
      </c>
      <c r="D115" s="18">
        <f>'Individual components'!E58</f>
        <v>0.99</v>
      </c>
      <c r="E115" s="18">
        <f>'Individual components'!F58</f>
        <v>0.99</v>
      </c>
      <c r="F115" s="18">
        <f>'Individual components'!G58</f>
        <v>0.99</v>
      </c>
      <c r="L115" s="57"/>
      <c r="M115" s="57"/>
      <c r="N115" s="57"/>
      <c r="O115" s="57"/>
      <c r="P115" s="55"/>
    </row>
    <row r="116" spans="1:16">
      <c r="A116" s="15" t="s">
        <v>70</v>
      </c>
      <c r="B116" s="18">
        <f>'Individual components'!C61</f>
        <v>0.99</v>
      </c>
      <c r="C116" s="18">
        <f>'Individual components'!D61</f>
        <v>0.99</v>
      </c>
      <c r="D116" s="18">
        <f>'Individual components'!E61</f>
        <v>0.99</v>
      </c>
      <c r="E116" s="18">
        <f>'Individual components'!F61</f>
        <v>0.99</v>
      </c>
      <c r="F116" s="18">
        <f>'Individual components'!G61</f>
        <v>0.99</v>
      </c>
      <c r="L116" s="57"/>
      <c r="M116" s="57"/>
      <c r="N116" s="57"/>
      <c r="O116" s="57"/>
      <c r="P116" s="55"/>
    </row>
    <row r="117" spans="1:16">
      <c r="A117" s="15" t="s">
        <v>14</v>
      </c>
      <c r="B117" s="18">
        <f>'Individual components'!C166</f>
        <v>0.62575145283419986</v>
      </c>
      <c r="C117" s="18">
        <f>'Individual components'!D166</f>
        <v>0.83877322401179988</v>
      </c>
      <c r="D117" s="18">
        <f>'Individual components'!E166</f>
        <v>0.83766373562024976</v>
      </c>
      <c r="E117" s="18">
        <f>'Individual components'!F166</f>
        <v>0.66902150010464989</v>
      </c>
      <c r="F117" s="18">
        <f>'Individual components'!G166</f>
        <v>0.49911127785584991</v>
      </c>
      <c r="L117" s="57"/>
      <c r="M117" s="57"/>
      <c r="N117" s="57"/>
      <c r="O117" s="57"/>
      <c r="P117" s="55"/>
    </row>
    <row r="118" spans="1:16">
      <c r="A118" s="15" t="s">
        <v>18</v>
      </c>
      <c r="B118" s="18">
        <f>'Individual components'!C142</f>
        <v>0.91700000000000004</v>
      </c>
      <c r="C118" s="18">
        <f>'Individual components'!D142</f>
        <v>0.91700000000000004</v>
      </c>
      <c r="D118" s="18">
        <f>'Individual components'!E142</f>
        <v>0.91600000000000004</v>
      </c>
      <c r="E118" s="18">
        <f>'Individual components'!F142</f>
        <v>0.91600000000000004</v>
      </c>
      <c r="F118" s="18">
        <f>'Individual components'!G142</f>
        <v>0.91500000000000004</v>
      </c>
      <c r="L118" s="57"/>
      <c r="M118" s="57"/>
      <c r="N118" s="57"/>
      <c r="O118" s="57"/>
      <c r="P118" s="55"/>
    </row>
    <row r="119" spans="1:16">
      <c r="A119" s="15" t="s">
        <v>32</v>
      </c>
      <c r="B119" s="18">
        <f>'Individual components'!C226</f>
        <v>0.8</v>
      </c>
      <c r="C119" s="18">
        <f>'Individual components'!D226</f>
        <v>0.8</v>
      </c>
      <c r="D119" s="18">
        <f>'Individual components'!E226</f>
        <v>0.8</v>
      </c>
      <c r="E119" s="18">
        <f>'Individual components'!F226</f>
        <v>0.8</v>
      </c>
      <c r="F119" s="18">
        <f>'Individual components'!G226</f>
        <v>0.8</v>
      </c>
      <c r="L119" s="57"/>
      <c r="M119" s="57"/>
      <c r="N119" s="57"/>
      <c r="O119" s="57"/>
      <c r="P119" s="55"/>
    </row>
    <row r="120" spans="1:16">
      <c r="A120" s="10" t="s">
        <v>40</v>
      </c>
      <c r="B120" s="29">
        <f>B108*B109*B110*B111*B112*B113*B114*B115*B116*B117*B118*B119</f>
        <v>0.27296873674950362</v>
      </c>
      <c r="C120" s="29">
        <f>C108*C109*C110*C111*C112*C113*C114*C115*C116*C117*C118*C119</f>
        <v>0.36589958764690722</v>
      </c>
      <c r="D120" s="29">
        <f>D108*D109*D110*D111*D112*D113*D114*D115*D116*D117*D118*D119</f>
        <v>0.36355790703800916</v>
      </c>
      <c r="E120" s="29">
        <f>E108*E109*E110*E111*E112*E113*E114*E115*E116*E117*E118*E119</f>
        <v>0.28920110384192405</v>
      </c>
      <c r="F120" s="29">
        <f>F108*F109*F110*F111*F112*F113*F114*F115*F116*F117*F118*F119</f>
        <v>0.21486900606703366</v>
      </c>
      <c r="H120" s="58"/>
      <c r="I120" s="58"/>
      <c r="J120" s="58"/>
      <c r="L120" s="57"/>
      <c r="M120" s="57"/>
      <c r="N120" s="57"/>
      <c r="O120" s="57"/>
      <c r="P120" s="55"/>
    </row>
    <row r="121" spans="1:16">
      <c r="A121" s="15" t="s">
        <v>126</v>
      </c>
      <c r="B121" s="36">
        <f>('Individual components'!L235-'Individual components'!K235)/('Individual components'!L234-'Individual components'!K234)*(B107-'Individual components'!K234)+'Individual components'!K235</f>
        <v>0.94165698200000003</v>
      </c>
      <c r="C121" s="36">
        <f>('Individual components'!L235-'Individual components'!K235)/('Individual components'!L234-'Individual components'!K234)*(C107-'Individual components'!K234)+'Individual components'!K235</f>
        <v>0.94309806399999996</v>
      </c>
      <c r="D121" s="36">
        <f>('Individual components'!M235-'Individual components'!L235)/('Individual components'!M234-'Individual components'!L234)*(D107-'Individual components'!L234)+'Individual components'!L235</f>
        <v>0.94551034399999989</v>
      </c>
      <c r="E121" s="36">
        <f>('Individual components'!M235-'Individual components'!L235)/('Individual components'!M234-'Individual components'!L234)*(E107-'Individual components'!L234)+'Individual components'!L235</f>
        <v>0.94792262399999994</v>
      </c>
      <c r="F121" s="36">
        <f>('Individual components'!N235-'Individual components'!M235)/('Individual components'!N234-'Individual components'!M234)*(D107-'Individual components'!N234)+'Individual components'!N235</f>
        <v>0.94647368599999993</v>
      </c>
      <c r="G121" s="80"/>
      <c r="H121" s="58"/>
      <c r="I121" s="58"/>
      <c r="J121" s="58"/>
      <c r="L121" s="57"/>
      <c r="M121" s="57"/>
      <c r="N121" s="57"/>
      <c r="O121" s="57"/>
      <c r="P121" s="55"/>
    </row>
    <row r="122" spans="1:16">
      <c r="A122" s="10" t="s">
        <v>125</v>
      </c>
      <c r="B122" s="29">
        <f>B120*B121</f>
        <v>0.2570429168278901</v>
      </c>
      <c r="C122" s="29">
        <f t="shared" ref="C122" si="13">C120*C121</f>
        <v>0.34507919272819648</v>
      </c>
      <c r="D122" s="29">
        <f t="shared" ref="D122" si="14">D120*D121</f>
        <v>0.34374776174742805</v>
      </c>
      <c r="E122" s="29">
        <f t="shared" ref="E122" si="15">E120*E121</f>
        <v>0.27414026921753309</v>
      </c>
      <c r="F122" s="29">
        <f t="shared" ref="F122" si="16">F120*F121</f>
        <v>0.20336786017942168</v>
      </c>
    </row>
    <row r="123" spans="1:16">
      <c r="B123" s="17"/>
      <c r="C123" s="17"/>
      <c r="D123" s="17"/>
      <c r="E123" s="17"/>
      <c r="F123" s="17"/>
      <c r="H123" s="57"/>
      <c r="I123" s="57"/>
      <c r="J123" s="57"/>
      <c r="K123" s="57"/>
      <c r="L123" s="57"/>
    </row>
    <row r="124" spans="1:16">
      <c r="A124" s="23" t="s">
        <v>3</v>
      </c>
      <c r="H124" s="57"/>
      <c r="I124" s="57"/>
      <c r="J124" s="57"/>
      <c r="K124" s="57"/>
      <c r="L124" s="57"/>
    </row>
    <row r="125" spans="1:16">
      <c r="A125" s="10" t="s">
        <v>6</v>
      </c>
      <c r="B125" s="30">
        <v>1500</v>
      </c>
      <c r="C125" s="30">
        <v>1550</v>
      </c>
      <c r="D125" s="30">
        <v>1630</v>
      </c>
      <c r="E125" s="30">
        <v>1700</v>
      </c>
      <c r="F125" s="30">
        <v>1760</v>
      </c>
      <c r="H125" s="57"/>
      <c r="I125" s="57"/>
      <c r="J125" s="57"/>
      <c r="K125" s="57"/>
      <c r="L125" s="57"/>
      <c r="N125" s="57"/>
    </row>
    <row r="126" spans="1:16">
      <c r="A126" s="15" t="s">
        <v>5</v>
      </c>
      <c r="B126" s="18">
        <f>('Individual components'!O7-'Individual components'!N7)/('Individual components'!O$6-'Individual components'!N$6)*(B$125-'Individual components'!N$6)+'Individual components'!N7</f>
        <v>0.85584328788353414</v>
      </c>
      <c r="C126" s="18">
        <f>('Individual components'!P7-'Individual components'!O7)/('Individual components'!P$6-'Individual components'!O$6)*(C$125-'Individual components'!O$6)+'Individual components'!O7</f>
        <v>0.8549922774539056</v>
      </c>
      <c r="D126" s="18">
        <f>('Individual components'!Q7-'Individual components'!P7)/('Individual components'!Q$6-'Individual components'!P$6)*(D$125-'Individual components'!P$6)+'Individual components'!P7</f>
        <v>0.8526037672489668</v>
      </c>
      <c r="E126" s="18">
        <f>('Individual components'!Q7-'Individual components'!P7)/('Individual components'!Q$6-'Individual components'!P$6)*(E$125-'Individual components'!P$6)+'Individual components'!P7</f>
        <v>0.84901626777324324</v>
      </c>
      <c r="F126" s="18">
        <f>('Individual components'!R7-'Individual components'!Q7)/('Individual components'!R$6-'Individual components'!Q$6)*(F$125-'Individual components'!Q$6)+'Individual components'!Q7</f>
        <v>0.84595297348257992</v>
      </c>
      <c r="G126" s="80"/>
      <c r="H126" s="57"/>
      <c r="I126" s="57"/>
      <c r="J126" s="57"/>
      <c r="K126" s="57"/>
      <c r="L126" s="57"/>
      <c r="M126" s="57"/>
      <c r="N126" s="57"/>
      <c r="O126" s="57"/>
      <c r="P126" s="55"/>
    </row>
    <row r="127" spans="1:16">
      <c r="A127" s="15" t="s">
        <v>7</v>
      </c>
      <c r="B127" s="18">
        <f>'Individual components'!O10</f>
        <v>0.94089999999999996</v>
      </c>
      <c r="C127" s="18">
        <f>'Individual components'!P10</f>
        <v>0.94089999999999996</v>
      </c>
      <c r="D127" s="18">
        <f>'Individual components'!Q10</f>
        <v>0.94089999999999996</v>
      </c>
      <c r="E127" s="18">
        <f>'Individual components'!R10</f>
        <v>0.94089999999999996</v>
      </c>
      <c r="F127" s="18">
        <f>'Individual components'!S10</f>
        <v>0.94089999999999996</v>
      </c>
      <c r="H127" s="57"/>
      <c r="I127" s="57"/>
      <c r="J127" s="57"/>
      <c r="K127" s="57"/>
      <c r="L127" s="57"/>
      <c r="M127" s="57"/>
      <c r="N127" s="57"/>
      <c r="O127" s="57"/>
      <c r="P127" s="55"/>
    </row>
    <row r="128" spans="1:16">
      <c r="A128" s="15" t="s">
        <v>28</v>
      </c>
      <c r="B128" s="18">
        <f>'Individual components'!M73</f>
        <v>0.93099999999999994</v>
      </c>
      <c r="C128" s="18">
        <f>'Individual components'!N73</f>
        <v>0.93099999999999994</v>
      </c>
      <c r="D128" s="18">
        <f>'Individual components'!O73</f>
        <v>0.93099999999999994</v>
      </c>
      <c r="E128" s="18">
        <f>'Individual components'!P73</f>
        <v>0.93099999999999994</v>
      </c>
      <c r="F128" s="18">
        <f>'Individual components'!Q73</f>
        <v>0.93099999999999994</v>
      </c>
      <c r="H128" s="57"/>
      <c r="I128" s="57"/>
      <c r="J128" s="57"/>
      <c r="K128" s="57"/>
      <c r="L128" s="57"/>
      <c r="M128" s="57"/>
      <c r="N128" s="57"/>
      <c r="O128" s="57"/>
      <c r="P128" s="55"/>
    </row>
    <row r="129" spans="1:16">
      <c r="A129" s="15" t="s">
        <v>41</v>
      </c>
      <c r="B129" s="18">
        <f>'Individual components'!C124</f>
        <v>0.89258858624622395</v>
      </c>
      <c r="C129" s="18">
        <f>'Individual components'!D124</f>
        <v>0.8898645112119018</v>
      </c>
      <c r="D129" s="18">
        <f>'Individual components'!E124</f>
        <v>0.88623241116613893</v>
      </c>
      <c r="E129" s="18">
        <f>'Individual components'!F124</f>
        <v>0.88078426109749464</v>
      </c>
      <c r="F129" s="18">
        <f>'Individual components'!G124</f>
        <v>0.87533611102885034</v>
      </c>
      <c r="H129" s="57"/>
      <c r="I129" s="57"/>
      <c r="J129" s="57"/>
      <c r="K129" s="57"/>
      <c r="L129" s="57"/>
      <c r="M129" s="57"/>
      <c r="N129" s="57"/>
      <c r="O129" s="57"/>
      <c r="P129" s="55"/>
    </row>
    <row r="130" spans="1:16">
      <c r="A130" s="15" t="s">
        <v>26</v>
      </c>
      <c r="B130" s="18">
        <f>'Individual components'!C97</f>
        <v>0.92149999999999999</v>
      </c>
      <c r="C130" s="18">
        <f>'Individual components'!D97</f>
        <v>0.92149999999999999</v>
      </c>
      <c r="D130" s="18">
        <f>'Individual components'!E97</f>
        <v>0.92149999999999999</v>
      </c>
      <c r="E130" s="18">
        <f>'Individual components'!F97</f>
        <v>0.92149999999999999</v>
      </c>
      <c r="F130" s="18">
        <f>'Individual components'!G97</f>
        <v>0.92149999999999999</v>
      </c>
      <c r="H130" s="57"/>
      <c r="I130" s="57"/>
      <c r="J130" s="57"/>
      <c r="K130" s="57"/>
      <c r="L130" s="57"/>
      <c r="M130" s="57"/>
      <c r="N130" s="57"/>
      <c r="O130" s="57"/>
      <c r="P130" s="55"/>
    </row>
    <row r="131" spans="1:16">
      <c r="A131" s="15" t="s">
        <v>42</v>
      </c>
      <c r="B131" s="18">
        <f>'Individual components'!C49</f>
        <v>0.98499999999999999</v>
      </c>
      <c r="C131" s="18">
        <f>'Individual components'!D49</f>
        <v>0.98499999999999999</v>
      </c>
      <c r="D131" s="18">
        <f>'Individual components'!E49</f>
        <v>0.98499999999999999</v>
      </c>
      <c r="E131" s="18">
        <f>'Individual components'!F49</f>
        <v>0.98499999999999999</v>
      </c>
      <c r="F131" s="18">
        <f>'Individual components'!G49</f>
        <v>0.98499999999999999</v>
      </c>
      <c r="H131" s="57"/>
      <c r="I131" s="57"/>
      <c r="J131" s="57"/>
      <c r="K131" s="57"/>
      <c r="L131" s="57"/>
      <c r="M131" s="57"/>
      <c r="N131" s="57"/>
      <c r="O131" s="57"/>
      <c r="P131" s="55"/>
    </row>
    <row r="132" spans="1:16">
      <c r="A132" s="15" t="s">
        <v>43</v>
      </c>
      <c r="B132" s="18">
        <f>'Individual components'!C52</f>
        <v>0.98499999999999999</v>
      </c>
      <c r="C132" s="18">
        <f>'Individual components'!D52</f>
        <v>0.98499999999999999</v>
      </c>
      <c r="D132" s="18">
        <f>'Individual components'!E52</f>
        <v>0.98499999999999999</v>
      </c>
      <c r="E132" s="18">
        <f>'Individual components'!F52</f>
        <v>0.98499999999999999</v>
      </c>
      <c r="F132" s="18">
        <f>'Individual components'!G52</f>
        <v>0.98499999999999999</v>
      </c>
      <c r="H132" s="57"/>
      <c r="I132" s="57"/>
      <c r="J132" s="57"/>
      <c r="K132" s="57"/>
      <c r="L132" s="57"/>
      <c r="M132" s="57"/>
      <c r="N132" s="57"/>
      <c r="O132" s="57"/>
      <c r="P132" s="55"/>
    </row>
    <row r="133" spans="1:16">
      <c r="A133" s="15" t="s">
        <v>24</v>
      </c>
      <c r="B133" s="18">
        <f>'Individual components'!C112</f>
        <v>0.98499999999999999</v>
      </c>
      <c r="C133" s="18">
        <f>'Individual components'!D112</f>
        <v>0.98499999999999999</v>
      </c>
      <c r="D133" s="18">
        <f>'Individual components'!E112</f>
        <v>0.98499999999999999</v>
      </c>
      <c r="E133" s="18">
        <f>'Individual components'!F112</f>
        <v>0.98499999999999999</v>
      </c>
      <c r="F133" s="18">
        <f>'Individual components'!G112</f>
        <v>0.98499999999999999</v>
      </c>
      <c r="H133" s="57"/>
      <c r="I133" s="57"/>
      <c r="J133" s="57"/>
      <c r="K133" s="57"/>
      <c r="L133" s="57"/>
      <c r="M133" s="57"/>
      <c r="N133" s="57"/>
      <c r="O133" s="57"/>
      <c r="P133" s="55"/>
    </row>
    <row r="134" spans="1:16">
      <c r="A134" s="15" t="s">
        <v>31</v>
      </c>
      <c r="B134" s="18">
        <f>'Individual components'!C64</f>
        <v>0.99</v>
      </c>
      <c r="C134" s="18">
        <f>'Individual components'!D64</f>
        <v>0.99</v>
      </c>
      <c r="D134" s="18">
        <f>'Individual components'!E64</f>
        <v>0.99</v>
      </c>
      <c r="E134" s="18">
        <f>'Individual components'!F64</f>
        <v>0.99</v>
      </c>
      <c r="F134" s="18">
        <f>'Individual components'!G64</f>
        <v>0.99</v>
      </c>
      <c r="H134" s="57"/>
      <c r="I134" s="57"/>
      <c r="J134" s="57"/>
      <c r="K134" s="57"/>
      <c r="L134" s="57"/>
      <c r="M134" s="57"/>
      <c r="N134" s="57"/>
      <c r="O134" s="57"/>
      <c r="P134" s="55"/>
    </row>
    <row r="135" spans="1:16">
      <c r="A135" s="15" t="s">
        <v>260</v>
      </c>
      <c r="B135" s="18">
        <f>'Individual components'!C187</f>
        <v>0.99199999999999999</v>
      </c>
      <c r="C135" s="18">
        <f>'Individual components'!D187</f>
        <v>0.99299999999999999</v>
      </c>
      <c r="D135" s="18">
        <f>'Individual components'!E187</f>
        <v>0.999</v>
      </c>
      <c r="E135" s="18">
        <f>'Individual components'!F187</f>
        <v>0.996</v>
      </c>
      <c r="F135" s="18">
        <f>'Individual components'!G187</f>
        <v>0.998</v>
      </c>
      <c r="G135" s="56"/>
      <c r="L135" s="57"/>
      <c r="M135" s="57"/>
      <c r="N135" s="57"/>
      <c r="P135" s="18"/>
    </row>
    <row r="136" spans="1:16">
      <c r="A136" s="15" t="s">
        <v>15</v>
      </c>
      <c r="B136" s="18">
        <f>'Individual components'!C169</f>
        <v>0.5283543625575533</v>
      </c>
      <c r="C136" s="18">
        <f>'Individual components'!D169</f>
        <v>0.63068745227221545</v>
      </c>
      <c r="D136" s="18">
        <f>'Individual components'!E169</f>
        <v>0.70024354358823404</v>
      </c>
      <c r="E136" s="18">
        <f>'Individual components'!F169</f>
        <v>0.64484885462027186</v>
      </c>
      <c r="F136" s="18">
        <f>'Individual components'!G169</f>
        <v>0.53921565409366601</v>
      </c>
      <c r="H136" s="57"/>
      <c r="I136" s="57"/>
      <c r="J136" s="57"/>
      <c r="K136" s="57"/>
      <c r="L136" s="57"/>
      <c r="M136" s="57"/>
      <c r="N136" s="57"/>
      <c r="O136" s="57"/>
      <c r="P136" s="55"/>
    </row>
    <row r="137" spans="1:16">
      <c r="A137" s="15" t="s">
        <v>19</v>
      </c>
      <c r="B137" s="18">
        <f>'Individual components'!C145</f>
        <v>0.91200000000000003</v>
      </c>
      <c r="C137" s="18">
        <f>'Individual components'!D145</f>
        <v>0.91200000000000003</v>
      </c>
      <c r="D137" s="18">
        <f>'Individual components'!E145</f>
        <v>0.91</v>
      </c>
      <c r="E137" s="18">
        <f>'Individual components'!F145</f>
        <v>0.90800000000000003</v>
      </c>
      <c r="F137" s="18">
        <f>'Individual components'!G145</f>
        <v>0.90600000000000003</v>
      </c>
      <c r="H137" s="57"/>
      <c r="I137" s="57"/>
      <c r="J137" s="57"/>
      <c r="K137" s="57"/>
      <c r="L137" s="57"/>
      <c r="M137" s="57"/>
      <c r="N137" s="57"/>
      <c r="O137" s="57"/>
      <c r="P137" s="55"/>
    </row>
    <row r="138" spans="1:16">
      <c r="A138" s="15" t="s">
        <v>34</v>
      </c>
      <c r="B138" s="18">
        <f>'Individual components'!C229</f>
        <v>0.8</v>
      </c>
      <c r="C138" s="18">
        <f>'Individual components'!D229</f>
        <v>0.8</v>
      </c>
      <c r="D138" s="18">
        <f>'Individual components'!E229</f>
        <v>0.8</v>
      </c>
      <c r="E138" s="18">
        <f>'Individual components'!F229</f>
        <v>0.8</v>
      </c>
      <c r="F138" s="18">
        <f>'Individual components'!G229</f>
        <v>0.8</v>
      </c>
      <c r="H138" s="57"/>
      <c r="I138" s="57"/>
      <c r="J138" s="57"/>
      <c r="K138" s="57"/>
      <c r="L138" s="57"/>
      <c r="M138" s="57"/>
      <c r="N138" s="57"/>
      <c r="O138" s="57"/>
      <c r="P138" s="55"/>
    </row>
    <row r="139" spans="1:16">
      <c r="A139" s="10" t="s">
        <v>40</v>
      </c>
      <c r="B139" s="29">
        <f>B126*B127*B128*B129*B130*B131*B132*B133*B134*B135*B136*B137*B138</f>
        <v>0.22310009150500792</v>
      </c>
      <c r="C139" s="29">
        <f t="shared" ref="C139:F139" si="17">C126*C127*C128*C129*C130*C131*C132*C133*C134*C135*C136*C137*C138</f>
        <v>0.26550134081437932</v>
      </c>
      <c r="D139" s="29">
        <f t="shared" si="17"/>
        <v>0.29388216603151174</v>
      </c>
      <c r="E139" s="29">
        <f t="shared" si="17"/>
        <v>0.26644712538955878</v>
      </c>
      <c r="F139" s="29">
        <f t="shared" si="17"/>
        <v>0.22057925186093491</v>
      </c>
      <c r="H139" s="58"/>
      <c r="I139" s="58"/>
      <c r="J139" s="58"/>
      <c r="L139" s="57"/>
      <c r="M139" s="57"/>
      <c r="N139" s="57"/>
      <c r="O139" s="57"/>
      <c r="P139" s="55"/>
    </row>
    <row r="140" spans="1:16">
      <c r="A140" s="15" t="s">
        <v>126</v>
      </c>
      <c r="B140" s="36">
        <f>'Individual components'!O235</f>
        <v>0.95372427599999998</v>
      </c>
      <c r="C140" s="36">
        <f>('Individual components'!P235-'Individual components'!O235)/('Individual components'!P234-'Individual components'!O234)*(C125-'Individual components'!O234)+'Individual components'!O235</f>
        <v>0.95517911699999991</v>
      </c>
      <c r="D140" s="36">
        <f>('Individual components'!Q235-'Individual components'!P235)/('Individual components'!Q234-'Individual components'!P234)*(D125-'Individual components'!P234)+'Individual components'!P235</f>
        <v>0.95663395799999995</v>
      </c>
      <c r="E140" s="36">
        <f>'Individual components'!Q235</f>
        <v>0.95663395799999995</v>
      </c>
      <c r="F140" s="36">
        <f>('Individual components'!R235-'Individual components'!Q235)/('Individual components'!R234-'Individual components'!Q234)*(F125-'Individual components'!Q234)+'Individual components'!Q235</f>
        <v>0.95721845939999994</v>
      </c>
      <c r="G140" s="80"/>
      <c r="H140" s="58"/>
      <c r="I140" s="58"/>
      <c r="J140" s="58"/>
      <c r="L140" s="57"/>
      <c r="M140" s="57"/>
      <c r="N140" s="57"/>
      <c r="O140" s="57"/>
      <c r="P140" s="55"/>
    </row>
    <row r="141" spans="1:16">
      <c r="A141" s="10" t="s">
        <v>125</v>
      </c>
      <c r="B141" s="29">
        <f>B139*B140</f>
        <v>0.21277597324614744</v>
      </c>
      <c r="C141" s="29">
        <f t="shared" ref="C141" si="18">C139*C140</f>
        <v>0.25360133628139486</v>
      </c>
      <c r="D141" s="29">
        <f t="shared" ref="D141" si="19">D139*D140</f>
        <v>0.28113765967633819</v>
      </c>
      <c r="E141" s="29">
        <f t="shared" ref="E141" si="20">E139*E140</f>
        <v>0.25489236815913591</v>
      </c>
      <c r="F141" s="29">
        <f t="shared" ref="F141" si="21">F139*F140</f>
        <v>0.2111425316419287</v>
      </c>
    </row>
    <row r="142" spans="1:16">
      <c r="B142" s="17"/>
      <c r="C142" s="17"/>
      <c r="D142" s="17"/>
      <c r="E142" s="17"/>
      <c r="F142" s="17"/>
    </row>
    <row r="143" spans="1:16">
      <c r="A143" s="24" t="s">
        <v>4</v>
      </c>
    </row>
    <row r="144" spans="1:16">
      <c r="A144" s="10" t="s">
        <v>6</v>
      </c>
      <c r="B144" s="30">
        <v>2000</v>
      </c>
      <c r="C144" s="30">
        <v>2100</v>
      </c>
      <c r="D144" s="30">
        <v>2175</v>
      </c>
      <c r="E144" s="30">
        <v>2280</v>
      </c>
      <c r="F144" s="30">
        <v>2350</v>
      </c>
    </row>
    <row r="145" spans="1:17">
      <c r="A145" s="15" t="s">
        <v>5</v>
      </c>
      <c r="B145" s="18">
        <f>('Individual components'!T7-'Individual components'!S7)/('Individual components'!T$6-'Individual components'!S$6)*(B$144-'Individual components'!S$6)+'Individual components'!S7</f>
        <v>0.84053474318649235</v>
      </c>
      <c r="C145" s="18">
        <f>('Individual components'!U7-'Individual components'!T7)/('Individual components'!U$6-'Individual components'!T$6)*(C$144-'Individual components'!T$6)+'Individual components'!T7</f>
        <v>0.8152355224078941</v>
      </c>
      <c r="D145" s="18">
        <f>('Individual components'!V7-'Individual components'!U7)/('Individual components'!V$6-'Individual components'!U$6)*(D$144-'Individual components'!U$6)+'Individual components'!U7</f>
        <v>0.79658593801055566</v>
      </c>
      <c r="E145" s="18">
        <f>('Individual components'!W7-'Individual components'!V7)/('Individual components'!W$6-'Individual components'!V$6)*(E$144-'Individual components'!V$6)+'Individual components'!V7</f>
        <v>0.78580234810522775</v>
      </c>
      <c r="F145" s="18">
        <f>'Individual components'!X7</f>
        <v>0.78181594743445693</v>
      </c>
      <c r="M145" s="57"/>
      <c r="N145" s="57"/>
      <c r="O145" s="57"/>
      <c r="P145" s="55"/>
      <c r="Q145" s="18"/>
    </row>
    <row r="146" spans="1:17">
      <c r="A146" s="15" t="s">
        <v>7</v>
      </c>
      <c r="B146" s="18">
        <f>0.977*0.977</f>
        <v>0.95452899999999996</v>
      </c>
      <c r="C146" s="18">
        <f>0.977*0.977</f>
        <v>0.95452899999999996</v>
      </c>
      <c r="D146" s="18">
        <f>0.977*0.977</f>
        <v>0.95452899999999996</v>
      </c>
      <c r="E146" s="18">
        <f>0.977*0.977</f>
        <v>0.95452899999999996</v>
      </c>
      <c r="F146" s="18">
        <f>0.977*0.977</f>
        <v>0.95452899999999996</v>
      </c>
      <c r="M146" s="57"/>
      <c r="N146" s="57"/>
      <c r="O146" s="57"/>
      <c r="P146" s="55"/>
      <c r="Q146" s="18"/>
    </row>
    <row r="147" spans="1:17">
      <c r="A147" s="15" t="s">
        <v>28</v>
      </c>
      <c r="B147" s="18">
        <f>'Individual components'!R73</f>
        <v>0.93099999999999994</v>
      </c>
      <c r="C147" s="18">
        <f>'Individual components'!S73</f>
        <v>0.93099999999999994</v>
      </c>
      <c r="D147" s="18">
        <f>'Individual components'!T73</f>
        <v>0.93099999999999994</v>
      </c>
      <c r="E147" s="18">
        <f>'Individual components'!U73</f>
        <v>0.93099999999999994</v>
      </c>
      <c r="F147" s="18">
        <f>'Individual components'!V73</f>
        <v>0.9506</v>
      </c>
      <c r="M147" s="57"/>
      <c r="N147" s="57"/>
      <c r="O147" s="57"/>
      <c r="P147" s="55"/>
      <c r="Q147" s="18"/>
    </row>
    <row r="148" spans="1:17">
      <c r="A148" s="15" t="s">
        <v>41</v>
      </c>
      <c r="B148" s="18">
        <f>'Individual components'!H124</f>
        <v>0.86897993594876533</v>
      </c>
      <c r="C148" s="18">
        <f>'Individual components'!I124</f>
        <v>0.82448671038817023</v>
      </c>
      <c r="D148" s="18">
        <f>'Individual components'!J124</f>
        <v>0.79361385999918588</v>
      </c>
      <c r="E148" s="18">
        <f>'Individual components'!K124</f>
        <v>0.77999348482757513</v>
      </c>
      <c r="F148" s="18">
        <f>'Individual components'!L124</f>
        <v>0.77091323471316797</v>
      </c>
      <c r="M148" s="57"/>
      <c r="N148" s="57"/>
      <c r="O148" s="57"/>
      <c r="P148" s="55"/>
      <c r="Q148" s="18"/>
    </row>
    <row r="149" spans="1:17">
      <c r="A149" s="15" t="s">
        <v>26</v>
      </c>
      <c r="B149" s="18">
        <f>'Individual components'!H97</f>
        <v>0.92149999999999999</v>
      </c>
      <c r="C149" s="18">
        <f>'Individual components'!I97</f>
        <v>0.92149999999999999</v>
      </c>
      <c r="D149" s="18">
        <f>'Individual components'!J97</f>
        <v>0.92149999999999999</v>
      </c>
      <c r="E149" s="18">
        <f>'Individual components'!K97</f>
        <v>0.92149999999999999</v>
      </c>
      <c r="F149" s="18">
        <f>'Individual components'!L97</f>
        <v>0.92149999999999999</v>
      </c>
      <c r="M149" s="57"/>
      <c r="N149" s="57"/>
      <c r="O149" s="57"/>
      <c r="P149" s="55"/>
      <c r="Q149" s="18"/>
    </row>
    <row r="150" spans="1:17">
      <c r="A150" s="15" t="s">
        <v>42</v>
      </c>
      <c r="B150" s="18">
        <f>'Individual components'!H49</f>
        <v>0.98499999999999999</v>
      </c>
      <c r="C150" s="18">
        <f>'Individual components'!I49</f>
        <v>0.98499999999999999</v>
      </c>
      <c r="D150" s="18">
        <f>'Individual components'!J49</f>
        <v>0.98499999999999999</v>
      </c>
      <c r="E150" s="18">
        <f>'Individual components'!K49</f>
        <v>0.98499999999999999</v>
      </c>
      <c r="F150" s="18">
        <f>'Individual components'!L49</f>
        <v>0.98499999999999999</v>
      </c>
      <c r="M150" s="57"/>
      <c r="N150" s="57"/>
      <c r="O150" s="57"/>
      <c r="P150" s="55"/>
      <c r="Q150" s="18"/>
    </row>
    <row r="151" spans="1:17">
      <c r="A151" s="15" t="s">
        <v>43</v>
      </c>
      <c r="B151" s="18">
        <f>'Individual components'!H52</f>
        <v>0.98499999999999999</v>
      </c>
      <c r="C151" s="18">
        <f>'Individual components'!I52</f>
        <v>0.98499999999999999</v>
      </c>
      <c r="D151" s="18">
        <f>'Individual components'!J52</f>
        <v>0.98499999999999999</v>
      </c>
      <c r="E151" s="18">
        <f>'Individual components'!K52</f>
        <v>0.98499999999999999</v>
      </c>
      <c r="F151" s="18">
        <f>'Individual components'!L52</f>
        <v>0.98499999999999999</v>
      </c>
      <c r="M151" s="57"/>
      <c r="N151" s="57"/>
      <c r="O151" s="57"/>
      <c r="P151" s="55"/>
      <c r="Q151" s="18"/>
    </row>
    <row r="152" spans="1:17">
      <c r="A152" s="15" t="s">
        <v>23</v>
      </c>
      <c r="B152" s="18">
        <f>'Individual components'!C109</f>
        <v>0.92149999999999999</v>
      </c>
      <c r="C152" s="18">
        <f>'Individual components'!D109</f>
        <v>0.92149999999999999</v>
      </c>
      <c r="D152" s="18">
        <f>'Individual components'!E109</f>
        <v>0.92149999999999999</v>
      </c>
      <c r="E152" s="18">
        <f>'Individual components'!F109</f>
        <v>0.92149999999999999</v>
      </c>
      <c r="F152" s="18">
        <f>'Individual components'!G109</f>
        <v>0.92149999999999999</v>
      </c>
      <c r="M152" s="57"/>
      <c r="N152" s="57"/>
      <c r="O152" s="57"/>
      <c r="P152" s="55"/>
      <c r="Q152" s="18"/>
    </row>
    <row r="153" spans="1:17">
      <c r="A153" s="15" t="s">
        <v>44</v>
      </c>
      <c r="B153" s="18">
        <f>'Individual components'!C67</f>
        <v>0.99</v>
      </c>
      <c r="C153" s="18">
        <f>'Individual components'!D67</f>
        <v>0.99</v>
      </c>
      <c r="D153" s="18">
        <f>'Individual components'!E67</f>
        <v>0.99</v>
      </c>
      <c r="E153" s="18">
        <f>'Individual components'!F67</f>
        <v>0.99</v>
      </c>
      <c r="F153" s="18">
        <f>'Individual components'!G67</f>
        <v>0.99</v>
      </c>
      <c r="M153" s="57"/>
      <c r="N153" s="57"/>
      <c r="O153" s="57"/>
      <c r="P153" s="55"/>
      <c r="Q153" s="18"/>
    </row>
    <row r="154" spans="1:17">
      <c r="A154" s="15" t="s">
        <v>45</v>
      </c>
      <c r="B154" s="18">
        <f>'Individual components'!C70</f>
        <v>0.99</v>
      </c>
      <c r="C154" s="18">
        <f>'Individual components'!D70</f>
        <v>0.99</v>
      </c>
      <c r="D154" s="18">
        <f>'Individual components'!E70</f>
        <v>0.99</v>
      </c>
      <c r="E154" s="18">
        <f>'Individual components'!F70</f>
        <v>0.99</v>
      </c>
      <c r="F154" s="18">
        <f>'Individual components'!G70</f>
        <v>0.99</v>
      </c>
      <c r="M154" s="57"/>
      <c r="N154" s="57"/>
      <c r="O154" s="57"/>
      <c r="P154" s="55"/>
      <c r="Q154" s="18"/>
    </row>
    <row r="155" spans="1:17">
      <c r="A155" s="15" t="s">
        <v>170</v>
      </c>
      <c r="B155" s="18">
        <f>'Individual components'!C196</f>
        <v>1</v>
      </c>
      <c r="C155" s="18">
        <f>'Individual components'!D196</f>
        <v>1</v>
      </c>
      <c r="D155" s="18">
        <f>'Individual components'!E196</f>
        <v>1</v>
      </c>
      <c r="E155" s="18">
        <f>'Individual components'!F196</f>
        <v>1</v>
      </c>
      <c r="F155" s="18">
        <f>'Individual components'!G196</f>
        <v>1</v>
      </c>
      <c r="M155" s="57"/>
      <c r="N155" s="57"/>
      <c r="O155" s="57"/>
      <c r="P155" s="55"/>
      <c r="Q155" s="18"/>
    </row>
    <row r="156" spans="1:17">
      <c r="A156" s="15" t="s">
        <v>16</v>
      </c>
      <c r="B156" s="18">
        <f>'Individual components'!C172</f>
        <v>0.35073366805614437</v>
      </c>
      <c r="C156" s="18">
        <f>'Individual components'!D172</f>
        <v>0.53017932679808777</v>
      </c>
      <c r="D156" s="18">
        <f>'Individual components'!E172</f>
        <v>0.59970938914933047</v>
      </c>
      <c r="E156" s="18">
        <f>'Individual components'!F172</f>
        <v>0.50843071579249088</v>
      </c>
      <c r="F156" s="18">
        <f>'Individual components'!G172</f>
        <v>0.34513878045893037</v>
      </c>
      <c r="M156" s="57"/>
      <c r="N156" s="57"/>
      <c r="O156" s="57"/>
      <c r="P156" s="55"/>
      <c r="Q156" s="18"/>
    </row>
    <row r="157" spans="1:17">
      <c r="A157" s="15" t="s">
        <v>20</v>
      </c>
      <c r="B157" s="18">
        <f>'Individual components'!C148</f>
        <v>0.90200000000000002</v>
      </c>
      <c r="C157" s="18">
        <f>'Individual components'!D148</f>
        <v>0.88500000000000001</v>
      </c>
      <c r="D157" s="18">
        <f>'Individual components'!E148</f>
        <v>0.872</v>
      </c>
      <c r="E157" s="18">
        <f>'Individual components'!F148</f>
        <v>0.86499999999999999</v>
      </c>
      <c r="F157" s="18">
        <f>'Individual components'!G148</f>
        <v>0.86199999999999999</v>
      </c>
      <c r="M157" s="57"/>
      <c r="N157" s="57"/>
      <c r="O157" s="57"/>
      <c r="P157" s="55"/>
      <c r="Q157" s="18"/>
    </row>
    <row r="158" spans="1:17">
      <c r="A158" s="15" t="s">
        <v>35</v>
      </c>
      <c r="B158" s="18">
        <f>'Individual components'!C232</f>
        <v>0.8</v>
      </c>
      <c r="C158" s="18">
        <f>'Individual components'!D232</f>
        <v>0.8</v>
      </c>
      <c r="D158" s="18">
        <f>'Individual components'!E232</f>
        <v>0.8</v>
      </c>
      <c r="E158" s="18">
        <f>'Individual components'!F232</f>
        <v>0.8</v>
      </c>
      <c r="F158" s="18">
        <f>'Individual components'!G232</f>
        <v>0.8</v>
      </c>
      <c r="M158" s="57"/>
      <c r="N158" s="57"/>
      <c r="O158" s="57"/>
      <c r="P158" s="55"/>
      <c r="Q158" s="18"/>
    </row>
    <row r="159" spans="1:17">
      <c r="A159" s="10" t="s">
        <v>40</v>
      </c>
      <c r="B159" s="29">
        <f>B145*B146*B147*B148*B149*B150*B151*B152*B153*B154*B155*B156*B157*B158</f>
        <v>0.13265136951223613</v>
      </c>
      <c r="C159" s="29">
        <f t="shared" ref="C159:F159" si="22">C145*C146*C147*C148*C149*C150*C151*C152*C153*C154*C155*C156*C157*C158</f>
        <v>0.18104858694112161</v>
      </c>
      <c r="D159" s="29">
        <f>D145*D146*D147*D148*D149*D150*D151*D152*D153*D154*D155*D156*D157*D158</f>
        <v>0.18978484847147664</v>
      </c>
      <c r="E159" s="29">
        <f t="shared" si="22"/>
        <v>0.15474424598864775</v>
      </c>
      <c r="F159" s="29">
        <f t="shared" si="22"/>
        <v>0.10510454733502131</v>
      </c>
      <c r="H159" s="58"/>
      <c r="I159" s="58"/>
      <c r="J159" s="58"/>
      <c r="M159" s="57"/>
      <c r="O159" s="57"/>
      <c r="Q159" s="18"/>
    </row>
    <row r="160" spans="1:17">
      <c r="A160" s="15" t="s">
        <v>126</v>
      </c>
      <c r="B160" s="36">
        <f>'Individual components'!T235</f>
        <v>0.95664086399999992</v>
      </c>
      <c r="C160" s="36">
        <f>'Individual components'!U235</f>
        <v>0.9576130599999999</v>
      </c>
      <c r="D160" s="36">
        <f>('Individual components'!V235-'Individual components'!U235)/('Individual components'!V234-'Individual components'!U234)*(D144-'Individual components'!U234)+'Individual components'!U235</f>
        <v>0.9576130599999999</v>
      </c>
      <c r="E160" s="36">
        <f>('Individual components'!W235-'Individual components'!V235)/('Individual components'!W234-'Individual components'!V234)*(D144-'Individual components'!V234)+'Individual components'!V235</f>
        <v>0.9571272087499999</v>
      </c>
      <c r="F160" s="36">
        <f>('Individual components'!X235-'Individual components'!W235)/('Individual components'!X234-'Individual components'!W234)*(F144-'Individual components'!W234)+'Individual components'!W235</f>
        <v>0.92678649999999996</v>
      </c>
      <c r="G160" s="80"/>
      <c r="H160" s="58"/>
      <c r="I160" s="58"/>
      <c r="J160" s="58"/>
      <c r="L160" s="57"/>
      <c r="M160" s="57"/>
      <c r="N160" s="57"/>
      <c r="O160" s="57"/>
      <c r="P160" s="55"/>
    </row>
    <row r="161" spans="1:6">
      <c r="A161" s="10" t="s">
        <v>125</v>
      </c>
      <c r="B161" s="29">
        <f>B159*B160</f>
        <v>0.12689972074096884</v>
      </c>
      <c r="C161" s="29">
        <f t="shared" ref="C161" si="23">C159*C160</f>
        <v>0.17337449134936347</v>
      </c>
      <c r="D161" s="29">
        <f t="shared" ref="D161" si="24">D159*D160</f>
        <v>0.18174044948640705</v>
      </c>
      <c r="E161" s="29">
        <f t="shared" ref="E161" si="25">E159*E160</f>
        <v>0.14810992823323779</v>
      </c>
      <c r="F161" s="29">
        <f t="shared" ref="F161" si="26">F159*F160</f>
        <v>9.7409475558708727E-2</v>
      </c>
    </row>
    <row r="162" spans="1:6">
      <c r="A162" s="10"/>
      <c r="B162" s="17"/>
      <c r="C162" s="17"/>
      <c r="D162" s="17"/>
      <c r="E162" s="17"/>
      <c r="F162" s="17"/>
    </row>
    <row r="163" spans="1:6">
      <c r="A163" s="10"/>
      <c r="B163" s="17"/>
      <c r="C163" s="17"/>
      <c r="D163" s="17"/>
      <c r="E163" s="17"/>
      <c r="F163" s="17"/>
    </row>
    <row r="197" spans="1:1">
      <c r="A197" s="19"/>
    </row>
    <row r="201" spans="1:1">
      <c r="A201" s="19"/>
    </row>
  </sheetData>
  <phoneticPr fontId="17" type="noConversion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R27"/>
  <sheetViews>
    <sheetView workbookViewId="0">
      <selection activeCell="K25" sqref="K25"/>
    </sheetView>
  </sheetViews>
  <sheetFormatPr baseColWidth="10" defaultRowHeight="15" x14ac:dyDescent="0"/>
  <cols>
    <col min="1" max="1" width="10.83203125" style="2"/>
    <col min="2" max="2" width="7.33203125" customWidth="1"/>
    <col min="3" max="3" width="7.5" customWidth="1"/>
    <col min="4" max="4" width="8.83203125" customWidth="1"/>
    <col min="5" max="6" width="8.6640625" customWidth="1"/>
    <col min="7" max="7" width="9.33203125" customWidth="1"/>
    <col min="8" max="9" width="8.5" style="20" customWidth="1"/>
    <col min="10" max="10" width="8.5" customWidth="1"/>
    <col min="11" max="11" width="8.33203125" customWidth="1"/>
    <col min="12" max="13" width="9" customWidth="1"/>
    <col min="14" max="14" width="9.5" style="20" customWidth="1"/>
    <col min="15" max="15" width="9.33203125" customWidth="1"/>
    <col min="16" max="16" width="9.83203125" customWidth="1"/>
  </cols>
  <sheetData>
    <row r="1" spans="1:15">
      <c r="B1" s="106" t="s">
        <v>82</v>
      </c>
      <c r="C1" s="107"/>
      <c r="D1" s="107"/>
      <c r="E1" s="107"/>
      <c r="F1" s="107"/>
      <c r="G1" s="107"/>
      <c r="H1" s="108"/>
      <c r="I1" s="106" t="s">
        <v>159</v>
      </c>
      <c r="J1" s="107"/>
      <c r="K1" s="107"/>
      <c r="L1" s="107"/>
      <c r="M1" s="107"/>
      <c r="N1" s="108"/>
    </row>
    <row r="2" spans="1:15" s="2" customFormat="1" ht="45">
      <c r="A2" s="44" t="s">
        <v>73</v>
      </c>
      <c r="B2" s="44" t="s">
        <v>6</v>
      </c>
      <c r="C2" s="44" t="s">
        <v>176</v>
      </c>
      <c r="D2" s="44" t="s">
        <v>160</v>
      </c>
      <c r="E2" s="44" t="s">
        <v>161</v>
      </c>
      <c r="F2" s="44" t="s">
        <v>191</v>
      </c>
      <c r="G2" s="82" t="s">
        <v>192</v>
      </c>
      <c r="H2" s="45" t="s">
        <v>83</v>
      </c>
      <c r="I2" s="44" t="s">
        <v>6</v>
      </c>
      <c r="J2" s="44" t="s">
        <v>175</v>
      </c>
      <c r="K2" s="44" t="s">
        <v>162</v>
      </c>
      <c r="L2" s="44" t="s">
        <v>163</v>
      </c>
      <c r="M2" s="82" t="s">
        <v>193</v>
      </c>
      <c r="N2" s="45" t="s">
        <v>84</v>
      </c>
      <c r="O2" s="44" t="s">
        <v>72</v>
      </c>
    </row>
    <row r="3" spans="1:15">
      <c r="A3" s="31" t="s">
        <v>74</v>
      </c>
      <c r="B3" s="5">
        <v>400</v>
      </c>
      <c r="C3" s="97">
        <v>0.2</v>
      </c>
      <c r="E3" s="46">
        <v>0.41885227001066211</v>
      </c>
      <c r="F3" s="26">
        <v>0.45230159304327411</v>
      </c>
      <c r="G3" s="98">
        <f>Imaging!C20</f>
        <v>0.35582175821292578</v>
      </c>
      <c r="H3" s="39">
        <f>(G3-C3)/C3</f>
        <v>0.77910879106462883</v>
      </c>
      <c r="I3" s="5">
        <v>400</v>
      </c>
      <c r="J3" s="97">
        <v>0.2</v>
      </c>
      <c r="K3" s="25"/>
      <c r="L3" s="46">
        <v>0.27239520725672461</v>
      </c>
      <c r="M3" s="98">
        <f>Spectroscopy!C20</f>
        <v>0.25890652221967897</v>
      </c>
      <c r="N3" s="39">
        <f t="shared" ref="N3:N11" si="0">(M3-J3)/J3</f>
        <v>0.29453261109839479</v>
      </c>
      <c r="O3" s="5" t="s">
        <v>165</v>
      </c>
    </row>
    <row r="4" spans="1:15">
      <c r="A4" s="31" t="s">
        <v>74</v>
      </c>
      <c r="B4" s="5">
        <v>476</v>
      </c>
      <c r="C4" s="97">
        <v>0.35</v>
      </c>
      <c r="D4" s="25">
        <v>0.4</v>
      </c>
      <c r="E4" s="46">
        <v>0.45708131121397749</v>
      </c>
      <c r="F4" s="26">
        <v>0.50262939203997892</v>
      </c>
      <c r="G4" s="98">
        <f>(Imaging!E20-Imaging!D20)/(Imaging!E5-Imaging!D5)*(B4-Imaging!D5)+Imaging!D20</f>
        <v>0.47242441446128386</v>
      </c>
      <c r="H4" s="39">
        <f t="shared" ref="H4:H11" si="1">(G4-C4)/C4</f>
        <v>0.34978404131795399</v>
      </c>
      <c r="I4" s="5">
        <v>469</v>
      </c>
      <c r="J4" s="97">
        <v>0.3</v>
      </c>
      <c r="K4" s="25">
        <v>0.32</v>
      </c>
      <c r="L4" s="46">
        <v>0.3932938430439859</v>
      </c>
      <c r="M4" s="98">
        <f>Spectroscopy!D20</f>
        <v>0.4258243953606371</v>
      </c>
      <c r="N4" s="39">
        <f t="shared" si="0"/>
        <v>0.41941465120212373</v>
      </c>
      <c r="O4" s="5" t="s">
        <v>166</v>
      </c>
    </row>
    <row r="5" spans="1:15">
      <c r="A5" s="32" t="s">
        <v>75</v>
      </c>
      <c r="B5" s="5">
        <v>622</v>
      </c>
      <c r="C5" s="97">
        <v>0.35</v>
      </c>
      <c r="D5" s="25">
        <v>0.47</v>
      </c>
      <c r="E5" s="46">
        <v>0.51767438570936253</v>
      </c>
      <c r="F5" s="26">
        <v>0.51777155090998606</v>
      </c>
      <c r="G5" s="98">
        <f>Imaging!D40</f>
        <v>0.44716269577830131</v>
      </c>
      <c r="H5" s="39">
        <f t="shared" si="1"/>
        <v>0.27760770222371811</v>
      </c>
      <c r="I5" s="5">
        <v>622</v>
      </c>
      <c r="J5" s="97">
        <v>0.3</v>
      </c>
      <c r="K5" s="25">
        <v>0.39</v>
      </c>
      <c r="L5" s="46">
        <v>0.38174719347235064</v>
      </c>
      <c r="M5" s="98">
        <f>Spectroscopy!D41</f>
        <v>0.38021863970508429</v>
      </c>
      <c r="N5" s="39">
        <f t="shared" si="0"/>
        <v>0.26739546568361439</v>
      </c>
      <c r="O5" s="5" t="s">
        <v>167</v>
      </c>
    </row>
    <row r="6" spans="1:15">
      <c r="A6" s="34" t="s">
        <v>76</v>
      </c>
      <c r="B6" s="5">
        <v>755</v>
      </c>
      <c r="C6" s="97">
        <v>0.35</v>
      </c>
      <c r="D6" s="25">
        <v>0.5</v>
      </c>
      <c r="E6" s="46">
        <v>0.5356147903351014</v>
      </c>
      <c r="F6" s="26">
        <v>0.55254313317265835</v>
      </c>
      <c r="G6" s="98">
        <f>Imaging!D61</f>
        <v>0.47669434956577039</v>
      </c>
      <c r="H6" s="39">
        <f t="shared" si="1"/>
        <v>0.36198385590220122</v>
      </c>
      <c r="I6" s="5">
        <v>755</v>
      </c>
      <c r="J6" s="97">
        <v>0.3</v>
      </c>
      <c r="K6" s="25">
        <v>0.4</v>
      </c>
      <c r="L6" s="46">
        <v>0.3949769365399925</v>
      </c>
      <c r="M6" s="98">
        <f>Spectroscopy!D62</f>
        <v>0.41140578236647024</v>
      </c>
      <c r="N6" s="39">
        <f t="shared" si="0"/>
        <v>0.37135260788823421</v>
      </c>
      <c r="O6" s="5" t="s">
        <v>168</v>
      </c>
    </row>
    <row r="7" spans="1:15">
      <c r="A7" s="24" t="s">
        <v>77</v>
      </c>
      <c r="B7" s="5">
        <v>870</v>
      </c>
      <c r="C7" s="97">
        <v>0.35</v>
      </c>
      <c r="D7" s="25">
        <v>0.34</v>
      </c>
      <c r="E7" s="46">
        <v>0.39582074150082563</v>
      </c>
      <c r="F7" s="26">
        <v>0.41831113670922193</v>
      </c>
      <c r="G7" s="99">
        <f>(Imaging!D84-Imaging!C84)/(Imaging!D67-Imaging!C67)*(B7-Imaging!C67)+Imaging!C84</f>
        <v>0.33429871131137817</v>
      </c>
      <c r="H7" s="39">
        <f t="shared" si="1"/>
        <v>-4.4860824824633737E-2</v>
      </c>
      <c r="I7" s="5">
        <v>889</v>
      </c>
      <c r="J7" s="97">
        <v>0.3</v>
      </c>
      <c r="K7" s="25">
        <v>0.38</v>
      </c>
      <c r="L7" s="27">
        <v>0.27652641815340695</v>
      </c>
      <c r="M7" s="99">
        <f>Spectroscopy!D84</f>
        <v>0.24214312548527897</v>
      </c>
      <c r="N7" s="39">
        <f t="shared" si="0"/>
        <v>-0.19285624838240339</v>
      </c>
      <c r="O7" s="5" t="s">
        <v>169</v>
      </c>
    </row>
    <row r="8" spans="1:15">
      <c r="A8" s="21" t="s">
        <v>78</v>
      </c>
      <c r="B8" s="5">
        <v>1040</v>
      </c>
      <c r="C8" s="97">
        <v>0.35</v>
      </c>
      <c r="D8" s="25">
        <v>0.43</v>
      </c>
      <c r="E8" s="46">
        <v>0.50046299932480165</v>
      </c>
      <c r="F8" s="26">
        <v>0.51402847999668022</v>
      </c>
      <c r="G8" s="98">
        <f>Imaging!D101</f>
        <v>0.44943744360043358</v>
      </c>
      <c r="H8" s="39">
        <f t="shared" si="1"/>
        <v>0.28410698171552462</v>
      </c>
      <c r="I8" s="5">
        <v>1040</v>
      </c>
      <c r="J8" s="97">
        <v>0.3</v>
      </c>
      <c r="K8" s="25">
        <v>0.36</v>
      </c>
      <c r="L8" s="46">
        <v>0.3503240995273611</v>
      </c>
      <c r="M8" s="98">
        <f>Spectroscopy!D102</f>
        <v>0.32055790268737849</v>
      </c>
      <c r="N8" s="39">
        <f t="shared" si="0"/>
        <v>6.8526342291261685E-2</v>
      </c>
      <c r="O8" s="5" t="s">
        <v>164</v>
      </c>
    </row>
    <row r="9" spans="1:15">
      <c r="A9" s="22" t="s">
        <v>79</v>
      </c>
      <c r="B9" s="5">
        <v>1250</v>
      </c>
      <c r="C9" s="97">
        <v>0.35</v>
      </c>
      <c r="D9" s="25">
        <v>0.42</v>
      </c>
      <c r="E9" s="46">
        <v>0.4880815148476968</v>
      </c>
      <c r="F9" s="26">
        <v>0.50218154770078383</v>
      </c>
      <c r="G9" s="98">
        <f>Imaging!D120</f>
        <v>0.42229575962967286</v>
      </c>
      <c r="H9" s="39">
        <f t="shared" si="1"/>
        <v>0.20655931322763682</v>
      </c>
      <c r="I9" s="5">
        <v>1250</v>
      </c>
      <c r="J9" s="97">
        <v>0.3</v>
      </c>
      <c r="K9" s="25">
        <v>0.35</v>
      </c>
      <c r="L9" s="46">
        <v>0.32213379979947993</v>
      </c>
      <c r="M9" s="98">
        <f>Spectroscopy!D120</f>
        <v>0.36355790703800916</v>
      </c>
      <c r="N9" s="39">
        <f t="shared" si="0"/>
        <v>0.21185969012669725</v>
      </c>
      <c r="O9" s="5"/>
    </row>
    <row r="10" spans="1:15">
      <c r="A10" s="23" t="s">
        <v>80</v>
      </c>
      <c r="B10" s="5">
        <v>1630</v>
      </c>
      <c r="C10" s="97">
        <v>0.35</v>
      </c>
      <c r="D10" s="25">
        <v>0.41</v>
      </c>
      <c r="E10" s="46">
        <v>0.47218652156019092</v>
      </c>
      <c r="F10" s="26">
        <v>0.48522479482197023</v>
      </c>
      <c r="G10" s="98">
        <f>Imaging!D139</f>
        <v>0.41968564897518568</v>
      </c>
      <c r="H10" s="39">
        <f t="shared" si="1"/>
        <v>0.1991018542148163</v>
      </c>
      <c r="I10" s="5">
        <v>1630</v>
      </c>
      <c r="J10" s="97">
        <v>0.3</v>
      </c>
      <c r="K10" s="25">
        <v>0.33</v>
      </c>
      <c r="L10" s="46">
        <v>0.32580869987653172</v>
      </c>
      <c r="M10" s="99">
        <f>Spectroscopy!D139</f>
        <v>0.29388216603151174</v>
      </c>
      <c r="N10" s="39">
        <f t="shared" si="0"/>
        <v>-2.0392779894960838E-2</v>
      </c>
      <c r="O10" s="5"/>
    </row>
    <row r="11" spans="1:15">
      <c r="A11" s="28" t="s">
        <v>81</v>
      </c>
      <c r="B11" s="5">
        <v>2140</v>
      </c>
      <c r="C11" s="97">
        <v>0.35</v>
      </c>
      <c r="D11" s="25">
        <v>0.31</v>
      </c>
      <c r="E11" s="46">
        <v>0.36719611918736728</v>
      </c>
      <c r="F11" s="26">
        <v>0.40183571957596098</v>
      </c>
      <c r="G11" s="99">
        <f>(Imaging!D160-Imaging!C160)/(Imaging!D145-Imaging!C145)*(2140-Imaging!C145)+Imaging!C160</f>
        <v>0.32393867606952326</v>
      </c>
      <c r="H11" s="39">
        <f t="shared" si="1"/>
        <v>-7.4460925515647772E-2</v>
      </c>
      <c r="I11" s="5">
        <v>2175</v>
      </c>
      <c r="J11" s="97">
        <v>0.3</v>
      </c>
      <c r="K11" s="27">
        <v>0.25</v>
      </c>
      <c r="L11" s="27">
        <v>0.23500551627991506</v>
      </c>
      <c r="M11" s="99">
        <f>Spectroscopy!D159</f>
        <v>0.18978484847147664</v>
      </c>
      <c r="N11" s="39">
        <f t="shared" si="0"/>
        <v>-0.36738383842841116</v>
      </c>
      <c r="O11" s="5"/>
    </row>
    <row r="12" spans="1:15">
      <c r="G12" s="100"/>
      <c r="M12" s="100"/>
    </row>
    <row r="16" spans="1:15">
      <c r="H16"/>
      <c r="I16"/>
      <c r="J16" s="20"/>
      <c r="N16"/>
    </row>
    <row r="27" spans="1:18" s="104" customFormat="1">
      <c r="A27" s="2"/>
      <c r="B27"/>
      <c r="C27"/>
      <c r="D27"/>
      <c r="E27"/>
      <c r="F27"/>
      <c r="G27"/>
      <c r="H27" s="20"/>
      <c r="I27" s="20"/>
      <c r="J27"/>
      <c r="K27"/>
      <c r="L27"/>
      <c r="M27"/>
      <c r="N27" s="20"/>
      <c r="O27"/>
      <c r="P27"/>
      <c r="Q27"/>
      <c r="R27"/>
    </row>
  </sheetData>
  <mergeCells count="2">
    <mergeCell ref="I1:N1"/>
    <mergeCell ref="B1:H1"/>
  </mergeCells>
  <phoneticPr fontId="17" type="noConversion"/>
  <pageMargins left="0.70000000000000007" right="0.70000000000000007" top="0.75000000000000011" bottom="0.75000000000000011" header="0.30000000000000004" footer="0.30000000000000004"/>
  <pageSetup paperSize="9" orientation="landscape"/>
  <extLst>
    <ext xmlns:mx="http://schemas.microsoft.com/office/mac/excel/2008/main" uri="{64002731-A6B0-56B0-2670-7721B7C09600}">
      <mx:PLV Mode="0" OnePage="0" WScale="10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3:K27"/>
  <sheetViews>
    <sheetView workbookViewId="0">
      <selection activeCell="J46" sqref="J46"/>
    </sheetView>
  </sheetViews>
  <sheetFormatPr baseColWidth="10" defaultRowHeight="15" x14ac:dyDescent="0"/>
  <sheetData>
    <row r="3" spans="2:11">
      <c r="B3" s="1" t="s">
        <v>188</v>
      </c>
      <c r="K3" s="1" t="s">
        <v>188</v>
      </c>
    </row>
    <row r="27" spans="2:11">
      <c r="B27" s="1" t="s">
        <v>189</v>
      </c>
      <c r="K27" s="1" t="s">
        <v>189</v>
      </c>
    </row>
  </sheetData>
  <phoneticPr fontId="17" type="noConversion"/>
  <pageMargins left="0.75" right="0.75" top="1" bottom="1" header="0.5" footer="0.5"/>
  <pageSetup paperSize="9" scale="83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10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T29"/>
  <sheetViews>
    <sheetView workbookViewId="0">
      <selection activeCell="J41" sqref="J41"/>
    </sheetView>
  </sheetViews>
  <sheetFormatPr baseColWidth="10" defaultRowHeight="15" x14ac:dyDescent="0"/>
  <cols>
    <col min="1" max="1" width="8.33203125" customWidth="1"/>
    <col min="2" max="2" width="10.33203125" customWidth="1"/>
    <col min="3" max="3" width="10" customWidth="1"/>
    <col min="4" max="4" width="11" customWidth="1"/>
    <col min="5" max="5" width="10.5" customWidth="1"/>
    <col min="6" max="6" width="10.33203125" customWidth="1"/>
    <col min="7" max="7" width="11" customWidth="1"/>
    <col min="9" max="9" width="8.6640625" customWidth="1"/>
    <col min="10" max="10" width="8.83203125" customWidth="1"/>
    <col min="11" max="11" width="8.5" customWidth="1"/>
    <col min="12" max="12" width="8.6640625" customWidth="1"/>
    <col min="13" max="13" width="8.83203125" customWidth="1"/>
    <col min="14" max="14" width="8.5" customWidth="1"/>
    <col min="15" max="15" width="8.6640625" customWidth="1"/>
    <col min="16" max="16" width="8.83203125" customWidth="1"/>
    <col min="17" max="17" width="8.5" customWidth="1"/>
    <col min="18" max="18" width="8.6640625" customWidth="1"/>
    <col min="19" max="19" width="8.83203125" customWidth="1"/>
    <col min="20" max="20" width="8.5" customWidth="1"/>
  </cols>
  <sheetData>
    <row r="1" spans="1:20" ht="15" customHeight="1">
      <c r="A1" s="112" t="s">
        <v>73</v>
      </c>
      <c r="B1" s="116" t="s">
        <v>173</v>
      </c>
      <c r="C1" s="117"/>
      <c r="D1" s="118"/>
      <c r="E1" s="119" t="s">
        <v>174</v>
      </c>
      <c r="F1" s="120"/>
      <c r="G1" s="121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</row>
    <row r="2" spans="1:20" ht="30">
      <c r="A2" s="113"/>
      <c r="B2" s="44" t="s">
        <v>171</v>
      </c>
      <c r="C2" s="44" t="s">
        <v>172</v>
      </c>
      <c r="D2" s="63" t="s">
        <v>190</v>
      </c>
      <c r="E2" s="44" t="s">
        <v>171</v>
      </c>
      <c r="F2" s="44" t="s">
        <v>172</v>
      </c>
      <c r="G2" s="63" t="s">
        <v>190</v>
      </c>
      <c r="I2" s="61" t="s">
        <v>177</v>
      </c>
      <c r="J2" s="61" t="s">
        <v>181</v>
      </c>
      <c r="K2" s="61" t="s">
        <v>182</v>
      </c>
      <c r="L2" s="61" t="s">
        <v>178</v>
      </c>
      <c r="M2" s="61" t="s">
        <v>181</v>
      </c>
      <c r="N2" s="61" t="s">
        <v>182</v>
      </c>
      <c r="O2" s="61" t="s">
        <v>179</v>
      </c>
      <c r="P2" s="61" t="s">
        <v>181</v>
      </c>
      <c r="Q2" s="61" t="s">
        <v>182</v>
      </c>
      <c r="R2" s="61" t="s">
        <v>180</v>
      </c>
      <c r="S2" s="61" t="s">
        <v>181</v>
      </c>
      <c r="T2" s="61" t="s">
        <v>182</v>
      </c>
    </row>
    <row r="3" spans="1:20">
      <c r="A3" s="31" t="s">
        <v>74</v>
      </c>
      <c r="B3" s="114">
        <v>400</v>
      </c>
      <c r="C3" s="114">
        <v>552</v>
      </c>
      <c r="D3" s="17">
        <v>400</v>
      </c>
      <c r="E3" s="114">
        <v>385</v>
      </c>
      <c r="F3" s="114">
        <v>552</v>
      </c>
      <c r="G3" s="17">
        <v>400</v>
      </c>
      <c r="I3" s="30">
        <v>385</v>
      </c>
      <c r="J3" s="18">
        <v>0.745</v>
      </c>
      <c r="K3" s="18">
        <v>0.85899999999999999</v>
      </c>
      <c r="L3" s="30">
        <v>552</v>
      </c>
      <c r="M3" s="18">
        <v>0.91600000000000004</v>
      </c>
      <c r="N3" s="18">
        <v>0.89700000000000002</v>
      </c>
      <c r="O3" s="30">
        <v>691</v>
      </c>
      <c r="P3" s="18">
        <v>0.91200000000000003</v>
      </c>
      <c r="Q3" s="18">
        <v>0.91</v>
      </c>
      <c r="R3" s="30">
        <v>818</v>
      </c>
      <c r="S3" s="18">
        <v>0.91800000000000004</v>
      </c>
      <c r="T3" s="18">
        <v>0.91800000000000004</v>
      </c>
    </row>
    <row r="4" spans="1:20">
      <c r="A4" s="31" t="s">
        <v>74</v>
      </c>
      <c r="B4" s="115"/>
      <c r="C4" s="115"/>
      <c r="D4" s="17">
        <v>476</v>
      </c>
      <c r="E4" s="115"/>
      <c r="F4" s="115"/>
      <c r="G4" s="17">
        <v>469</v>
      </c>
      <c r="I4" s="30">
        <v>400</v>
      </c>
      <c r="J4" s="18">
        <v>0.83699999999999997</v>
      </c>
      <c r="K4" s="18">
        <v>0.88700000000000001</v>
      </c>
      <c r="L4" s="30">
        <v>580</v>
      </c>
      <c r="M4" s="18">
        <v>0.91800000000000004</v>
      </c>
      <c r="N4" s="18">
        <v>0.9</v>
      </c>
      <c r="O4" s="30">
        <v>720</v>
      </c>
      <c r="P4" s="18">
        <v>0.91400000000000003</v>
      </c>
      <c r="Q4" s="18">
        <v>0.91300000000000003</v>
      </c>
      <c r="R4" s="30">
        <v>850</v>
      </c>
      <c r="S4" s="18">
        <v>0.91800000000000004</v>
      </c>
      <c r="T4" s="18">
        <v>0.91800000000000004</v>
      </c>
    </row>
    <row r="5" spans="1:20">
      <c r="A5" s="32" t="s">
        <v>75</v>
      </c>
      <c r="B5" s="17">
        <v>552</v>
      </c>
      <c r="C5" s="17">
        <v>691</v>
      </c>
      <c r="D5" s="17">
        <v>622</v>
      </c>
      <c r="E5" s="17">
        <v>552</v>
      </c>
      <c r="F5" s="17">
        <v>691</v>
      </c>
      <c r="G5" s="17">
        <v>622</v>
      </c>
      <c r="I5" s="30">
        <v>469</v>
      </c>
      <c r="J5" s="18">
        <v>0.89400000000000002</v>
      </c>
      <c r="K5" s="18">
        <v>0.90600000000000003</v>
      </c>
      <c r="L5" s="30">
        <v>622</v>
      </c>
      <c r="M5" s="18">
        <v>0.91700000000000004</v>
      </c>
      <c r="N5" s="18">
        <v>0.9</v>
      </c>
      <c r="O5" s="30">
        <v>755</v>
      </c>
      <c r="P5" s="18">
        <v>0.91600000000000004</v>
      </c>
      <c r="Q5" s="18">
        <v>0.91500000000000004</v>
      </c>
      <c r="R5" s="30">
        <v>889</v>
      </c>
      <c r="S5" s="18">
        <v>0.91800000000000004</v>
      </c>
      <c r="T5" s="18">
        <v>0.91700000000000004</v>
      </c>
    </row>
    <row r="6" spans="1:20">
      <c r="A6" s="34" t="s">
        <v>76</v>
      </c>
      <c r="B6" s="17">
        <v>691</v>
      </c>
      <c r="C6" s="17">
        <v>818</v>
      </c>
      <c r="D6" s="17">
        <v>755</v>
      </c>
      <c r="E6" s="17">
        <v>691</v>
      </c>
      <c r="F6" s="17">
        <v>818</v>
      </c>
      <c r="G6" s="17">
        <v>755</v>
      </c>
      <c r="I6" s="30">
        <v>510</v>
      </c>
      <c r="J6" s="18">
        <v>0.91</v>
      </c>
      <c r="K6" s="18">
        <v>0.91500000000000004</v>
      </c>
      <c r="L6" s="30">
        <v>650</v>
      </c>
      <c r="M6" s="18">
        <v>0.91600000000000004</v>
      </c>
      <c r="N6" s="18">
        <v>0.9</v>
      </c>
      <c r="O6" s="30">
        <v>780</v>
      </c>
      <c r="P6" s="18">
        <v>0.91700000000000004</v>
      </c>
      <c r="Q6" s="18">
        <v>0.91600000000000004</v>
      </c>
      <c r="R6" s="30">
        <v>920</v>
      </c>
      <c r="S6" s="18">
        <v>0.91700000000000004</v>
      </c>
      <c r="T6" s="18">
        <v>0.91700000000000004</v>
      </c>
    </row>
    <row r="7" spans="1:20">
      <c r="A7" s="24" t="s">
        <v>77</v>
      </c>
      <c r="B7" s="17">
        <v>818</v>
      </c>
      <c r="C7" s="17">
        <v>922</v>
      </c>
      <c r="D7" s="17">
        <v>870</v>
      </c>
      <c r="E7" s="17">
        <v>818</v>
      </c>
      <c r="F7" s="17">
        <v>960</v>
      </c>
      <c r="G7" s="17">
        <v>889</v>
      </c>
      <c r="I7" s="30">
        <v>552</v>
      </c>
      <c r="J7" s="18">
        <v>0.91600000000000004</v>
      </c>
      <c r="K7" s="18">
        <v>0.91700000000000004</v>
      </c>
      <c r="L7" s="30">
        <v>691</v>
      </c>
      <c r="M7" s="18">
        <v>0.91600000000000004</v>
      </c>
      <c r="N7" s="18">
        <v>0.9</v>
      </c>
      <c r="O7" s="30">
        <v>818</v>
      </c>
      <c r="P7" s="18">
        <v>0.91800000000000004</v>
      </c>
      <c r="Q7" s="18">
        <v>0.91600000000000004</v>
      </c>
      <c r="R7" s="30">
        <v>960</v>
      </c>
      <c r="S7" s="18">
        <v>0.91400000000000003</v>
      </c>
      <c r="T7" s="18">
        <v>0.91600000000000004</v>
      </c>
    </row>
    <row r="8" spans="1:20">
      <c r="A8" s="21" t="s">
        <v>78</v>
      </c>
      <c r="B8" s="17">
        <v>960</v>
      </c>
      <c r="C8" s="17">
        <v>1120</v>
      </c>
      <c r="D8" s="17">
        <v>1040</v>
      </c>
      <c r="E8" s="17">
        <v>960</v>
      </c>
      <c r="F8" s="17">
        <v>1120</v>
      </c>
      <c r="G8" s="17">
        <v>1040</v>
      </c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</row>
    <row r="9" spans="1:20">
      <c r="A9" s="22" t="s">
        <v>79</v>
      </c>
      <c r="B9" s="17">
        <v>1150</v>
      </c>
      <c r="C9" s="17">
        <v>1350</v>
      </c>
      <c r="D9" s="17">
        <v>1250</v>
      </c>
      <c r="E9" s="17">
        <v>1150</v>
      </c>
      <c r="F9" s="17">
        <v>1350</v>
      </c>
      <c r="G9" s="17">
        <v>1250</v>
      </c>
      <c r="I9" s="61" t="s">
        <v>183</v>
      </c>
      <c r="J9" s="61" t="s">
        <v>181</v>
      </c>
      <c r="K9" s="61" t="s">
        <v>182</v>
      </c>
      <c r="L9" s="61" t="s">
        <v>184</v>
      </c>
      <c r="M9" s="61" t="s">
        <v>181</v>
      </c>
      <c r="N9" s="61" t="s">
        <v>182</v>
      </c>
      <c r="O9" s="61" t="s">
        <v>185</v>
      </c>
      <c r="P9" s="61" t="s">
        <v>181</v>
      </c>
      <c r="Q9" s="61" t="s">
        <v>182</v>
      </c>
      <c r="R9" s="61" t="s">
        <v>186</v>
      </c>
      <c r="S9" s="61" t="s">
        <v>181</v>
      </c>
      <c r="T9" s="61" t="s">
        <v>182</v>
      </c>
    </row>
    <row r="10" spans="1:20">
      <c r="A10" s="23" t="s">
        <v>80</v>
      </c>
      <c r="B10" s="17">
        <v>1500</v>
      </c>
      <c r="C10" s="17">
        <v>1760</v>
      </c>
      <c r="D10" s="17">
        <v>1630</v>
      </c>
      <c r="E10" s="17">
        <v>1500</v>
      </c>
      <c r="F10" s="17">
        <v>1760</v>
      </c>
      <c r="G10" s="17">
        <v>1630</v>
      </c>
      <c r="I10" s="30">
        <v>960</v>
      </c>
      <c r="J10" s="18">
        <v>0.90400000000000003</v>
      </c>
      <c r="K10" s="18">
        <v>0.91700000000000004</v>
      </c>
      <c r="L10" s="30">
        <v>1150</v>
      </c>
      <c r="M10" s="18">
        <v>0.90400000000000003</v>
      </c>
      <c r="N10" s="18">
        <v>0.91700000000000004</v>
      </c>
      <c r="O10" s="30">
        <v>1500</v>
      </c>
      <c r="P10" s="18">
        <v>0.89300000000000002</v>
      </c>
      <c r="Q10" s="18">
        <v>0.91200000000000003</v>
      </c>
      <c r="R10" s="30">
        <v>2000</v>
      </c>
      <c r="S10" s="18">
        <v>0.86899999999999999</v>
      </c>
      <c r="T10" s="18">
        <v>0.90200000000000002</v>
      </c>
    </row>
    <row r="11" spans="1:20">
      <c r="A11" s="28" t="s">
        <v>81</v>
      </c>
      <c r="B11" s="17">
        <v>2000</v>
      </c>
      <c r="C11" s="17">
        <v>2280</v>
      </c>
      <c r="D11" s="17">
        <v>2140</v>
      </c>
      <c r="E11" s="17">
        <v>2000</v>
      </c>
      <c r="F11" s="17">
        <v>2350</v>
      </c>
      <c r="G11" s="17">
        <v>2175</v>
      </c>
      <c r="I11" s="30">
        <v>1000</v>
      </c>
      <c r="J11" s="18">
        <v>0.90400000000000003</v>
      </c>
      <c r="K11" s="18">
        <v>0.91700000000000004</v>
      </c>
      <c r="L11" s="30">
        <v>1200</v>
      </c>
      <c r="M11" s="18">
        <v>0.90400000000000003</v>
      </c>
      <c r="N11" s="18">
        <v>0.91700000000000004</v>
      </c>
      <c r="O11" s="30">
        <v>1550</v>
      </c>
      <c r="P11" s="18">
        <v>0.89</v>
      </c>
      <c r="Q11" s="18">
        <v>0.91200000000000003</v>
      </c>
      <c r="R11" s="30">
        <v>2100</v>
      </c>
      <c r="S11" s="18">
        <v>0.82399999999999995</v>
      </c>
      <c r="T11" s="18">
        <v>0.88500000000000001</v>
      </c>
    </row>
    <row r="12" spans="1:20">
      <c r="I12" s="30">
        <v>1040</v>
      </c>
      <c r="J12" s="18">
        <v>0.90400000000000003</v>
      </c>
      <c r="K12" s="18">
        <v>0.91700000000000004</v>
      </c>
      <c r="L12" s="30">
        <v>1250</v>
      </c>
      <c r="M12" s="18">
        <v>0.90200000000000002</v>
      </c>
      <c r="N12" s="18">
        <v>0.91600000000000004</v>
      </c>
      <c r="O12" s="30">
        <v>1630</v>
      </c>
      <c r="P12" s="18">
        <v>0.88600000000000001</v>
      </c>
      <c r="Q12" s="18">
        <v>0.91</v>
      </c>
      <c r="R12" s="30">
        <v>2175</v>
      </c>
      <c r="S12" s="18">
        <v>0.79400000000000004</v>
      </c>
      <c r="T12" s="18">
        <v>0.872</v>
      </c>
    </row>
    <row r="13" spans="1:20">
      <c r="I13" s="30">
        <v>1090</v>
      </c>
      <c r="J13" s="18">
        <v>0.90400000000000003</v>
      </c>
      <c r="K13" s="18">
        <v>0.91700000000000004</v>
      </c>
      <c r="L13" s="30">
        <v>1300</v>
      </c>
      <c r="M13" s="18">
        <v>0.89900000000000002</v>
      </c>
      <c r="N13" s="18">
        <v>0.91600000000000004</v>
      </c>
      <c r="O13" s="30">
        <v>1700</v>
      </c>
      <c r="P13" s="18">
        <v>0.88100000000000001</v>
      </c>
      <c r="Q13" s="18">
        <v>0.90800000000000003</v>
      </c>
      <c r="R13" s="30">
        <v>2280</v>
      </c>
      <c r="S13" s="18">
        <v>0.78</v>
      </c>
      <c r="T13" s="18">
        <v>0.86499999999999999</v>
      </c>
    </row>
    <row r="14" spans="1:20">
      <c r="I14" s="30">
        <v>1120</v>
      </c>
      <c r="J14" s="18">
        <v>0.90400000000000003</v>
      </c>
      <c r="K14" s="18">
        <v>0.91700000000000004</v>
      </c>
      <c r="L14" s="30">
        <v>1350</v>
      </c>
      <c r="M14" s="18">
        <v>0.89700000000000002</v>
      </c>
      <c r="N14" s="18">
        <v>0.91500000000000004</v>
      </c>
      <c r="O14" s="30">
        <v>1760</v>
      </c>
      <c r="P14" s="18">
        <v>0.875</v>
      </c>
      <c r="Q14" s="18">
        <v>0.90600000000000003</v>
      </c>
      <c r="R14" s="30">
        <v>2350</v>
      </c>
      <c r="S14" s="18">
        <v>0.77100000000000002</v>
      </c>
      <c r="T14" s="18">
        <v>0.86199999999999999</v>
      </c>
    </row>
    <row r="19" spans="1:6">
      <c r="A19" s="109" t="s">
        <v>187</v>
      </c>
      <c r="B19" s="110"/>
      <c r="C19" s="110"/>
      <c r="D19" s="110"/>
      <c r="E19" s="110"/>
      <c r="F19" s="111"/>
    </row>
    <row r="20" spans="1:6">
      <c r="A20" s="5" t="s">
        <v>74</v>
      </c>
      <c r="B20" s="25">
        <f>ImagingA!O20</f>
        <v>0.44954912822343635</v>
      </c>
      <c r="C20" s="5"/>
      <c r="E20" s="5" t="s">
        <v>78</v>
      </c>
      <c r="F20" s="25">
        <f>ImagingA!O101</f>
        <v>0.46625082747343172</v>
      </c>
    </row>
    <row r="21" spans="1:6">
      <c r="A21" s="5" t="s">
        <v>75</v>
      </c>
      <c r="B21" s="25">
        <f>ImagingA!O40</f>
        <v>0.44028190579825327</v>
      </c>
      <c r="C21" s="5"/>
      <c r="E21" s="5" t="s">
        <v>79</v>
      </c>
      <c r="F21" s="25">
        <f>ImagingA!O120</f>
        <v>0.43392435350720859</v>
      </c>
    </row>
    <row r="22" spans="1:6">
      <c r="A22" s="5" t="s">
        <v>76</v>
      </c>
      <c r="B22" s="25">
        <f>ImagingA!O61</f>
        <v>0.46916351184841287</v>
      </c>
      <c r="C22" s="5"/>
      <c r="E22" s="5" t="s">
        <v>80</v>
      </c>
      <c r="F22" s="25">
        <f>ImagingA!O139</f>
        <v>0.41724569394204447</v>
      </c>
    </row>
    <row r="23" spans="1:6">
      <c r="A23" s="5" t="s">
        <v>77</v>
      </c>
      <c r="B23" s="25">
        <f>ImagingA!O84</f>
        <v>0.32578563972871005</v>
      </c>
      <c r="C23" s="5"/>
      <c r="E23" s="5" t="s">
        <v>81</v>
      </c>
      <c r="F23" s="25">
        <f>ImagingA!O160</f>
        <v>0.33576397743154357</v>
      </c>
    </row>
    <row r="25" spans="1:6">
      <c r="A25" s="109" t="s">
        <v>187</v>
      </c>
      <c r="B25" s="110"/>
      <c r="C25" s="110"/>
      <c r="D25" s="110"/>
      <c r="E25" s="110"/>
      <c r="F25" s="111"/>
    </row>
    <row r="26" spans="1:6">
      <c r="A26" s="5" t="s">
        <v>74</v>
      </c>
      <c r="B26" s="25">
        <f>SpectroscopyA!O20</f>
        <v>0.30763774218982654</v>
      </c>
      <c r="C26" s="5"/>
      <c r="E26" s="5" t="s">
        <v>78</v>
      </c>
      <c r="F26" s="25">
        <f>SpectroscopyA!O102</f>
        <v>0.28395835424441007</v>
      </c>
    </row>
    <row r="27" spans="1:6">
      <c r="A27" s="5" t="s">
        <v>75</v>
      </c>
      <c r="B27" s="25">
        <f>SpectroscopyA!O41</f>
        <v>0.3479864876078349</v>
      </c>
      <c r="C27" s="5"/>
      <c r="E27" s="5" t="s">
        <v>79</v>
      </c>
      <c r="F27" s="25">
        <f>SpectroscopyA!O120</f>
        <v>0.31010640128028599</v>
      </c>
    </row>
    <row r="28" spans="1:6">
      <c r="A28" s="5" t="s">
        <v>76</v>
      </c>
      <c r="B28" s="25">
        <f>SpectroscopyA!O62</f>
        <v>0.37999364297441451</v>
      </c>
      <c r="C28" s="5"/>
      <c r="E28" s="5" t="s">
        <v>80</v>
      </c>
      <c r="F28" s="25">
        <f>SpectroscopyA!O139</f>
        <v>0.25881431858254095</v>
      </c>
    </row>
    <row r="29" spans="1:6">
      <c r="A29" s="5" t="s">
        <v>77</v>
      </c>
      <c r="B29" s="25">
        <f>SpectroscopyA!O84</f>
        <v>0.21925449074544787</v>
      </c>
      <c r="C29" s="5"/>
      <c r="E29" s="5" t="s">
        <v>81</v>
      </c>
      <c r="F29" s="25">
        <f>SpectroscopyA!O159</f>
        <v>0.15808284329431693</v>
      </c>
    </row>
  </sheetData>
  <mergeCells count="9">
    <mergeCell ref="A19:F19"/>
    <mergeCell ref="A25:F25"/>
    <mergeCell ref="A1:A2"/>
    <mergeCell ref="C3:C4"/>
    <mergeCell ref="B3:B4"/>
    <mergeCell ref="E3:E4"/>
    <mergeCell ref="F3:F4"/>
    <mergeCell ref="B1:D1"/>
    <mergeCell ref="E1:G1"/>
  </mergeCells>
  <phoneticPr fontId="17" type="noConversion"/>
  <pageMargins left="0.75" right="0.75" top="1" bottom="1" header="0.5" footer="0.5"/>
  <pageSetup paperSize="9" scale="87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02"/>
  <sheetViews>
    <sheetView topLeftCell="A71" workbookViewId="0">
      <selection activeCell="B90" sqref="B90"/>
    </sheetView>
  </sheetViews>
  <sheetFormatPr baseColWidth="10" defaultRowHeight="15" x14ac:dyDescent="0"/>
  <cols>
    <col min="1" max="1" width="14.1640625" style="5" customWidth="1"/>
    <col min="2" max="15" width="8.83203125" style="5" customWidth="1"/>
  </cols>
  <sheetData>
    <row r="2" spans="1:15">
      <c r="A2" s="3" t="s">
        <v>71</v>
      </c>
    </row>
    <row r="4" spans="1:15">
      <c r="A4" s="31" t="s">
        <v>87</v>
      </c>
    </row>
    <row r="5" spans="1:15">
      <c r="A5" s="15" t="s">
        <v>6</v>
      </c>
      <c r="B5" s="47">
        <v>385</v>
      </c>
      <c r="C5" s="47"/>
      <c r="D5" s="47"/>
      <c r="E5" s="62">
        <v>400</v>
      </c>
      <c r="F5" s="62">
        <f>(H5-E5)/3+E5</f>
        <v>423</v>
      </c>
      <c r="G5" s="62">
        <f>(H5-E5)/3*2+E5</f>
        <v>446</v>
      </c>
      <c r="H5" s="62">
        <v>469</v>
      </c>
      <c r="I5" s="62">
        <f>(K5-H5)/3+H5</f>
        <v>482.66666666666669</v>
      </c>
      <c r="J5" s="62">
        <f>(K5-H5)/3*2+H5</f>
        <v>496.33333333333331</v>
      </c>
      <c r="K5" s="62">
        <v>510</v>
      </c>
      <c r="L5" s="62">
        <f>(N5-K5)/3+K5</f>
        <v>524</v>
      </c>
      <c r="M5" s="62">
        <f>(N5-K5)/3*2+K5</f>
        <v>538</v>
      </c>
      <c r="N5" s="62">
        <v>552</v>
      </c>
      <c r="O5" s="62" t="s">
        <v>187</v>
      </c>
    </row>
    <row r="6" spans="1:15">
      <c r="A6" s="15" t="s">
        <v>5</v>
      </c>
      <c r="B6" s="48">
        <f>Imaging!B6</f>
        <v>0.77361957225853306</v>
      </c>
      <c r="C6" s="48"/>
      <c r="D6" s="48"/>
      <c r="E6" s="18">
        <f>Imaging!C6</f>
        <v>0.83587220172409737</v>
      </c>
      <c r="F6" s="18">
        <f>(H6-E6)/(H$5-E$5)*(F$5-E$5)+E6</f>
        <v>0.83989736148617433</v>
      </c>
      <c r="G6" s="18">
        <f>(H6-E6)/(H$5-E$5)*(G$5-E$5)+E6</f>
        <v>0.8439225212482514</v>
      </c>
      <c r="H6" s="18">
        <f>Imaging!D6</f>
        <v>0.84794768101032836</v>
      </c>
      <c r="I6" s="18">
        <f>(K6-H6)/(K$5-H$5)*(I$5-H$5)+H6</f>
        <v>0.84997824797528698</v>
      </c>
      <c r="J6" s="18">
        <f>(K6-H6)/(K$5-H$5)*(J$5-H$5)+H6</f>
        <v>0.85200881494024572</v>
      </c>
      <c r="K6" s="18">
        <f>Imaging!E6</f>
        <v>0.85403938190520434</v>
      </c>
      <c r="L6" s="18">
        <f>(N6-K6)/(N$5-K$5)*(L$5-K$5)+K6</f>
        <v>0.85479362247886603</v>
      </c>
      <c r="M6" s="18">
        <f>(N6-K6)/(N$5-K$5)*(M$5-K$5)+K6</f>
        <v>0.85554786305252761</v>
      </c>
      <c r="N6" s="18">
        <f>Imaging!F6</f>
        <v>0.8563021036261893</v>
      </c>
      <c r="O6" s="18"/>
    </row>
    <row r="7" spans="1:15">
      <c r="A7" s="15" t="s">
        <v>7</v>
      </c>
      <c r="B7" s="48">
        <f>Imaging!B7</f>
        <v>0.94089999999999996</v>
      </c>
      <c r="C7" s="48"/>
      <c r="D7" s="48"/>
      <c r="E7" s="18">
        <f>Imaging!C7</f>
        <v>0.94089999999999996</v>
      </c>
      <c r="F7" s="18">
        <f t="shared" ref="F7:F18" si="0">(H7-E7)/(H$5-E$5)*(F$5-E$5)+E7</f>
        <v>0.94089999999999996</v>
      </c>
      <c r="G7" s="18">
        <f t="shared" ref="G7:G18" si="1">(H7-E7)/(H$5-E$5)*(G$5-E$5)+E7</f>
        <v>0.94089999999999996</v>
      </c>
      <c r="H7" s="18">
        <f>Imaging!D7</f>
        <v>0.94089999999999996</v>
      </c>
      <c r="I7" s="18">
        <f t="shared" ref="I7:I19" si="2">(K7-H7)/(K$5-H$5)*(I$5-H$5)+H7</f>
        <v>0.94089999999999996</v>
      </c>
      <c r="J7" s="18">
        <f t="shared" ref="J7:J19" si="3">(K7-H7)/(K$5-H$5)*(J$5-H$5)+H7</f>
        <v>0.94089999999999996</v>
      </c>
      <c r="K7" s="18">
        <f>Imaging!E7</f>
        <v>0.94089999999999996</v>
      </c>
      <c r="L7" s="18">
        <f t="shared" ref="L7:L18" si="4">(N7-K7)/(N$5-K$5)*(L$5-K$5)+K7</f>
        <v>0.94089999999999996</v>
      </c>
      <c r="M7" s="18">
        <f t="shared" ref="M7:M18" si="5">(N7-K7)/(N$5-K$5)*(M$5-K$5)+K7</f>
        <v>0.94089999999999996</v>
      </c>
      <c r="N7" s="18">
        <f>Imaging!F7</f>
        <v>0.94089999999999996</v>
      </c>
      <c r="O7" s="18"/>
    </row>
    <row r="8" spans="1:15">
      <c r="A8" s="15" t="s">
        <v>27</v>
      </c>
      <c r="B8" s="48">
        <f>Imaging!B8</f>
        <v>0.98499999999999999</v>
      </c>
      <c r="C8" s="48"/>
      <c r="D8" s="48"/>
      <c r="E8" s="18">
        <f>Imaging!C8</f>
        <v>0.98499999999999999</v>
      </c>
      <c r="F8" s="18">
        <f t="shared" si="0"/>
        <v>0.98499999999999999</v>
      </c>
      <c r="G8" s="18">
        <f t="shared" si="1"/>
        <v>0.98499999999999999</v>
      </c>
      <c r="H8" s="18">
        <f>Imaging!D8</f>
        <v>0.98499999999999999</v>
      </c>
      <c r="I8" s="18">
        <f t="shared" si="2"/>
        <v>0.98499999999999999</v>
      </c>
      <c r="J8" s="18">
        <f t="shared" si="3"/>
        <v>0.98499999999999999</v>
      </c>
      <c r="K8" s="18">
        <f>Imaging!E8</f>
        <v>0.98499999999999999</v>
      </c>
      <c r="L8" s="18">
        <f t="shared" si="4"/>
        <v>0.98499999999999999</v>
      </c>
      <c r="M8" s="18">
        <f t="shared" si="5"/>
        <v>0.98499999999999999</v>
      </c>
      <c r="N8" s="18">
        <f>Imaging!F8</f>
        <v>0.98499999999999999</v>
      </c>
      <c r="O8" s="18"/>
    </row>
    <row r="9" spans="1:15">
      <c r="A9" s="15" t="s">
        <v>8</v>
      </c>
      <c r="B9" s="48">
        <f>Imaging!B9</f>
        <v>0.96039999999999992</v>
      </c>
      <c r="C9" s="48"/>
      <c r="D9" s="48"/>
      <c r="E9" s="18">
        <f>Imaging!C9</f>
        <v>0.96039999999999992</v>
      </c>
      <c r="F9" s="18">
        <f t="shared" si="0"/>
        <v>0.96039999999999992</v>
      </c>
      <c r="G9" s="18">
        <f t="shared" si="1"/>
        <v>0.96039999999999992</v>
      </c>
      <c r="H9" s="18">
        <f>Imaging!D9</f>
        <v>0.96039999999999992</v>
      </c>
      <c r="I9" s="18">
        <f t="shared" si="2"/>
        <v>0.96039999999999992</v>
      </c>
      <c r="J9" s="18">
        <f t="shared" si="3"/>
        <v>0.96039999999999992</v>
      </c>
      <c r="K9" s="18">
        <f>Imaging!E9</f>
        <v>0.96039999999999992</v>
      </c>
      <c r="L9" s="18">
        <f t="shared" si="4"/>
        <v>0.96039999999999992</v>
      </c>
      <c r="M9" s="18">
        <f t="shared" si="5"/>
        <v>0.96039999999999992</v>
      </c>
      <c r="N9" s="18">
        <f>Imaging!F9</f>
        <v>0.96039999999999992</v>
      </c>
      <c r="O9" s="18"/>
    </row>
    <row r="10" spans="1:15">
      <c r="A10" s="15" t="s">
        <v>85</v>
      </c>
      <c r="B10" s="48">
        <f>Imaging!B10</f>
        <v>0.57999999999999996</v>
      </c>
      <c r="C10" s="48"/>
      <c r="D10" s="48"/>
      <c r="E10" s="18">
        <f>Imaging!C10</f>
        <v>0.8</v>
      </c>
      <c r="F10" s="18">
        <f t="shared" si="0"/>
        <v>0.85</v>
      </c>
      <c r="G10" s="18">
        <f t="shared" si="1"/>
        <v>0.9</v>
      </c>
      <c r="H10" s="18">
        <f>Imaging!D10</f>
        <v>0.95</v>
      </c>
      <c r="I10" s="18">
        <f t="shared" si="2"/>
        <v>0.95</v>
      </c>
      <c r="J10" s="18">
        <f t="shared" si="3"/>
        <v>0.95</v>
      </c>
      <c r="K10" s="18">
        <f>Imaging!E10</f>
        <v>0.95</v>
      </c>
      <c r="L10" s="18">
        <f t="shared" si="4"/>
        <v>0.95</v>
      </c>
      <c r="M10" s="18">
        <f t="shared" si="5"/>
        <v>0.95</v>
      </c>
      <c r="N10" s="18">
        <f>Imaging!F10</f>
        <v>0.95</v>
      </c>
      <c r="O10" s="18"/>
    </row>
    <row r="11" spans="1:15">
      <c r="A11" s="15" t="s">
        <v>86</v>
      </c>
      <c r="B11" s="48">
        <f>Imaging!B11</f>
        <v>0.74473076878199995</v>
      </c>
      <c r="C11" s="49"/>
      <c r="D11" s="49"/>
      <c r="E11" s="18">
        <f>Imaging!C11</f>
        <v>0.83734472336129984</v>
      </c>
      <c r="F11" s="18">
        <f t="shared" si="0"/>
        <v>0.85612212308699986</v>
      </c>
      <c r="G11" s="18">
        <f t="shared" si="1"/>
        <v>0.8748995228127</v>
      </c>
      <c r="H11" s="18">
        <f>Imaging!D11</f>
        <v>0.89367692253840003</v>
      </c>
      <c r="I11" s="18">
        <f t="shared" si="2"/>
        <v>0.89908735974749998</v>
      </c>
      <c r="J11" s="18">
        <f t="shared" si="3"/>
        <v>0.90449779695659993</v>
      </c>
      <c r="K11" s="18">
        <f>Imaging!E11</f>
        <v>0.90990823416569988</v>
      </c>
      <c r="L11" s="18">
        <f t="shared" si="4"/>
        <v>0.91181780023949988</v>
      </c>
      <c r="M11" s="18">
        <f t="shared" si="5"/>
        <v>0.91372736631329987</v>
      </c>
      <c r="N11" s="18">
        <f>Imaging!F11</f>
        <v>0.91563693238709987</v>
      </c>
      <c r="O11" s="18"/>
    </row>
    <row r="12" spans="1:15">
      <c r="A12" s="15" t="s">
        <v>91</v>
      </c>
      <c r="B12" s="48">
        <f>Imaging!B12</f>
        <v>0.98499999999999999</v>
      </c>
      <c r="C12" s="48"/>
      <c r="D12" s="48"/>
      <c r="E12" s="18">
        <f>Imaging!C12</f>
        <v>0.98499999999999999</v>
      </c>
      <c r="F12" s="18">
        <f t="shared" si="0"/>
        <v>0.98499999999999999</v>
      </c>
      <c r="G12" s="18">
        <f t="shared" si="1"/>
        <v>0.98499999999999999</v>
      </c>
      <c r="H12" s="18">
        <f>Imaging!D12</f>
        <v>0.98499999999999999</v>
      </c>
      <c r="I12" s="18">
        <f t="shared" si="2"/>
        <v>0.98499999999999999</v>
      </c>
      <c r="J12" s="18">
        <f t="shared" si="3"/>
        <v>0.98499999999999999</v>
      </c>
      <c r="K12" s="18">
        <f>Imaging!E12</f>
        <v>0.98499999999999999</v>
      </c>
      <c r="L12" s="18">
        <f t="shared" si="4"/>
        <v>0.98499999999999999</v>
      </c>
      <c r="M12" s="18">
        <f t="shared" si="5"/>
        <v>0.98499999999999999</v>
      </c>
      <c r="N12" s="18">
        <f>Imaging!F12</f>
        <v>0.98499999999999999</v>
      </c>
      <c r="O12" s="18"/>
    </row>
    <row r="13" spans="1:15">
      <c r="A13" s="15" t="s">
        <v>92</v>
      </c>
      <c r="B13" s="48">
        <f>Imaging!B13</f>
        <v>0.98</v>
      </c>
      <c r="C13" s="48"/>
      <c r="D13" s="48"/>
      <c r="E13" s="18">
        <f>Imaging!C13</f>
        <v>0.98</v>
      </c>
      <c r="F13" s="18">
        <f t="shared" si="0"/>
        <v>0.98</v>
      </c>
      <c r="G13" s="18">
        <f t="shared" si="1"/>
        <v>0.98</v>
      </c>
      <c r="H13" s="18">
        <f>Imaging!D13</f>
        <v>0.98</v>
      </c>
      <c r="I13" s="18">
        <f t="shared" si="2"/>
        <v>0.98</v>
      </c>
      <c r="J13" s="18">
        <f t="shared" si="3"/>
        <v>0.98</v>
      </c>
      <c r="K13" s="18">
        <f>Imaging!E13</f>
        <v>0.98</v>
      </c>
      <c r="L13" s="18">
        <f t="shared" si="4"/>
        <v>0.98</v>
      </c>
      <c r="M13" s="18">
        <f t="shared" si="5"/>
        <v>0.98</v>
      </c>
      <c r="N13" s="18">
        <f>Imaging!F13</f>
        <v>0.98</v>
      </c>
      <c r="O13" s="18"/>
    </row>
    <row r="14" spans="1:15">
      <c r="A14" s="15" t="s">
        <v>93</v>
      </c>
      <c r="B14" s="48">
        <f>Imaging!B14</f>
        <v>0.98499999999999999</v>
      </c>
      <c r="C14" s="48"/>
      <c r="D14" s="48"/>
      <c r="E14" s="18">
        <f>Imaging!C14</f>
        <v>0.98499999999999999</v>
      </c>
      <c r="F14" s="18">
        <f t="shared" si="0"/>
        <v>0.98499999999999999</v>
      </c>
      <c r="G14" s="18">
        <f t="shared" si="1"/>
        <v>0.98499999999999999</v>
      </c>
      <c r="H14" s="18">
        <f>Imaging!D14</f>
        <v>0.98499999999999999</v>
      </c>
      <c r="I14" s="18">
        <f t="shared" si="2"/>
        <v>0.98499999999999999</v>
      </c>
      <c r="J14" s="18">
        <f t="shared" si="3"/>
        <v>0.98499999999999999</v>
      </c>
      <c r="K14" s="18">
        <f>Imaging!E14</f>
        <v>0.98499999999999999</v>
      </c>
      <c r="L14" s="18">
        <f t="shared" si="4"/>
        <v>0.98499999999999999</v>
      </c>
      <c r="M14" s="18">
        <f t="shared" si="5"/>
        <v>0.98499999999999999</v>
      </c>
      <c r="N14" s="18">
        <f>Imaging!F14</f>
        <v>0.98499999999999999</v>
      </c>
      <c r="O14" s="18"/>
    </row>
    <row r="15" spans="1:15">
      <c r="A15" s="15" t="s">
        <v>94</v>
      </c>
      <c r="B15" s="48">
        <f>Imaging!B15</f>
        <v>0.98</v>
      </c>
      <c r="C15" s="48"/>
      <c r="D15" s="48"/>
      <c r="E15" s="18">
        <f>Imaging!C15</f>
        <v>0.98</v>
      </c>
      <c r="F15" s="18">
        <f t="shared" si="0"/>
        <v>0.98</v>
      </c>
      <c r="G15" s="18">
        <f t="shared" si="1"/>
        <v>0.98</v>
      </c>
      <c r="H15" s="18">
        <f>Imaging!D15</f>
        <v>0.98</v>
      </c>
      <c r="I15" s="18">
        <f t="shared" si="2"/>
        <v>0.98</v>
      </c>
      <c r="J15" s="18">
        <f t="shared" si="3"/>
        <v>0.98</v>
      </c>
      <c r="K15" s="18">
        <f>Imaging!E15</f>
        <v>0.98</v>
      </c>
      <c r="L15" s="18">
        <f t="shared" si="4"/>
        <v>0.98</v>
      </c>
      <c r="M15" s="18">
        <f t="shared" si="5"/>
        <v>0.98</v>
      </c>
      <c r="N15" s="18">
        <f>Imaging!F15</f>
        <v>0.98</v>
      </c>
      <c r="O15" s="18"/>
    </row>
    <row r="16" spans="1:15">
      <c r="A16" s="15" t="s">
        <v>153</v>
      </c>
      <c r="B16" s="48">
        <f>Imaging!B16</f>
        <v>0</v>
      </c>
      <c r="C16" s="48"/>
      <c r="D16" s="48"/>
      <c r="E16" s="18">
        <f>Imaging!C16</f>
        <v>0.96899999999999997</v>
      </c>
      <c r="F16" s="18">
        <f t="shared" si="0"/>
        <v>0.97233333333333327</v>
      </c>
      <c r="G16" s="18">
        <f t="shared" si="1"/>
        <v>0.97566666666666668</v>
      </c>
      <c r="H16" s="18">
        <f>Imaging!D16</f>
        <v>0.97899999999999998</v>
      </c>
      <c r="I16" s="18">
        <f t="shared" si="2"/>
        <v>0.97133333333333327</v>
      </c>
      <c r="J16" s="18">
        <f t="shared" si="3"/>
        <v>0.96366666666666667</v>
      </c>
      <c r="K16" s="18">
        <f>Imaging!E16</f>
        <v>0.95599999999999996</v>
      </c>
      <c r="L16" s="18">
        <f t="shared" si="4"/>
        <v>0.95266666666666666</v>
      </c>
      <c r="M16" s="18">
        <f t="shared" si="5"/>
        <v>0.94933333333333325</v>
      </c>
      <c r="N16" s="18">
        <f>Imaging!F16</f>
        <v>0.94599999999999995</v>
      </c>
      <c r="O16" s="18"/>
    </row>
    <row r="17" spans="1:15">
      <c r="A17" s="15" t="s">
        <v>95</v>
      </c>
      <c r="B17" s="48">
        <f>Imaging!B17</f>
        <v>0.85852335713930328</v>
      </c>
      <c r="C17" s="48"/>
      <c r="D17" s="48"/>
      <c r="E17" s="18">
        <f>Imaging!C17</f>
        <v>0.88742045167927985</v>
      </c>
      <c r="F17" s="18">
        <f t="shared" si="0"/>
        <v>0.8936348806126081</v>
      </c>
      <c r="G17" s="18">
        <f t="shared" si="1"/>
        <v>0.89984930954593645</v>
      </c>
      <c r="H17" s="18">
        <f>Imaging!D17</f>
        <v>0.90606373847926469</v>
      </c>
      <c r="I17" s="18">
        <f t="shared" si="2"/>
        <v>0.90917095294592887</v>
      </c>
      <c r="J17" s="18">
        <f t="shared" si="3"/>
        <v>0.91227816741259293</v>
      </c>
      <c r="K17" s="18">
        <f>Imaging!E17</f>
        <v>0.91538538187925711</v>
      </c>
      <c r="L17" s="18">
        <f t="shared" si="4"/>
        <v>0.91600682477258999</v>
      </c>
      <c r="M17" s="18">
        <f t="shared" si="5"/>
        <v>0.91662826766592276</v>
      </c>
      <c r="N17" s="18">
        <f>Imaging!F17</f>
        <v>0.91724971055925564</v>
      </c>
      <c r="O17" s="18"/>
    </row>
    <row r="18" spans="1:15">
      <c r="A18" s="15" t="s">
        <v>149</v>
      </c>
      <c r="B18" s="48">
        <f>Imaging!B18</f>
        <v>0.99002500000000004</v>
      </c>
      <c r="C18" s="48"/>
      <c r="D18" s="48"/>
      <c r="E18" s="18">
        <f>Imaging!C18</f>
        <v>0.99002500000000004</v>
      </c>
      <c r="F18" s="18">
        <f t="shared" si="0"/>
        <v>0.99002500000000004</v>
      </c>
      <c r="G18" s="18">
        <f t="shared" si="1"/>
        <v>0.99002500000000004</v>
      </c>
      <c r="H18" s="18">
        <f>Imaging!D18</f>
        <v>0.99002500000000004</v>
      </c>
      <c r="I18" s="18">
        <f t="shared" si="2"/>
        <v>0.99002500000000004</v>
      </c>
      <c r="J18" s="18">
        <f t="shared" si="3"/>
        <v>0.99002500000000004</v>
      </c>
      <c r="K18" s="18">
        <f>Imaging!E18</f>
        <v>0.99002500000000004</v>
      </c>
      <c r="L18" s="18">
        <f t="shared" si="4"/>
        <v>0.99002500000000004</v>
      </c>
      <c r="M18" s="18">
        <f t="shared" si="5"/>
        <v>0.99002500000000004</v>
      </c>
      <c r="N18" s="18">
        <f>Imaging!F18</f>
        <v>0.99002500000000004</v>
      </c>
      <c r="O18" s="18"/>
    </row>
    <row r="19" spans="1:15">
      <c r="A19" s="15" t="s">
        <v>96</v>
      </c>
      <c r="B19" s="48">
        <f>Imaging!B19</f>
        <v>0.82699999999999996</v>
      </c>
      <c r="C19" s="48"/>
      <c r="D19" s="48"/>
      <c r="E19" s="18">
        <f>Imaging!C19</f>
        <v>0.9</v>
      </c>
      <c r="F19" s="18">
        <v>0.92500000000000004</v>
      </c>
      <c r="G19" s="18">
        <v>0.91700000000000004</v>
      </c>
      <c r="H19" s="18">
        <f>Imaging!D19</f>
        <v>0.90200000000000002</v>
      </c>
      <c r="I19" s="18">
        <f t="shared" si="2"/>
        <v>0.89666666666666672</v>
      </c>
      <c r="J19" s="18">
        <f t="shared" si="3"/>
        <v>0.89133333333333331</v>
      </c>
      <c r="K19" s="18">
        <f>Imaging!E19</f>
        <v>0.88600000000000001</v>
      </c>
      <c r="L19" s="18">
        <v>0.88500000000000001</v>
      </c>
      <c r="M19" s="18">
        <v>0.88600000000000001</v>
      </c>
      <c r="N19" s="18">
        <f>Imaging!F19</f>
        <v>0.88800000000000001</v>
      </c>
      <c r="O19" s="18"/>
    </row>
    <row r="20" spans="1:15">
      <c r="A20" s="10" t="s">
        <v>124</v>
      </c>
      <c r="B20" s="50">
        <v>0.27672654390250451</v>
      </c>
      <c r="C20" s="50"/>
      <c r="D20" s="50"/>
      <c r="E20" s="29">
        <f>E6*E7*E8*E9*E10*E11*E12*E13*E14*E15*E16*E17*E18*E19</f>
        <v>0.35582175821292578</v>
      </c>
      <c r="F20" s="29">
        <f t="shared" ref="F20:N20" si="6">F6*F7*F8*F9*F10*F11*F12*F13*F14*F15*F16*F17*F18*F19</f>
        <v>0.40336713070983266</v>
      </c>
      <c r="G20" s="29">
        <f t="shared" si="6"/>
        <v>0.43928510862786757</v>
      </c>
      <c r="H20" s="29">
        <f t="shared" si="6"/>
        <v>0.47295934276170654</v>
      </c>
      <c r="I20" s="29">
        <f t="shared" si="6"/>
        <v>0.47204217554980105</v>
      </c>
      <c r="J20" s="29">
        <f t="shared" si="6"/>
        <v>0.47105552028876541</v>
      </c>
      <c r="K20" s="29">
        <f t="shared" si="6"/>
        <v>0.46999940616603425</v>
      </c>
      <c r="L20" s="29">
        <f t="shared" si="6"/>
        <v>0.46954640395427805</v>
      </c>
      <c r="M20" s="29">
        <f t="shared" si="6"/>
        <v>0.47014613598725874</v>
      </c>
      <c r="N20" s="29">
        <f t="shared" si="6"/>
        <v>0.47126829997589431</v>
      </c>
      <c r="O20" s="29">
        <f>AVERAGE(E20:N20)</f>
        <v>0.44954912822343635</v>
      </c>
    </row>
    <row r="21" spans="1:15">
      <c r="A21" s="15" t="s">
        <v>126</v>
      </c>
      <c r="B21" s="48">
        <v>0.48148842200000003</v>
      </c>
      <c r="C21" s="48"/>
      <c r="D21" s="48"/>
      <c r="E21" s="36">
        <v>0.55435813199999995</v>
      </c>
      <c r="F21" s="18">
        <f>(H21-E21)/(H$5-E$5)*(F$5-E$5)+E21</f>
        <v>0.60456923604000001</v>
      </c>
      <c r="G21" s="18">
        <f>(H21-E21)/(H$5-E$5)*(G$5-E$5)+E21</f>
        <v>0.65478034007999997</v>
      </c>
      <c r="H21" s="36">
        <v>0.70499144412000003</v>
      </c>
      <c r="I21" s="18">
        <f>(K21-H21)/(K$5-H$5)*(I$5-H$5)+H21</f>
        <v>0.72755005608000012</v>
      </c>
      <c r="J21" s="18">
        <f>(K21-H21)/(K$5-H$5)*(J$5-H$5)+H21</f>
        <v>0.75010866803999998</v>
      </c>
      <c r="K21" s="36">
        <v>0.77266728000000007</v>
      </c>
      <c r="L21" s="18">
        <f>(N21-K21)/(N$5-K$5)*(L$5-K$5)+K21</f>
        <v>0.78485557248000004</v>
      </c>
      <c r="M21" s="18">
        <f>(N21-K21)/(N$5-K$5)*(M$5-K$5)+K21</f>
        <v>0.79704386496000001</v>
      </c>
      <c r="N21" s="36">
        <v>0.80923215743999999</v>
      </c>
      <c r="O21" s="18"/>
    </row>
    <row r="22" spans="1:15">
      <c r="A22" s="10" t="s">
        <v>125</v>
      </c>
      <c r="B22" s="50">
        <v>0.13324062694913064</v>
      </c>
      <c r="C22" s="50"/>
      <c r="D22" s="50"/>
      <c r="E22" s="29">
        <f t="shared" ref="E22:H22" si="7">E20*E21</f>
        <v>0.19725268520787317</v>
      </c>
      <c r="F22" s="29">
        <f t="shared" si="7"/>
        <v>0.24386335805689036</v>
      </c>
      <c r="G22" s="29">
        <f t="shared" si="7"/>
        <v>0.28763525281943486</v>
      </c>
      <c r="H22" s="29">
        <f t="shared" si="7"/>
        <v>0.33343229006362157</v>
      </c>
      <c r="I22" s="29">
        <f t="shared" ref="I22:J22" si="8">I20*I21</f>
        <v>0.34343431129338303</v>
      </c>
      <c r="J22" s="29">
        <f t="shared" si="8"/>
        <v>0.35334282889669499</v>
      </c>
      <c r="K22" s="29">
        <v>0.37930460633339663</v>
      </c>
      <c r="L22" s="29">
        <f t="shared" ref="L22:M22" si="9">L20*L21</f>
        <v>0.36852611168146027</v>
      </c>
      <c r="M22" s="29">
        <f t="shared" si="9"/>
        <v>0.37472709332329446</v>
      </c>
      <c r="N22" s="29">
        <v>0.41092885755403447</v>
      </c>
      <c r="O22" s="29">
        <f>AVERAGE(E22:N22)</f>
        <v>0.32924473952300837</v>
      </c>
    </row>
    <row r="23" spans="1:15">
      <c r="A23" s="37"/>
    </row>
    <row r="24" spans="1:15">
      <c r="A24" s="32" t="s">
        <v>88</v>
      </c>
    </row>
    <row r="25" spans="1:15">
      <c r="A25" s="15" t="s">
        <v>6</v>
      </c>
      <c r="B25" s="30">
        <v>552</v>
      </c>
      <c r="C25" s="62">
        <f>(E25-B25)/3+B25</f>
        <v>561.33333333333337</v>
      </c>
      <c r="D25" s="62">
        <f>(E25-B25)/3*2+B25</f>
        <v>570.66666666666663</v>
      </c>
      <c r="E25" s="30">
        <v>580</v>
      </c>
      <c r="F25" s="62">
        <f>(H25-E25)/3+E25</f>
        <v>594</v>
      </c>
      <c r="G25" s="62">
        <f>(H25-E25)/3*2+E25</f>
        <v>608</v>
      </c>
      <c r="H25" s="30">
        <v>622</v>
      </c>
      <c r="I25" s="62">
        <f>(K25-H25)/3+H25</f>
        <v>631.33333333333337</v>
      </c>
      <c r="J25" s="62">
        <f>(K25-H25)/3*2+H25</f>
        <v>640.66666666666663</v>
      </c>
      <c r="K25" s="30">
        <v>650</v>
      </c>
      <c r="L25" s="62">
        <f>(N25-K25)/3+K25</f>
        <v>663.66666666666663</v>
      </c>
      <c r="M25" s="62">
        <f>(N25-K25)/3*2+K25</f>
        <v>677.33333333333337</v>
      </c>
      <c r="N25" s="30">
        <v>691</v>
      </c>
      <c r="O25" s="62"/>
    </row>
    <row r="26" spans="1:15">
      <c r="A26" s="15" t="s">
        <v>5</v>
      </c>
      <c r="B26" s="18">
        <f>Imaging!B26</f>
        <v>0.8563021036261893</v>
      </c>
      <c r="C26" s="18">
        <f>(E26-B26)/(E$25-B$25)*(C$25-B$25)+B26</f>
        <v>0.85680493067529706</v>
      </c>
      <c r="D26" s="18">
        <f>(E26-B26)/(E$25-B$25)*(D$25-B$25)+B26</f>
        <v>0.85730775772440482</v>
      </c>
      <c r="E26" s="18">
        <f>Imaging!C26</f>
        <v>0.85781058477351257</v>
      </c>
      <c r="F26" s="18">
        <f>(H26-E26)/(H$25-E$25)*(F$25-E$25)+E26</f>
        <v>0.85805227402326045</v>
      </c>
      <c r="G26" s="18">
        <f>(H26-E26)/(H$25-E$25)*(G$25-E$25)+E26</f>
        <v>0.85829396327300844</v>
      </c>
      <c r="H26" s="18">
        <f>Imaging!D26</f>
        <v>0.85853565252275632</v>
      </c>
      <c r="I26" s="18">
        <f>(K26-H26)/(K$25-H$25)*(I$25-H$25)+H26</f>
        <v>0.85838614152324666</v>
      </c>
      <c r="J26" s="18">
        <f>(K26-H26)/(K$25-H$25)*(J$25-H$25)+H26</f>
        <v>0.85823663052373689</v>
      </c>
      <c r="K26" s="18">
        <f>Imaging!E26</f>
        <v>0.85808711952422723</v>
      </c>
      <c r="L26" s="18">
        <f>(N26-K26)/(N$25-K$25)*(L$25-K$25)+K26</f>
        <v>0.85786819270351655</v>
      </c>
      <c r="M26" s="18">
        <f>(N26-K26)/(N$25-K$25)*(M$25-K$25)+K26</f>
        <v>0.85764926588280599</v>
      </c>
      <c r="N26" s="18">
        <f>Imaging!F26</f>
        <v>0.85743033906209531</v>
      </c>
      <c r="O26" s="18"/>
    </row>
    <row r="27" spans="1:15">
      <c r="A27" s="15" t="s">
        <v>7</v>
      </c>
      <c r="B27" s="18">
        <f>Imaging!B27</f>
        <v>0.94089999999999996</v>
      </c>
      <c r="C27" s="18">
        <f t="shared" ref="C27:C38" si="10">(E27-B27)/(E$25-B$25)*(C$25-B$25)+B27</f>
        <v>0.94089999999999996</v>
      </c>
      <c r="D27" s="18">
        <f t="shared" ref="D27:D39" si="11">(E27-B27)/(E$25-B$25)*(D$25-B$25)+B27</f>
        <v>0.94089999999999996</v>
      </c>
      <c r="E27" s="18">
        <f>Imaging!C27</f>
        <v>0.94089999999999996</v>
      </c>
      <c r="F27" s="18">
        <f t="shared" ref="F27:F38" si="12">(H27-E27)/(H$25-E$25)*(F$25-E$25)+E27</f>
        <v>0.94089999999999996</v>
      </c>
      <c r="G27" s="18">
        <f t="shared" ref="G27:G38" si="13">(H27-E27)/(H$25-E$25)*(G$25-E$25)+E27</f>
        <v>0.94089999999999996</v>
      </c>
      <c r="H27" s="18">
        <f>Imaging!D27</f>
        <v>0.94089999999999996</v>
      </c>
      <c r="I27" s="18">
        <f t="shared" ref="I27:I38" si="14">(K27-H27)/(K$25-H$25)*(I$25-H$25)+H27</f>
        <v>0.94089999999999996</v>
      </c>
      <c r="J27" s="18">
        <f t="shared" ref="J27:J38" si="15">(K27-H27)/(K$25-H$25)*(J$25-H$25)+H27</f>
        <v>0.94089999999999996</v>
      </c>
      <c r="K27" s="18">
        <f>Imaging!E27</f>
        <v>0.94089999999999996</v>
      </c>
      <c r="L27" s="18">
        <f t="shared" ref="L27:L39" si="16">(N27-K27)/(N$25-K$25)*(L$25-K$25)+K27</f>
        <v>0.94089999999999996</v>
      </c>
      <c r="M27" s="18">
        <f t="shared" ref="M27:M39" si="17">(N27-K27)/(N$25-K$25)*(M$25-K$25)+K27</f>
        <v>0.94089999999999996</v>
      </c>
      <c r="N27" s="18">
        <f>Imaging!F27</f>
        <v>0.94089999999999996</v>
      </c>
      <c r="O27" s="18"/>
    </row>
    <row r="28" spans="1:15">
      <c r="A28" s="15" t="s">
        <v>27</v>
      </c>
      <c r="B28" s="18">
        <f>Imaging!B28</f>
        <v>0.98499999999999999</v>
      </c>
      <c r="C28" s="18">
        <f t="shared" si="10"/>
        <v>0.98499999999999999</v>
      </c>
      <c r="D28" s="18">
        <f t="shared" si="11"/>
        <v>0.98499999999999999</v>
      </c>
      <c r="E28" s="18">
        <f>Imaging!C28</f>
        <v>0.98499999999999999</v>
      </c>
      <c r="F28" s="18">
        <f t="shared" si="12"/>
        <v>0.98499999999999999</v>
      </c>
      <c r="G28" s="18">
        <f t="shared" si="13"/>
        <v>0.98499999999999999</v>
      </c>
      <c r="H28" s="18">
        <f>Imaging!D28</f>
        <v>0.98499999999999999</v>
      </c>
      <c r="I28" s="18">
        <f t="shared" si="14"/>
        <v>0.98499999999999999</v>
      </c>
      <c r="J28" s="18">
        <f t="shared" si="15"/>
        <v>0.98499999999999999</v>
      </c>
      <c r="K28" s="18">
        <f>Imaging!E28</f>
        <v>0.98499999999999999</v>
      </c>
      <c r="L28" s="18">
        <f t="shared" si="16"/>
        <v>0.98499999999999999</v>
      </c>
      <c r="M28" s="18">
        <f t="shared" si="17"/>
        <v>0.98499999999999999</v>
      </c>
      <c r="N28" s="18">
        <f>Imaging!F28</f>
        <v>0.98499999999999999</v>
      </c>
      <c r="O28" s="18"/>
    </row>
    <row r="29" spans="1:15">
      <c r="A29" s="15" t="s">
        <v>8</v>
      </c>
      <c r="B29" s="18">
        <f>Imaging!B29</f>
        <v>0.96039999999999992</v>
      </c>
      <c r="C29" s="18">
        <f t="shared" si="10"/>
        <v>0.96039999999999992</v>
      </c>
      <c r="D29" s="18">
        <f t="shared" si="11"/>
        <v>0.96039999999999992</v>
      </c>
      <c r="E29" s="18">
        <f>Imaging!C29</f>
        <v>0.96039999999999992</v>
      </c>
      <c r="F29" s="18">
        <f t="shared" si="12"/>
        <v>0.96039999999999992</v>
      </c>
      <c r="G29" s="18">
        <f t="shared" si="13"/>
        <v>0.96039999999999992</v>
      </c>
      <c r="H29" s="18">
        <f>Imaging!D29</f>
        <v>0.96039999999999992</v>
      </c>
      <c r="I29" s="18">
        <f t="shared" si="14"/>
        <v>0.96039999999999992</v>
      </c>
      <c r="J29" s="18">
        <f t="shared" si="15"/>
        <v>0.96039999999999992</v>
      </c>
      <c r="K29" s="18">
        <f>Imaging!E29</f>
        <v>0.96039999999999992</v>
      </c>
      <c r="L29" s="18">
        <f t="shared" si="16"/>
        <v>0.96039999999999992</v>
      </c>
      <c r="M29" s="18">
        <f t="shared" si="17"/>
        <v>0.96039999999999992</v>
      </c>
      <c r="N29" s="18">
        <f>Imaging!F29</f>
        <v>0.96039999999999992</v>
      </c>
      <c r="O29" s="18"/>
    </row>
    <row r="30" spans="1:15">
      <c r="A30" s="15" t="s">
        <v>85</v>
      </c>
      <c r="B30" s="18">
        <f>Imaging!B30</f>
        <v>0.95</v>
      </c>
      <c r="C30" s="18">
        <f t="shared" si="10"/>
        <v>0.95</v>
      </c>
      <c r="D30" s="18">
        <f t="shared" si="11"/>
        <v>0.95</v>
      </c>
      <c r="E30" s="18">
        <f>Imaging!C30</f>
        <v>0.95</v>
      </c>
      <c r="F30" s="18">
        <f t="shared" si="12"/>
        <v>0.95</v>
      </c>
      <c r="G30" s="18">
        <f t="shared" si="13"/>
        <v>0.95</v>
      </c>
      <c r="H30" s="18">
        <f>Imaging!D30</f>
        <v>0.95</v>
      </c>
      <c r="I30" s="18">
        <f t="shared" si="14"/>
        <v>0.95</v>
      </c>
      <c r="J30" s="18">
        <f t="shared" si="15"/>
        <v>0.95</v>
      </c>
      <c r="K30" s="18">
        <f>Imaging!E30</f>
        <v>0.95</v>
      </c>
      <c r="L30" s="18">
        <f t="shared" si="16"/>
        <v>0.95</v>
      </c>
      <c r="M30" s="18">
        <f t="shared" si="17"/>
        <v>0.95</v>
      </c>
      <c r="N30" s="18">
        <f>Imaging!F30</f>
        <v>0.95</v>
      </c>
      <c r="O30" s="18"/>
    </row>
    <row r="31" spans="1:15">
      <c r="A31" s="15" t="s">
        <v>86</v>
      </c>
      <c r="B31" s="18">
        <f>Imaging!B31</f>
        <v>0.91563693238709987</v>
      </c>
      <c r="C31" s="18">
        <f t="shared" si="10"/>
        <v>0.91627345441169983</v>
      </c>
      <c r="D31" s="18">
        <f t="shared" si="11"/>
        <v>0.9169099764362999</v>
      </c>
      <c r="E31" s="18">
        <f>Imaging!C31</f>
        <v>0.91754649846089986</v>
      </c>
      <c r="F31" s="18">
        <f t="shared" si="12"/>
        <v>0.91722823744859994</v>
      </c>
      <c r="G31" s="18">
        <f t="shared" si="13"/>
        <v>0.9169099764362999</v>
      </c>
      <c r="H31" s="18">
        <f>Imaging!D31</f>
        <v>0.91659171542399998</v>
      </c>
      <c r="I31" s="18">
        <f t="shared" si="14"/>
        <v>0.91627345441169994</v>
      </c>
      <c r="J31" s="18">
        <f t="shared" si="15"/>
        <v>0.9159551933993999</v>
      </c>
      <c r="K31" s="18">
        <f>Imaging!E31</f>
        <v>0.91563693238709987</v>
      </c>
      <c r="L31" s="18">
        <f t="shared" si="16"/>
        <v>0.91563693238709987</v>
      </c>
      <c r="M31" s="18">
        <f t="shared" si="17"/>
        <v>0.91563693238709987</v>
      </c>
      <c r="N31" s="18">
        <f>Imaging!F31</f>
        <v>0.91563693238709987</v>
      </c>
      <c r="O31" s="18"/>
    </row>
    <row r="32" spans="1:15">
      <c r="A32" s="15" t="s">
        <v>91</v>
      </c>
      <c r="B32" s="18">
        <f>Imaging!B32</f>
        <v>0.98499999999999999</v>
      </c>
      <c r="C32" s="18">
        <f t="shared" si="10"/>
        <v>0.98499999999999999</v>
      </c>
      <c r="D32" s="18">
        <f t="shared" si="11"/>
        <v>0.98499999999999999</v>
      </c>
      <c r="E32" s="18">
        <f>Imaging!C32</f>
        <v>0.98499999999999999</v>
      </c>
      <c r="F32" s="18">
        <f t="shared" si="12"/>
        <v>0.98499999999999999</v>
      </c>
      <c r="G32" s="18">
        <f t="shared" si="13"/>
        <v>0.98499999999999999</v>
      </c>
      <c r="H32" s="18">
        <f>Imaging!D32</f>
        <v>0.98499999999999999</v>
      </c>
      <c r="I32" s="18">
        <f t="shared" si="14"/>
        <v>0.98499999999999999</v>
      </c>
      <c r="J32" s="18">
        <f t="shared" si="15"/>
        <v>0.98499999999999999</v>
      </c>
      <c r="K32" s="18">
        <f>Imaging!E32</f>
        <v>0.98499999999999999</v>
      </c>
      <c r="L32" s="18">
        <f t="shared" si="16"/>
        <v>0.98499999999999999</v>
      </c>
      <c r="M32" s="18">
        <f t="shared" si="17"/>
        <v>0.98499999999999999</v>
      </c>
      <c r="N32" s="18">
        <f>Imaging!F32</f>
        <v>0.98499999999999999</v>
      </c>
      <c r="O32" s="18"/>
    </row>
    <row r="33" spans="1:15">
      <c r="A33" s="15" t="s">
        <v>92</v>
      </c>
      <c r="B33" s="18">
        <f>Imaging!B33</f>
        <v>0.98</v>
      </c>
      <c r="C33" s="18">
        <f t="shared" si="10"/>
        <v>0.98</v>
      </c>
      <c r="D33" s="18">
        <f t="shared" si="11"/>
        <v>0.98</v>
      </c>
      <c r="E33" s="18">
        <f>Imaging!C33</f>
        <v>0.98</v>
      </c>
      <c r="F33" s="18">
        <f t="shared" si="12"/>
        <v>0.98</v>
      </c>
      <c r="G33" s="18">
        <f t="shared" si="13"/>
        <v>0.98</v>
      </c>
      <c r="H33" s="18">
        <f>Imaging!D33</f>
        <v>0.98</v>
      </c>
      <c r="I33" s="18">
        <f t="shared" si="14"/>
        <v>0.98</v>
      </c>
      <c r="J33" s="18">
        <f t="shared" si="15"/>
        <v>0.98</v>
      </c>
      <c r="K33" s="18">
        <f>Imaging!E33</f>
        <v>0.98</v>
      </c>
      <c r="L33" s="18">
        <f t="shared" si="16"/>
        <v>0.98</v>
      </c>
      <c r="M33" s="18">
        <f t="shared" si="17"/>
        <v>0.98</v>
      </c>
      <c r="N33" s="18">
        <f>Imaging!F33</f>
        <v>0.98</v>
      </c>
      <c r="O33" s="18"/>
    </row>
    <row r="34" spans="1:15">
      <c r="A34" s="15" t="s">
        <v>97</v>
      </c>
      <c r="B34" s="18">
        <f>Imaging!B34</f>
        <v>0.93099999999999994</v>
      </c>
      <c r="C34" s="18">
        <f t="shared" si="10"/>
        <v>0.93099999999999994</v>
      </c>
      <c r="D34" s="18">
        <f t="shared" si="11"/>
        <v>0.93099999999999994</v>
      </c>
      <c r="E34" s="18">
        <f>Imaging!C34</f>
        <v>0.93099999999999994</v>
      </c>
      <c r="F34" s="18">
        <f t="shared" si="12"/>
        <v>0.93099999999999994</v>
      </c>
      <c r="G34" s="18">
        <f t="shared" si="13"/>
        <v>0.93099999999999994</v>
      </c>
      <c r="H34" s="18">
        <f>Imaging!D34</f>
        <v>0.93099999999999994</v>
      </c>
      <c r="I34" s="18">
        <f t="shared" si="14"/>
        <v>0.93099999999999994</v>
      </c>
      <c r="J34" s="18">
        <f t="shared" si="15"/>
        <v>0.93099999999999994</v>
      </c>
      <c r="K34" s="18">
        <f>Imaging!E34</f>
        <v>0.93099999999999994</v>
      </c>
      <c r="L34" s="18">
        <f t="shared" si="16"/>
        <v>0.93099999999999994</v>
      </c>
      <c r="M34" s="18">
        <f t="shared" si="17"/>
        <v>0.93099999999999994</v>
      </c>
      <c r="N34" s="18">
        <f>Imaging!F34</f>
        <v>0.93099999999999994</v>
      </c>
      <c r="O34" s="18"/>
    </row>
    <row r="35" spans="1:15">
      <c r="A35" s="15" t="s">
        <v>98</v>
      </c>
      <c r="B35" s="18">
        <f>Imaging!B35</f>
        <v>0.96</v>
      </c>
      <c r="C35" s="18">
        <f t="shared" si="10"/>
        <v>0.96</v>
      </c>
      <c r="D35" s="18">
        <f t="shared" si="11"/>
        <v>0.96</v>
      </c>
      <c r="E35" s="18">
        <f>Imaging!C35</f>
        <v>0.96</v>
      </c>
      <c r="F35" s="18">
        <f t="shared" si="12"/>
        <v>0.96</v>
      </c>
      <c r="G35" s="18">
        <f t="shared" si="13"/>
        <v>0.96</v>
      </c>
      <c r="H35" s="18">
        <f>Imaging!D35</f>
        <v>0.96</v>
      </c>
      <c r="I35" s="18">
        <f t="shared" si="14"/>
        <v>0.96</v>
      </c>
      <c r="J35" s="18">
        <f t="shared" si="15"/>
        <v>0.96</v>
      </c>
      <c r="K35" s="18">
        <f>Imaging!E35</f>
        <v>0.96</v>
      </c>
      <c r="L35" s="18">
        <f t="shared" si="16"/>
        <v>0.96</v>
      </c>
      <c r="M35" s="18">
        <f t="shared" si="17"/>
        <v>0.96</v>
      </c>
      <c r="N35" s="18">
        <f>Imaging!F35</f>
        <v>0.96</v>
      </c>
      <c r="O35" s="18"/>
    </row>
    <row r="36" spans="1:15">
      <c r="A36" s="15" t="s">
        <v>99</v>
      </c>
      <c r="B36" s="18">
        <f>Imaging!B36</f>
        <v>0.96</v>
      </c>
      <c r="C36" s="18">
        <f t="shared" si="10"/>
        <v>0.96</v>
      </c>
      <c r="D36" s="18">
        <f t="shared" si="11"/>
        <v>0.96</v>
      </c>
      <c r="E36" s="18">
        <f>Imaging!C36</f>
        <v>0.96</v>
      </c>
      <c r="F36" s="18">
        <f t="shared" si="12"/>
        <v>0.96</v>
      </c>
      <c r="G36" s="18">
        <f t="shared" si="13"/>
        <v>0.96</v>
      </c>
      <c r="H36" s="18">
        <f>Imaging!D36</f>
        <v>0.96</v>
      </c>
      <c r="I36" s="18">
        <f t="shared" si="14"/>
        <v>0.96</v>
      </c>
      <c r="J36" s="18">
        <f t="shared" si="15"/>
        <v>0.96</v>
      </c>
      <c r="K36" s="18">
        <f>Imaging!E36</f>
        <v>0.96</v>
      </c>
      <c r="L36" s="18">
        <f t="shared" si="16"/>
        <v>0.96</v>
      </c>
      <c r="M36" s="18">
        <f t="shared" si="17"/>
        <v>0.96</v>
      </c>
      <c r="N36" s="18">
        <f>Imaging!F36</f>
        <v>0.96</v>
      </c>
      <c r="O36" s="18"/>
    </row>
    <row r="37" spans="1:15">
      <c r="A37" s="15" t="s">
        <v>100</v>
      </c>
      <c r="B37" s="18">
        <f>Imaging!B37</f>
        <v>0.89674209507927227</v>
      </c>
      <c r="C37" s="18">
        <f t="shared" si="10"/>
        <v>0.89798498086593792</v>
      </c>
      <c r="D37" s="18">
        <f t="shared" si="11"/>
        <v>0.89922786665260357</v>
      </c>
      <c r="E37" s="18">
        <f>Imaging!C37</f>
        <v>0.90047075243926922</v>
      </c>
      <c r="F37" s="18">
        <f t="shared" si="12"/>
        <v>0.90047075243926922</v>
      </c>
      <c r="G37" s="18">
        <f t="shared" si="13"/>
        <v>0.90047075243926922</v>
      </c>
      <c r="H37" s="18">
        <f>Imaging!D37</f>
        <v>0.90047075243926922</v>
      </c>
      <c r="I37" s="18">
        <f t="shared" si="14"/>
        <v>0.90016003099260278</v>
      </c>
      <c r="J37" s="18">
        <f t="shared" si="15"/>
        <v>0.89984930954593645</v>
      </c>
      <c r="K37" s="18">
        <f>Imaging!E37</f>
        <v>0.89953858809927001</v>
      </c>
      <c r="L37" s="18">
        <f t="shared" si="16"/>
        <v>0.89984930954593645</v>
      </c>
      <c r="M37" s="18">
        <f t="shared" si="17"/>
        <v>0.90016003099260278</v>
      </c>
      <c r="N37" s="18">
        <f>Imaging!F37</f>
        <v>0.90047075243926922</v>
      </c>
      <c r="O37" s="18"/>
    </row>
    <row r="38" spans="1:15">
      <c r="A38" s="15" t="s">
        <v>150</v>
      </c>
      <c r="B38" s="18">
        <f>Imaging!B38</f>
        <v>0.97799999999999998</v>
      </c>
      <c r="C38" s="18">
        <f t="shared" si="10"/>
        <v>0.98199999999999998</v>
      </c>
      <c r="D38" s="18">
        <f t="shared" si="11"/>
        <v>0.98599999999999999</v>
      </c>
      <c r="E38" s="18">
        <f>Imaging!C38</f>
        <v>0.99</v>
      </c>
      <c r="F38" s="18">
        <f t="shared" si="12"/>
        <v>0.98933333333333329</v>
      </c>
      <c r="G38" s="18">
        <f t="shared" si="13"/>
        <v>0.98866666666666669</v>
      </c>
      <c r="H38" s="18">
        <f>Imaging!D38</f>
        <v>0.98799999999999999</v>
      </c>
      <c r="I38" s="18">
        <f t="shared" si="14"/>
        <v>0.98699999999999999</v>
      </c>
      <c r="J38" s="18">
        <f t="shared" si="15"/>
        <v>0.98599999999999999</v>
      </c>
      <c r="K38" s="18">
        <f>Imaging!E38</f>
        <v>0.98499999999999999</v>
      </c>
      <c r="L38" s="18">
        <f t="shared" si="16"/>
        <v>0.98199999999999998</v>
      </c>
      <c r="M38" s="18">
        <f t="shared" si="17"/>
        <v>0.97899999999999998</v>
      </c>
      <c r="N38" s="18">
        <f>Imaging!F38</f>
        <v>0.97599999999999998</v>
      </c>
      <c r="O38" s="18"/>
    </row>
    <row r="39" spans="1:15">
      <c r="A39" s="15" t="s">
        <v>101</v>
      </c>
      <c r="B39" s="18">
        <f>Imaging!B39</f>
        <v>0.92100000000000004</v>
      </c>
      <c r="C39" s="18">
        <v>0.92300000000000004</v>
      </c>
      <c r="D39" s="18">
        <f t="shared" si="11"/>
        <v>0.92366666666666675</v>
      </c>
      <c r="E39" s="18">
        <f>Imaging!C39</f>
        <v>0.92500000000000004</v>
      </c>
      <c r="F39" s="18">
        <v>0.92349999999999999</v>
      </c>
      <c r="G39" s="18">
        <v>0.91800000000000004</v>
      </c>
      <c r="H39" s="18">
        <f>Imaging!D39</f>
        <v>0.91200000000000003</v>
      </c>
      <c r="I39" s="18">
        <v>0.90800000000000003</v>
      </c>
      <c r="J39" s="18">
        <v>0.9</v>
      </c>
      <c r="K39" s="18">
        <f>Imaging!E39</f>
        <v>0.89200000000000002</v>
      </c>
      <c r="L39" s="18">
        <f t="shared" si="16"/>
        <v>0.87833333333333341</v>
      </c>
      <c r="M39" s="18">
        <f t="shared" si="17"/>
        <v>0.86466666666666658</v>
      </c>
      <c r="N39" s="18">
        <f>Imaging!F39</f>
        <v>0.85099999999999998</v>
      </c>
      <c r="O39" s="18"/>
    </row>
    <row r="40" spans="1:15">
      <c r="A40" s="10" t="s">
        <v>40</v>
      </c>
      <c r="B40" s="29">
        <f>B26*B27*B28*B29*B30*B31*B32*B33*B34*B35*B36*B37*B38*B39</f>
        <v>0.44353333248940763</v>
      </c>
      <c r="C40" s="29">
        <f t="shared" ref="C40" si="18">C26*C27*C28*C29*C30*C31*C32*C33*C34*C35*C36*C37*C38*C39</f>
        <v>0.44750638122568337</v>
      </c>
      <c r="D40" s="29">
        <f>D26*D27*D28*D29*D30*D31*D32*D33*D34*D35*D36*D37*D38*D39</f>
        <v>0.45085335283823402</v>
      </c>
      <c r="E40" s="29">
        <f>E26*E27*E28*E29*E30*E31*E32*E33*E34*E35*E36*E37*E38*E39</f>
        <v>0.45454400131011252</v>
      </c>
      <c r="F40" s="29">
        <f t="shared" ref="F40:N40" si="19">F26*F27*F28*F29*F30*F31*F32*F33*F34*F35*F36*F37*F38*F39</f>
        <v>0.45347173744399649</v>
      </c>
      <c r="G40" s="29">
        <f t="shared" si="19"/>
        <v>0.45043782168597229</v>
      </c>
      <c r="H40" s="29">
        <f t="shared" si="19"/>
        <v>0.44716269577830131</v>
      </c>
      <c r="I40" s="29">
        <f t="shared" si="19"/>
        <v>0.44436560662804842</v>
      </c>
      <c r="J40" s="29">
        <f t="shared" si="19"/>
        <v>0.43962299161603174</v>
      </c>
      <c r="K40" s="29">
        <f t="shared" si="19"/>
        <v>0.43489606366553918</v>
      </c>
      <c r="L40" s="29">
        <f t="shared" si="19"/>
        <v>0.42696710497607865</v>
      </c>
      <c r="M40" s="29">
        <f t="shared" si="19"/>
        <v>0.41907723045730283</v>
      </c>
      <c r="N40" s="29">
        <f t="shared" si="19"/>
        <v>0.41122645526258544</v>
      </c>
      <c r="O40" s="29">
        <f>AVERAGE(B40:N40)</f>
        <v>0.44028190579825327</v>
      </c>
    </row>
    <row r="41" spans="1:15">
      <c r="A41" s="15" t="s">
        <v>126</v>
      </c>
      <c r="B41" s="36">
        <v>0.80923215743999999</v>
      </c>
      <c r="C41" s="18">
        <f t="shared" ref="C41" si="20">(E41-B41)/(E$25-B$25)*(C$25-B$25)+B41</f>
        <v>0.81579508416000002</v>
      </c>
      <c r="D41" s="18">
        <f t="shared" ref="D41" si="21">(E41-B41)/(E$25-B$25)*(D$25-B$25)+B41</f>
        <v>0.82235801087999993</v>
      </c>
      <c r="E41" s="36">
        <v>0.82892093759999996</v>
      </c>
      <c r="F41" s="18">
        <f t="shared" ref="F41" si="22">(H41-E41)/(H$25-E$25)*(F$25-E$25)+E41</f>
        <v>0.83639941907999993</v>
      </c>
      <c r="G41" s="18">
        <f t="shared" ref="G41" si="23">(H41-E41)/(H$25-E$25)*(G$25-E$25)+E41</f>
        <v>0.84387790055999989</v>
      </c>
      <c r="H41" s="36">
        <v>0.85135638203999986</v>
      </c>
      <c r="I41" s="18">
        <f t="shared" ref="I41" si="24">(K41-H41)/(K$25-H$25)*(I$25-H$25)+H41</f>
        <v>0.85490815235999984</v>
      </c>
      <c r="J41" s="18">
        <f t="shared" ref="J41" si="25">(K41-H41)/(K$25-H$25)*(J$25-H$25)+H41</f>
        <v>0.85845992267999993</v>
      </c>
      <c r="K41" s="36">
        <v>0.86201169299999991</v>
      </c>
      <c r="L41" s="18">
        <f t="shared" ref="L41" si="26">(N41-K41)/(N$25-K$25)*(L$25-K$25)+K41</f>
        <v>0.8672124995399999</v>
      </c>
      <c r="M41" s="18">
        <f t="shared" ref="M41" si="27">(N41-K41)/(N$25-K$25)*(M$25-K$25)+K41</f>
        <v>0.8724133060799999</v>
      </c>
      <c r="N41" s="36">
        <v>0.87761411261999989</v>
      </c>
      <c r="O41" s="18"/>
    </row>
    <row r="42" spans="1:15">
      <c r="A42" s="10" t="s">
        <v>125</v>
      </c>
      <c r="B42" s="29">
        <f>B40*B41</f>
        <v>0.35892143554695616</v>
      </c>
      <c r="C42" s="29">
        <f t="shared" ref="C42" si="28">C40*C41</f>
        <v>0.36507350593414339</v>
      </c>
      <c r="D42" s="29">
        <f t="shared" ref="D42" si="29">D40*D41</f>
        <v>0.37076286643862888</v>
      </c>
      <c r="E42" s="29">
        <f t="shared" ref="E42:N42" si="30">E40*E41</f>
        <v>0.37678103974643407</v>
      </c>
      <c r="F42" s="29">
        <f t="shared" si="30"/>
        <v>0.37928349776735693</v>
      </c>
      <c r="G42" s="29">
        <f t="shared" si="30"/>
        <v>0.38011452329717788</v>
      </c>
      <c r="H42" s="29">
        <f t="shared" si="30"/>
        <v>0.38069481486106771</v>
      </c>
      <c r="I42" s="29">
        <f t="shared" si="30"/>
        <v>0.37989177973471538</v>
      </c>
      <c r="J42" s="29">
        <f t="shared" si="30"/>
        <v>0.37739871939104885</v>
      </c>
      <c r="K42" s="29">
        <f t="shared" si="30"/>
        <v>0.37488549211936717</v>
      </c>
      <c r="L42" s="29">
        <f t="shared" si="30"/>
        <v>0.37027121032766269</v>
      </c>
      <c r="M42" s="29">
        <f t="shared" si="30"/>
        <v>0.3656085521261056</v>
      </c>
      <c r="N42" s="29">
        <f t="shared" si="30"/>
        <v>0.36089814062114201</v>
      </c>
      <c r="O42" s="29">
        <f>AVERAGE(B42:N42)</f>
        <v>0.37235273676244662</v>
      </c>
    </row>
    <row r="43" spans="1:15"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</row>
    <row r="45" spans="1:15">
      <c r="A45" s="34" t="s">
        <v>89</v>
      </c>
    </row>
    <row r="46" spans="1:15">
      <c r="A46" s="15" t="s">
        <v>6</v>
      </c>
      <c r="B46" s="30">
        <v>691</v>
      </c>
      <c r="C46" s="62">
        <f>(E46-B46)/3+B46</f>
        <v>700.66666666666663</v>
      </c>
      <c r="D46" s="62">
        <f>(E46-B46)/3*2+B46</f>
        <v>710.33333333333337</v>
      </c>
      <c r="E46" s="30">
        <v>720</v>
      </c>
      <c r="F46" s="62">
        <f>(H46-E46)/3+E46</f>
        <v>731.66666666666663</v>
      </c>
      <c r="G46" s="62">
        <f>(H46-E46)/3*2+E46</f>
        <v>743.33333333333337</v>
      </c>
      <c r="H46" s="30">
        <v>755</v>
      </c>
      <c r="I46" s="62">
        <f>(K46-H46)/3+H46</f>
        <v>763.33333333333337</v>
      </c>
      <c r="J46" s="62">
        <f>(K46-H46)/3*2+H46</f>
        <v>771.66666666666663</v>
      </c>
      <c r="K46" s="30">
        <v>780</v>
      </c>
      <c r="L46" s="62">
        <f>(N46-K46)/3+K46</f>
        <v>792.66666666666663</v>
      </c>
      <c r="M46" s="62">
        <f>(N46-K46)/3*2+K46</f>
        <v>805.33333333333337</v>
      </c>
      <c r="N46" s="30">
        <v>818</v>
      </c>
      <c r="O46" s="62"/>
    </row>
    <row r="47" spans="1:15">
      <c r="A47" s="15" t="s">
        <v>5</v>
      </c>
      <c r="B47" s="18">
        <f>Imaging!B47</f>
        <v>0.85743033906209531</v>
      </c>
      <c r="C47" s="18">
        <f>(E47-B47)/(E$46-B$46)*(C$46-B$46)+B47</f>
        <v>0.85773218287628161</v>
      </c>
      <c r="D47" s="18">
        <f>(E47-B47)/(E$46-B$46)*(D$46-B$46)+B47</f>
        <v>0.8580340266904678</v>
      </c>
      <c r="E47" s="18">
        <f>Imaging!C47</f>
        <v>0.8583358705046541</v>
      </c>
      <c r="F47" s="18">
        <f>(H47-E47)/(H$46-E$46)*(F$46-E$46)+E47</f>
        <v>0.8597277687832704</v>
      </c>
      <c r="G47" s="18">
        <f>(H47-E47)/(H$46-E$46)*(G$46-E$46)+E47</f>
        <v>0.86111966706188658</v>
      </c>
      <c r="H47" s="18">
        <f>Imaging!D47</f>
        <v>0.86251156534050288</v>
      </c>
      <c r="I47" s="18">
        <f>(K47-H47)/(K$46-H$46)*(I$46-H$46)+H47</f>
        <v>0.86321143328714256</v>
      </c>
      <c r="J47" s="18">
        <f>(K47-H47)/(K$46-H$46)*(J$46-H$46)+H47</f>
        <v>0.86391130123378213</v>
      </c>
      <c r="K47" s="18">
        <f>Imaging!E47</f>
        <v>0.8646111691804218</v>
      </c>
      <c r="L47" s="18">
        <f>(N47-K47)/(N$46-K$46)*(L$46-K$46)+K47</f>
        <v>0.8633553885564752</v>
      </c>
      <c r="M47" s="18">
        <f>(N47-K47)/(N$46-K$46)*(M$46-K$46)+K47</f>
        <v>0.86209960793252871</v>
      </c>
      <c r="N47" s="18">
        <f>Imaging!F47</f>
        <v>0.86084382730858211</v>
      </c>
      <c r="O47" s="18"/>
    </row>
    <row r="48" spans="1:15">
      <c r="A48" s="15" t="s">
        <v>7</v>
      </c>
      <c r="B48" s="18">
        <f>Imaging!B48</f>
        <v>0.94089999999999996</v>
      </c>
      <c r="C48" s="18">
        <f t="shared" ref="C48:C60" si="31">(E48-B48)/(E$46-B$46)*(C$46-B$46)+B48</f>
        <v>0.94089999999999996</v>
      </c>
      <c r="D48" s="18">
        <f t="shared" ref="D48:D59" si="32">(E48-B48)/(E$46-B$46)*(D$46-B$46)+B48</f>
        <v>0.94089999999999996</v>
      </c>
      <c r="E48" s="18">
        <f>Imaging!C48</f>
        <v>0.94089999999999996</v>
      </c>
      <c r="F48" s="18">
        <f t="shared" ref="F48:F60" si="33">(H48-E48)/(H$46-E$46)*(F$46-E$46)+E48</f>
        <v>0.94089999999999996</v>
      </c>
      <c r="G48" s="18">
        <f t="shared" ref="G48:G60" si="34">(H48-E48)/(H$46-E$46)*(G$46-E$46)+E48</f>
        <v>0.94089999999999996</v>
      </c>
      <c r="H48" s="18">
        <f>Imaging!D48</f>
        <v>0.94089999999999996</v>
      </c>
      <c r="I48" s="18">
        <f t="shared" ref="I48:I60" si="35">(K48-H48)/(K$46-H$46)*(I$46-H$46)+H48</f>
        <v>0.94089999999999996</v>
      </c>
      <c r="J48" s="18">
        <f t="shared" ref="J48:J60" si="36">(K48-H48)/(K$46-H$46)*(J$46-H$46)+H48</f>
        <v>0.94089999999999996</v>
      </c>
      <c r="K48" s="18">
        <f>Imaging!E48</f>
        <v>0.94089999999999996</v>
      </c>
      <c r="L48" s="18">
        <f t="shared" ref="L48:L60" si="37">(N48-K48)/(N$46-K$46)*(L$46-K$46)+K48</f>
        <v>0.94089999999999996</v>
      </c>
      <c r="M48" s="18">
        <f t="shared" ref="M48:M59" si="38">(N48-K48)/(N$46-K$46)*(M$46-K$46)+K48</f>
        <v>0.94089999999999996</v>
      </c>
      <c r="N48" s="18">
        <f>Imaging!F48</f>
        <v>0.94089999999999996</v>
      </c>
      <c r="O48" s="18"/>
    </row>
    <row r="49" spans="1:15">
      <c r="A49" s="15" t="s">
        <v>27</v>
      </c>
      <c r="B49" s="18">
        <f>Imaging!B49</f>
        <v>0.98499999999999999</v>
      </c>
      <c r="C49" s="18">
        <f t="shared" si="31"/>
        <v>0.98499999999999999</v>
      </c>
      <c r="D49" s="18">
        <f t="shared" si="32"/>
        <v>0.98499999999999999</v>
      </c>
      <c r="E49" s="18">
        <f>Imaging!C49</f>
        <v>0.98499999999999999</v>
      </c>
      <c r="F49" s="18">
        <f t="shared" si="33"/>
        <v>0.98499999999999999</v>
      </c>
      <c r="G49" s="18">
        <f t="shared" si="34"/>
        <v>0.98499999999999999</v>
      </c>
      <c r="H49" s="18">
        <f>Imaging!D49</f>
        <v>0.98499999999999999</v>
      </c>
      <c r="I49" s="18">
        <f t="shared" si="35"/>
        <v>0.98499999999999999</v>
      </c>
      <c r="J49" s="18">
        <f t="shared" si="36"/>
        <v>0.98499999999999999</v>
      </c>
      <c r="K49" s="18">
        <f>Imaging!E49</f>
        <v>0.98499999999999999</v>
      </c>
      <c r="L49" s="18">
        <f t="shared" si="37"/>
        <v>0.98499999999999999</v>
      </c>
      <c r="M49" s="18">
        <f t="shared" si="38"/>
        <v>0.98499999999999999</v>
      </c>
      <c r="N49" s="18">
        <f>Imaging!F49</f>
        <v>0.98499999999999999</v>
      </c>
      <c r="O49" s="18"/>
    </row>
    <row r="50" spans="1:15">
      <c r="A50" s="15" t="s">
        <v>8</v>
      </c>
      <c r="B50" s="18">
        <f>Imaging!B50</f>
        <v>0.96039999999999992</v>
      </c>
      <c r="C50" s="18">
        <f t="shared" si="31"/>
        <v>0.96039999999999992</v>
      </c>
      <c r="D50" s="18">
        <f t="shared" si="32"/>
        <v>0.96039999999999992</v>
      </c>
      <c r="E50" s="18">
        <f>Imaging!C50</f>
        <v>0.96039999999999992</v>
      </c>
      <c r="F50" s="18">
        <f t="shared" si="33"/>
        <v>0.96039999999999992</v>
      </c>
      <c r="G50" s="18">
        <f t="shared" si="34"/>
        <v>0.96039999999999992</v>
      </c>
      <c r="H50" s="18">
        <f>Imaging!D50</f>
        <v>0.96039999999999992</v>
      </c>
      <c r="I50" s="18">
        <f t="shared" si="35"/>
        <v>0.96039999999999992</v>
      </c>
      <c r="J50" s="18">
        <f t="shared" si="36"/>
        <v>0.96039999999999992</v>
      </c>
      <c r="K50" s="18">
        <f>Imaging!E50</f>
        <v>0.96039999999999992</v>
      </c>
      <c r="L50" s="18">
        <f t="shared" si="37"/>
        <v>0.96039999999999992</v>
      </c>
      <c r="M50" s="18">
        <f t="shared" si="38"/>
        <v>0.96039999999999992</v>
      </c>
      <c r="N50" s="18">
        <f>Imaging!F50</f>
        <v>0.96039999999999992</v>
      </c>
      <c r="O50" s="18"/>
    </row>
    <row r="51" spans="1:15">
      <c r="A51" s="15" t="s">
        <v>85</v>
      </c>
      <c r="B51" s="18">
        <f>Imaging!B51</f>
        <v>0.95</v>
      </c>
      <c r="C51" s="18">
        <f t="shared" si="31"/>
        <v>0.95</v>
      </c>
      <c r="D51" s="18">
        <f t="shared" si="32"/>
        <v>0.95</v>
      </c>
      <c r="E51" s="18">
        <f>Imaging!C51</f>
        <v>0.95</v>
      </c>
      <c r="F51" s="18">
        <f t="shared" si="33"/>
        <v>0.95</v>
      </c>
      <c r="G51" s="18">
        <f t="shared" si="34"/>
        <v>0.95</v>
      </c>
      <c r="H51" s="18">
        <f>Imaging!D51</f>
        <v>0.95</v>
      </c>
      <c r="I51" s="18">
        <f t="shared" si="35"/>
        <v>0.95</v>
      </c>
      <c r="J51" s="18">
        <f t="shared" si="36"/>
        <v>0.95</v>
      </c>
      <c r="K51" s="18">
        <f>Imaging!E51</f>
        <v>0.95</v>
      </c>
      <c r="L51" s="18">
        <f t="shared" si="37"/>
        <v>0.95</v>
      </c>
      <c r="M51" s="18">
        <f t="shared" si="38"/>
        <v>0.95</v>
      </c>
      <c r="N51" s="18">
        <f>Imaging!F51</f>
        <v>0.95</v>
      </c>
      <c r="O51" s="18"/>
    </row>
    <row r="52" spans="1:15">
      <c r="A52" s="15" t="s">
        <v>102</v>
      </c>
      <c r="B52" s="18">
        <f>Imaging!B52</f>
        <v>0.91181780023949988</v>
      </c>
      <c r="C52" s="18">
        <f t="shared" si="31"/>
        <v>0.91245432226409984</v>
      </c>
      <c r="D52" s="18">
        <f t="shared" si="32"/>
        <v>0.91309084428869991</v>
      </c>
      <c r="E52" s="18">
        <f>Imaging!C52</f>
        <v>0.91372736631329987</v>
      </c>
      <c r="F52" s="18">
        <f t="shared" si="33"/>
        <v>0.91436388833789983</v>
      </c>
      <c r="G52" s="18">
        <f t="shared" si="34"/>
        <v>0.91500041036249991</v>
      </c>
      <c r="H52" s="18">
        <f>Imaging!D52</f>
        <v>0.91563693238709987</v>
      </c>
      <c r="I52" s="18">
        <f t="shared" si="35"/>
        <v>0.9159551933993999</v>
      </c>
      <c r="J52" s="18">
        <f t="shared" si="36"/>
        <v>0.91627345441169994</v>
      </c>
      <c r="K52" s="18">
        <f>Imaging!E52</f>
        <v>0.91659171542399998</v>
      </c>
      <c r="L52" s="18">
        <f t="shared" si="37"/>
        <v>0.9169099764362999</v>
      </c>
      <c r="M52" s="18">
        <f t="shared" si="38"/>
        <v>0.91722823744859994</v>
      </c>
      <c r="N52" s="18">
        <f>Imaging!F52</f>
        <v>0.91754649846089986</v>
      </c>
      <c r="O52" s="18"/>
    </row>
    <row r="53" spans="1:15">
      <c r="A53" s="15" t="s">
        <v>103</v>
      </c>
      <c r="B53" s="18">
        <f>Imaging!B53</f>
        <v>0.93099999999999994</v>
      </c>
      <c r="C53" s="18">
        <f t="shared" si="31"/>
        <v>0.93099999999999994</v>
      </c>
      <c r="D53" s="18">
        <f t="shared" si="32"/>
        <v>0.93099999999999994</v>
      </c>
      <c r="E53" s="18">
        <f>Imaging!C53</f>
        <v>0.93099999999999994</v>
      </c>
      <c r="F53" s="18">
        <f t="shared" si="33"/>
        <v>0.93099999999999994</v>
      </c>
      <c r="G53" s="18">
        <f t="shared" si="34"/>
        <v>0.93099999999999994</v>
      </c>
      <c r="H53" s="18">
        <f>Imaging!D53</f>
        <v>0.93099999999999994</v>
      </c>
      <c r="I53" s="18">
        <f t="shared" si="35"/>
        <v>0.93099999999999994</v>
      </c>
      <c r="J53" s="18">
        <f t="shared" si="36"/>
        <v>0.93099999999999994</v>
      </c>
      <c r="K53" s="18">
        <f>Imaging!E53</f>
        <v>0.93099999999999994</v>
      </c>
      <c r="L53" s="18">
        <f t="shared" si="37"/>
        <v>0.93099999999999994</v>
      </c>
      <c r="M53" s="18">
        <f t="shared" si="38"/>
        <v>0.93099999999999994</v>
      </c>
      <c r="N53" s="18">
        <f>Imaging!F53</f>
        <v>0.93099999999999994</v>
      </c>
      <c r="O53" s="18"/>
    </row>
    <row r="54" spans="1:15">
      <c r="A54" s="15" t="s">
        <v>104</v>
      </c>
      <c r="B54" s="18">
        <f>Imaging!B54</f>
        <v>0.97</v>
      </c>
      <c r="C54" s="18">
        <f t="shared" si="31"/>
        <v>0.97</v>
      </c>
      <c r="D54" s="18">
        <f t="shared" si="32"/>
        <v>0.97</v>
      </c>
      <c r="E54" s="18">
        <f>Imaging!C54</f>
        <v>0.97</v>
      </c>
      <c r="F54" s="18">
        <f t="shared" si="33"/>
        <v>0.97</v>
      </c>
      <c r="G54" s="18">
        <f t="shared" si="34"/>
        <v>0.97</v>
      </c>
      <c r="H54" s="18">
        <f>Imaging!D54</f>
        <v>0.97</v>
      </c>
      <c r="I54" s="18">
        <f t="shared" si="35"/>
        <v>0.97</v>
      </c>
      <c r="J54" s="18">
        <f t="shared" si="36"/>
        <v>0.97</v>
      </c>
      <c r="K54" s="18">
        <f>Imaging!E54</f>
        <v>0.97</v>
      </c>
      <c r="L54" s="18">
        <f t="shared" si="37"/>
        <v>0.97</v>
      </c>
      <c r="M54" s="18">
        <f t="shared" si="38"/>
        <v>0.97</v>
      </c>
      <c r="N54" s="18">
        <f>Imaging!F54</f>
        <v>0.97</v>
      </c>
      <c r="O54" s="18"/>
    </row>
    <row r="55" spans="1:15">
      <c r="A55" s="15" t="s">
        <v>105</v>
      </c>
      <c r="B55" s="18">
        <f>Imaging!B55</f>
        <v>0.97</v>
      </c>
      <c r="C55" s="18">
        <f t="shared" si="31"/>
        <v>0.97</v>
      </c>
      <c r="D55" s="18">
        <f t="shared" si="32"/>
        <v>0.97</v>
      </c>
      <c r="E55" s="18">
        <f>Imaging!C55</f>
        <v>0.97</v>
      </c>
      <c r="F55" s="18">
        <f t="shared" si="33"/>
        <v>0.97</v>
      </c>
      <c r="G55" s="18">
        <f t="shared" si="34"/>
        <v>0.97</v>
      </c>
      <c r="H55" s="18">
        <f>Imaging!D55</f>
        <v>0.97</v>
      </c>
      <c r="I55" s="18">
        <f t="shared" si="35"/>
        <v>0.97</v>
      </c>
      <c r="J55" s="18">
        <f t="shared" si="36"/>
        <v>0.97</v>
      </c>
      <c r="K55" s="18">
        <f>Imaging!E55</f>
        <v>0.97</v>
      </c>
      <c r="L55" s="18">
        <f t="shared" si="37"/>
        <v>0.97</v>
      </c>
      <c r="M55" s="18">
        <f t="shared" si="38"/>
        <v>0.97</v>
      </c>
      <c r="N55" s="18">
        <f>Imaging!F55</f>
        <v>0.97</v>
      </c>
      <c r="O55" s="18"/>
    </row>
    <row r="56" spans="1:15">
      <c r="A56" s="15" t="s">
        <v>109</v>
      </c>
      <c r="B56" s="18">
        <f>Imaging!B56</f>
        <v>0.98499999999999999</v>
      </c>
      <c r="C56" s="18">
        <f t="shared" si="31"/>
        <v>0.98499999999999999</v>
      </c>
      <c r="D56" s="18">
        <f t="shared" si="32"/>
        <v>0.98499999999999999</v>
      </c>
      <c r="E56" s="18">
        <f>Imaging!C56</f>
        <v>0.98499999999999999</v>
      </c>
      <c r="F56" s="18">
        <f t="shared" si="33"/>
        <v>0.98499999999999999</v>
      </c>
      <c r="G56" s="18">
        <f t="shared" si="34"/>
        <v>0.98499999999999999</v>
      </c>
      <c r="H56" s="18">
        <f>Imaging!D56</f>
        <v>0.98499999999999999</v>
      </c>
      <c r="I56" s="18">
        <f t="shared" si="35"/>
        <v>0.98499999999999999</v>
      </c>
      <c r="J56" s="18">
        <f t="shared" si="36"/>
        <v>0.98499999999999999</v>
      </c>
      <c r="K56" s="18">
        <f>Imaging!E56</f>
        <v>0.98499999999999999</v>
      </c>
      <c r="L56" s="18">
        <f t="shared" si="37"/>
        <v>0.98499999999999999</v>
      </c>
      <c r="M56" s="18">
        <f t="shared" si="38"/>
        <v>0.98499999999999999</v>
      </c>
      <c r="N56" s="18">
        <f>Imaging!F56</f>
        <v>0.98499999999999999</v>
      </c>
      <c r="O56" s="18"/>
    </row>
    <row r="57" spans="1:15">
      <c r="A57" s="15" t="s">
        <v>110</v>
      </c>
      <c r="B57" s="18">
        <f>Imaging!B57</f>
        <v>0.98</v>
      </c>
      <c r="C57" s="18">
        <f t="shared" si="31"/>
        <v>0.98</v>
      </c>
      <c r="D57" s="18">
        <f t="shared" si="32"/>
        <v>0.98</v>
      </c>
      <c r="E57" s="18">
        <f>Imaging!C57</f>
        <v>0.98</v>
      </c>
      <c r="F57" s="18">
        <f t="shared" si="33"/>
        <v>0.98</v>
      </c>
      <c r="G57" s="18">
        <f t="shared" si="34"/>
        <v>0.98</v>
      </c>
      <c r="H57" s="18">
        <f>Imaging!D57</f>
        <v>0.98</v>
      </c>
      <c r="I57" s="18">
        <f t="shared" si="35"/>
        <v>0.98</v>
      </c>
      <c r="J57" s="18">
        <f t="shared" si="36"/>
        <v>0.98</v>
      </c>
      <c r="K57" s="18">
        <f>Imaging!E57</f>
        <v>0.98</v>
      </c>
      <c r="L57" s="18">
        <f t="shared" si="37"/>
        <v>0.98</v>
      </c>
      <c r="M57" s="18">
        <f t="shared" si="38"/>
        <v>0.98</v>
      </c>
      <c r="N57" s="18">
        <f>Imaging!F57</f>
        <v>0.98</v>
      </c>
      <c r="O57" s="18"/>
    </row>
    <row r="58" spans="1:15">
      <c r="A58" s="15" t="s">
        <v>107</v>
      </c>
      <c r="B58" s="18">
        <f>Imaging!B58</f>
        <v>0.90979239583926164</v>
      </c>
      <c r="C58" s="18">
        <f t="shared" si="31"/>
        <v>0.91072456017926084</v>
      </c>
      <c r="D58" s="18">
        <f t="shared" si="32"/>
        <v>0.91165672451926016</v>
      </c>
      <c r="E58" s="18">
        <f>Imaging!C58</f>
        <v>0.91258888885925937</v>
      </c>
      <c r="F58" s="18">
        <f t="shared" si="33"/>
        <v>0.91352105319925858</v>
      </c>
      <c r="G58" s="18">
        <f t="shared" si="34"/>
        <v>0.9144532175392579</v>
      </c>
      <c r="H58" s="18">
        <f>Imaging!D58</f>
        <v>0.91538538187925711</v>
      </c>
      <c r="I58" s="18">
        <f t="shared" si="35"/>
        <v>0.91569610332592355</v>
      </c>
      <c r="J58" s="18">
        <f t="shared" si="36"/>
        <v>0.91600682477258999</v>
      </c>
      <c r="K58" s="18">
        <f>Imaging!E58</f>
        <v>0.91631754621925643</v>
      </c>
      <c r="L58" s="18">
        <f t="shared" si="37"/>
        <v>0.91631754621925643</v>
      </c>
      <c r="M58" s="18">
        <f t="shared" si="38"/>
        <v>0.91631754621925643</v>
      </c>
      <c r="N58" s="18">
        <f>Imaging!F58</f>
        <v>0.91631754621925643</v>
      </c>
      <c r="O58" s="18"/>
    </row>
    <row r="59" spans="1:15">
      <c r="A59" s="15" t="s">
        <v>151</v>
      </c>
      <c r="B59" s="18">
        <f>Imaging!B59</f>
        <v>0.996</v>
      </c>
      <c r="C59" s="18">
        <f t="shared" si="31"/>
        <v>0.99633333333333329</v>
      </c>
      <c r="D59" s="18">
        <f t="shared" si="32"/>
        <v>0.9966666666666667</v>
      </c>
      <c r="E59" s="18">
        <f>Imaging!C59</f>
        <v>0.997</v>
      </c>
      <c r="F59" s="18">
        <f t="shared" si="33"/>
        <v>0.997</v>
      </c>
      <c r="G59" s="18">
        <f t="shared" si="34"/>
        <v>0.997</v>
      </c>
      <c r="H59" s="18">
        <f>Imaging!D59</f>
        <v>0.997</v>
      </c>
      <c r="I59" s="18">
        <f t="shared" si="35"/>
        <v>0.99633333333333329</v>
      </c>
      <c r="J59" s="18">
        <f t="shared" si="36"/>
        <v>0.9956666666666667</v>
      </c>
      <c r="K59" s="18">
        <f>Imaging!E59</f>
        <v>0.995</v>
      </c>
      <c r="L59" s="18">
        <f t="shared" si="37"/>
        <v>0.9936666666666667</v>
      </c>
      <c r="M59" s="18">
        <f t="shared" si="38"/>
        <v>0.99233333333333329</v>
      </c>
      <c r="N59" s="18">
        <f>Imaging!F59</f>
        <v>0.99099999999999999</v>
      </c>
      <c r="O59" s="18"/>
    </row>
    <row r="60" spans="1:15">
      <c r="A60" s="15" t="s">
        <v>108</v>
      </c>
      <c r="B60" s="18">
        <f>Imaging!B60</f>
        <v>0.92800000000000005</v>
      </c>
      <c r="C60" s="18">
        <f t="shared" si="31"/>
        <v>0.93033333333333335</v>
      </c>
      <c r="D60" s="18">
        <v>0.93100000000000005</v>
      </c>
      <c r="E60" s="18">
        <f>Imaging!C60</f>
        <v>0.93500000000000005</v>
      </c>
      <c r="F60" s="18">
        <f t="shared" si="33"/>
        <v>0.93166666666666675</v>
      </c>
      <c r="G60" s="18">
        <f t="shared" si="34"/>
        <v>0.92833333333333334</v>
      </c>
      <c r="H60" s="18">
        <f>Imaging!D60</f>
        <v>0.92500000000000004</v>
      </c>
      <c r="I60" s="18">
        <f t="shared" si="35"/>
        <v>0.92066666666666663</v>
      </c>
      <c r="J60" s="18">
        <f t="shared" si="36"/>
        <v>0.91633333333333344</v>
      </c>
      <c r="K60" s="18">
        <f>Imaging!E60</f>
        <v>0.91200000000000003</v>
      </c>
      <c r="L60" s="18">
        <f t="shared" si="37"/>
        <v>0.89500000000000002</v>
      </c>
      <c r="M60" s="18">
        <v>0.88200000000000001</v>
      </c>
      <c r="N60" s="18">
        <f>Imaging!F60</f>
        <v>0.86099999999999999</v>
      </c>
      <c r="O60" s="18"/>
    </row>
    <row r="61" spans="1:15">
      <c r="A61" s="10" t="s">
        <v>40</v>
      </c>
      <c r="B61" s="29">
        <f>B47*B48*B49*B50*B51*B52*B53*B54*B55*B56*B57*B58*B59*B60</f>
        <v>0.47007531006686915</v>
      </c>
      <c r="C61" s="29">
        <f t="shared" ref="C61" si="39">C47*C48*C49*C50*C51*C52*C53*C54*C55*C56*C57*C58*C59*C60</f>
        <v>0.47239363837573539</v>
      </c>
      <c r="D61" s="29">
        <f t="shared" ref="D61" si="40">D47*D48*D49*D50*D51*D52*D53*D54*D55*D56*D57*D58*D59*D60</f>
        <v>0.47387125433983068</v>
      </c>
      <c r="E61" s="29">
        <f t="shared" ref="E61:N61" si="41">E47*E48*E49*E50*E51*E52*E53*E54*E55*E56*E57*E58*E59*E60</f>
        <v>0.47705313264623372</v>
      </c>
      <c r="F61" s="29">
        <f t="shared" si="41"/>
        <v>0.47694160421341741</v>
      </c>
      <c r="G61" s="29">
        <f t="shared" si="41"/>
        <v>0.47682202067289092</v>
      </c>
      <c r="H61" s="29">
        <f t="shared" si="41"/>
        <v>0.47669434956577039</v>
      </c>
      <c r="I61" s="29">
        <f t="shared" si="41"/>
        <v>0.47485473259792682</v>
      </c>
      <c r="J61" s="29">
        <f t="shared" si="41"/>
        <v>0.47301110160905308</v>
      </c>
      <c r="K61" s="29">
        <f t="shared" si="41"/>
        <v>0.47116345998368475</v>
      </c>
      <c r="L61" s="29">
        <f t="shared" si="41"/>
        <v>0.46125063056457083</v>
      </c>
      <c r="M61" s="29">
        <f t="shared" si="41"/>
        <v>0.45343803144798783</v>
      </c>
      <c r="N61" s="29">
        <f t="shared" si="41"/>
        <v>0.4415563879453972</v>
      </c>
      <c r="O61" s="29">
        <f>AVERAGE(B61:N61)</f>
        <v>0.46916351184841287</v>
      </c>
    </row>
    <row r="62" spans="1:15">
      <c r="A62" s="15" t="s">
        <v>126</v>
      </c>
      <c r="B62" s="18">
        <v>0.87761411261999989</v>
      </c>
      <c r="C62" s="18">
        <f t="shared" ref="C62" si="42">(E62-B62)/(E$46-B$46)*(C$46-B$46)+B62</f>
        <v>0.8812927318799999</v>
      </c>
      <c r="D62" s="18">
        <f t="shared" ref="D62" si="43">(E62-B62)/(E$46-B$46)*(D$46-B$46)+B62</f>
        <v>0.88497135113999992</v>
      </c>
      <c r="E62" s="18">
        <v>0.88864997039999993</v>
      </c>
      <c r="F62" s="18">
        <f t="shared" ref="F62" si="44">(H62-E62)/(H$46-E$46)*(F$46-E$46)+E62</f>
        <v>0.88475858579999989</v>
      </c>
      <c r="G62" s="18">
        <f t="shared" ref="G62" si="45">(H62-E62)/(H$46-E$46)*(G$46-E$46)+E62</f>
        <v>0.88086720119999995</v>
      </c>
      <c r="H62" s="18">
        <v>0.8769758165999999</v>
      </c>
      <c r="I62" s="18">
        <f t="shared" ref="I62" si="46">(K62-H62)/(K$46-H$46)*(I$46-H$46)+H62</f>
        <v>0.87636017759999996</v>
      </c>
      <c r="J62" s="18">
        <f t="shared" ref="J62" si="47">(K62-H62)/(K$46-H$46)*(J$46-H$46)+H62</f>
        <v>0.8757445385999999</v>
      </c>
      <c r="K62" s="18">
        <v>0.87512889959999995</v>
      </c>
      <c r="L62" s="18">
        <f t="shared" ref="L62" si="48">(N62-K62)/(N$46-K$46)*(L$46-K$46)+K62</f>
        <v>0.87765635075999993</v>
      </c>
      <c r="M62" s="18">
        <f t="shared" ref="M62" si="49">(N62-K62)/(N$46-K$46)*(M$46-K$46)+K62</f>
        <v>0.88018380192000001</v>
      </c>
      <c r="N62" s="18">
        <v>0.88271125307999998</v>
      </c>
      <c r="O62" s="18"/>
    </row>
    <row r="63" spans="1:15">
      <c r="A63" s="10" t="s">
        <v>125</v>
      </c>
      <c r="B63" s="29">
        <f>B61*B62</f>
        <v>0.41254472610890669</v>
      </c>
      <c r="C63" s="29">
        <f t="shared" ref="C63" si="50">C61*C62</f>
        <v>0.41631708008688462</v>
      </c>
      <c r="D63" s="29">
        <f t="shared" ref="D63" si="51">D61*D62</f>
        <v>0.41936248421952649</v>
      </c>
      <c r="E63" s="29">
        <f t="shared" ref="E63:N63" si="52">E61*E62</f>
        <v>0.42393325220530287</v>
      </c>
      <c r="F63" s="29">
        <f t="shared" si="52"/>
        <v>0.42197817925304648</v>
      </c>
      <c r="G63" s="29">
        <f t="shared" si="52"/>
        <v>0.42001687882065797</v>
      </c>
      <c r="H63" s="29">
        <f t="shared" si="52"/>
        <v>0.41804941647904731</v>
      </c>
      <c r="I63" s="29">
        <f t="shared" si="52"/>
        <v>0.41614377779371964</v>
      </c>
      <c r="J63" s="29">
        <f t="shared" si="52"/>
        <v>0.41423688893129784</v>
      </c>
      <c r="K63" s="29">
        <f t="shared" si="52"/>
        <v>0.41232876026725063</v>
      </c>
      <c r="L63" s="29">
        <f t="shared" si="52"/>
        <v>0.4048195452070501</v>
      </c>
      <c r="M63" s="29">
        <f t="shared" si="52"/>
        <v>0.39910881045501045</v>
      </c>
      <c r="N63" s="29">
        <f t="shared" si="52"/>
        <v>0.38976679250876017</v>
      </c>
      <c r="O63" s="29">
        <f>AVERAGE(B63:N63)</f>
        <v>0.41296973787203545</v>
      </c>
    </row>
    <row r="64" spans="1:15">
      <c r="A64" s="10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</row>
    <row r="65" spans="1:15">
      <c r="A65" s="10"/>
    </row>
    <row r="66" spans="1:15">
      <c r="A66" s="24" t="s">
        <v>90</v>
      </c>
    </row>
    <row r="67" spans="1:15">
      <c r="A67" s="15" t="s">
        <v>6</v>
      </c>
      <c r="B67" s="30">
        <v>818</v>
      </c>
      <c r="C67" s="62">
        <f>(E67-B67)/3+B67</f>
        <v>828.66666666666663</v>
      </c>
      <c r="D67" s="62">
        <f>(E67-B67)/3*2+B67</f>
        <v>839.33333333333337</v>
      </c>
      <c r="E67" s="30">
        <v>850</v>
      </c>
      <c r="F67" s="62">
        <f>(H67-E67)/3+E67</f>
        <v>863</v>
      </c>
      <c r="G67" s="62">
        <f>(H67-E67)/3*2+E67</f>
        <v>876</v>
      </c>
      <c r="H67" s="30">
        <v>889</v>
      </c>
      <c r="I67" s="62">
        <f>(K67-H67)/3+H67</f>
        <v>900</v>
      </c>
      <c r="J67" s="62">
        <f>(K67-H67)/3*2+H67</f>
        <v>911</v>
      </c>
      <c r="K67" s="30">
        <v>922</v>
      </c>
      <c r="L67" s="62"/>
      <c r="M67" s="62"/>
      <c r="N67" s="47">
        <v>960</v>
      </c>
      <c r="O67" s="62"/>
    </row>
    <row r="68" spans="1:15">
      <c r="A68" s="15" t="s">
        <v>5</v>
      </c>
      <c r="B68" s="18">
        <f>Imaging!B68</f>
        <v>0.86254392804599589</v>
      </c>
      <c r="C68" s="18">
        <f>(E68-B68)/(E$67-B$67)*(C$67-B$67)+B68</f>
        <v>0.86254940744586772</v>
      </c>
      <c r="D68" s="18">
        <f>(E68-B68)/(E$67-B$67)*(D$67-B$67)+B68</f>
        <v>0.86255488684573955</v>
      </c>
      <c r="E68" s="18">
        <f>Imaging!C68</f>
        <v>0.86256036624561139</v>
      </c>
      <c r="F68" s="18">
        <f>(H68-E68)/(H$67-E$67)*(F$67-E$67)+E68</f>
        <v>0.86256704426420516</v>
      </c>
      <c r="G68" s="18">
        <f>(H68-E68)/(H$67-E$67)*(G$67-E$67)+E68</f>
        <v>0.86257372228279905</v>
      </c>
      <c r="H68" s="18">
        <f>Imaging!D68</f>
        <v>0.86258040030139282</v>
      </c>
      <c r="I68" s="18">
        <f>(K68-H68)/(K$67-H$67)*(I$67-H$67)+H68</f>
        <v>0.86245852661883748</v>
      </c>
      <c r="J68" s="18">
        <f>(K68-H68)/(K$67-H$67)*(J$67-H$67)+H68</f>
        <v>0.86233665293628226</v>
      </c>
      <c r="K68" s="18">
        <f>Imaging!E68</f>
        <v>0.86221477925372692</v>
      </c>
      <c r="L68" s="18"/>
      <c r="M68" s="18"/>
      <c r="N68" s="50">
        <f>Imaging!F68</f>
        <v>0.86157349180855503</v>
      </c>
      <c r="O68" s="18"/>
    </row>
    <row r="69" spans="1:15">
      <c r="A69" s="15" t="s">
        <v>7</v>
      </c>
      <c r="B69" s="18">
        <f>Imaging!B69</f>
        <v>0.94089999999999996</v>
      </c>
      <c r="C69" s="18">
        <f t="shared" ref="C69:C82" si="53">(E69-B69)/(E$67-B$67)*(C$67-B$67)+B69</f>
        <v>0.94089999999999996</v>
      </c>
      <c r="D69" s="18">
        <f t="shared" ref="D69:D82" si="54">(E69-B69)/(E$67-B$67)*(D$67-B$67)+B69</f>
        <v>0.94089999999999996</v>
      </c>
      <c r="E69" s="18">
        <f>Imaging!C69</f>
        <v>0.94089999999999996</v>
      </c>
      <c r="F69" s="18">
        <f t="shared" ref="F69:F82" si="55">(H69-E69)/(H$67-E$67)*(F$67-E$67)+E69</f>
        <v>0.94089999999999996</v>
      </c>
      <c r="G69" s="18">
        <f t="shared" ref="G69:G82" si="56">(H69-E69)/(H$67-E$67)*(G$67-E$67)+E69</f>
        <v>0.94089999999999996</v>
      </c>
      <c r="H69" s="18">
        <f>Imaging!D69</f>
        <v>0.94089999999999996</v>
      </c>
      <c r="I69" s="18">
        <f t="shared" ref="I69:I83" si="57">(K69-H69)/(K$67-H$67)*(I$67-H$67)+H69</f>
        <v>0.94089999999999996</v>
      </c>
      <c r="J69" s="18">
        <f t="shared" ref="J69:J83" si="58">(K69-H69)/(K$67-H$67)*(J$67-H$67)+H69</f>
        <v>0.94089999999999996</v>
      </c>
      <c r="K69" s="18">
        <f>Imaging!E69</f>
        <v>0.94089999999999996</v>
      </c>
      <c r="L69" s="18"/>
      <c r="M69" s="18"/>
      <c r="N69" s="50">
        <f>Imaging!F69</f>
        <v>0.94089999999999996</v>
      </c>
      <c r="O69" s="18"/>
    </row>
    <row r="70" spans="1:15">
      <c r="A70" s="15" t="s">
        <v>27</v>
      </c>
      <c r="B70" s="18">
        <f>Imaging!B70</f>
        <v>0.98499999999999999</v>
      </c>
      <c r="C70" s="18">
        <f t="shared" si="53"/>
        <v>0.98499999999999999</v>
      </c>
      <c r="D70" s="18">
        <f t="shared" si="54"/>
        <v>0.98499999999999999</v>
      </c>
      <c r="E70" s="18">
        <f>Imaging!C70</f>
        <v>0.98499999999999999</v>
      </c>
      <c r="F70" s="18">
        <f t="shared" si="55"/>
        <v>0.98499999999999999</v>
      </c>
      <c r="G70" s="18">
        <f t="shared" si="56"/>
        <v>0.98499999999999999</v>
      </c>
      <c r="H70" s="18">
        <f>Imaging!D70</f>
        <v>0.98499999999999999</v>
      </c>
      <c r="I70" s="18">
        <f t="shared" si="57"/>
        <v>0.98499999999999999</v>
      </c>
      <c r="J70" s="18">
        <f t="shared" si="58"/>
        <v>0.98499999999999999</v>
      </c>
      <c r="K70" s="18">
        <f>Imaging!E70</f>
        <v>0.98499999999999999</v>
      </c>
      <c r="L70" s="18"/>
      <c r="M70" s="18"/>
      <c r="N70" s="50">
        <f>Imaging!F70</f>
        <v>0.98499999999999999</v>
      </c>
      <c r="O70" s="18"/>
    </row>
    <row r="71" spans="1:15">
      <c r="A71" s="15" t="s">
        <v>8</v>
      </c>
      <c r="B71" s="18">
        <f>Imaging!B71</f>
        <v>0.96039999999999992</v>
      </c>
      <c r="C71" s="18">
        <f t="shared" si="53"/>
        <v>0.96039999999999992</v>
      </c>
      <c r="D71" s="18">
        <f t="shared" si="54"/>
        <v>0.96039999999999992</v>
      </c>
      <c r="E71" s="18">
        <f>Imaging!C71</f>
        <v>0.96039999999999992</v>
      </c>
      <c r="F71" s="18">
        <f t="shared" si="55"/>
        <v>0.96039999999999992</v>
      </c>
      <c r="G71" s="18">
        <f t="shared" si="56"/>
        <v>0.96039999999999992</v>
      </c>
      <c r="H71" s="18">
        <f>Imaging!D71</f>
        <v>0.96039999999999992</v>
      </c>
      <c r="I71" s="18">
        <f t="shared" si="57"/>
        <v>0.96039999999999992</v>
      </c>
      <c r="J71" s="18">
        <f t="shared" si="58"/>
        <v>0.96039999999999992</v>
      </c>
      <c r="K71" s="18">
        <f>Imaging!E71</f>
        <v>0.96039999999999992</v>
      </c>
      <c r="L71" s="18"/>
      <c r="M71" s="18"/>
      <c r="N71" s="50">
        <f>Imaging!F71</f>
        <v>0.96039999999999992</v>
      </c>
      <c r="O71" s="18"/>
    </row>
    <row r="72" spans="1:15">
      <c r="A72" s="15" t="s">
        <v>85</v>
      </c>
      <c r="B72" s="18">
        <f>Imaging!B72</f>
        <v>0.95</v>
      </c>
      <c r="C72" s="18">
        <f t="shared" si="53"/>
        <v>0.95</v>
      </c>
      <c r="D72" s="18">
        <f t="shared" si="54"/>
        <v>0.95</v>
      </c>
      <c r="E72" s="18">
        <f>Imaging!C72</f>
        <v>0.95</v>
      </c>
      <c r="F72" s="18">
        <f t="shared" si="55"/>
        <v>0.95</v>
      </c>
      <c r="G72" s="18">
        <f t="shared" si="56"/>
        <v>0.95</v>
      </c>
      <c r="H72" s="18">
        <f>Imaging!D72</f>
        <v>0.95</v>
      </c>
      <c r="I72" s="18">
        <f t="shared" si="57"/>
        <v>0.95</v>
      </c>
      <c r="J72" s="18">
        <f t="shared" si="58"/>
        <v>0.95</v>
      </c>
      <c r="K72" s="18">
        <f>Imaging!E72</f>
        <v>0.95</v>
      </c>
      <c r="L72" s="18"/>
      <c r="M72" s="18"/>
      <c r="N72" s="50">
        <f>Imaging!F72</f>
        <v>0.95</v>
      </c>
      <c r="O72" s="18"/>
    </row>
    <row r="73" spans="1:15">
      <c r="A73" s="15" t="s">
        <v>102</v>
      </c>
      <c r="B73" s="18">
        <f>Imaging!B73</f>
        <v>0.91754649846089986</v>
      </c>
      <c r="C73" s="18">
        <f t="shared" si="53"/>
        <v>0.91754649846089986</v>
      </c>
      <c r="D73" s="18">
        <f t="shared" si="54"/>
        <v>0.91754649846089986</v>
      </c>
      <c r="E73" s="18">
        <f>Imaging!C73</f>
        <v>0.91754649846089986</v>
      </c>
      <c r="F73" s="18">
        <f t="shared" si="55"/>
        <v>0.91754649846089986</v>
      </c>
      <c r="G73" s="18">
        <f t="shared" si="56"/>
        <v>0.91754649846089986</v>
      </c>
      <c r="H73" s="18">
        <f>Imaging!D73</f>
        <v>0.91754649846089986</v>
      </c>
      <c r="I73" s="18">
        <f t="shared" si="57"/>
        <v>0.91722823744859994</v>
      </c>
      <c r="J73" s="18">
        <f t="shared" si="58"/>
        <v>0.9169099764362999</v>
      </c>
      <c r="K73" s="18">
        <f>Imaging!E73</f>
        <v>0.91659171542399998</v>
      </c>
      <c r="L73" s="18"/>
      <c r="M73" s="18"/>
      <c r="N73" s="50">
        <f>Imaging!F73</f>
        <v>0.91372736631329987</v>
      </c>
      <c r="O73" s="18"/>
    </row>
    <row r="74" spans="1:15">
      <c r="A74" s="15" t="s">
        <v>103</v>
      </c>
      <c r="B74" s="18">
        <f>Imaging!B74</f>
        <v>0.93099999999999994</v>
      </c>
      <c r="C74" s="18">
        <f t="shared" si="53"/>
        <v>0.93099999999999994</v>
      </c>
      <c r="D74" s="18">
        <f t="shared" si="54"/>
        <v>0.93099999999999994</v>
      </c>
      <c r="E74" s="18">
        <f>Imaging!C74</f>
        <v>0.93099999999999994</v>
      </c>
      <c r="F74" s="18">
        <f t="shared" si="55"/>
        <v>0.93099999999999994</v>
      </c>
      <c r="G74" s="18">
        <f t="shared" si="56"/>
        <v>0.93099999999999994</v>
      </c>
      <c r="H74" s="18">
        <f>Imaging!D74</f>
        <v>0.93099999999999994</v>
      </c>
      <c r="I74" s="18">
        <f t="shared" si="57"/>
        <v>0.93099999999999994</v>
      </c>
      <c r="J74" s="18">
        <f t="shared" si="58"/>
        <v>0.93099999999999994</v>
      </c>
      <c r="K74" s="18">
        <f>Imaging!E74</f>
        <v>0.93099999999999994</v>
      </c>
      <c r="L74" s="18"/>
      <c r="M74" s="18"/>
      <c r="N74" s="50">
        <f>Imaging!F74</f>
        <v>0.93099999999999994</v>
      </c>
      <c r="O74" s="18"/>
    </row>
    <row r="75" spans="1:15">
      <c r="A75" s="15" t="s">
        <v>104</v>
      </c>
      <c r="B75" s="18">
        <f>Imaging!B75</f>
        <v>0.97</v>
      </c>
      <c r="C75" s="18">
        <f t="shared" si="53"/>
        <v>0.97</v>
      </c>
      <c r="D75" s="18">
        <f t="shared" si="54"/>
        <v>0.97</v>
      </c>
      <c r="E75" s="18">
        <f>Imaging!C75</f>
        <v>0.97</v>
      </c>
      <c r="F75" s="18">
        <f t="shared" si="55"/>
        <v>0.97</v>
      </c>
      <c r="G75" s="18">
        <f t="shared" si="56"/>
        <v>0.97</v>
      </c>
      <c r="H75" s="18">
        <f>Imaging!D75</f>
        <v>0.97</v>
      </c>
      <c r="I75" s="18">
        <f t="shared" si="57"/>
        <v>0.97</v>
      </c>
      <c r="J75" s="18">
        <f t="shared" si="58"/>
        <v>0.97</v>
      </c>
      <c r="K75" s="18">
        <f>Imaging!E75</f>
        <v>0.97</v>
      </c>
      <c r="L75" s="18"/>
      <c r="M75" s="18"/>
      <c r="N75" s="50">
        <f>Imaging!F75</f>
        <v>0.97</v>
      </c>
      <c r="O75" s="18"/>
    </row>
    <row r="76" spans="1:15">
      <c r="A76" s="15" t="s">
        <v>105</v>
      </c>
      <c r="B76" s="18">
        <f>Imaging!B76</f>
        <v>0.97</v>
      </c>
      <c r="C76" s="18">
        <f t="shared" si="53"/>
        <v>0.97</v>
      </c>
      <c r="D76" s="18">
        <f t="shared" si="54"/>
        <v>0.97</v>
      </c>
      <c r="E76" s="18">
        <f>Imaging!C76</f>
        <v>0.97</v>
      </c>
      <c r="F76" s="18">
        <f t="shared" si="55"/>
        <v>0.97</v>
      </c>
      <c r="G76" s="18">
        <f t="shared" si="56"/>
        <v>0.97</v>
      </c>
      <c r="H76" s="18">
        <f>Imaging!D76</f>
        <v>0.97</v>
      </c>
      <c r="I76" s="18">
        <f t="shared" si="57"/>
        <v>0.97</v>
      </c>
      <c r="J76" s="18">
        <f t="shared" si="58"/>
        <v>0.97</v>
      </c>
      <c r="K76" s="18">
        <f>Imaging!E76</f>
        <v>0.97</v>
      </c>
      <c r="L76" s="18"/>
      <c r="M76" s="18"/>
      <c r="N76" s="50">
        <f>Imaging!F76</f>
        <v>0.97</v>
      </c>
      <c r="O76" s="18"/>
    </row>
    <row r="77" spans="1:15">
      <c r="A77" s="15" t="s">
        <v>106</v>
      </c>
      <c r="B77" s="18">
        <f>Imaging!B77</f>
        <v>0.93099999999999994</v>
      </c>
      <c r="C77" s="18">
        <f t="shared" si="53"/>
        <v>0.93099999999999994</v>
      </c>
      <c r="D77" s="18">
        <f t="shared" si="54"/>
        <v>0.93099999999999994</v>
      </c>
      <c r="E77" s="18">
        <f>Imaging!C77</f>
        <v>0.93099999999999994</v>
      </c>
      <c r="F77" s="18">
        <f t="shared" si="55"/>
        <v>0.93099999999999994</v>
      </c>
      <c r="G77" s="18">
        <f t="shared" si="56"/>
        <v>0.93099999999999994</v>
      </c>
      <c r="H77" s="18">
        <f>Imaging!D77</f>
        <v>0.93099999999999994</v>
      </c>
      <c r="I77" s="18">
        <f t="shared" si="57"/>
        <v>0.93099999999999994</v>
      </c>
      <c r="J77" s="18">
        <f t="shared" si="58"/>
        <v>0.93099999999999994</v>
      </c>
      <c r="K77" s="18">
        <f>Imaging!E77</f>
        <v>0.93099999999999994</v>
      </c>
      <c r="L77" s="18"/>
      <c r="M77" s="18"/>
      <c r="N77" s="50">
        <f>Imaging!F77</f>
        <v>0.93099999999999994</v>
      </c>
      <c r="O77" s="18"/>
    </row>
    <row r="78" spans="1:15">
      <c r="A78" s="15" t="s">
        <v>111</v>
      </c>
      <c r="B78" s="18">
        <f>Imaging!B78</f>
        <v>0.98</v>
      </c>
      <c r="C78" s="18">
        <f t="shared" si="53"/>
        <v>0.98</v>
      </c>
      <c r="D78" s="18">
        <f t="shared" si="54"/>
        <v>0.98</v>
      </c>
      <c r="E78" s="18">
        <f>Imaging!C78</f>
        <v>0.98</v>
      </c>
      <c r="F78" s="18">
        <f t="shared" si="55"/>
        <v>0.98</v>
      </c>
      <c r="G78" s="18">
        <f t="shared" si="56"/>
        <v>0.98</v>
      </c>
      <c r="H78" s="18">
        <f>Imaging!D78</f>
        <v>0.98</v>
      </c>
      <c r="I78" s="18">
        <f t="shared" si="57"/>
        <v>0.98</v>
      </c>
      <c r="J78" s="18">
        <f t="shared" si="58"/>
        <v>0.98</v>
      </c>
      <c r="K78" s="18">
        <f>Imaging!E78</f>
        <v>0.98</v>
      </c>
      <c r="L78" s="18"/>
      <c r="M78" s="18"/>
      <c r="N78" s="50">
        <f>Imaging!F78</f>
        <v>0.98</v>
      </c>
      <c r="O78" s="18"/>
    </row>
    <row r="79" spans="1:15">
      <c r="A79" s="15" t="s">
        <v>112</v>
      </c>
      <c r="B79" s="18">
        <f>Imaging!B79</f>
        <v>0.98</v>
      </c>
      <c r="C79" s="18">
        <f t="shared" si="53"/>
        <v>0.98</v>
      </c>
      <c r="D79" s="18">
        <f t="shared" si="54"/>
        <v>0.98</v>
      </c>
      <c r="E79" s="18">
        <f>Imaging!C79</f>
        <v>0.98</v>
      </c>
      <c r="F79" s="18">
        <f t="shared" si="55"/>
        <v>0.98</v>
      </c>
      <c r="G79" s="18">
        <f t="shared" si="56"/>
        <v>0.98</v>
      </c>
      <c r="H79" s="18">
        <f>Imaging!D79</f>
        <v>0.98</v>
      </c>
      <c r="I79" s="18">
        <f t="shared" si="57"/>
        <v>0.98</v>
      </c>
      <c r="J79" s="18">
        <f t="shared" si="58"/>
        <v>0.98</v>
      </c>
      <c r="K79" s="18">
        <f>Imaging!E79</f>
        <v>0.98</v>
      </c>
      <c r="L79" s="18"/>
      <c r="M79" s="18"/>
      <c r="N79" s="50">
        <f>Imaging!F79</f>
        <v>0.98</v>
      </c>
      <c r="O79" s="18"/>
    </row>
    <row r="80" spans="1:15">
      <c r="A80" s="15" t="s">
        <v>155</v>
      </c>
      <c r="B80" s="18">
        <f>Imaging!B80</f>
        <v>0.95199999999999996</v>
      </c>
      <c r="C80" s="18">
        <f t="shared" si="53"/>
        <v>0.96366666666666656</v>
      </c>
      <c r="D80" s="18">
        <f t="shared" si="54"/>
        <v>0.97533333333333339</v>
      </c>
      <c r="E80" s="18">
        <f>Imaging!C80</f>
        <v>0.98699999999999999</v>
      </c>
      <c r="F80" s="18">
        <f t="shared" si="55"/>
        <v>0.98699999999999999</v>
      </c>
      <c r="G80" s="18">
        <f t="shared" si="56"/>
        <v>0.98699999999999999</v>
      </c>
      <c r="H80" s="18">
        <f>Imaging!D80</f>
        <v>0.98699999999999999</v>
      </c>
      <c r="I80" s="18">
        <f t="shared" si="57"/>
        <v>0.97499999999999998</v>
      </c>
      <c r="J80" s="18">
        <f t="shared" si="58"/>
        <v>0.96299999999999997</v>
      </c>
      <c r="K80" s="18">
        <f>Imaging!E80</f>
        <v>0.95099999999999996</v>
      </c>
      <c r="L80" s="18"/>
      <c r="M80" s="18"/>
      <c r="N80" s="50">
        <f>Imaging!F80</f>
        <v>0</v>
      </c>
      <c r="O80" s="18"/>
    </row>
    <row r="81" spans="1:15">
      <c r="A81" s="15" t="s">
        <v>113</v>
      </c>
      <c r="B81" s="18">
        <f>Imaging!B81</f>
        <v>0.91818187489925485</v>
      </c>
      <c r="C81" s="18">
        <f t="shared" si="53"/>
        <v>0.91818187489925485</v>
      </c>
      <c r="D81" s="18">
        <f t="shared" si="54"/>
        <v>0.91818187489925485</v>
      </c>
      <c r="E81" s="18">
        <f>Imaging!C81</f>
        <v>0.91818187489925485</v>
      </c>
      <c r="F81" s="18">
        <f t="shared" si="55"/>
        <v>0.91787115345258841</v>
      </c>
      <c r="G81" s="18">
        <f t="shared" si="56"/>
        <v>0.91756043200592208</v>
      </c>
      <c r="H81" s="18">
        <f>Imaging!D81</f>
        <v>0.91724971055925564</v>
      </c>
      <c r="I81" s="18">
        <f t="shared" si="57"/>
        <v>0.91724971055925564</v>
      </c>
      <c r="J81" s="18">
        <f t="shared" si="58"/>
        <v>0.91724971055925564</v>
      </c>
      <c r="K81" s="18">
        <f>Imaging!E81</f>
        <v>0.91724971055925564</v>
      </c>
      <c r="L81" s="18"/>
      <c r="M81" s="18"/>
      <c r="N81" s="50">
        <f>Imaging!F81</f>
        <v>0.91631754621925643</v>
      </c>
      <c r="O81" s="18"/>
    </row>
    <row r="82" spans="1:15">
      <c r="A82" s="15" t="s">
        <v>152</v>
      </c>
      <c r="B82" s="18">
        <f>Imaging!B82</f>
        <v>0.99002500000000004</v>
      </c>
      <c r="C82" s="18">
        <f t="shared" si="53"/>
        <v>0.99002500000000004</v>
      </c>
      <c r="D82" s="18">
        <f t="shared" si="54"/>
        <v>0.99002500000000004</v>
      </c>
      <c r="E82" s="18">
        <f>Imaging!C82</f>
        <v>0.99002500000000004</v>
      </c>
      <c r="F82" s="18">
        <f t="shared" si="55"/>
        <v>0.99001666666666666</v>
      </c>
      <c r="G82" s="18">
        <f t="shared" si="56"/>
        <v>0.99000833333333338</v>
      </c>
      <c r="H82" s="18">
        <f>Imaging!D82</f>
        <v>0.99</v>
      </c>
      <c r="I82" s="18">
        <f t="shared" si="57"/>
        <v>0.99000833333333338</v>
      </c>
      <c r="J82" s="18">
        <f t="shared" si="58"/>
        <v>0.99001666666666666</v>
      </c>
      <c r="K82" s="18">
        <f>Imaging!E82</f>
        <v>0.99002500000000004</v>
      </c>
      <c r="L82" s="18"/>
      <c r="M82" s="18"/>
      <c r="N82" s="50">
        <f>Imaging!F82</f>
        <v>0.99002500000000004</v>
      </c>
      <c r="O82" s="18"/>
    </row>
    <row r="83" spans="1:15">
      <c r="A83" s="15" t="s">
        <v>114</v>
      </c>
      <c r="B83" s="18">
        <f>Imaging!B83</f>
        <v>0.86099999999999999</v>
      </c>
      <c r="C83" s="18">
        <v>0.83699999999999997</v>
      </c>
      <c r="D83" s="18">
        <v>0.81100000000000005</v>
      </c>
      <c r="E83" s="18">
        <f>Imaging!C83</f>
        <v>0.78400000000000003</v>
      </c>
      <c r="F83" s="18">
        <f>(E83+G83)/2</f>
        <v>0.74199999999999999</v>
      </c>
      <c r="G83" s="18">
        <v>0.7</v>
      </c>
      <c r="H83" s="18">
        <f>Imaging!D83</f>
        <v>0.64200000000000002</v>
      </c>
      <c r="I83" s="18">
        <f t="shared" si="57"/>
        <v>0.59666666666666668</v>
      </c>
      <c r="J83" s="18">
        <f t="shared" si="58"/>
        <v>0.55133333333333334</v>
      </c>
      <c r="K83" s="18">
        <f>Imaging!E83</f>
        <v>0.50600000000000001</v>
      </c>
      <c r="L83" s="18"/>
      <c r="M83" s="18"/>
      <c r="N83" s="50">
        <f>Imaging!F83</f>
        <v>0.30299999999999999</v>
      </c>
      <c r="O83" s="18"/>
    </row>
    <row r="84" spans="1:15">
      <c r="A84" s="10" t="s">
        <v>40</v>
      </c>
      <c r="B84" s="29">
        <f>B68*B69*B70*B71*B72*B73*B74*B75*B76*B77*B78*B79*B80*B81*B82*B83</f>
        <v>0.39054827042008233</v>
      </c>
      <c r="C84" s="29">
        <f t="shared" ref="C84:K84" si="59">C68*C69*C70*C71*C72*C73*C74*C75*C76*C77*C78*C79*C80*C81*C82*C83</f>
        <v>0.38431706833454987</v>
      </c>
      <c r="D84" s="29">
        <f t="shared" si="59"/>
        <v>0.37688951709960983</v>
      </c>
      <c r="E84" s="29">
        <f t="shared" si="59"/>
        <v>0.36870252428599914</v>
      </c>
      <c r="F84" s="29">
        <f t="shared" si="59"/>
        <v>0.34883227959441232</v>
      </c>
      <c r="G84" s="29">
        <f t="shared" si="59"/>
        <v>0.32897543015165304</v>
      </c>
      <c r="H84" s="29">
        <f t="shared" si="59"/>
        <v>0.30161508898548828</v>
      </c>
      <c r="I84" s="29">
        <f>I68*I69*I70*I71*I72*I73*I74*I75*I76*I77*I78*I79*I80*I81*I82*I83</f>
        <v>0.27677630021803085</v>
      </c>
      <c r="J84" s="29">
        <f t="shared" si="59"/>
        <v>0.25247862037646773</v>
      </c>
      <c r="K84" s="29">
        <f t="shared" si="59"/>
        <v>0.22872129782080733</v>
      </c>
      <c r="L84" s="29"/>
      <c r="M84" s="29"/>
      <c r="N84" s="50">
        <v>0.17414495585462456</v>
      </c>
      <c r="O84" s="29">
        <f>AVERAGE(B84:K84)</f>
        <v>0.32578563972871005</v>
      </c>
    </row>
    <row r="85" spans="1:15">
      <c r="A85" s="15" t="s">
        <v>126</v>
      </c>
      <c r="B85" s="18">
        <v>0.87232158575999996</v>
      </c>
      <c r="C85" s="18">
        <f t="shared" ref="C85" si="60">(E85-B85)/(E$67-B$67)*(C$67-B$67)+B85</f>
        <v>0.88115363017333326</v>
      </c>
      <c r="D85" s="18">
        <f t="shared" ref="D85" si="61">(E85-B85)/(E$67-B$67)*(D$67-B$67)+B85</f>
        <v>0.88998567458666666</v>
      </c>
      <c r="E85" s="18">
        <v>0.89881771899999996</v>
      </c>
      <c r="F85" s="18">
        <f t="shared" ref="F85" si="62">(H85-E85)/(H$67-E$67)*(F$67-E$67)+E85</f>
        <v>0.90536097078</v>
      </c>
      <c r="G85" s="18">
        <f t="shared" ref="G85" si="63">(H85-E85)/(H$67-E$67)*(G$67-E$67)+E85</f>
        <v>0.91190422255999992</v>
      </c>
      <c r="H85" s="18">
        <v>0.91844747433999996</v>
      </c>
      <c r="I85" s="18">
        <f t="shared" ref="I85" si="64">(K85-H85)/(K$67-H$67)*(I$67-H$67)+H85</f>
        <v>0.92099148694666666</v>
      </c>
      <c r="J85" s="18">
        <f t="shared" ref="J85" si="65">(K85-H85)/(K$67-H$67)*(J$67-H$67)+H85</f>
        <v>0.92353549955333325</v>
      </c>
      <c r="K85" s="18">
        <v>0.92607951215999995</v>
      </c>
      <c r="L85" s="18"/>
      <c r="M85" s="18"/>
      <c r="N85" s="48">
        <v>0.92969890879999995</v>
      </c>
      <c r="O85" s="18"/>
    </row>
    <row r="86" spans="1:15">
      <c r="A86" s="10" t="s">
        <v>125</v>
      </c>
      <c r="B86" s="29">
        <f>B84*B85</f>
        <v>0.34068368656867148</v>
      </c>
      <c r="C86" s="29">
        <f t="shared" ref="C86" si="66">C84*C85</f>
        <v>0.33864237990056162</v>
      </c>
      <c r="D86" s="29">
        <f t="shared" ref="D86" si="67">D84*D85</f>
        <v>0.3354262711205393</v>
      </c>
      <c r="E86" s="29">
        <f t="shared" ref="E86:K86" si="68">E84*E85</f>
        <v>0.33139636186828386</v>
      </c>
      <c r="F86" s="29">
        <f t="shared" si="68"/>
        <v>0.31581913129299755</v>
      </c>
      <c r="G86" s="29">
        <f t="shared" si="68"/>
        <v>0.29999408387378473</v>
      </c>
      <c r="H86" s="29">
        <f t="shared" si="68"/>
        <v>0.27701761670155606</v>
      </c>
      <c r="I86" s="29">
        <f t="shared" si="68"/>
        <v>0.25490861628940126</v>
      </c>
      <c r="J86" s="29">
        <f t="shared" si="68"/>
        <v>0.23317296879591751</v>
      </c>
      <c r="K86" s="29">
        <f t="shared" si="68"/>
        <v>0.21181410790649532</v>
      </c>
      <c r="L86" s="29"/>
      <c r="M86" s="29"/>
      <c r="N86" s="50">
        <v>0.16190237543106861</v>
      </c>
      <c r="O86" s="29">
        <f>AVERAGE(B86:K86)</f>
        <v>0.29388752243182081</v>
      </c>
    </row>
    <row r="87" spans="1:15">
      <c r="A87" s="10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</row>
    <row r="88" spans="1:15">
      <c r="A88" s="21" t="s">
        <v>1</v>
      </c>
    </row>
    <row r="89" spans="1:15">
      <c r="A89" s="15" t="s">
        <v>6</v>
      </c>
      <c r="B89" s="30">
        <v>980</v>
      </c>
      <c r="C89" s="62">
        <f>(E89-B89)/3+B89</f>
        <v>986.66666666666663</v>
      </c>
      <c r="D89" s="62">
        <f>(E89-B89)/3*2+B89</f>
        <v>993.33333333333337</v>
      </c>
      <c r="E89" s="30">
        <v>1000</v>
      </c>
      <c r="F89" s="62">
        <f>(H89-E89)/3+E89</f>
        <v>1013.3333333333334</v>
      </c>
      <c r="G89" s="62">
        <f>(H89-E89)/3*2+E89</f>
        <v>1026.6666666666667</v>
      </c>
      <c r="H89" s="30">
        <v>1040</v>
      </c>
      <c r="I89" s="62">
        <f>(K89-H89)/3+H89</f>
        <v>1056.6666666666667</v>
      </c>
      <c r="J89" s="62">
        <f>(K89-H89)/3*2+H89</f>
        <v>1073.3333333333333</v>
      </c>
      <c r="K89" s="30">
        <v>1090</v>
      </c>
      <c r="L89" s="62">
        <f>(N89-K89)/3+K89</f>
        <v>1100</v>
      </c>
      <c r="M89" s="62">
        <f>(N89-K89)/3*2+K89</f>
        <v>1110</v>
      </c>
      <c r="N89" s="30">
        <v>1120</v>
      </c>
      <c r="O89" s="62"/>
    </row>
    <row r="90" spans="1:15">
      <c r="A90" s="15" t="s">
        <v>5</v>
      </c>
      <c r="B90" s="18">
        <f>Imaging!B90</f>
        <v>0.8612359721005699</v>
      </c>
      <c r="C90" s="18">
        <f>(E90-B90)/(E$89-B$89)*(C$89-B$89)+B90</f>
        <v>0.86112346553124153</v>
      </c>
      <c r="D90" s="18">
        <f>(E90-B90)/(E$89-B$89)*(D$89-B$89)+B90</f>
        <v>0.86101095896191304</v>
      </c>
      <c r="E90" s="18">
        <f>Imaging!C90</f>
        <v>0.86089845239258467</v>
      </c>
      <c r="F90" s="18">
        <f>(H90-E90)/(H$89-E$89)*(F$89-E$89)+E90</f>
        <v>0.86090245423024048</v>
      </c>
      <c r="G90" s="18">
        <f>(H90-E90)/(H$89-E$89)*(G$89-E$89)+E90</f>
        <v>0.8609064560678964</v>
      </c>
      <c r="H90" s="18">
        <f>Imaging!D90</f>
        <v>0.86091045790555221</v>
      </c>
      <c r="I90" s="18">
        <f>(K90-H90)/(K$89-H$89)*(I$89-H$89)+H90</f>
        <v>0.860915460202622</v>
      </c>
      <c r="J90" s="18">
        <f>(K90-H90)/(K$89-H$89)*(J$89-H$89)+H90</f>
        <v>0.8609204624996919</v>
      </c>
      <c r="K90" s="18">
        <f>Imaging!E90</f>
        <v>0.86092546479676169</v>
      </c>
      <c r="L90" s="18">
        <f>(N90-K90)/(N$89-K$89)*(L$89-K$89)+K90</f>
        <v>0.86092813539754987</v>
      </c>
      <c r="M90" s="18">
        <f>(N90-K90)/(N$89-K$89)*(M$89-K$89)+K90</f>
        <v>0.86093080599833816</v>
      </c>
      <c r="N90" s="18">
        <f>Imaging!F90</f>
        <v>0.86093347659912633</v>
      </c>
      <c r="O90" s="18"/>
    </row>
    <row r="91" spans="1:15">
      <c r="A91" s="15" t="s">
        <v>7</v>
      </c>
      <c r="B91" s="18">
        <f>Imaging!B91</f>
        <v>0.94089999999999996</v>
      </c>
      <c r="C91" s="18">
        <f t="shared" ref="C91:C100" si="69">(E91-B91)/(E$89-B$89)*(C$89-B$89)+B91</f>
        <v>0.94089999999999996</v>
      </c>
      <c r="D91" s="18">
        <f t="shared" ref="D91:D100" si="70">(E91-B91)/(E$89-B$89)*(D$89-B$89)+B91</f>
        <v>0.94089999999999996</v>
      </c>
      <c r="E91" s="18">
        <f>Imaging!C91</f>
        <v>0.94089999999999996</v>
      </c>
      <c r="F91" s="18">
        <f t="shared" ref="F91:F100" si="71">(H91-E91)/(H$89-E$89)*(F$89-E$89)+E91</f>
        <v>0.94089999999999996</v>
      </c>
      <c r="G91" s="18">
        <f t="shared" ref="G91:G100" si="72">(H91-E91)/(H$89-E$89)*(G$89-E$89)+E91</f>
        <v>0.94089999999999996</v>
      </c>
      <c r="H91" s="18">
        <f>Imaging!D91</f>
        <v>0.94089999999999996</v>
      </c>
      <c r="I91" s="18">
        <f t="shared" ref="I91:I100" si="73">(K91-H91)/(K$89-H$89)*(I$89-H$89)+H91</f>
        <v>0.94089999999999996</v>
      </c>
      <c r="J91" s="18">
        <f t="shared" ref="J91:J100" si="74">(K91-H91)/(K$89-H$89)*(J$89-H$89)+H91</f>
        <v>0.94089999999999996</v>
      </c>
      <c r="K91" s="18">
        <f>Imaging!E91</f>
        <v>0.94089999999999996</v>
      </c>
      <c r="L91" s="18">
        <f t="shared" ref="L91:L100" si="75">(N91-K91)/(N$89-K$89)*(L$89-K$89)+K91</f>
        <v>0.94089999999999996</v>
      </c>
      <c r="M91" s="18">
        <f t="shared" ref="M91:M100" si="76">(N91-K91)/(N$89-K$89)*(M$89-K$89)+K91</f>
        <v>0.94089999999999996</v>
      </c>
      <c r="N91" s="18">
        <f>Imaging!F91</f>
        <v>0.94089999999999996</v>
      </c>
      <c r="O91" s="18"/>
    </row>
    <row r="92" spans="1:15">
      <c r="A92" s="15" t="s">
        <v>28</v>
      </c>
      <c r="B92" s="18">
        <f>Imaging!B92</f>
        <v>0.93099999999999994</v>
      </c>
      <c r="C92" s="18">
        <f t="shared" si="69"/>
        <v>0.93099999999999994</v>
      </c>
      <c r="D92" s="18">
        <f t="shared" si="70"/>
        <v>0.93099999999999994</v>
      </c>
      <c r="E92" s="18">
        <f>Imaging!C92</f>
        <v>0.93099999999999994</v>
      </c>
      <c r="F92" s="18">
        <f t="shared" si="71"/>
        <v>0.93099999999999994</v>
      </c>
      <c r="G92" s="18">
        <f t="shared" si="72"/>
        <v>0.93099999999999994</v>
      </c>
      <c r="H92" s="18">
        <f>Imaging!D92</f>
        <v>0.93099999999999994</v>
      </c>
      <c r="I92" s="18">
        <f t="shared" si="73"/>
        <v>0.93099999999999994</v>
      </c>
      <c r="J92" s="18">
        <f t="shared" si="74"/>
        <v>0.93099999999999994</v>
      </c>
      <c r="K92" s="18">
        <f>Imaging!E92</f>
        <v>0.93099999999999994</v>
      </c>
      <c r="L92" s="18">
        <f t="shared" si="75"/>
        <v>0.93099999999999994</v>
      </c>
      <c r="M92" s="18">
        <f t="shared" si="76"/>
        <v>0.93099999999999994</v>
      </c>
      <c r="N92" s="18">
        <f>Imaging!F92</f>
        <v>0.93099999999999994</v>
      </c>
      <c r="O92" s="18"/>
    </row>
    <row r="93" spans="1:15">
      <c r="A93" s="15" t="s">
        <v>37</v>
      </c>
      <c r="B93" s="18">
        <f>Imaging!B93</f>
        <v>0.90439291139495326</v>
      </c>
      <c r="C93" s="18">
        <f t="shared" si="69"/>
        <v>0.90439291139495326</v>
      </c>
      <c r="D93" s="18">
        <f t="shared" si="70"/>
        <v>0.90439291139495326</v>
      </c>
      <c r="E93" s="18">
        <f>Imaging!C93</f>
        <v>0.90439291139495326</v>
      </c>
      <c r="F93" s="18">
        <f t="shared" si="71"/>
        <v>0.90439291139495326</v>
      </c>
      <c r="G93" s="18">
        <f t="shared" si="72"/>
        <v>0.90439291139495326</v>
      </c>
      <c r="H93" s="18">
        <f>Imaging!D93</f>
        <v>0.90439291139495326</v>
      </c>
      <c r="I93" s="18">
        <f t="shared" si="73"/>
        <v>0.90439291139495326</v>
      </c>
      <c r="J93" s="18">
        <f t="shared" si="74"/>
        <v>0.90439291139495326</v>
      </c>
      <c r="K93" s="18">
        <f>Imaging!E93</f>
        <v>0.90439291139495326</v>
      </c>
      <c r="L93" s="18">
        <f t="shared" si="75"/>
        <v>0.90439291139495326</v>
      </c>
      <c r="M93" s="18">
        <f t="shared" si="76"/>
        <v>0.90439291139495326</v>
      </c>
      <c r="N93" s="18">
        <f>Imaging!F93</f>
        <v>0.90439291139495326</v>
      </c>
      <c r="O93" s="18"/>
    </row>
    <row r="94" spans="1:15">
      <c r="A94" s="15" t="s">
        <v>25</v>
      </c>
      <c r="B94" s="18">
        <f>Imaging!B94</f>
        <v>0.98499999999999999</v>
      </c>
      <c r="C94" s="18">
        <f t="shared" si="69"/>
        <v>0.98499999999999999</v>
      </c>
      <c r="D94" s="18">
        <f t="shared" si="70"/>
        <v>0.98499999999999999</v>
      </c>
      <c r="E94" s="18">
        <f>Imaging!C94</f>
        <v>0.98499999999999999</v>
      </c>
      <c r="F94" s="18">
        <f t="shared" si="71"/>
        <v>0.98499999999999999</v>
      </c>
      <c r="G94" s="18">
        <f t="shared" si="72"/>
        <v>0.98499999999999999</v>
      </c>
      <c r="H94" s="18">
        <f>Imaging!D94</f>
        <v>0.98499999999999999</v>
      </c>
      <c r="I94" s="18">
        <f t="shared" si="73"/>
        <v>0.98499999999999999</v>
      </c>
      <c r="J94" s="18">
        <f t="shared" si="74"/>
        <v>0.98499999999999999</v>
      </c>
      <c r="K94" s="18">
        <f>Imaging!E94</f>
        <v>0.98499999999999999</v>
      </c>
      <c r="L94" s="18">
        <f t="shared" si="75"/>
        <v>0.98499999999999999</v>
      </c>
      <c r="M94" s="18">
        <f t="shared" si="76"/>
        <v>0.98499999999999999</v>
      </c>
      <c r="N94" s="18">
        <f>Imaging!F94</f>
        <v>0.98499999999999999</v>
      </c>
      <c r="O94" s="18"/>
    </row>
    <row r="95" spans="1:15">
      <c r="A95" s="15" t="s">
        <v>29</v>
      </c>
      <c r="B95" s="18">
        <f>Imaging!B95</f>
        <v>0.98</v>
      </c>
      <c r="C95" s="18">
        <f t="shared" si="69"/>
        <v>0.98</v>
      </c>
      <c r="D95" s="18">
        <f t="shared" si="70"/>
        <v>0.98</v>
      </c>
      <c r="E95" s="18">
        <f>Imaging!C95</f>
        <v>0.98</v>
      </c>
      <c r="F95" s="18">
        <f t="shared" si="71"/>
        <v>0.98</v>
      </c>
      <c r="G95" s="18">
        <f t="shared" si="72"/>
        <v>0.98</v>
      </c>
      <c r="H95" s="18">
        <f>Imaging!D95</f>
        <v>0.98</v>
      </c>
      <c r="I95" s="18">
        <f t="shared" si="73"/>
        <v>0.98</v>
      </c>
      <c r="J95" s="18">
        <f t="shared" si="74"/>
        <v>0.98</v>
      </c>
      <c r="K95" s="18">
        <f>Imaging!E95</f>
        <v>0.98</v>
      </c>
      <c r="L95" s="18">
        <f t="shared" si="75"/>
        <v>0.98</v>
      </c>
      <c r="M95" s="18">
        <f t="shared" si="76"/>
        <v>0.98</v>
      </c>
      <c r="N95" s="18">
        <f>Imaging!F95</f>
        <v>0.98</v>
      </c>
      <c r="O95" s="18"/>
    </row>
    <row r="96" spans="1:15">
      <c r="A96" s="15" t="s">
        <v>22</v>
      </c>
      <c r="B96" s="18">
        <f>Imaging!B96</f>
        <v>0.98</v>
      </c>
      <c r="C96" s="18">
        <f t="shared" si="69"/>
        <v>0.98</v>
      </c>
      <c r="D96" s="18">
        <f t="shared" si="70"/>
        <v>0.98</v>
      </c>
      <c r="E96" s="18">
        <f>Imaging!C96</f>
        <v>0.98</v>
      </c>
      <c r="F96" s="18">
        <f t="shared" si="71"/>
        <v>0.98</v>
      </c>
      <c r="G96" s="18">
        <f t="shared" si="72"/>
        <v>0.98</v>
      </c>
      <c r="H96" s="18">
        <f>Imaging!D96</f>
        <v>0.98</v>
      </c>
      <c r="I96" s="18">
        <f t="shared" si="73"/>
        <v>0.98</v>
      </c>
      <c r="J96" s="18">
        <f t="shared" si="74"/>
        <v>0.98</v>
      </c>
      <c r="K96" s="18">
        <f>Imaging!E96</f>
        <v>0.98</v>
      </c>
      <c r="L96" s="18">
        <f t="shared" si="75"/>
        <v>0.98</v>
      </c>
      <c r="M96" s="18">
        <f t="shared" si="76"/>
        <v>0.98</v>
      </c>
      <c r="N96" s="18">
        <f>Imaging!F96</f>
        <v>0.98</v>
      </c>
      <c r="O96" s="18"/>
    </row>
    <row r="97" spans="1:15">
      <c r="A97" s="15" t="s">
        <v>30</v>
      </c>
      <c r="B97" s="18">
        <f>Imaging!B97</f>
        <v>0.98499999999999999</v>
      </c>
      <c r="C97" s="18">
        <f t="shared" si="69"/>
        <v>0.98499999999999999</v>
      </c>
      <c r="D97" s="18">
        <f t="shared" si="70"/>
        <v>0.98499999999999999</v>
      </c>
      <c r="E97" s="18">
        <f>Imaging!C97</f>
        <v>0.98499999999999999</v>
      </c>
      <c r="F97" s="18">
        <f t="shared" si="71"/>
        <v>0.98499999999999999</v>
      </c>
      <c r="G97" s="18">
        <f t="shared" si="72"/>
        <v>0.98499999999999999</v>
      </c>
      <c r="H97" s="18">
        <f>Imaging!D97</f>
        <v>0.98499999999999999</v>
      </c>
      <c r="I97" s="18">
        <f t="shared" si="73"/>
        <v>0.98499999999999999</v>
      </c>
      <c r="J97" s="18">
        <f t="shared" si="74"/>
        <v>0.98499999999999999</v>
      </c>
      <c r="K97" s="18">
        <f>Imaging!E97</f>
        <v>0.98499999999999999</v>
      </c>
      <c r="L97" s="18">
        <f t="shared" si="75"/>
        <v>0.98499999999999999</v>
      </c>
      <c r="M97" s="18">
        <f t="shared" si="76"/>
        <v>0.98499999999999999</v>
      </c>
      <c r="N97" s="18">
        <f>Imaging!F97</f>
        <v>0.98499999999999999</v>
      </c>
      <c r="O97" s="18"/>
    </row>
    <row r="98" spans="1:15">
      <c r="A98" s="15" t="s">
        <v>258</v>
      </c>
      <c r="B98" s="18">
        <f>Imaging!B98</f>
        <v>0.94099999999999995</v>
      </c>
      <c r="C98" s="18">
        <f>(E98-B98)/(E$89-B$89)*(C$89-B$89)+B98</f>
        <v>0.94866666666666655</v>
      </c>
      <c r="D98" s="18">
        <f t="shared" ref="D98" si="77">(E98-B98)/(E$89-B$89)*(D$89-B$89)+B98</f>
        <v>0.95633333333333337</v>
      </c>
      <c r="E98" s="18">
        <f>Imaging!C98</f>
        <v>0.96399999999999997</v>
      </c>
      <c r="F98" s="18">
        <f t="shared" ref="F98" si="78">(H98-E98)/(H$89-E$89)*(F$89-E$89)+E98</f>
        <v>0.96399999999999997</v>
      </c>
      <c r="G98" s="18">
        <f t="shared" ref="G98" si="79">(H98-E98)/(H$89-E$89)*(G$89-E$89)+E98</f>
        <v>0.96399999999999997</v>
      </c>
      <c r="H98" s="18">
        <f>Imaging!D98</f>
        <v>0.96399999999999997</v>
      </c>
      <c r="I98" s="18">
        <f t="shared" ref="I98" si="80">(K98-H98)/(K$89-H$89)*(I$89-H$89)+H98</f>
        <v>0.95466666666666666</v>
      </c>
      <c r="J98" s="18">
        <f t="shared" ref="J98" si="81">(K98-H98)/(K$89-H$89)*(J$89-H$89)+H98</f>
        <v>0.94533333333333336</v>
      </c>
      <c r="K98" s="18">
        <f>Imaging!E98</f>
        <v>0.93600000000000005</v>
      </c>
      <c r="L98" s="18">
        <f t="shared" ref="L98" si="82">(N98-K98)/(N$89-K$89)*(L$89-K$89)+K98</f>
        <v>0.93866666666666665</v>
      </c>
      <c r="M98" s="18">
        <f t="shared" ref="M98" si="83">(N98-K98)/(N$89-K$89)*(M$89-K$89)+K98</f>
        <v>0.94133333333333336</v>
      </c>
      <c r="N98" s="18">
        <f>Imaging!F98</f>
        <v>0.94399999999999995</v>
      </c>
      <c r="O98" s="18"/>
    </row>
    <row r="99" spans="1:15">
      <c r="A99" s="15" t="s">
        <v>17</v>
      </c>
      <c r="B99" s="18">
        <f>Imaging!B99</f>
        <v>0.91700000000000004</v>
      </c>
      <c r="C99" s="18">
        <f t="shared" si="69"/>
        <v>0.91700000000000004</v>
      </c>
      <c r="D99" s="18">
        <f t="shared" si="70"/>
        <v>0.91700000000000004</v>
      </c>
      <c r="E99" s="18">
        <f>Imaging!C99</f>
        <v>0.91700000000000004</v>
      </c>
      <c r="F99" s="18">
        <f t="shared" si="71"/>
        <v>0.91700000000000004</v>
      </c>
      <c r="G99" s="18">
        <f t="shared" si="72"/>
        <v>0.91700000000000004</v>
      </c>
      <c r="H99" s="18">
        <f>Imaging!D99</f>
        <v>0.91700000000000004</v>
      </c>
      <c r="I99" s="18">
        <f t="shared" si="73"/>
        <v>0.91700000000000004</v>
      </c>
      <c r="J99" s="18">
        <f t="shared" si="74"/>
        <v>0.91700000000000004</v>
      </c>
      <c r="K99" s="18">
        <f>Imaging!E99</f>
        <v>0.91700000000000004</v>
      </c>
      <c r="L99" s="18">
        <f t="shared" si="75"/>
        <v>0.91700000000000004</v>
      </c>
      <c r="M99" s="18">
        <f t="shared" si="76"/>
        <v>0.91700000000000004</v>
      </c>
      <c r="N99" s="18">
        <f>Imaging!F99</f>
        <v>0.91700000000000004</v>
      </c>
      <c r="O99" s="18"/>
    </row>
    <row r="100" spans="1:15">
      <c r="A100" s="15" t="s">
        <v>33</v>
      </c>
      <c r="B100" s="18">
        <f>Imaging!B100</f>
        <v>0.8</v>
      </c>
      <c r="C100" s="18">
        <f t="shared" si="69"/>
        <v>0.8</v>
      </c>
      <c r="D100" s="18">
        <f t="shared" si="70"/>
        <v>0.8</v>
      </c>
      <c r="E100" s="18">
        <f>Imaging!C100</f>
        <v>0.8</v>
      </c>
      <c r="F100" s="18">
        <f t="shared" si="71"/>
        <v>0.8</v>
      </c>
      <c r="G100" s="18">
        <f t="shared" si="72"/>
        <v>0.8</v>
      </c>
      <c r="H100" s="18">
        <f>Imaging!D100</f>
        <v>0.8</v>
      </c>
      <c r="I100" s="18">
        <f t="shared" si="73"/>
        <v>0.8</v>
      </c>
      <c r="J100" s="18">
        <f t="shared" si="74"/>
        <v>0.8</v>
      </c>
      <c r="K100" s="18">
        <f>Imaging!E100</f>
        <v>0.8</v>
      </c>
      <c r="L100" s="18">
        <f t="shared" si="75"/>
        <v>0.8</v>
      </c>
      <c r="M100" s="18">
        <f t="shared" si="76"/>
        <v>0.8</v>
      </c>
      <c r="N100" s="18">
        <f>Imaging!F100</f>
        <v>0.8</v>
      </c>
      <c r="O100" s="18"/>
    </row>
    <row r="101" spans="1:15">
      <c r="A101" s="10" t="s">
        <v>40</v>
      </c>
      <c r="B101" s="29">
        <f>B90*B91*B92*B93*B94*B95*B96*B97*B99*B100</f>
        <v>0.46639769497968236</v>
      </c>
      <c r="C101" s="29">
        <f t="shared" ref="C101" si="84">C90*C91*C92*C93*C94*C95*C96*C97*C99*C100</f>
        <v>0.46633676765394966</v>
      </c>
      <c r="D101" s="29">
        <f t="shared" ref="D101" si="85">D90*D91*D92*D93*D94*D95*D96*D97*D99*D100</f>
        <v>0.46627584032821701</v>
      </c>
      <c r="E101" s="29">
        <f t="shared" ref="E101:N101" si="86">E90*E91*E92*E93*E94*E95*E96*E97*E99*E100</f>
        <v>0.4662149130024843</v>
      </c>
      <c r="F101" s="29">
        <f t="shared" si="86"/>
        <v>0.46621708017607999</v>
      </c>
      <c r="G101" s="29">
        <f t="shared" si="86"/>
        <v>0.46621924734967579</v>
      </c>
      <c r="H101" s="29">
        <f t="shared" si="86"/>
        <v>0.46622141452327126</v>
      </c>
      <c r="I101" s="29">
        <f t="shared" si="86"/>
        <v>0.46622412349026593</v>
      </c>
      <c r="J101" s="29">
        <f t="shared" si="86"/>
        <v>0.46622683245726049</v>
      </c>
      <c r="K101" s="29">
        <f t="shared" si="86"/>
        <v>0.4662295414242551</v>
      </c>
      <c r="L101" s="29">
        <f t="shared" si="86"/>
        <v>0.46623098767370608</v>
      </c>
      <c r="M101" s="29">
        <f t="shared" si="86"/>
        <v>0.46623243392315711</v>
      </c>
      <c r="N101" s="29">
        <f t="shared" si="86"/>
        <v>0.46623388017260825</v>
      </c>
      <c r="O101" s="29">
        <f>AVERAGE(B101:N101)</f>
        <v>0.46625082747343172</v>
      </c>
    </row>
    <row r="102" spans="1:15">
      <c r="A102" s="15" t="s">
        <v>126</v>
      </c>
      <c r="B102" s="36">
        <v>0.92969890879999995</v>
      </c>
      <c r="C102" s="18">
        <f>(E102-B102)/(E$89-B$89)*(C$89-B$89)+B102</f>
        <v>0.93096887253333327</v>
      </c>
      <c r="D102" s="18">
        <f>(E102-B102)/(E$89-B$89)*(D$89-B$89)+B102</f>
        <v>0.93223883626666659</v>
      </c>
      <c r="E102" s="36">
        <v>0.93350879999999992</v>
      </c>
      <c r="F102" s="18">
        <f>(H102-E102)/(H$89-E$89)*(F$89-E$89)+E102</f>
        <v>0.93440307999999994</v>
      </c>
      <c r="G102" s="18">
        <f>(H102-E102)/(H$89-E$89)*(G$89-E$89)+E102</f>
        <v>0.93529735999999997</v>
      </c>
      <c r="H102" s="36">
        <v>0.93619163999999999</v>
      </c>
      <c r="I102" s="18">
        <f>(K102-H102)/(K$89-H$89)*(I$89-H$89)+H102</f>
        <v>0.93730948999999997</v>
      </c>
      <c r="J102" s="18">
        <f>(K102-H102)/(K$89-H$89)*(J$89-H$89)+H102</f>
        <v>0.93842734000000005</v>
      </c>
      <c r="K102" s="36">
        <v>0.93954519000000003</v>
      </c>
      <c r="L102" s="18">
        <f>(N102-K102)/(N$89-K$89)*(L$89-K$89)+K102</f>
        <v>0.93996090426666667</v>
      </c>
      <c r="M102" s="18">
        <f>(N102-K102)/(N$89-K$89)*(M$89-K$89)+K102</f>
        <v>0.94037661853333332</v>
      </c>
      <c r="N102" s="36">
        <v>0.94079233279999996</v>
      </c>
      <c r="O102" s="18"/>
    </row>
    <row r="103" spans="1:15">
      <c r="A103" s="10" t="s">
        <v>125</v>
      </c>
      <c r="B103" s="29">
        <f>B101*B102</f>
        <v>0.43360942808944591</v>
      </c>
      <c r="C103" s="29">
        <f t="shared" ref="C103" si="87">C101*C102</f>
        <v>0.43414501480363649</v>
      </c>
      <c r="D103" s="29">
        <f t="shared" ref="D103" si="88">D101*D102</f>
        <v>0.43468044676683909</v>
      </c>
      <c r="E103" s="29">
        <f t="shared" ref="E103:N103" si="89">E101*E102</f>
        <v>0.4352157239790535</v>
      </c>
      <c r="F103" s="29">
        <f t="shared" si="89"/>
        <v>0.43563467566513608</v>
      </c>
      <c r="G103" s="29">
        <f t="shared" si="89"/>
        <v>0.43605363122733876</v>
      </c>
      <c r="H103" s="29">
        <f t="shared" si="89"/>
        <v>0.43647259066566113</v>
      </c>
      <c r="I103" s="29">
        <f t="shared" si="89"/>
        <v>0.43699629541435814</v>
      </c>
      <c r="J103" s="29">
        <f t="shared" si="89"/>
        <v>0.43752000621949266</v>
      </c>
      <c r="K103" s="29">
        <f t="shared" si="89"/>
        <v>0.43804372308106465</v>
      </c>
      <c r="L103" s="29">
        <f t="shared" si="89"/>
        <v>0.43823890077091787</v>
      </c>
      <c r="M103" s="29">
        <f t="shared" si="89"/>
        <v>0.43843407966322423</v>
      </c>
      <c r="N103" s="29">
        <f t="shared" si="89"/>
        <v>0.43862925975798378</v>
      </c>
      <c r="O103" s="29">
        <f>AVERAGE(B103:N103)</f>
        <v>0.43643644431570394</v>
      </c>
    </row>
    <row r="104" spans="1:15">
      <c r="A104" s="10"/>
    </row>
    <row r="105" spans="1:15">
      <c r="A105" s="3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</row>
    <row r="106" spans="1:15">
      <c r="A106" s="22" t="s">
        <v>2</v>
      </c>
    </row>
    <row r="107" spans="1:15">
      <c r="A107" s="15" t="s">
        <v>6</v>
      </c>
      <c r="B107" s="30">
        <v>1150</v>
      </c>
      <c r="C107" s="62">
        <f>(E107-B107)/3+B107</f>
        <v>1166.6666666666667</v>
      </c>
      <c r="D107" s="62">
        <f>(E107-B107)/3*2+B107</f>
        <v>1183.3333333333333</v>
      </c>
      <c r="E107" s="30">
        <v>1200</v>
      </c>
      <c r="F107" s="62">
        <f>(H107-E107)/3+E107</f>
        <v>1216.6666666666667</v>
      </c>
      <c r="G107" s="62">
        <f>(H107-E107)/3*2+E107</f>
        <v>1233.3333333333333</v>
      </c>
      <c r="H107" s="30">
        <v>1250</v>
      </c>
      <c r="I107" s="62">
        <f>(K107-H107)/3+H107</f>
        <v>1266.6666666666667</v>
      </c>
      <c r="J107" s="62">
        <f>(K107-H107)/3*2+H107</f>
        <v>1283.3333333333333</v>
      </c>
      <c r="K107" s="30">
        <v>1300</v>
      </c>
      <c r="L107" s="62">
        <f>(N107-K107)/3+K107</f>
        <v>1316.6666666666667</v>
      </c>
      <c r="M107" s="62">
        <f>(N107-K107)/3*2+K107</f>
        <v>1333.3333333333333</v>
      </c>
      <c r="N107" s="30">
        <v>1350</v>
      </c>
      <c r="O107" s="62"/>
    </row>
    <row r="108" spans="1:15">
      <c r="A108" s="15" t="s">
        <v>5</v>
      </c>
      <c r="B108" s="18">
        <f>Imaging!B108</f>
        <v>0.86094099223531051</v>
      </c>
      <c r="C108" s="18">
        <f>(E108-B108)/(E$107-B$107)*(C$107-B$107)+B108</f>
        <v>0.86094516758874617</v>
      </c>
      <c r="D108" s="18">
        <f>(E108-B108)/(E$107-B$107)*(D$107-B$107)+B108</f>
        <v>0.86094934294218173</v>
      </c>
      <c r="E108" s="18">
        <f>Imaging!C108</f>
        <v>0.86095351829561739</v>
      </c>
      <c r="F108" s="18">
        <f>(H108-E108)/(H$107-E$107)*(F$107-E$107)+E108</f>
        <v>0.86066982271537207</v>
      </c>
      <c r="G108" s="18">
        <f>(H108-E108)/(H$107-E$107)*(G$107-E$107)+E108</f>
        <v>0.86038612713512685</v>
      </c>
      <c r="H108" s="18">
        <f>Imaging!D108</f>
        <v>0.86010243155488153</v>
      </c>
      <c r="I108" s="18">
        <f>(K108-H108)/(K$107-H$107)*(I$107-H$107)+H108</f>
        <v>0.85981873597463621</v>
      </c>
      <c r="J108" s="18">
        <f>(K108-H108)/(K$107-H$107)*(J$107-H$107)+H108</f>
        <v>0.85953504039439099</v>
      </c>
      <c r="K108" s="18">
        <f>Imaging!E108</f>
        <v>0.85925134481414567</v>
      </c>
      <c r="L108" s="18">
        <f>(N108-K108)/(N$107-K$107)*(L$107-K$107)+K108</f>
        <v>0.85896734006992803</v>
      </c>
      <c r="M108" s="18">
        <f>(N108-K108)/(N$107-K$107)*(M$107-K$107)+K108</f>
        <v>0.8586833353257104</v>
      </c>
      <c r="N108" s="18">
        <f>Imaging!F108</f>
        <v>0.85839933058149276</v>
      </c>
      <c r="O108" s="18"/>
    </row>
    <row r="109" spans="1:15">
      <c r="A109" s="15" t="s">
        <v>7</v>
      </c>
      <c r="B109" s="18">
        <f>Imaging!B109</f>
        <v>0.94089999999999996</v>
      </c>
      <c r="C109" s="18">
        <f t="shared" ref="C109:C119" si="90">(E109-B109)/(E$107-B$107)*(C$107-B$107)+B109</f>
        <v>0.94089999999999996</v>
      </c>
      <c r="D109" s="18">
        <f t="shared" ref="D109:D119" si="91">(E109-B109)/(E$107-B$107)*(D$107-B$107)+B109</f>
        <v>0.94089999999999996</v>
      </c>
      <c r="E109" s="18">
        <f>Imaging!C109</f>
        <v>0.94089999999999996</v>
      </c>
      <c r="F109" s="18">
        <f t="shared" ref="F109:F119" si="92">(H109-E109)/(H$107-E$107)*(F$107-E$107)+E109</f>
        <v>0.94089999999999996</v>
      </c>
      <c r="G109" s="18">
        <f t="shared" ref="G109:G119" si="93">(H109-E109)/(H$107-E$107)*(G$107-E$107)+E109</f>
        <v>0.94089999999999996</v>
      </c>
      <c r="H109" s="18">
        <f>Imaging!D109</f>
        <v>0.94089999999999996</v>
      </c>
      <c r="I109" s="18">
        <f t="shared" ref="I109:I119" si="94">(K109-H109)/(K$107-H$107)*(I$107-H$107)+H109</f>
        <v>0.94089999999999996</v>
      </c>
      <c r="J109" s="18">
        <f t="shared" ref="J109:J119" si="95">(K109-H109)/(K$107-H$107)*(J$107-H$107)+H109</f>
        <v>0.94089999999999996</v>
      </c>
      <c r="K109" s="18">
        <f>Imaging!E109</f>
        <v>0.94089999999999996</v>
      </c>
      <c r="L109" s="18">
        <f t="shared" ref="L109:L119" si="96">(N109-K109)/(N$107-K$107)*(L$107-K$107)+K109</f>
        <v>0.94089999999999996</v>
      </c>
      <c r="M109" s="18">
        <f t="shared" ref="M109:M119" si="97">(N109-K109)/(N$107-K$107)*(M$107-K$107)+K109</f>
        <v>0.94089999999999996</v>
      </c>
      <c r="N109" s="18">
        <f>Imaging!F109</f>
        <v>0.94089999999999996</v>
      </c>
      <c r="O109" s="18"/>
    </row>
    <row r="110" spans="1:15">
      <c r="A110" s="15" t="s">
        <v>28</v>
      </c>
      <c r="B110" s="18">
        <f>Imaging!B110</f>
        <v>0.93099999999999994</v>
      </c>
      <c r="C110" s="18">
        <f t="shared" si="90"/>
        <v>0.93099999999999994</v>
      </c>
      <c r="D110" s="18">
        <f t="shared" si="91"/>
        <v>0.93099999999999994</v>
      </c>
      <c r="E110" s="18">
        <f>Imaging!C110</f>
        <v>0.93099999999999994</v>
      </c>
      <c r="F110" s="18">
        <f t="shared" si="92"/>
        <v>0.93099999999999994</v>
      </c>
      <c r="G110" s="18">
        <f t="shared" si="93"/>
        <v>0.93099999999999994</v>
      </c>
      <c r="H110" s="18">
        <f>Imaging!D110</f>
        <v>0.93099999999999994</v>
      </c>
      <c r="I110" s="18">
        <f t="shared" si="94"/>
        <v>0.93099999999999994</v>
      </c>
      <c r="J110" s="18">
        <f t="shared" si="95"/>
        <v>0.93099999999999994</v>
      </c>
      <c r="K110" s="18">
        <f>Imaging!E110</f>
        <v>0.93099999999999994</v>
      </c>
      <c r="L110" s="18">
        <f t="shared" si="96"/>
        <v>0.93099999999999994</v>
      </c>
      <c r="M110" s="18">
        <f t="shared" si="97"/>
        <v>0.93099999999999994</v>
      </c>
      <c r="N110" s="18">
        <f>Imaging!F110</f>
        <v>0.93099999999999994</v>
      </c>
      <c r="O110" s="18"/>
    </row>
    <row r="111" spans="1:15">
      <c r="A111" s="15" t="s">
        <v>37</v>
      </c>
      <c r="B111" s="18">
        <f>Imaging!B111</f>
        <v>0.90439291139495326</v>
      </c>
      <c r="C111" s="18">
        <f t="shared" si="90"/>
        <v>0.90439291139495326</v>
      </c>
      <c r="D111" s="18">
        <f t="shared" si="91"/>
        <v>0.90439291139495326</v>
      </c>
      <c r="E111" s="18">
        <f>Imaging!C111</f>
        <v>0.90439291139495326</v>
      </c>
      <c r="F111" s="18">
        <f t="shared" si="92"/>
        <v>0.90348488638351254</v>
      </c>
      <c r="G111" s="18">
        <f t="shared" si="93"/>
        <v>0.90257686137207183</v>
      </c>
      <c r="H111" s="18">
        <f>Imaging!D111</f>
        <v>0.90166883636063111</v>
      </c>
      <c r="I111" s="18">
        <f t="shared" si="94"/>
        <v>0.90076081134919039</v>
      </c>
      <c r="J111" s="18">
        <f t="shared" si="95"/>
        <v>0.89985278633774968</v>
      </c>
      <c r="K111" s="18">
        <f>Imaging!E111</f>
        <v>0.89894476132630896</v>
      </c>
      <c r="L111" s="18">
        <f t="shared" si="96"/>
        <v>0.89833941131868178</v>
      </c>
      <c r="M111" s="18">
        <f t="shared" si="97"/>
        <v>0.89773406131105471</v>
      </c>
      <c r="N111" s="18">
        <f>Imaging!F111</f>
        <v>0.89712871130342753</v>
      </c>
      <c r="O111" s="18"/>
    </row>
    <row r="112" spans="1:15">
      <c r="A112" s="15" t="s">
        <v>25</v>
      </c>
      <c r="B112" s="18">
        <f>Imaging!B112</f>
        <v>0.98499999999999999</v>
      </c>
      <c r="C112" s="18">
        <f t="shared" si="90"/>
        <v>0.98499999999999999</v>
      </c>
      <c r="D112" s="18">
        <f t="shared" si="91"/>
        <v>0.98499999999999999</v>
      </c>
      <c r="E112" s="18">
        <f>Imaging!C112</f>
        <v>0.98499999999999999</v>
      </c>
      <c r="F112" s="18">
        <f t="shared" si="92"/>
        <v>0.98499999999999999</v>
      </c>
      <c r="G112" s="18">
        <f t="shared" si="93"/>
        <v>0.98499999999999999</v>
      </c>
      <c r="H112" s="18">
        <f>Imaging!D112</f>
        <v>0.98499999999999999</v>
      </c>
      <c r="I112" s="18">
        <f t="shared" si="94"/>
        <v>0.98499999999999999</v>
      </c>
      <c r="J112" s="18">
        <f t="shared" si="95"/>
        <v>0.98499999999999999</v>
      </c>
      <c r="K112" s="18">
        <f>Imaging!E112</f>
        <v>0.98499999999999999</v>
      </c>
      <c r="L112" s="18">
        <f t="shared" si="96"/>
        <v>0.98499999999999999</v>
      </c>
      <c r="M112" s="18">
        <f t="shared" si="97"/>
        <v>0.98499999999999999</v>
      </c>
      <c r="N112" s="18">
        <f>Imaging!F112</f>
        <v>0.98499999999999999</v>
      </c>
      <c r="O112" s="18"/>
    </row>
    <row r="113" spans="1:15">
      <c r="A113" s="15" t="s">
        <v>29</v>
      </c>
      <c r="B113" s="18">
        <f>Imaging!B113</f>
        <v>0.98</v>
      </c>
      <c r="C113" s="18">
        <f t="shared" si="90"/>
        <v>0.98</v>
      </c>
      <c r="D113" s="18">
        <f t="shared" si="91"/>
        <v>0.98</v>
      </c>
      <c r="E113" s="18">
        <f>Imaging!C113</f>
        <v>0.98</v>
      </c>
      <c r="F113" s="18">
        <f t="shared" si="92"/>
        <v>0.98</v>
      </c>
      <c r="G113" s="18">
        <f t="shared" si="93"/>
        <v>0.98</v>
      </c>
      <c r="H113" s="18">
        <f>Imaging!D113</f>
        <v>0.98</v>
      </c>
      <c r="I113" s="18">
        <f t="shared" si="94"/>
        <v>0.98</v>
      </c>
      <c r="J113" s="18">
        <f t="shared" si="95"/>
        <v>0.98</v>
      </c>
      <c r="K113" s="18">
        <f>Imaging!E113</f>
        <v>0.98</v>
      </c>
      <c r="L113" s="18">
        <f t="shared" si="96"/>
        <v>0.98</v>
      </c>
      <c r="M113" s="18">
        <f t="shared" si="97"/>
        <v>0.98</v>
      </c>
      <c r="N113" s="18">
        <f>Imaging!F113</f>
        <v>0.98</v>
      </c>
      <c r="O113" s="18"/>
    </row>
    <row r="114" spans="1:15">
      <c r="A114" s="15" t="s">
        <v>21</v>
      </c>
      <c r="B114" s="18">
        <f>Imaging!B114</f>
        <v>0.92149999999999999</v>
      </c>
      <c r="C114" s="18">
        <f>(E114-B114)/(E$107-B$107)*(C$107-B$107)+B114</f>
        <v>0.92149999999999999</v>
      </c>
      <c r="D114" s="18">
        <f t="shared" si="91"/>
        <v>0.92149999999999999</v>
      </c>
      <c r="E114" s="18">
        <f>Imaging!C114</f>
        <v>0.92149999999999999</v>
      </c>
      <c r="F114" s="18">
        <f t="shared" si="92"/>
        <v>0.92149999999999999</v>
      </c>
      <c r="G114" s="18">
        <f t="shared" si="93"/>
        <v>0.92149999999999999</v>
      </c>
      <c r="H114" s="18">
        <f>Imaging!D114</f>
        <v>0.92149999999999999</v>
      </c>
      <c r="I114" s="18">
        <f t="shared" si="94"/>
        <v>0.92149999999999999</v>
      </c>
      <c r="J114" s="18">
        <f t="shared" si="95"/>
        <v>0.92149999999999999</v>
      </c>
      <c r="K114" s="18">
        <f>Imaging!E114</f>
        <v>0.92149999999999999</v>
      </c>
      <c r="L114" s="18">
        <f t="shared" si="96"/>
        <v>0.92149999999999999</v>
      </c>
      <c r="M114" s="18">
        <f t="shared" si="97"/>
        <v>0.92149999999999999</v>
      </c>
      <c r="N114" s="18">
        <f>Imaging!F114</f>
        <v>0.92149999999999999</v>
      </c>
      <c r="O114" s="18"/>
    </row>
    <row r="115" spans="1:15">
      <c r="A115" s="15" t="s">
        <v>69</v>
      </c>
      <c r="B115" s="18">
        <f>Imaging!B115</f>
        <v>0.99</v>
      </c>
      <c r="C115" s="18">
        <f t="shared" si="90"/>
        <v>0.99</v>
      </c>
      <c r="D115" s="18">
        <f t="shared" si="91"/>
        <v>0.99</v>
      </c>
      <c r="E115" s="18">
        <f>Imaging!C115</f>
        <v>0.99</v>
      </c>
      <c r="F115" s="18">
        <f t="shared" si="92"/>
        <v>0.99</v>
      </c>
      <c r="G115" s="18">
        <f t="shared" si="93"/>
        <v>0.99</v>
      </c>
      <c r="H115" s="18">
        <f>Imaging!D115</f>
        <v>0.99</v>
      </c>
      <c r="I115" s="18">
        <f t="shared" si="94"/>
        <v>0.99</v>
      </c>
      <c r="J115" s="18">
        <f t="shared" si="95"/>
        <v>0.99</v>
      </c>
      <c r="K115" s="18">
        <f>Imaging!E115</f>
        <v>0.99</v>
      </c>
      <c r="L115" s="18">
        <f t="shared" si="96"/>
        <v>0.99</v>
      </c>
      <c r="M115" s="18">
        <f t="shared" si="97"/>
        <v>0.99</v>
      </c>
      <c r="N115" s="18">
        <f>Imaging!F115</f>
        <v>0.99</v>
      </c>
      <c r="O115" s="18"/>
    </row>
    <row r="116" spans="1:15">
      <c r="A116" s="15" t="s">
        <v>70</v>
      </c>
      <c r="B116" s="18">
        <f>Imaging!B116</f>
        <v>0.99</v>
      </c>
      <c r="C116" s="18">
        <f t="shared" si="90"/>
        <v>0.99</v>
      </c>
      <c r="D116" s="18">
        <f t="shared" si="91"/>
        <v>0.99</v>
      </c>
      <c r="E116" s="18">
        <f>Imaging!C116</f>
        <v>0.99</v>
      </c>
      <c r="F116" s="18">
        <f t="shared" si="92"/>
        <v>0.99</v>
      </c>
      <c r="G116" s="18">
        <f t="shared" si="93"/>
        <v>0.99</v>
      </c>
      <c r="H116" s="18">
        <f>Imaging!D116</f>
        <v>0.99</v>
      </c>
      <c r="I116" s="18">
        <f t="shared" si="94"/>
        <v>0.99</v>
      </c>
      <c r="J116" s="18">
        <f t="shared" si="95"/>
        <v>0.99</v>
      </c>
      <c r="K116" s="18">
        <f>Imaging!E116</f>
        <v>0.99</v>
      </c>
      <c r="L116" s="18">
        <f t="shared" si="96"/>
        <v>0.99</v>
      </c>
      <c r="M116" s="18">
        <f t="shared" si="97"/>
        <v>0.99</v>
      </c>
      <c r="N116" s="18">
        <f>Imaging!F116</f>
        <v>0.99</v>
      </c>
      <c r="O116" s="18"/>
    </row>
    <row r="117" spans="1:15">
      <c r="A117" s="15" t="s">
        <v>259</v>
      </c>
      <c r="B117" s="18">
        <f>Imaging!B117</f>
        <v>0.93799999999999994</v>
      </c>
      <c r="C117" s="18">
        <f t="shared" ref="C117" si="98">(E117-B117)/(E$107-B$107)*(C$107-B$107)+B117</f>
        <v>0.94966666666666666</v>
      </c>
      <c r="D117" s="18">
        <f t="shared" ref="D117" si="99">(E117-B117)/(E$107-B$107)*(D$107-B$107)+B117</f>
        <v>0.96133333333333326</v>
      </c>
      <c r="E117" s="18">
        <f>Imaging!C117</f>
        <v>0.97299999999999998</v>
      </c>
      <c r="F117" s="18">
        <f t="shared" ref="F117" si="100">(H117-E117)/(H$107-E$107)*(F$107-E$107)+E117</f>
        <v>0.97299999999999998</v>
      </c>
      <c r="G117" s="18">
        <f t="shared" ref="G117" si="101">(H117-E117)/(H$107-E$107)*(G$107-E$107)+E117</f>
        <v>0.97299999999999998</v>
      </c>
      <c r="H117" s="18">
        <f>Imaging!D117</f>
        <v>0.97299999999999998</v>
      </c>
      <c r="I117" s="18">
        <f t="shared" ref="I117" si="102">(K117-H117)/(K$107-H$107)*(I$107-H$107)+H117</f>
        <v>0.98166666666666669</v>
      </c>
      <c r="J117" s="18">
        <f t="shared" ref="J117" si="103">(K117-H117)/(K$107-H$107)*(J$107-H$107)+H117</f>
        <v>0.99033333333333329</v>
      </c>
      <c r="K117" s="18">
        <f>Imaging!E117</f>
        <v>0.999</v>
      </c>
      <c r="L117" s="18">
        <f t="shared" ref="L117" si="104">(N117-K117)/(N$107-K$107)*(L$107-K$107)+K117</f>
        <v>0.995</v>
      </c>
      <c r="M117" s="18">
        <f t="shared" ref="M117" si="105">(N117-K117)/(N$107-K$107)*(M$107-K$107)+K117</f>
        <v>0.99099999999999999</v>
      </c>
      <c r="N117" s="18">
        <f>Imaging!F117</f>
        <v>0.98699999999999999</v>
      </c>
      <c r="O117" s="18"/>
    </row>
    <row r="118" spans="1:15">
      <c r="A118" s="15" t="s">
        <v>18</v>
      </c>
      <c r="B118" s="18">
        <f>Imaging!B118</f>
        <v>0.91700000000000004</v>
      </c>
      <c r="C118" s="18">
        <f t="shared" si="90"/>
        <v>0.91700000000000004</v>
      </c>
      <c r="D118" s="18">
        <f t="shared" si="91"/>
        <v>0.91700000000000004</v>
      </c>
      <c r="E118" s="18">
        <f>Imaging!C118</f>
        <v>0.91700000000000004</v>
      </c>
      <c r="F118" s="18">
        <f t="shared" si="92"/>
        <v>0.91666666666666674</v>
      </c>
      <c r="G118" s="18">
        <f t="shared" si="93"/>
        <v>0.91633333333333333</v>
      </c>
      <c r="H118" s="18">
        <f>Imaging!D118</f>
        <v>0.91600000000000004</v>
      </c>
      <c r="I118" s="18">
        <f t="shared" si="94"/>
        <v>0.91600000000000004</v>
      </c>
      <c r="J118" s="18">
        <f t="shared" si="95"/>
        <v>0.91600000000000004</v>
      </c>
      <c r="K118" s="18">
        <f>Imaging!E118</f>
        <v>0.91600000000000004</v>
      </c>
      <c r="L118" s="18">
        <f t="shared" si="96"/>
        <v>0.91566666666666674</v>
      </c>
      <c r="M118" s="18">
        <f t="shared" si="97"/>
        <v>0.91533333333333333</v>
      </c>
      <c r="N118" s="18">
        <f>Imaging!F118</f>
        <v>0.91500000000000004</v>
      </c>
      <c r="O118" s="18"/>
    </row>
    <row r="119" spans="1:15">
      <c r="A119" s="15" t="s">
        <v>32</v>
      </c>
      <c r="B119" s="18">
        <f>Imaging!B119</f>
        <v>0.8</v>
      </c>
      <c r="C119" s="18">
        <f t="shared" si="90"/>
        <v>0.8</v>
      </c>
      <c r="D119" s="18">
        <f t="shared" si="91"/>
        <v>0.8</v>
      </c>
      <c r="E119" s="18">
        <f>Imaging!C119</f>
        <v>0.8</v>
      </c>
      <c r="F119" s="18">
        <f t="shared" si="92"/>
        <v>0.8</v>
      </c>
      <c r="G119" s="18">
        <f t="shared" si="93"/>
        <v>0.8</v>
      </c>
      <c r="H119" s="18">
        <f>Imaging!D119</f>
        <v>0.8</v>
      </c>
      <c r="I119" s="18">
        <f t="shared" si="94"/>
        <v>0.8</v>
      </c>
      <c r="J119" s="18">
        <f t="shared" si="95"/>
        <v>0.8</v>
      </c>
      <c r="K119" s="18">
        <f>Imaging!E119</f>
        <v>0.8</v>
      </c>
      <c r="L119" s="18">
        <f t="shared" si="96"/>
        <v>0.8</v>
      </c>
      <c r="M119" s="18">
        <f t="shared" si="97"/>
        <v>0.8</v>
      </c>
      <c r="N119" s="18">
        <f>Imaging!F119</f>
        <v>0.8</v>
      </c>
      <c r="O119" s="18"/>
    </row>
    <row r="120" spans="1:15">
      <c r="A120" s="10" t="s">
        <v>40</v>
      </c>
      <c r="B120" s="29">
        <f>B108*B109*B110*B111*B112*B113*B114*B115*B116*B118*B119</f>
        <v>0.43622549418487699</v>
      </c>
      <c r="C120" s="29">
        <f t="shared" ref="C120" si="106">C108*C109*C110*C111*C112*C113*C114*C115*C116*C118*C119</f>
        <v>0.43622760977192909</v>
      </c>
      <c r="D120" s="29">
        <f t="shared" ref="D120" si="107">D108*D109*D110*D111*D112*D113*D114*D115*D116*D118*D119</f>
        <v>0.4362297253589813</v>
      </c>
      <c r="E120" s="29">
        <f t="shared" ref="E120:N120" si="108">E108*E109*E110*E111*E112*E113*E114*E115*E116*E118*E119</f>
        <v>0.43623184094603346</v>
      </c>
      <c r="F120" s="29">
        <f t="shared" si="108"/>
        <v>0.43549189663599708</v>
      </c>
      <c r="G120" s="29">
        <f t="shared" si="108"/>
        <v>0.43475266357517228</v>
      </c>
      <c r="H120" s="29">
        <f t="shared" si="108"/>
        <v>0.4340141414487903</v>
      </c>
      <c r="I120" s="29">
        <f t="shared" si="108"/>
        <v>0.43343405703707438</v>
      </c>
      <c r="J120" s="29">
        <f t="shared" si="108"/>
        <v>0.432854260953493</v>
      </c>
      <c r="K120" s="29">
        <f t="shared" si="108"/>
        <v>0.43227475319804598</v>
      </c>
      <c r="L120" s="29">
        <f t="shared" si="108"/>
        <v>0.43168373000531191</v>
      </c>
      <c r="M120" s="29">
        <f t="shared" si="108"/>
        <v>0.43109321487649255</v>
      </c>
      <c r="N120" s="29">
        <f t="shared" si="108"/>
        <v>0.43050320760151356</v>
      </c>
      <c r="O120" s="29">
        <f>AVERAGE(B120:N120)</f>
        <v>0.43392435350720859</v>
      </c>
    </row>
    <row r="121" spans="1:15">
      <c r="A121" s="15" t="s">
        <v>126</v>
      </c>
      <c r="B121" s="36">
        <v>0.94165698200000003</v>
      </c>
      <c r="C121" s="18">
        <f>(E121-B121)/(E$107-B$107)*(C$107-B$107)+B121</f>
        <v>0.94213734266666671</v>
      </c>
      <c r="D121" s="18">
        <f>(E121-B121)/(E$107-B$107)*(D$107-B$107)+B121</f>
        <v>0.94261770333333328</v>
      </c>
      <c r="E121" s="36">
        <v>0.94309806399999996</v>
      </c>
      <c r="F121" s="18">
        <f>(H121-E121)/(H$107-E$107)*(F$107-E$107)+E121</f>
        <v>0.94390215733333327</v>
      </c>
      <c r="G121" s="18">
        <f>(H121-E121)/(H$107-E$107)*(G$107-E$107)+E121</f>
        <v>0.94470625066666658</v>
      </c>
      <c r="H121" s="36">
        <v>0.94551034399999989</v>
      </c>
      <c r="I121" s="18">
        <f>(K121-H121)/(K$107-H$107)*(I$107-H$107)+H121</f>
        <v>0.9463144373333332</v>
      </c>
      <c r="J121" s="18">
        <f>(K121-H121)/(K$107-H$107)*(J$107-H$107)+H121</f>
        <v>0.94711853066666662</v>
      </c>
      <c r="K121" s="36">
        <v>0.94792262399999994</v>
      </c>
      <c r="L121" s="18">
        <f>(N121-K121)/(N$107-K$107)*(L$107-K$107)+K121</f>
        <v>0.94743964466666664</v>
      </c>
      <c r="M121" s="18">
        <f>(N121-K121)/(N$107-K$107)*(M$107-K$107)+K121</f>
        <v>0.94695666533333323</v>
      </c>
      <c r="N121" s="36">
        <v>0.94647368599999993</v>
      </c>
      <c r="O121" s="18"/>
    </row>
    <row r="122" spans="1:15">
      <c r="A122" s="10" t="s">
        <v>125</v>
      </c>
      <c r="B122" s="29">
        <f t="shared" ref="B122:N122" si="109">B120*B121</f>
        <v>0.41077478232558984</v>
      </c>
      <c r="C122" s="29">
        <f t="shared" ref="C122" si="110">C120*C121</f>
        <v>0.41098632106835692</v>
      </c>
      <c r="D122" s="29">
        <f t="shared" ref="D122" si="111">D120*D121</f>
        <v>0.41119786184361368</v>
      </c>
      <c r="E122" s="29">
        <f t="shared" si="109"/>
        <v>0.41140940465136006</v>
      </c>
      <c r="F122" s="29">
        <f t="shared" si="109"/>
        <v>0.41106174073590263</v>
      </c>
      <c r="G122" s="29">
        <f t="shared" si="109"/>
        <v>0.41071355877344767</v>
      </c>
      <c r="H122" s="29">
        <f t="shared" si="109"/>
        <v>0.41036486018211032</v>
      </c>
      <c r="I122" s="29">
        <f t="shared" si="109"/>
        <v>0.4101649058061429</v>
      </c>
      <c r="J122" s="29">
        <f t="shared" si="109"/>
        <v>0.40996429162707815</v>
      </c>
      <c r="K122" s="29">
        <f t="shared" si="109"/>
        <v>0.4097630183404441</v>
      </c>
      <c r="L122" s="29">
        <f t="shared" si="109"/>
        <v>0.40899427976461394</v>
      </c>
      <c r="M122" s="29">
        <f t="shared" si="109"/>
        <v>0.40822659320726945</v>
      </c>
      <c r="N122" s="29">
        <f t="shared" si="109"/>
        <v>0.40745995773342775</v>
      </c>
      <c r="O122" s="29">
        <f>AVERAGE(B122:N122)</f>
        <v>0.41008319815841204</v>
      </c>
    </row>
    <row r="123" spans="1:15"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</row>
    <row r="124" spans="1:15">
      <c r="A124" s="37"/>
    </row>
    <row r="125" spans="1:15">
      <c r="A125" s="23" t="s">
        <v>3</v>
      </c>
    </row>
    <row r="126" spans="1:15">
      <c r="A126" s="15" t="s">
        <v>6</v>
      </c>
      <c r="B126" s="30">
        <v>1500</v>
      </c>
      <c r="C126" s="62">
        <f>(E126-B126)/3+B126</f>
        <v>1516.6666666666667</v>
      </c>
      <c r="D126" s="62">
        <f>(E126-B126)/3*2+B126</f>
        <v>1533.3333333333333</v>
      </c>
      <c r="E126" s="30">
        <v>1550</v>
      </c>
      <c r="F126" s="62">
        <f>(H126-E126)/3+E126</f>
        <v>1576.6666666666667</v>
      </c>
      <c r="G126" s="62">
        <f>(H126-E126)/3*2+E126</f>
        <v>1603.3333333333333</v>
      </c>
      <c r="H126" s="30">
        <v>1630</v>
      </c>
      <c r="I126" s="62">
        <f>(K126-H126)/3+H126</f>
        <v>1653.3333333333333</v>
      </c>
      <c r="J126" s="62">
        <f>(K126-H126)/3*2+H126</f>
        <v>1676.6666666666667</v>
      </c>
      <c r="K126" s="30">
        <v>1700</v>
      </c>
      <c r="L126" s="62">
        <f>(N126-K126)/3+K126</f>
        <v>1720</v>
      </c>
      <c r="M126" s="62">
        <f>(N126-K126)/3*2+K126</f>
        <v>1740</v>
      </c>
      <c r="N126" s="30">
        <v>1760</v>
      </c>
      <c r="O126" s="62"/>
    </row>
    <row r="127" spans="1:15">
      <c r="A127" s="15" t="s">
        <v>5</v>
      </c>
      <c r="B127" s="18">
        <f>Imaging!B127</f>
        <v>0.85584328788353414</v>
      </c>
      <c r="C127" s="18">
        <f>(E127-B127)/(E$126-B$126)*(C$126-B$126)+B127</f>
        <v>0.85555961774032463</v>
      </c>
      <c r="D127" s="18">
        <f>(E127-B127)/(E$126-B$126)*(D$126-B$126)+B127</f>
        <v>0.85527594759711512</v>
      </c>
      <c r="E127" s="18">
        <f>Imaging!C127</f>
        <v>0.8549922774539056</v>
      </c>
      <c r="F127" s="18">
        <f>(H127-E127)/(H$126-E$126)*(F$126-E$126)+E127</f>
        <v>0.85419610738559271</v>
      </c>
      <c r="G127" s="18">
        <f>(H127-E127)/(H$126-E$126)*(G$126-E$126)+E127</f>
        <v>0.8533999373172797</v>
      </c>
      <c r="H127" s="18">
        <f>Imaging!D127</f>
        <v>0.8526037672489668</v>
      </c>
      <c r="I127" s="18">
        <f t="shared" ref="I127:I138" si="112">(K127-H127)/(K$126-H$126)*(I$126-H$126)+H127</f>
        <v>0.85140793409039228</v>
      </c>
      <c r="J127" s="18">
        <f t="shared" ref="J127:J138" si="113">(K127-H127)/(K$126-H$126)*(J$126-H$126)+H127</f>
        <v>0.85021210093181776</v>
      </c>
      <c r="K127" s="18">
        <f>Imaging!E127</f>
        <v>0.84901626777324324</v>
      </c>
      <c r="L127" s="18">
        <f t="shared" ref="L127:L138" si="114">(N127-K127)/(N$126-K$126)*(L$126-K$126)+K127</f>
        <v>0.84799516967635546</v>
      </c>
      <c r="M127" s="18">
        <f t="shared" ref="M127:M138" si="115">(N127-K127)/(N$126-K$126)*(M$126-K$126)+K127</f>
        <v>0.84697407157946769</v>
      </c>
      <c r="N127" s="18">
        <f>Imaging!F127</f>
        <v>0.84595297348257992</v>
      </c>
      <c r="O127" s="18"/>
    </row>
    <row r="128" spans="1:15">
      <c r="A128" s="15" t="s">
        <v>7</v>
      </c>
      <c r="B128" s="18">
        <f>Imaging!B128</f>
        <v>0.94089999999999996</v>
      </c>
      <c r="C128" s="18">
        <f t="shared" ref="C128:C138" si="116">(E128-B128)/(E$126-B$126)*(C$126-B$126)+B128</f>
        <v>0.94089999999999996</v>
      </c>
      <c r="D128" s="18">
        <f t="shared" ref="D128:D138" si="117">(E128-B128)/(E$126-B$126)*(D$126-B$126)+B128</f>
        <v>0.94089999999999996</v>
      </c>
      <c r="E128" s="18">
        <f>Imaging!C128</f>
        <v>0.94089999999999996</v>
      </c>
      <c r="F128" s="18">
        <f t="shared" ref="F128:F138" si="118">(H128-E128)/(H$126-E$126)*(F$126-E$126)+E128</f>
        <v>0.94089999999999996</v>
      </c>
      <c r="G128" s="18">
        <f t="shared" ref="G128:G138" si="119">(H128-E128)/(H$126-E$126)*(G$126-E$126)+E128</f>
        <v>0.94089999999999996</v>
      </c>
      <c r="H128" s="18">
        <f>Imaging!D128</f>
        <v>0.94089999999999996</v>
      </c>
      <c r="I128" s="18">
        <f t="shared" si="112"/>
        <v>0.94089999999999996</v>
      </c>
      <c r="J128" s="18">
        <f t="shared" si="113"/>
        <v>0.94089999999999996</v>
      </c>
      <c r="K128" s="18">
        <f>Imaging!E128</f>
        <v>0.94089999999999996</v>
      </c>
      <c r="L128" s="18">
        <f t="shared" si="114"/>
        <v>0.94089999999999996</v>
      </c>
      <c r="M128" s="18">
        <f t="shared" si="115"/>
        <v>0.94089999999999996</v>
      </c>
      <c r="N128" s="18">
        <f>Imaging!F128</f>
        <v>0.94089999999999996</v>
      </c>
      <c r="O128" s="18"/>
    </row>
    <row r="129" spans="1:15">
      <c r="A129" s="15" t="s">
        <v>28</v>
      </c>
      <c r="B129" s="18">
        <f>Imaging!B129</f>
        <v>0.93099999999999994</v>
      </c>
      <c r="C129" s="18">
        <f t="shared" si="116"/>
        <v>0.93099999999999994</v>
      </c>
      <c r="D129" s="18">
        <f t="shared" si="117"/>
        <v>0.93099999999999994</v>
      </c>
      <c r="E129" s="18">
        <f>Imaging!C129</f>
        <v>0.93099999999999994</v>
      </c>
      <c r="F129" s="18">
        <f t="shared" si="118"/>
        <v>0.93099999999999994</v>
      </c>
      <c r="G129" s="18">
        <f t="shared" si="119"/>
        <v>0.93099999999999994</v>
      </c>
      <c r="H129" s="18">
        <f>Imaging!D129</f>
        <v>0.93099999999999994</v>
      </c>
      <c r="I129" s="18">
        <f t="shared" si="112"/>
        <v>0.93099999999999994</v>
      </c>
      <c r="J129" s="18">
        <f t="shared" si="113"/>
        <v>0.93099999999999994</v>
      </c>
      <c r="K129" s="18">
        <f>Imaging!E129</f>
        <v>0.93099999999999994</v>
      </c>
      <c r="L129" s="18">
        <f t="shared" si="114"/>
        <v>0.93099999999999994</v>
      </c>
      <c r="M129" s="18">
        <f t="shared" si="115"/>
        <v>0.93099999999999994</v>
      </c>
      <c r="N129" s="18">
        <f>Imaging!F129</f>
        <v>0.93099999999999994</v>
      </c>
      <c r="O129" s="18"/>
    </row>
    <row r="130" spans="1:15">
      <c r="A130" s="15" t="s">
        <v>41</v>
      </c>
      <c r="B130" s="18">
        <f>Imaging!B130</f>
        <v>0.89258858624622395</v>
      </c>
      <c r="C130" s="18">
        <f t="shared" si="116"/>
        <v>0.89168056123478323</v>
      </c>
      <c r="D130" s="18">
        <f t="shared" si="117"/>
        <v>0.89077253622334251</v>
      </c>
      <c r="E130" s="18">
        <f>Imaging!C130</f>
        <v>0.8898645112119018</v>
      </c>
      <c r="F130" s="18">
        <f t="shared" si="118"/>
        <v>0.88865381119664755</v>
      </c>
      <c r="G130" s="18">
        <f t="shared" si="119"/>
        <v>0.88744311118139318</v>
      </c>
      <c r="H130" s="18">
        <f>Imaging!D130</f>
        <v>0.88623241116613893</v>
      </c>
      <c r="I130" s="18">
        <f t="shared" si="112"/>
        <v>0.8844163611432575</v>
      </c>
      <c r="J130" s="18">
        <f t="shared" si="113"/>
        <v>0.88260031112037607</v>
      </c>
      <c r="K130" s="18">
        <f>Imaging!E130</f>
        <v>0.88078426109749464</v>
      </c>
      <c r="L130" s="18">
        <f t="shared" si="114"/>
        <v>0.8789682110746132</v>
      </c>
      <c r="M130" s="18">
        <f t="shared" si="115"/>
        <v>0.87715216105173177</v>
      </c>
      <c r="N130" s="18">
        <f>Imaging!F130</f>
        <v>0.87533611102885034</v>
      </c>
      <c r="O130" s="18"/>
    </row>
    <row r="131" spans="1:15">
      <c r="A131" s="15" t="s">
        <v>26</v>
      </c>
      <c r="B131" s="18">
        <f>Imaging!B131</f>
        <v>0.92149999999999999</v>
      </c>
      <c r="C131" s="18">
        <f t="shared" si="116"/>
        <v>0.92149999999999999</v>
      </c>
      <c r="D131" s="18">
        <f t="shared" si="117"/>
        <v>0.92149999999999999</v>
      </c>
      <c r="E131" s="18">
        <f>Imaging!C131</f>
        <v>0.92149999999999999</v>
      </c>
      <c r="F131" s="18">
        <f t="shared" si="118"/>
        <v>0.92149999999999999</v>
      </c>
      <c r="G131" s="18">
        <f t="shared" si="119"/>
        <v>0.92149999999999999</v>
      </c>
      <c r="H131" s="18">
        <f>Imaging!D131</f>
        <v>0.92149999999999999</v>
      </c>
      <c r="I131" s="18">
        <f t="shared" si="112"/>
        <v>0.92149999999999999</v>
      </c>
      <c r="J131" s="18">
        <f t="shared" si="113"/>
        <v>0.92149999999999999</v>
      </c>
      <c r="K131" s="18">
        <f>Imaging!E131</f>
        <v>0.92149999999999999</v>
      </c>
      <c r="L131" s="18">
        <f t="shared" si="114"/>
        <v>0.92149999999999999</v>
      </c>
      <c r="M131" s="18">
        <f t="shared" si="115"/>
        <v>0.92149999999999999</v>
      </c>
      <c r="N131" s="18">
        <f>Imaging!F131</f>
        <v>0.92149999999999999</v>
      </c>
      <c r="O131" s="18"/>
    </row>
    <row r="132" spans="1:15">
      <c r="A132" s="15" t="s">
        <v>42</v>
      </c>
      <c r="B132" s="18">
        <f>Imaging!B132</f>
        <v>0.98499999999999999</v>
      </c>
      <c r="C132" s="18">
        <f t="shared" si="116"/>
        <v>0.98499999999999999</v>
      </c>
      <c r="D132" s="18">
        <f t="shared" si="117"/>
        <v>0.98499999999999999</v>
      </c>
      <c r="E132" s="18">
        <f>Imaging!C132</f>
        <v>0.98499999999999999</v>
      </c>
      <c r="F132" s="18">
        <f t="shared" si="118"/>
        <v>0.98499999999999999</v>
      </c>
      <c r="G132" s="18">
        <f t="shared" si="119"/>
        <v>0.98499999999999999</v>
      </c>
      <c r="H132" s="18">
        <f>Imaging!D132</f>
        <v>0.98499999999999999</v>
      </c>
      <c r="I132" s="18">
        <f t="shared" si="112"/>
        <v>0.98499999999999999</v>
      </c>
      <c r="J132" s="18">
        <f t="shared" si="113"/>
        <v>0.98499999999999999</v>
      </c>
      <c r="K132" s="18">
        <f>Imaging!E132</f>
        <v>0.98499999999999999</v>
      </c>
      <c r="L132" s="18">
        <f t="shared" si="114"/>
        <v>0.98499999999999999</v>
      </c>
      <c r="M132" s="18">
        <f t="shared" si="115"/>
        <v>0.98499999999999999</v>
      </c>
      <c r="N132" s="18">
        <f>Imaging!F132</f>
        <v>0.98499999999999999</v>
      </c>
      <c r="O132" s="18"/>
    </row>
    <row r="133" spans="1:15">
      <c r="A133" s="15" t="s">
        <v>43</v>
      </c>
      <c r="B133" s="18">
        <f>Imaging!B133</f>
        <v>0.98499999999999999</v>
      </c>
      <c r="C133" s="18">
        <f t="shared" si="116"/>
        <v>0.98499999999999999</v>
      </c>
      <c r="D133" s="18">
        <f t="shared" si="117"/>
        <v>0.98499999999999999</v>
      </c>
      <c r="E133" s="18">
        <f>Imaging!C133</f>
        <v>0.98499999999999999</v>
      </c>
      <c r="F133" s="18">
        <f t="shared" si="118"/>
        <v>0.98499999999999999</v>
      </c>
      <c r="G133" s="18">
        <f t="shared" si="119"/>
        <v>0.98499999999999999</v>
      </c>
      <c r="H133" s="18">
        <f>Imaging!D133</f>
        <v>0.98499999999999999</v>
      </c>
      <c r="I133" s="18">
        <f t="shared" si="112"/>
        <v>0.98499999999999999</v>
      </c>
      <c r="J133" s="18">
        <f t="shared" si="113"/>
        <v>0.98499999999999999</v>
      </c>
      <c r="K133" s="18">
        <f>Imaging!E133</f>
        <v>0.98499999999999999</v>
      </c>
      <c r="L133" s="18">
        <f t="shared" si="114"/>
        <v>0.98499999999999999</v>
      </c>
      <c r="M133" s="18">
        <f t="shared" si="115"/>
        <v>0.98499999999999999</v>
      </c>
      <c r="N133" s="18">
        <f>Imaging!F133</f>
        <v>0.98499999999999999</v>
      </c>
      <c r="O133" s="18"/>
    </row>
    <row r="134" spans="1:15">
      <c r="A134" s="15" t="s">
        <v>24</v>
      </c>
      <c r="B134" s="18">
        <f>Imaging!B134</f>
        <v>0.98499999999999999</v>
      </c>
      <c r="C134" s="18">
        <f t="shared" si="116"/>
        <v>0.98499999999999999</v>
      </c>
      <c r="D134" s="18">
        <f t="shared" si="117"/>
        <v>0.98499999999999999</v>
      </c>
      <c r="E134" s="18">
        <f>Imaging!C134</f>
        <v>0.98499999999999999</v>
      </c>
      <c r="F134" s="18">
        <f t="shared" si="118"/>
        <v>0.98499999999999999</v>
      </c>
      <c r="G134" s="18">
        <f t="shared" si="119"/>
        <v>0.98499999999999999</v>
      </c>
      <c r="H134" s="18">
        <f>Imaging!D134</f>
        <v>0.98499999999999999</v>
      </c>
      <c r="I134" s="18">
        <f t="shared" si="112"/>
        <v>0.98499999999999999</v>
      </c>
      <c r="J134" s="18">
        <f t="shared" si="113"/>
        <v>0.98499999999999999</v>
      </c>
      <c r="K134" s="18">
        <f>Imaging!E134</f>
        <v>0.98499999999999999</v>
      </c>
      <c r="L134" s="18">
        <f t="shared" si="114"/>
        <v>0.98499999999999999</v>
      </c>
      <c r="M134" s="18">
        <f t="shared" si="115"/>
        <v>0.98499999999999999</v>
      </c>
      <c r="N134" s="18">
        <f>Imaging!F134</f>
        <v>0.98499999999999999</v>
      </c>
      <c r="O134" s="18"/>
    </row>
    <row r="135" spans="1:15">
      <c r="A135" s="15" t="s">
        <v>31</v>
      </c>
      <c r="B135" s="18">
        <f>Imaging!B135</f>
        <v>0.99</v>
      </c>
      <c r="C135" s="18">
        <f t="shared" si="116"/>
        <v>0.99</v>
      </c>
      <c r="D135" s="18">
        <f t="shared" si="117"/>
        <v>0.99</v>
      </c>
      <c r="E135" s="18">
        <f>Imaging!C135</f>
        <v>0.99</v>
      </c>
      <c r="F135" s="18">
        <f t="shared" si="118"/>
        <v>0.99</v>
      </c>
      <c r="G135" s="18">
        <f t="shared" si="119"/>
        <v>0.99</v>
      </c>
      <c r="H135" s="18">
        <f>Imaging!D135</f>
        <v>0.99</v>
      </c>
      <c r="I135" s="18">
        <f t="shared" si="112"/>
        <v>0.99</v>
      </c>
      <c r="J135" s="18">
        <f t="shared" si="113"/>
        <v>0.99</v>
      </c>
      <c r="K135" s="18">
        <f>Imaging!E135</f>
        <v>0.99</v>
      </c>
      <c r="L135" s="18">
        <f t="shared" si="114"/>
        <v>0.99</v>
      </c>
      <c r="M135" s="18">
        <f t="shared" si="115"/>
        <v>0.99</v>
      </c>
      <c r="N135" s="18">
        <f>Imaging!F135</f>
        <v>0.99</v>
      </c>
      <c r="O135" s="18"/>
    </row>
    <row r="136" spans="1:15">
      <c r="A136" s="15" t="s">
        <v>260</v>
      </c>
      <c r="B136" s="18">
        <f>Imaging!B136</f>
        <v>0.99199999999999999</v>
      </c>
      <c r="C136" s="18">
        <f t="shared" ref="C136" si="120">(E136-B136)/(E$126-B$126)*(C$126-B$126)+B136</f>
        <v>0.99233333333333329</v>
      </c>
      <c r="D136" s="18">
        <f t="shared" ref="D136" si="121">(E136-B136)/(E$126-B$126)*(D$126-B$126)+B136</f>
        <v>0.9926666666666667</v>
      </c>
      <c r="E136" s="18">
        <f>Imaging!C136</f>
        <v>0.99299999999999999</v>
      </c>
      <c r="F136" s="18">
        <f t="shared" ref="F136" si="122">(H136-E136)/(H$126-E$126)*(F$126-E$126)+E136</f>
        <v>0.995</v>
      </c>
      <c r="G136" s="18">
        <f t="shared" ref="G136" si="123">(H136-E136)/(H$126-E$126)*(G$126-E$126)+E136</f>
        <v>0.997</v>
      </c>
      <c r="H136" s="18">
        <f>Imaging!D136</f>
        <v>0.999</v>
      </c>
      <c r="I136" s="18">
        <f t="shared" ref="I136" si="124">(K136-H136)/(K$126-H$126)*(I$126-H$126)+H136</f>
        <v>0.998</v>
      </c>
      <c r="J136" s="18">
        <f t="shared" ref="J136" si="125">(K136-H136)/(K$126-H$126)*(J$126-H$126)+H136</f>
        <v>0.997</v>
      </c>
      <c r="K136" s="18">
        <f>Imaging!E136</f>
        <v>0.996</v>
      </c>
      <c r="L136" s="18">
        <f t="shared" ref="L136" si="126">(N136-K136)/(N$126-K$126)*(L$126-K$126)+K136</f>
        <v>0.9966666666666667</v>
      </c>
      <c r="M136" s="18">
        <f t="shared" ref="M136" si="127">(N136-K136)/(N$126-K$126)*(M$126-K$126)+K136</f>
        <v>0.99733333333333329</v>
      </c>
      <c r="N136" s="18">
        <f>Imaging!F136</f>
        <v>0.998</v>
      </c>
      <c r="O136" s="18"/>
    </row>
    <row r="137" spans="1:15">
      <c r="A137" s="15" t="s">
        <v>19</v>
      </c>
      <c r="B137" s="18">
        <f>Imaging!B137</f>
        <v>0.91200000000000003</v>
      </c>
      <c r="C137" s="18">
        <f t="shared" si="116"/>
        <v>0.91200000000000003</v>
      </c>
      <c r="D137" s="18">
        <f t="shared" si="117"/>
        <v>0.91200000000000003</v>
      </c>
      <c r="E137" s="18">
        <f>Imaging!C137</f>
        <v>0.91200000000000003</v>
      </c>
      <c r="F137" s="18">
        <f t="shared" si="118"/>
        <v>0.91133333333333333</v>
      </c>
      <c r="G137" s="18">
        <f t="shared" si="119"/>
        <v>0.91066666666666674</v>
      </c>
      <c r="H137" s="18">
        <f>Imaging!D137</f>
        <v>0.91</v>
      </c>
      <c r="I137" s="18">
        <f t="shared" si="112"/>
        <v>0.90933333333333333</v>
      </c>
      <c r="J137" s="18">
        <f t="shared" si="113"/>
        <v>0.90866666666666673</v>
      </c>
      <c r="K137" s="18">
        <f>Imaging!E137</f>
        <v>0.90800000000000003</v>
      </c>
      <c r="L137" s="18">
        <f t="shared" si="114"/>
        <v>0.90733333333333333</v>
      </c>
      <c r="M137" s="18">
        <f t="shared" si="115"/>
        <v>0.90666666666666673</v>
      </c>
      <c r="N137" s="18">
        <f>Imaging!F137</f>
        <v>0.90600000000000003</v>
      </c>
      <c r="O137" s="18"/>
    </row>
    <row r="138" spans="1:15">
      <c r="A138" s="15" t="s">
        <v>34</v>
      </c>
      <c r="B138" s="18">
        <f>Imaging!B138</f>
        <v>0.8</v>
      </c>
      <c r="C138" s="18">
        <f t="shared" si="116"/>
        <v>0.8</v>
      </c>
      <c r="D138" s="18">
        <f t="shared" si="117"/>
        <v>0.8</v>
      </c>
      <c r="E138" s="18">
        <f>Imaging!C138</f>
        <v>0.8</v>
      </c>
      <c r="F138" s="18">
        <f t="shared" si="118"/>
        <v>0.8</v>
      </c>
      <c r="G138" s="18">
        <f t="shared" si="119"/>
        <v>0.8</v>
      </c>
      <c r="H138" s="18">
        <f>Imaging!D138</f>
        <v>0.8</v>
      </c>
      <c r="I138" s="18">
        <f t="shared" si="112"/>
        <v>0.8</v>
      </c>
      <c r="J138" s="18">
        <f t="shared" si="113"/>
        <v>0.8</v>
      </c>
      <c r="K138" s="18">
        <f>Imaging!E138</f>
        <v>0.8</v>
      </c>
      <c r="L138" s="18">
        <f t="shared" si="114"/>
        <v>0.8</v>
      </c>
      <c r="M138" s="18">
        <f t="shared" si="115"/>
        <v>0.8</v>
      </c>
      <c r="N138" s="18">
        <f>Imaging!F138</f>
        <v>0.8</v>
      </c>
      <c r="O138" s="18"/>
    </row>
    <row r="139" spans="1:15">
      <c r="A139" s="10" t="s">
        <v>40</v>
      </c>
      <c r="B139" s="29">
        <f>B127*B128*B129*B130*B131*B132*B133*B134*B135*B136*B137*B138</f>
        <v>0.42225465959071312</v>
      </c>
      <c r="C139" s="29">
        <f t="shared" ref="C139:N139" si="128">C127*C128*C129*C130*C131*C132*C133*C134*C135*C136*C137*C138</f>
        <v>0.42182698341857566</v>
      </c>
      <c r="D139" s="29">
        <f t="shared" si="128"/>
        <v>0.42139920954998056</v>
      </c>
      <c r="E139" s="29">
        <f t="shared" si="128"/>
        <v>0.42097133827197891</v>
      </c>
      <c r="F139" s="29">
        <f t="shared" si="128"/>
        <v>0.42054540702537352</v>
      </c>
      <c r="G139" s="29">
        <f t="shared" si="128"/>
        <v>0.42011683972636915</v>
      </c>
      <c r="H139" s="29">
        <f t="shared" si="128"/>
        <v>0.41968564897518568</v>
      </c>
      <c r="I139" s="29">
        <f t="shared" si="128"/>
        <v>0.41751345497784204</v>
      </c>
      <c r="J139" s="29">
        <f t="shared" si="128"/>
        <v>0.41534929281685057</v>
      </c>
      <c r="K139" s="29">
        <f t="shared" si="128"/>
        <v>0.41319314360333292</v>
      </c>
      <c r="L139" s="29">
        <f t="shared" si="128"/>
        <v>0.41181836395940086</v>
      </c>
      <c r="M139" s="29">
        <f t="shared" si="128"/>
        <v>0.4104454060113456</v>
      </c>
      <c r="N139" s="29">
        <f t="shared" si="128"/>
        <v>0.40907427331962909</v>
      </c>
      <c r="O139" s="29">
        <f>AVERAGE(B139:N139)</f>
        <v>0.41724569394204447</v>
      </c>
    </row>
    <row r="140" spans="1:15">
      <c r="A140" s="15" t="s">
        <v>126</v>
      </c>
      <c r="B140" s="36">
        <v>0.95372427599999998</v>
      </c>
      <c r="C140" s="18">
        <f>(E140-B140)/(E$126-B$126)*(C$126-B$126)+B140</f>
        <v>0.954209223</v>
      </c>
      <c r="D140" s="18">
        <f>(E140-B140)/(E$126-B$126)*(D$126-B$126)+B140</f>
        <v>0.9546941699999999</v>
      </c>
      <c r="E140" s="36">
        <v>0.95517911699999991</v>
      </c>
      <c r="F140" s="18">
        <f>(H140-E140)/(H$126-E$126)*(F$126-E$126)+E140</f>
        <v>0.95566406399999992</v>
      </c>
      <c r="G140" s="18">
        <f>(H140-E140)/(H$126-E$126)*(G$126-E$126)+E140</f>
        <v>0.95614901099999994</v>
      </c>
      <c r="H140" s="36">
        <v>0.95663395799999995</v>
      </c>
      <c r="I140" s="18">
        <f>(K140-H140)/(K$126-H$126)*(I$126-H$126)+H140</f>
        <v>0.95663395799999995</v>
      </c>
      <c r="J140" s="18">
        <f>(K140-H140)/(K$126-H$126)*(J$126-H$126)+H140</f>
        <v>0.95663395799999995</v>
      </c>
      <c r="K140" s="36">
        <v>0.95663395799999995</v>
      </c>
      <c r="L140" s="18">
        <f>(N140-K140)/(N$126-K$126)*(L$126-K$126)+K140</f>
        <v>0.95682879179999991</v>
      </c>
      <c r="M140" s="18">
        <f>(N140-K140)/(N$126-K$126)*(M$126-K$126)+K140</f>
        <v>0.95702362559999998</v>
      </c>
      <c r="N140" s="36">
        <v>0.95721845939999994</v>
      </c>
      <c r="O140" s="18"/>
    </row>
    <row r="141" spans="1:15">
      <c r="A141" s="10" t="s">
        <v>125</v>
      </c>
      <c r="B141" s="29">
        <f t="shared" ref="B141:N141" si="129">B139*B140</f>
        <v>0.4027145195057793</v>
      </c>
      <c r="C141" s="29">
        <f t="shared" ref="C141" si="130">C139*C140</f>
        <v>0.40251119808827296</v>
      </c>
      <c r="D141" s="29">
        <f t="shared" ref="D141" si="131">D139*D140</f>
        <v>0.40230736859997474</v>
      </c>
      <c r="E141" s="29">
        <f t="shared" si="129"/>
        <v>0.40210303117293711</v>
      </c>
      <c r="F141" s="29">
        <f t="shared" si="129"/>
        <v>0.40190013277440256</v>
      </c>
      <c r="G141" s="29">
        <f t="shared" si="129"/>
        <v>0.40169430080881335</v>
      </c>
      <c r="H141" s="29">
        <f t="shared" si="129"/>
        <v>0.40148554349493049</v>
      </c>
      <c r="I141" s="29">
        <f t="shared" si="129"/>
        <v>0.39940754895370784</v>
      </c>
      <c r="J141" s="29">
        <f t="shared" si="129"/>
        <v>0.39733723793988474</v>
      </c>
      <c r="K141" s="29">
        <f t="shared" si="129"/>
        <v>0.39527459238371876</v>
      </c>
      <c r="L141" s="29">
        <f t="shared" si="129"/>
        <v>0.39403966762832615</v>
      </c>
      <c r="M141" s="29">
        <f t="shared" si="129"/>
        <v>0.39280595057184198</v>
      </c>
      <c r="N141" s="29">
        <f t="shared" si="129"/>
        <v>0.39157344568718988</v>
      </c>
      <c r="O141" s="29">
        <f>AVERAGE(B141:N141)</f>
        <v>0.39885804135459846</v>
      </c>
    </row>
    <row r="142" spans="1:15"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</row>
    <row r="143" spans="1:15">
      <c r="A143" s="37"/>
    </row>
    <row r="144" spans="1:15">
      <c r="A144" s="24" t="s">
        <v>4</v>
      </c>
    </row>
    <row r="145" spans="1:15">
      <c r="A145" s="15" t="s">
        <v>6</v>
      </c>
      <c r="B145" s="30">
        <v>2000</v>
      </c>
      <c r="C145" s="62">
        <f>(E145-B145)/3+B145</f>
        <v>2033.3333333333333</v>
      </c>
      <c r="D145" s="62">
        <f>(E145-B145)/3*2+B145</f>
        <v>2066.6666666666665</v>
      </c>
      <c r="E145" s="30">
        <v>2100</v>
      </c>
      <c r="F145" s="62">
        <f>(H145-E145)/3+E145</f>
        <v>2125</v>
      </c>
      <c r="G145" s="62">
        <f>(H145-E145)/3*2+E145</f>
        <v>2150</v>
      </c>
      <c r="H145" s="30">
        <v>2175</v>
      </c>
      <c r="I145" s="62">
        <f>(K145-H145)/3+H145</f>
        <v>2210</v>
      </c>
      <c r="J145" s="62">
        <f>(K145-H145)/3*2+H145</f>
        <v>2245</v>
      </c>
      <c r="K145" s="30">
        <v>2280</v>
      </c>
      <c r="L145" s="30"/>
      <c r="M145" s="30"/>
      <c r="N145" s="47">
        <v>2350</v>
      </c>
      <c r="O145" s="62"/>
    </row>
    <row r="146" spans="1:15">
      <c r="A146" s="15" t="s">
        <v>5</v>
      </c>
      <c r="B146" s="18">
        <f>Imaging!B146</f>
        <v>0.84053474318649235</v>
      </c>
      <c r="C146" s="18">
        <f>(E146-B146)/(E$145-B$145)*(C$145-B$145)+B146</f>
        <v>0.8321016695936263</v>
      </c>
      <c r="D146" s="18">
        <f>(E146-B146)/(E$145-B$145)*(D$145-B$145)+B146</f>
        <v>0.82366859600076026</v>
      </c>
      <c r="E146" s="18">
        <f>Imaging!C146</f>
        <v>0.8152355224078941</v>
      </c>
      <c r="F146" s="18">
        <f>(H146-E146)/(H$145-E$145)*(F$145-E$145)+E146</f>
        <v>0.80901899427544799</v>
      </c>
      <c r="G146" s="18">
        <f>(H146-E146)/(H$145-E$145)*(G$145-E$145)+E146</f>
        <v>0.80280246614300177</v>
      </c>
      <c r="H146" s="18">
        <f>Imaging!D146</f>
        <v>0.79658593801055566</v>
      </c>
      <c r="I146" s="18">
        <f t="shared" ref="I146:I159" si="132">(K146-H146)/(K$145-H$145)*(I$145-H$145)+H146</f>
        <v>0.79299140804211299</v>
      </c>
      <c r="J146" s="18">
        <f t="shared" ref="J146:J159" si="133">(K146-H146)/(K$145-H$145)*(J$145-H$145)+H146</f>
        <v>0.78939687807367043</v>
      </c>
      <c r="K146" s="18">
        <f>Imaging!E146</f>
        <v>0.78580234810522775</v>
      </c>
      <c r="L146" s="18"/>
      <c r="M146" s="18"/>
      <c r="N146" s="50">
        <f>Imaging!F146</f>
        <v>0.78181594743445693</v>
      </c>
      <c r="O146" s="18"/>
    </row>
    <row r="147" spans="1:15">
      <c r="A147" s="15" t="s">
        <v>7</v>
      </c>
      <c r="B147" s="18">
        <f>Imaging!B147</f>
        <v>0.95452899999999996</v>
      </c>
      <c r="C147" s="18">
        <f t="shared" ref="C147:C159" si="134">(E147-B147)/(E$145-B$145)*(C$145-B$145)+B147</f>
        <v>0.95452899999999996</v>
      </c>
      <c r="D147" s="18">
        <f t="shared" ref="D147:D159" si="135">(E147-B147)/(E$145-B$145)*(D$145-B$145)+B147</f>
        <v>0.95452899999999996</v>
      </c>
      <c r="E147" s="18">
        <f>Imaging!C147</f>
        <v>0.95452899999999996</v>
      </c>
      <c r="F147" s="18">
        <f t="shared" ref="F147:F159" si="136">(H147-E147)/(H$145-E$145)*(F$145-E$145)+E147</f>
        <v>0.95452899999999996</v>
      </c>
      <c r="G147" s="18">
        <f t="shared" ref="G147:G159" si="137">(H147-E147)/(H$145-E$145)*(G$145-E$145)+E147</f>
        <v>0.95452899999999996</v>
      </c>
      <c r="H147" s="18">
        <f>Imaging!D147</f>
        <v>0.95452899999999996</v>
      </c>
      <c r="I147" s="18">
        <f t="shared" si="132"/>
        <v>0.95452899999999996</v>
      </c>
      <c r="J147" s="18">
        <f t="shared" si="133"/>
        <v>0.95452899999999996</v>
      </c>
      <c r="K147" s="18">
        <f>Imaging!E147</f>
        <v>0.95452899999999996</v>
      </c>
      <c r="L147" s="18"/>
      <c r="M147" s="18"/>
      <c r="N147" s="50">
        <f>Imaging!F147</f>
        <v>0.95452899999999996</v>
      </c>
      <c r="O147" s="18"/>
    </row>
    <row r="148" spans="1:15">
      <c r="A148" s="15" t="s">
        <v>28</v>
      </c>
      <c r="B148" s="18">
        <f>Imaging!B148</f>
        <v>0.93099999999999994</v>
      </c>
      <c r="C148" s="18">
        <f t="shared" si="134"/>
        <v>0.93099999999999994</v>
      </c>
      <c r="D148" s="18">
        <f t="shared" si="135"/>
        <v>0.93099999999999994</v>
      </c>
      <c r="E148" s="18">
        <f>Imaging!C148</f>
        <v>0.93099999999999994</v>
      </c>
      <c r="F148" s="18">
        <f t="shared" si="136"/>
        <v>0.93099999999999994</v>
      </c>
      <c r="G148" s="18">
        <f t="shared" si="137"/>
        <v>0.93099999999999994</v>
      </c>
      <c r="H148" s="18">
        <f>Imaging!D148</f>
        <v>0.93099999999999994</v>
      </c>
      <c r="I148" s="18">
        <f t="shared" si="132"/>
        <v>0.93099999999999994</v>
      </c>
      <c r="J148" s="18">
        <f t="shared" si="133"/>
        <v>0.93099999999999994</v>
      </c>
      <c r="K148" s="18">
        <f>Imaging!E148</f>
        <v>0.93099999999999994</v>
      </c>
      <c r="L148" s="18"/>
      <c r="M148" s="18"/>
      <c r="N148" s="50">
        <f>Imaging!F148</f>
        <v>0.9506</v>
      </c>
      <c r="O148" s="18"/>
    </row>
    <row r="149" spans="1:15">
      <c r="A149" s="15" t="s">
        <v>41</v>
      </c>
      <c r="B149" s="18">
        <f>Imaging!B149</f>
        <v>0.86897993594876533</v>
      </c>
      <c r="C149" s="18">
        <f t="shared" si="134"/>
        <v>0.85414886076190033</v>
      </c>
      <c r="D149" s="18">
        <f t="shared" si="135"/>
        <v>0.83931778557503534</v>
      </c>
      <c r="E149" s="18">
        <f>Imaging!C149</f>
        <v>0.82448671038817023</v>
      </c>
      <c r="F149" s="18">
        <f t="shared" si="136"/>
        <v>0.81419576025850882</v>
      </c>
      <c r="G149" s="18">
        <f t="shared" si="137"/>
        <v>0.80390481012884729</v>
      </c>
      <c r="H149" s="18">
        <f>Imaging!D149</f>
        <v>0.79361385999918588</v>
      </c>
      <c r="I149" s="18">
        <f t="shared" si="132"/>
        <v>0.7890737349419823</v>
      </c>
      <c r="J149" s="18">
        <f t="shared" si="133"/>
        <v>0.78453360988477872</v>
      </c>
      <c r="K149" s="18">
        <f>Imaging!E149</f>
        <v>0.77999348482757513</v>
      </c>
      <c r="L149" s="18"/>
      <c r="M149" s="18"/>
      <c r="N149" s="50">
        <f>Imaging!F149</f>
        <v>0.77091323471316797</v>
      </c>
      <c r="O149" s="18"/>
    </row>
    <row r="150" spans="1:15">
      <c r="A150" s="15" t="s">
        <v>26</v>
      </c>
      <c r="B150" s="18">
        <f>Imaging!B150</f>
        <v>0.92149999999999999</v>
      </c>
      <c r="C150" s="18">
        <f t="shared" si="134"/>
        <v>0.92149999999999999</v>
      </c>
      <c r="D150" s="18">
        <f t="shared" si="135"/>
        <v>0.92149999999999999</v>
      </c>
      <c r="E150" s="18">
        <f>Imaging!C150</f>
        <v>0.92149999999999999</v>
      </c>
      <c r="F150" s="18">
        <f t="shared" si="136"/>
        <v>0.92149999999999999</v>
      </c>
      <c r="G150" s="18">
        <f t="shared" si="137"/>
        <v>0.92149999999999999</v>
      </c>
      <c r="H150" s="18">
        <f>Imaging!D150</f>
        <v>0.92149999999999999</v>
      </c>
      <c r="I150" s="18">
        <f t="shared" si="132"/>
        <v>0.92149999999999999</v>
      </c>
      <c r="J150" s="18">
        <f t="shared" si="133"/>
        <v>0.92149999999999999</v>
      </c>
      <c r="K150" s="18">
        <f>Imaging!E150</f>
        <v>0.92149999999999999</v>
      </c>
      <c r="L150" s="18"/>
      <c r="M150" s="18"/>
      <c r="N150" s="50">
        <f>Imaging!F150</f>
        <v>0.92149999999999999</v>
      </c>
      <c r="O150" s="18"/>
    </row>
    <row r="151" spans="1:15">
      <c r="A151" s="15" t="s">
        <v>42</v>
      </c>
      <c r="B151" s="18">
        <f>Imaging!B151</f>
        <v>0.98499999999999999</v>
      </c>
      <c r="C151" s="18">
        <f t="shared" si="134"/>
        <v>0.98499999999999999</v>
      </c>
      <c r="D151" s="18">
        <f t="shared" si="135"/>
        <v>0.98499999999999999</v>
      </c>
      <c r="E151" s="18">
        <f>Imaging!C151</f>
        <v>0.98499999999999999</v>
      </c>
      <c r="F151" s="18">
        <f t="shared" si="136"/>
        <v>0.98499999999999999</v>
      </c>
      <c r="G151" s="18">
        <f t="shared" si="137"/>
        <v>0.98499999999999999</v>
      </c>
      <c r="H151" s="18">
        <f>Imaging!D151</f>
        <v>0.98499999999999999</v>
      </c>
      <c r="I151" s="18">
        <f t="shared" si="132"/>
        <v>0.98499999999999999</v>
      </c>
      <c r="J151" s="18">
        <f t="shared" si="133"/>
        <v>0.98499999999999999</v>
      </c>
      <c r="K151" s="18">
        <f>Imaging!E151</f>
        <v>0.98499999999999999</v>
      </c>
      <c r="L151" s="18"/>
      <c r="M151" s="18"/>
      <c r="N151" s="50">
        <f>Imaging!F151</f>
        <v>0.98499999999999999</v>
      </c>
      <c r="O151" s="18"/>
    </row>
    <row r="152" spans="1:15">
      <c r="A152" s="15" t="s">
        <v>43</v>
      </c>
      <c r="B152" s="18">
        <f>Imaging!B152</f>
        <v>0.98499999999999999</v>
      </c>
      <c r="C152" s="18">
        <f t="shared" si="134"/>
        <v>0.98499999999999999</v>
      </c>
      <c r="D152" s="18">
        <f t="shared" si="135"/>
        <v>0.98499999999999999</v>
      </c>
      <c r="E152" s="18">
        <f>Imaging!C152</f>
        <v>0.98499999999999999</v>
      </c>
      <c r="F152" s="18">
        <f t="shared" si="136"/>
        <v>0.98499999999999999</v>
      </c>
      <c r="G152" s="18">
        <f t="shared" si="137"/>
        <v>0.98499999999999999</v>
      </c>
      <c r="H152" s="18">
        <f>Imaging!D152</f>
        <v>0.98499999999999999</v>
      </c>
      <c r="I152" s="18">
        <f t="shared" si="132"/>
        <v>0.98499999999999999</v>
      </c>
      <c r="J152" s="18">
        <f t="shared" si="133"/>
        <v>0.98499999999999999</v>
      </c>
      <c r="K152" s="18">
        <f>Imaging!E152</f>
        <v>0.98499999999999999</v>
      </c>
      <c r="L152" s="18"/>
      <c r="M152" s="18"/>
      <c r="N152" s="50">
        <f>Imaging!F152</f>
        <v>0.98499999999999999</v>
      </c>
      <c r="O152" s="18"/>
    </row>
    <row r="153" spans="1:15">
      <c r="A153" s="15" t="s">
        <v>23</v>
      </c>
      <c r="B153" s="18">
        <f>Imaging!B153</f>
        <v>0.92149999999999999</v>
      </c>
      <c r="C153" s="18">
        <f t="shared" si="134"/>
        <v>0.92149999999999999</v>
      </c>
      <c r="D153" s="18">
        <f t="shared" si="135"/>
        <v>0.92149999999999999</v>
      </c>
      <c r="E153" s="18">
        <f>Imaging!C153</f>
        <v>0.92149999999999999</v>
      </c>
      <c r="F153" s="18">
        <f t="shared" si="136"/>
        <v>0.92149999999999999</v>
      </c>
      <c r="G153" s="18">
        <f t="shared" si="137"/>
        <v>0.92149999999999999</v>
      </c>
      <c r="H153" s="18">
        <f>Imaging!D153</f>
        <v>0.92149999999999999</v>
      </c>
      <c r="I153" s="18">
        <f t="shared" si="132"/>
        <v>0.92149999999999999</v>
      </c>
      <c r="J153" s="18">
        <f t="shared" si="133"/>
        <v>0.92149999999999999</v>
      </c>
      <c r="K153" s="18">
        <f>Imaging!E153</f>
        <v>0.92149999999999999</v>
      </c>
      <c r="L153" s="18"/>
      <c r="M153" s="18"/>
      <c r="N153" s="50">
        <f>Imaging!F153</f>
        <v>0.92149999999999999</v>
      </c>
      <c r="O153" s="18"/>
    </row>
    <row r="154" spans="1:15">
      <c r="A154" s="15" t="s">
        <v>44</v>
      </c>
      <c r="B154" s="18">
        <f>Imaging!B154</f>
        <v>0.99</v>
      </c>
      <c r="C154" s="18">
        <f t="shared" si="134"/>
        <v>0.99</v>
      </c>
      <c r="D154" s="18">
        <f t="shared" si="135"/>
        <v>0.99</v>
      </c>
      <c r="E154" s="18">
        <f>Imaging!C154</f>
        <v>0.99</v>
      </c>
      <c r="F154" s="18">
        <f t="shared" si="136"/>
        <v>0.99</v>
      </c>
      <c r="G154" s="18">
        <f t="shared" si="137"/>
        <v>0.99</v>
      </c>
      <c r="H154" s="18">
        <f>Imaging!D154</f>
        <v>0.99</v>
      </c>
      <c r="I154" s="18">
        <f t="shared" si="132"/>
        <v>0.99</v>
      </c>
      <c r="J154" s="18">
        <f t="shared" si="133"/>
        <v>0.99</v>
      </c>
      <c r="K154" s="18">
        <f>Imaging!E154</f>
        <v>0.99</v>
      </c>
      <c r="L154" s="18"/>
      <c r="M154" s="18"/>
      <c r="N154" s="50">
        <f>Imaging!F154</f>
        <v>0.99</v>
      </c>
      <c r="O154" s="18"/>
    </row>
    <row r="155" spans="1:15">
      <c r="A155" s="15" t="s">
        <v>45</v>
      </c>
      <c r="B155" s="18">
        <f>Imaging!B155</f>
        <v>0.99</v>
      </c>
      <c r="C155" s="18">
        <f t="shared" si="134"/>
        <v>0.99</v>
      </c>
      <c r="D155" s="18">
        <f t="shared" si="135"/>
        <v>0.99</v>
      </c>
      <c r="E155" s="18">
        <f>Imaging!C155</f>
        <v>0.99</v>
      </c>
      <c r="F155" s="18">
        <f t="shared" si="136"/>
        <v>0.99</v>
      </c>
      <c r="G155" s="18">
        <f t="shared" si="137"/>
        <v>0.99</v>
      </c>
      <c r="H155" s="18">
        <f>Imaging!D155</f>
        <v>0.99</v>
      </c>
      <c r="I155" s="18">
        <f t="shared" si="132"/>
        <v>0.99</v>
      </c>
      <c r="J155" s="18">
        <f t="shared" si="133"/>
        <v>0.99</v>
      </c>
      <c r="K155" s="18">
        <f>Imaging!E155</f>
        <v>0.99</v>
      </c>
      <c r="L155" s="18"/>
      <c r="M155" s="18"/>
      <c r="N155" s="50">
        <f>Imaging!F155</f>
        <v>0.99</v>
      </c>
      <c r="O155" s="18"/>
    </row>
    <row r="156" spans="1:15">
      <c r="A156" s="15" t="s">
        <v>170</v>
      </c>
      <c r="B156" s="18">
        <f>Imaging!B156</f>
        <v>1</v>
      </c>
      <c r="C156" s="18">
        <f t="shared" ref="C156" si="138">(E156-B156)/(E$145-B$145)*(C$145-B$145)+B156</f>
        <v>1</v>
      </c>
      <c r="D156" s="18">
        <f t="shared" ref="D156" si="139">(E156-B156)/(E$145-B$145)*(D$145-B$145)+B156</f>
        <v>1</v>
      </c>
      <c r="E156" s="18">
        <f>Imaging!C156</f>
        <v>1</v>
      </c>
      <c r="F156" s="18">
        <f t="shared" ref="F156" si="140">(H156-E156)/(H$145-E$145)*(F$145-E$145)+E156</f>
        <v>1</v>
      </c>
      <c r="G156" s="18">
        <f t="shared" ref="G156" si="141">(H156-E156)/(H$145-E$145)*(G$145-E$145)+E156</f>
        <v>1</v>
      </c>
      <c r="H156" s="18">
        <f>Imaging!D156</f>
        <v>1</v>
      </c>
      <c r="I156" s="18">
        <f t="shared" ref="I156" si="142">(K156-H156)/(K$145-H$145)*(I$145-H$145)+H156</f>
        <v>1</v>
      </c>
      <c r="J156" s="18">
        <f t="shared" ref="J156" si="143">(K156-H156)/(K$145-H$145)*(J$145-H$145)+H156</f>
        <v>1</v>
      </c>
      <c r="K156" s="18">
        <f>Imaging!E156</f>
        <v>1</v>
      </c>
      <c r="L156" s="18"/>
      <c r="M156" s="18"/>
      <c r="N156" s="50">
        <f>Imaging!F156</f>
        <v>1</v>
      </c>
      <c r="O156" s="18"/>
    </row>
    <row r="157" spans="1:15">
      <c r="A157" s="15" t="s">
        <v>157</v>
      </c>
      <c r="B157" s="18">
        <f>Imaging!B157</f>
        <v>0.97599999999999998</v>
      </c>
      <c r="C157" s="18">
        <f t="shared" si="134"/>
        <v>0.98333333333333328</v>
      </c>
      <c r="D157" s="18">
        <f t="shared" si="135"/>
        <v>0.99066666666666658</v>
      </c>
      <c r="E157" s="18">
        <f>Imaging!C157</f>
        <v>0.998</v>
      </c>
      <c r="F157" s="18">
        <f t="shared" si="136"/>
        <v>0.99099999999999999</v>
      </c>
      <c r="G157" s="18">
        <f t="shared" si="137"/>
        <v>0.98399999999999999</v>
      </c>
      <c r="H157" s="18">
        <f>Imaging!D157</f>
        <v>0.97699999999999998</v>
      </c>
      <c r="I157" s="18">
        <f t="shared" si="132"/>
        <v>0.95533333333333337</v>
      </c>
      <c r="J157" s="18">
        <f t="shared" si="133"/>
        <v>0.93366666666666664</v>
      </c>
      <c r="K157" s="18">
        <f>Imaging!E157</f>
        <v>0.91200000000000003</v>
      </c>
      <c r="L157" s="18"/>
      <c r="M157" s="18"/>
      <c r="N157" s="50">
        <f>Imaging!F157</f>
        <v>0</v>
      </c>
      <c r="O157" s="18"/>
    </row>
    <row r="158" spans="1:15">
      <c r="A158" s="15" t="s">
        <v>20</v>
      </c>
      <c r="B158" s="18">
        <f>Imaging!B158</f>
        <v>0.90200000000000002</v>
      </c>
      <c r="C158" s="18">
        <f t="shared" si="134"/>
        <v>0.89633333333333332</v>
      </c>
      <c r="D158" s="18">
        <f t="shared" si="135"/>
        <v>0.89066666666666672</v>
      </c>
      <c r="E158" s="18">
        <f>Imaging!C158</f>
        <v>0.88500000000000001</v>
      </c>
      <c r="F158" s="18">
        <f t="shared" si="136"/>
        <v>0.88066666666666671</v>
      </c>
      <c r="G158" s="18">
        <f t="shared" si="137"/>
        <v>0.8763333333333333</v>
      </c>
      <c r="H158" s="18">
        <f>Imaging!D158</f>
        <v>0.872</v>
      </c>
      <c r="I158" s="18">
        <f t="shared" si="132"/>
        <v>0.8696666666666667</v>
      </c>
      <c r="J158" s="18">
        <f t="shared" si="133"/>
        <v>0.86733333333333329</v>
      </c>
      <c r="K158" s="18">
        <f>Imaging!E158</f>
        <v>0.86499999999999999</v>
      </c>
      <c r="L158" s="18"/>
      <c r="M158" s="18"/>
      <c r="N158" s="50">
        <f>Imaging!F158</f>
        <v>0.86199999999999999</v>
      </c>
      <c r="O158" s="18"/>
    </row>
    <row r="159" spans="1:15">
      <c r="A159" s="15" t="s">
        <v>35</v>
      </c>
      <c r="B159" s="18">
        <f>Imaging!B159</f>
        <v>0.8</v>
      </c>
      <c r="C159" s="18">
        <f t="shared" si="134"/>
        <v>0.8</v>
      </c>
      <c r="D159" s="18">
        <f t="shared" si="135"/>
        <v>0.8</v>
      </c>
      <c r="E159" s="18">
        <f>Imaging!C159</f>
        <v>0.8</v>
      </c>
      <c r="F159" s="18">
        <f t="shared" si="136"/>
        <v>0.8</v>
      </c>
      <c r="G159" s="18">
        <f t="shared" si="137"/>
        <v>0.8</v>
      </c>
      <c r="H159" s="18">
        <f>Imaging!D159</f>
        <v>0.8</v>
      </c>
      <c r="I159" s="18">
        <f t="shared" si="132"/>
        <v>0.8</v>
      </c>
      <c r="J159" s="18">
        <f t="shared" si="133"/>
        <v>0.8</v>
      </c>
      <c r="K159" s="18">
        <f>Imaging!E159</f>
        <v>0.8</v>
      </c>
      <c r="L159" s="18"/>
      <c r="M159" s="18"/>
      <c r="N159" s="50">
        <f>Imaging!F159</f>
        <v>0.8</v>
      </c>
      <c r="O159" s="18"/>
    </row>
    <row r="160" spans="1:15">
      <c r="A160" s="10" t="s">
        <v>40</v>
      </c>
      <c r="B160" s="29">
        <f>B146*B147*B148*B149*B150*B151*B152*B153*B154*B155*B158*B159</f>
        <v>0.37821110886623432</v>
      </c>
      <c r="C160" s="29">
        <f t="shared" ref="C160" si="144">C146*C147*C148*C149*C150*C151*C152*C153*C154*C155*C158*C159</f>
        <v>0.3657142068146858</v>
      </c>
      <c r="D160" s="29">
        <f t="shared" ref="D160" si="145">D146*D147*D148*D149*D150*D151*D152*D153*D154*D155*D158*D159</f>
        <v>0.353473172572143</v>
      </c>
      <c r="E160" s="29">
        <f t="shared" ref="E160:K160" si="146">E146*E147*E148*E149*E150*E151*E152*E153*E154*E155*E158*E159</f>
        <v>0.34148556495880067</v>
      </c>
      <c r="F160" s="29">
        <f t="shared" si="146"/>
        <v>0.33301319198924983</v>
      </c>
      <c r="G160" s="29">
        <f t="shared" si="146"/>
        <v>0.32467210838711957</v>
      </c>
      <c r="H160" s="29">
        <f t="shared" si="146"/>
        <v>0.31646135929384173</v>
      </c>
      <c r="I160" s="29">
        <f t="shared" si="146"/>
        <v>0.31239294594351796</v>
      </c>
      <c r="J160" s="29">
        <f t="shared" si="146"/>
        <v>0.30835807120639558</v>
      </c>
      <c r="K160" s="29">
        <f t="shared" si="146"/>
        <v>0.30435660392281361</v>
      </c>
      <c r="L160" s="29"/>
      <c r="M160" s="29"/>
      <c r="N160" s="50">
        <v>0.35526541779217768</v>
      </c>
      <c r="O160" s="29">
        <f>AVERAGE(B160:N160)</f>
        <v>0.33576397743154357</v>
      </c>
    </row>
    <row r="161" spans="1:15">
      <c r="A161" s="15" t="s">
        <v>126</v>
      </c>
      <c r="B161" s="36">
        <v>0.95664086399999992</v>
      </c>
      <c r="C161" s="18">
        <f>(E161-B161)/(E$145-B$145)*(C$145-B$145)+B161</f>
        <v>0.95696492933333321</v>
      </c>
      <c r="D161" s="18">
        <f>(E161-B161)/(E$145-B$145)*(D$145-B$145)+B161</f>
        <v>0.95728899466666661</v>
      </c>
      <c r="E161" s="36">
        <v>0.9576130599999999</v>
      </c>
      <c r="F161" s="18">
        <f>(H161-E161)/(H$145-E$145)*(F$145-E$145)+E161</f>
        <v>0.9576130599999999</v>
      </c>
      <c r="G161" s="18">
        <f>(H161-E161)/(H$145-E$145)*(G$145-E$145)+E161</f>
        <v>0.9576130599999999</v>
      </c>
      <c r="H161" s="36">
        <v>0.9576130599999999</v>
      </c>
      <c r="I161" s="18">
        <f>(K161-H161)/(K$145-H$145)*(I$145-H$145)+H161</f>
        <v>0.95745110958333324</v>
      </c>
      <c r="J161" s="18">
        <f>(K161-H161)/(K$145-H$145)*(J$145-H$145)+H161</f>
        <v>0.95728915916666657</v>
      </c>
      <c r="K161" s="36">
        <v>0.9571272087499999</v>
      </c>
      <c r="L161" s="36"/>
      <c r="M161" s="36"/>
      <c r="N161" s="48">
        <v>0.92678649999999996</v>
      </c>
      <c r="O161" s="18"/>
    </row>
    <row r="162" spans="1:15">
      <c r="A162" s="10" t="s">
        <v>125</v>
      </c>
      <c r="B162" s="29">
        <f t="shared" ref="B162:K162" si="147">B160*B161</f>
        <v>0.36181220196019243</v>
      </c>
      <c r="C162" s="29">
        <f t="shared" ref="C162" si="148">C160*C161</f>
        <v>0.34997567008061181</v>
      </c>
      <c r="D162" s="29">
        <f t="shared" ref="D162" si="149">D160*D161</f>
        <v>0.33837597801322394</v>
      </c>
      <c r="E162" s="29">
        <f t="shared" si="147"/>
        <v>0.32701103680602583</v>
      </c>
      <c r="F162" s="29">
        <f t="shared" si="147"/>
        <v>0.31889778180119299</v>
      </c>
      <c r="G162" s="29">
        <f t="shared" si="147"/>
        <v>0.31091025120924121</v>
      </c>
      <c r="H162" s="29">
        <f t="shared" si="147"/>
        <v>0.30304753064513518</v>
      </c>
      <c r="I162" s="29">
        <f t="shared" si="147"/>
        <v>0.29910097271962749</v>
      </c>
      <c r="J162" s="29">
        <f t="shared" si="147"/>
        <v>0.29518783870742554</v>
      </c>
      <c r="K162" s="29">
        <f t="shared" si="147"/>
        <v>0.29130798677727188</v>
      </c>
      <c r="L162" s="29"/>
      <c r="M162" s="29"/>
      <c r="N162" s="50">
        <v>0.32925519312665008</v>
      </c>
      <c r="O162" s="29">
        <f>AVERAGE(B162:N162)</f>
        <v>0.3204438583496908</v>
      </c>
    </row>
    <row r="163" spans="1:15">
      <c r="A163" s="10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</row>
    <row r="164" spans="1:15">
      <c r="A164" s="10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</row>
    <row r="198" spans="1:1">
      <c r="A198" s="19"/>
    </row>
    <row r="202" spans="1:1">
      <c r="A202" s="19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01"/>
  <sheetViews>
    <sheetView topLeftCell="A75" workbookViewId="0">
      <selection activeCell="L156" sqref="L156:M156"/>
    </sheetView>
  </sheetViews>
  <sheetFormatPr baseColWidth="10" defaultRowHeight="15" x14ac:dyDescent="0"/>
  <cols>
    <col min="1" max="1" width="14.1640625" style="5" customWidth="1"/>
    <col min="2" max="15" width="8.83203125" style="5" customWidth="1"/>
  </cols>
  <sheetData>
    <row r="2" spans="1:15">
      <c r="A2" s="3" t="s">
        <v>36</v>
      </c>
    </row>
    <row r="4" spans="1:15">
      <c r="A4" s="31" t="s">
        <v>87</v>
      </c>
    </row>
    <row r="5" spans="1:15">
      <c r="A5" s="10" t="s">
        <v>6</v>
      </c>
      <c r="B5" s="30">
        <v>385</v>
      </c>
      <c r="C5" s="62">
        <f>(E5-B5)/3+B5</f>
        <v>390</v>
      </c>
      <c r="D5" s="62">
        <f>(E5-B5)/3*2+B5</f>
        <v>395</v>
      </c>
      <c r="E5" s="30">
        <v>400</v>
      </c>
      <c r="F5" s="62">
        <f>(H5-E5)/3+E5</f>
        <v>423</v>
      </c>
      <c r="G5" s="62">
        <f>(H5-E5)/3*2+E5</f>
        <v>446</v>
      </c>
      <c r="H5" s="30">
        <v>469</v>
      </c>
      <c r="I5" s="62">
        <f>(K5-H5)/3+H5</f>
        <v>482.66666666666669</v>
      </c>
      <c r="J5" s="62">
        <f>(K5-H5)/3*2+H5</f>
        <v>496.33333333333331</v>
      </c>
      <c r="K5" s="30">
        <v>510</v>
      </c>
      <c r="L5" s="62">
        <f>(N5-K5)/3+K5</f>
        <v>524</v>
      </c>
      <c r="M5" s="62">
        <f>(N5-K5)/3*2+K5</f>
        <v>538</v>
      </c>
      <c r="N5" s="30">
        <v>552</v>
      </c>
      <c r="O5" s="30" t="s">
        <v>187</v>
      </c>
    </row>
    <row r="6" spans="1:15">
      <c r="A6" s="15" t="s">
        <v>5</v>
      </c>
      <c r="B6" s="18">
        <f>Spectroscopy!B6</f>
        <v>0.77361957225853306</v>
      </c>
      <c r="C6" s="18">
        <f>(E6-B6)/(E$5-B$5)*(C$5-B$5)+B6</f>
        <v>0.79437044874705454</v>
      </c>
      <c r="D6" s="18">
        <f>(E6-B6)/(E$5-B$5)*(D$5-B$5)+B6</f>
        <v>0.8151213252355759</v>
      </c>
      <c r="E6" s="18">
        <f>Spectroscopy!C6</f>
        <v>0.83587220172409737</v>
      </c>
      <c r="F6" s="18">
        <f>(H6-E6)/(H$5-E$5)*(F$5-E$5)+E6</f>
        <v>0.8399267422143647</v>
      </c>
      <c r="G6" s="18">
        <f t="shared" ref="G6:G18" si="0">(H6-E6)/(H$5-E$5)*(G$5-E$5)+E6</f>
        <v>0.84398128270463202</v>
      </c>
      <c r="H6" s="18">
        <f>Spectroscopy!D6</f>
        <v>0.84803582319489934</v>
      </c>
      <c r="I6" s="18">
        <f>(K6-H6)/(K$5-H$5)*(I$5-H$5)+H6</f>
        <v>0.85003700943166771</v>
      </c>
      <c r="J6" s="18">
        <f>(K6-H6)/(K$5-H$5)*(J$5-H$5)+H6</f>
        <v>0.85203819566843597</v>
      </c>
      <c r="K6" s="18">
        <f>Spectroscopy!E6</f>
        <v>0.85403938190520434</v>
      </c>
      <c r="L6" s="18">
        <f>(N6-K6)/(N$5-K$5)*(L$5-K$5)+K6</f>
        <v>0.85479362247886603</v>
      </c>
      <c r="M6" s="18">
        <f>(N6-K6)/(N$5-K$5)*(M$5-K$5)+K6</f>
        <v>0.85554786305252761</v>
      </c>
      <c r="N6" s="18">
        <f>Spectroscopy!F6</f>
        <v>0.8563021036261893</v>
      </c>
      <c r="O6" s="18"/>
    </row>
    <row r="7" spans="1:15">
      <c r="A7" s="15" t="s">
        <v>7</v>
      </c>
      <c r="B7" s="18">
        <f>Spectroscopy!B7</f>
        <v>0.94089999999999996</v>
      </c>
      <c r="C7" s="18">
        <f t="shared" ref="C7:C18" si="1">(E7-B7)/(E$5-B$5)*(C$5-B$5)+B7</f>
        <v>0.94089999999999996</v>
      </c>
      <c r="D7" s="18">
        <f t="shared" ref="D7:D18" si="2">(E7-B7)/(E$5-B$5)*(D$5-B$5)+B7</f>
        <v>0.94089999999999996</v>
      </c>
      <c r="E7" s="18">
        <f>Spectroscopy!C7</f>
        <v>0.94089999999999996</v>
      </c>
      <c r="F7" s="18">
        <f t="shared" ref="F7:F18" si="3">(H7-E7)/(H$5-E$5)*(F$5-E$5)+E7</f>
        <v>0.94089999999999996</v>
      </c>
      <c r="G7" s="18">
        <f t="shared" si="0"/>
        <v>0.94089999999999996</v>
      </c>
      <c r="H7" s="18">
        <f>Spectroscopy!D7</f>
        <v>0.94089999999999996</v>
      </c>
      <c r="I7" s="18">
        <f t="shared" ref="I7:I19" si="4">(K7-H7)/(K$5-H$5)*(I$5-H$5)+H7</f>
        <v>0.94089999999999996</v>
      </c>
      <c r="J7" s="18">
        <f t="shared" ref="J7:J19" si="5">(K7-H7)/(K$5-H$5)*(J$5-H$5)+H7</f>
        <v>0.94089999999999996</v>
      </c>
      <c r="K7" s="18">
        <f>Spectroscopy!E7</f>
        <v>0.94089999999999996</v>
      </c>
      <c r="L7" s="18">
        <f t="shared" ref="L7:L18" si="6">(N7-K7)/(N$5-K$5)*(L$5-K$5)+K7</f>
        <v>0.94089999999999996</v>
      </c>
      <c r="M7" s="18">
        <f t="shared" ref="M7:M18" si="7">(N7-K7)/(N$5-K$5)*(M$5-K$5)+K7</f>
        <v>0.94089999999999996</v>
      </c>
      <c r="N7" s="18">
        <f>Spectroscopy!F7</f>
        <v>0.94089999999999996</v>
      </c>
      <c r="O7" s="18"/>
    </row>
    <row r="8" spans="1:15">
      <c r="A8" s="15" t="s">
        <v>27</v>
      </c>
      <c r="B8" s="18">
        <f>Spectroscopy!B8</f>
        <v>0.98499999999999999</v>
      </c>
      <c r="C8" s="18">
        <f t="shared" si="1"/>
        <v>0.98499999999999999</v>
      </c>
      <c r="D8" s="18">
        <f t="shared" si="2"/>
        <v>0.98499999999999999</v>
      </c>
      <c r="E8" s="18">
        <f>Spectroscopy!C8</f>
        <v>0.98499999999999999</v>
      </c>
      <c r="F8" s="18">
        <f t="shared" si="3"/>
        <v>0.98499999999999999</v>
      </c>
      <c r="G8" s="18">
        <f t="shared" si="0"/>
        <v>0.98499999999999999</v>
      </c>
      <c r="H8" s="18">
        <f>Spectroscopy!D8</f>
        <v>0.98499999999999999</v>
      </c>
      <c r="I8" s="18">
        <f t="shared" si="4"/>
        <v>0.98499999999999999</v>
      </c>
      <c r="J8" s="18">
        <f t="shared" si="5"/>
        <v>0.98499999999999999</v>
      </c>
      <c r="K8" s="18">
        <f>Spectroscopy!E8</f>
        <v>0.98499999999999999</v>
      </c>
      <c r="L8" s="18">
        <f t="shared" si="6"/>
        <v>0.98499999999999999</v>
      </c>
      <c r="M8" s="18">
        <f t="shared" si="7"/>
        <v>0.98499999999999999</v>
      </c>
      <c r="N8" s="18">
        <f>Spectroscopy!F8</f>
        <v>0.98499999999999999</v>
      </c>
      <c r="O8" s="18"/>
    </row>
    <row r="9" spans="1:15">
      <c r="A9" s="15" t="s">
        <v>8</v>
      </c>
      <c r="B9" s="18">
        <f>Spectroscopy!B9</f>
        <v>0.96039999999999992</v>
      </c>
      <c r="C9" s="18">
        <f t="shared" si="1"/>
        <v>0.96039999999999992</v>
      </c>
      <c r="D9" s="18">
        <f t="shared" si="2"/>
        <v>0.96039999999999992</v>
      </c>
      <c r="E9" s="18">
        <f>Spectroscopy!C9</f>
        <v>0.96039999999999992</v>
      </c>
      <c r="F9" s="18">
        <f t="shared" si="3"/>
        <v>0.96039999999999992</v>
      </c>
      <c r="G9" s="18">
        <f t="shared" si="0"/>
        <v>0.96039999999999992</v>
      </c>
      <c r="H9" s="18">
        <f>Spectroscopy!D9</f>
        <v>0.96039999999999992</v>
      </c>
      <c r="I9" s="18">
        <f t="shared" si="4"/>
        <v>0.96039999999999992</v>
      </c>
      <c r="J9" s="18">
        <f t="shared" si="5"/>
        <v>0.96039999999999992</v>
      </c>
      <c r="K9" s="18">
        <f>Spectroscopy!E9</f>
        <v>0.96039999999999992</v>
      </c>
      <c r="L9" s="18">
        <f t="shared" si="6"/>
        <v>0.96039999999999992</v>
      </c>
      <c r="M9" s="18">
        <f t="shared" si="7"/>
        <v>0.96039999999999992</v>
      </c>
      <c r="N9" s="18">
        <f>Spectroscopy!F9</f>
        <v>0.96039999999999992</v>
      </c>
      <c r="O9" s="18"/>
    </row>
    <row r="10" spans="1:15">
      <c r="A10" s="15" t="s">
        <v>85</v>
      </c>
      <c r="B10" s="18">
        <f>Spectroscopy!B10</f>
        <v>0.57999999999999996</v>
      </c>
      <c r="C10" s="18">
        <f t="shared" si="1"/>
        <v>0.65333333333333332</v>
      </c>
      <c r="D10" s="18">
        <f t="shared" si="2"/>
        <v>0.72666666666666668</v>
      </c>
      <c r="E10" s="18">
        <f>Spectroscopy!C10</f>
        <v>0.8</v>
      </c>
      <c r="F10" s="18">
        <f t="shared" si="3"/>
        <v>0.85</v>
      </c>
      <c r="G10" s="18">
        <f t="shared" si="0"/>
        <v>0.9</v>
      </c>
      <c r="H10" s="18">
        <f>Spectroscopy!D10</f>
        <v>0.95</v>
      </c>
      <c r="I10" s="18">
        <f t="shared" si="4"/>
        <v>0.95</v>
      </c>
      <c r="J10" s="18">
        <f t="shared" si="5"/>
        <v>0.95</v>
      </c>
      <c r="K10" s="18">
        <f>Spectroscopy!E10</f>
        <v>0.95</v>
      </c>
      <c r="L10" s="18">
        <f t="shared" si="6"/>
        <v>0.95</v>
      </c>
      <c r="M10" s="18">
        <f t="shared" si="7"/>
        <v>0.95</v>
      </c>
      <c r="N10" s="18">
        <f>Spectroscopy!F10</f>
        <v>0.95</v>
      </c>
      <c r="O10" s="18"/>
    </row>
    <row r="11" spans="1:15">
      <c r="A11" s="15" t="s">
        <v>86</v>
      </c>
      <c r="B11" s="18">
        <f>Spectroscopy!B11</f>
        <v>0.74473076878199995</v>
      </c>
      <c r="C11" s="18">
        <f t="shared" si="1"/>
        <v>0.77560208697509991</v>
      </c>
      <c r="D11" s="18">
        <f t="shared" si="2"/>
        <v>0.80647340516819987</v>
      </c>
      <c r="E11" s="18">
        <f>Spectroscopy!C11</f>
        <v>0.83734472336129984</v>
      </c>
      <c r="F11" s="18">
        <f t="shared" si="3"/>
        <v>0.85612212308699986</v>
      </c>
      <c r="G11" s="18">
        <f t="shared" si="0"/>
        <v>0.8748995228127</v>
      </c>
      <c r="H11" s="18">
        <f>Spectroscopy!D11</f>
        <v>0.89367692253840003</v>
      </c>
      <c r="I11" s="18">
        <f t="shared" si="4"/>
        <v>0.89908735974749998</v>
      </c>
      <c r="J11" s="18">
        <f t="shared" si="5"/>
        <v>0.90449779695659993</v>
      </c>
      <c r="K11" s="18">
        <f>Spectroscopy!E11</f>
        <v>0.90990823416569988</v>
      </c>
      <c r="L11" s="18">
        <f t="shared" si="6"/>
        <v>0.91181780023949988</v>
      </c>
      <c r="M11" s="18">
        <f t="shared" si="7"/>
        <v>0.91372736631329987</v>
      </c>
      <c r="N11" s="18">
        <f>Spectroscopy!F11</f>
        <v>0.91563693238709987</v>
      </c>
      <c r="O11" s="40"/>
    </row>
    <row r="12" spans="1:15">
      <c r="A12" s="15" t="s">
        <v>91</v>
      </c>
      <c r="B12" s="18">
        <f>Spectroscopy!B12</f>
        <v>0.98499999999999999</v>
      </c>
      <c r="C12" s="18">
        <f t="shared" si="1"/>
        <v>0.98499999999999999</v>
      </c>
      <c r="D12" s="18">
        <f t="shared" si="2"/>
        <v>0.98499999999999999</v>
      </c>
      <c r="E12" s="18">
        <f>Spectroscopy!C12</f>
        <v>0.98499999999999999</v>
      </c>
      <c r="F12" s="18">
        <f t="shared" si="3"/>
        <v>0.98499999999999999</v>
      </c>
      <c r="G12" s="18">
        <f t="shared" si="0"/>
        <v>0.98499999999999999</v>
      </c>
      <c r="H12" s="18">
        <f>Spectroscopy!D12</f>
        <v>0.98499999999999999</v>
      </c>
      <c r="I12" s="18">
        <f t="shared" si="4"/>
        <v>0.98499999999999999</v>
      </c>
      <c r="J12" s="18">
        <f t="shared" si="5"/>
        <v>0.98499999999999999</v>
      </c>
      <c r="K12" s="18">
        <f>Spectroscopy!E12</f>
        <v>0.98499999999999999</v>
      </c>
      <c r="L12" s="18">
        <f t="shared" si="6"/>
        <v>0.98499999999999999</v>
      </c>
      <c r="M12" s="18">
        <f t="shared" si="7"/>
        <v>0.98499999999999999</v>
      </c>
      <c r="N12" s="18">
        <f>Spectroscopy!F12</f>
        <v>0.98499999999999999</v>
      </c>
      <c r="O12" s="18"/>
    </row>
    <row r="13" spans="1:15">
      <c r="A13" s="15" t="s">
        <v>92</v>
      </c>
      <c r="B13" s="18">
        <f>Spectroscopy!B13</f>
        <v>0.98</v>
      </c>
      <c r="C13" s="18">
        <f t="shared" si="1"/>
        <v>0.98</v>
      </c>
      <c r="D13" s="18">
        <f t="shared" si="2"/>
        <v>0.98</v>
      </c>
      <c r="E13" s="18">
        <f>Spectroscopy!C13</f>
        <v>0.98</v>
      </c>
      <c r="F13" s="18">
        <f t="shared" si="3"/>
        <v>0.98</v>
      </c>
      <c r="G13" s="18">
        <f t="shared" si="0"/>
        <v>0.98</v>
      </c>
      <c r="H13" s="18">
        <f>Spectroscopy!D13</f>
        <v>0.98</v>
      </c>
      <c r="I13" s="18">
        <f t="shared" si="4"/>
        <v>0.98</v>
      </c>
      <c r="J13" s="18">
        <f t="shared" si="5"/>
        <v>0.98</v>
      </c>
      <c r="K13" s="18">
        <f>Spectroscopy!E13</f>
        <v>0.98</v>
      </c>
      <c r="L13" s="18">
        <f t="shared" si="6"/>
        <v>0.98</v>
      </c>
      <c r="M13" s="18">
        <f t="shared" si="7"/>
        <v>0.98</v>
      </c>
      <c r="N13" s="18">
        <f>Spectroscopy!F13</f>
        <v>0.98</v>
      </c>
      <c r="O13" s="18"/>
    </row>
    <row r="14" spans="1:15">
      <c r="A14" s="15" t="s">
        <v>93</v>
      </c>
      <c r="B14" s="18">
        <f>Spectroscopy!B14</f>
        <v>0.98499999999999999</v>
      </c>
      <c r="C14" s="18">
        <f t="shared" si="1"/>
        <v>0.98499999999999999</v>
      </c>
      <c r="D14" s="18">
        <f t="shared" si="2"/>
        <v>0.98499999999999999</v>
      </c>
      <c r="E14" s="18">
        <f>Spectroscopy!C14</f>
        <v>0.98499999999999999</v>
      </c>
      <c r="F14" s="18">
        <f t="shared" si="3"/>
        <v>0.98499999999999999</v>
      </c>
      <c r="G14" s="18">
        <f t="shared" si="0"/>
        <v>0.98499999999999999</v>
      </c>
      <c r="H14" s="18">
        <f>Spectroscopy!D14</f>
        <v>0.98499999999999999</v>
      </c>
      <c r="I14" s="18">
        <f t="shared" si="4"/>
        <v>0.98499999999999999</v>
      </c>
      <c r="J14" s="18">
        <f t="shared" si="5"/>
        <v>0.98499999999999999</v>
      </c>
      <c r="K14" s="18">
        <f>Spectroscopy!E14</f>
        <v>0.98499999999999999</v>
      </c>
      <c r="L14" s="18">
        <f t="shared" si="6"/>
        <v>0.98499999999999999</v>
      </c>
      <c r="M14" s="18">
        <f t="shared" si="7"/>
        <v>0.98499999999999999</v>
      </c>
      <c r="N14" s="18">
        <f>Spectroscopy!F14</f>
        <v>0.98499999999999999</v>
      </c>
      <c r="O14" s="18"/>
    </row>
    <row r="15" spans="1:15">
      <c r="A15" s="15" t="s">
        <v>94</v>
      </c>
      <c r="B15" s="18">
        <f>Spectroscopy!B15</f>
        <v>0.98</v>
      </c>
      <c r="C15" s="18">
        <f t="shared" si="1"/>
        <v>0.98</v>
      </c>
      <c r="D15" s="18">
        <f t="shared" si="2"/>
        <v>0.98</v>
      </c>
      <c r="E15" s="18">
        <f>Spectroscopy!C15</f>
        <v>0.98</v>
      </c>
      <c r="F15" s="18">
        <f t="shared" si="3"/>
        <v>0.98</v>
      </c>
      <c r="G15" s="18">
        <f t="shared" si="0"/>
        <v>0.98</v>
      </c>
      <c r="H15" s="18">
        <f>Spectroscopy!D15</f>
        <v>0.98</v>
      </c>
      <c r="I15" s="18">
        <f t="shared" si="4"/>
        <v>0.98</v>
      </c>
      <c r="J15" s="18">
        <f t="shared" si="5"/>
        <v>0.98</v>
      </c>
      <c r="K15" s="18">
        <f>Spectroscopy!E15</f>
        <v>0.98</v>
      </c>
      <c r="L15" s="18">
        <f t="shared" si="6"/>
        <v>0.98</v>
      </c>
      <c r="M15" s="18">
        <f t="shared" si="7"/>
        <v>0.98</v>
      </c>
      <c r="N15" s="18">
        <f>Spectroscopy!F15</f>
        <v>0.98</v>
      </c>
      <c r="O15" s="18"/>
    </row>
    <row r="16" spans="1:15">
      <c r="A16" s="15" t="s">
        <v>119</v>
      </c>
      <c r="B16" s="18">
        <f>Spectroscopy!B16</f>
        <v>0.59735376509326688</v>
      </c>
      <c r="C16" s="18">
        <f t="shared" si="1"/>
        <v>0.63326027556335396</v>
      </c>
      <c r="D16" s="18">
        <f t="shared" si="2"/>
        <v>0.66916678603344104</v>
      </c>
      <c r="E16" s="18">
        <f>Spectroscopy!C16</f>
        <v>0.70507329650352812</v>
      </c>
      <c r="F16" s="18">
        <f t="shared" ref="F16" si="8">(H16-E16)/(H$5-E$5)*(F$5-E$5)+E16</f>
        <v>0.76382940454548887</v>
      </c>
      <c r="G16" s="18">
        <f t="shared" ref="G16" si="9">(H16-E16)/(H$5-E$5)*(G$5-E$5)+E16</f>
        <v>0.8225855125874495</v>
      </c>
      <c r="H16" s="18">
        <f>Spectroscopy!D16</f>
        <v>0.88134162062941024</v>
      </c>
      <c r="I16" s="18">
        <f t="shared" ref="I16" si="10">(K16-H16)/(K$5-H$5)*(I$5-H$5)+H16</f>
        <v>0.84543511015932304</v>
      </c>
      <c r="J16" s="18">
        <f t="shared" ref="J16" si="11">(K16-H16)/(K$5-H$5)*(J$5-H$5)+H16</f>
        <v>0.80952859968923607</v>
      </c>
      <c r="K16" s="18">
        <f>Spectroscopy!E16</f>
        <v>0.77362208921914888</v>
      </c>
      <c r="L16" s="18">
        <f t="shared" ref="L16" si="12">(N16-K16)/(N$5-K$5)*(L$5-K$5)+K16</f>
        <v>0.71160175295263484</v>
      </c>
      <c r="M16" s="18">
        <f t="shared" ref="M16" si="13">(N16-K16)/(N$5-K$5)*(M$5-K$5)+K16</f>
        <v>0.64958141668612079</v>
      </c>
      <c r="N16" s="18">
        <f>Spectroscopy!F16</f>
        <v>0.58756108041960675</v>
      </c>
      <c r="O16" s="38"/>
    </row>
    <row r="17" spans="1:15">
      <c r="A17" s="15" t="s">
        <v>95</v>
      </c>
      <c r="B17" s="18">
        <f>Spectroscopy!B17</f>
        <v>0.85852335713930328</v>
      </c>
      <c r="C17" s="18">
        <f t="shared" si="1"/>
        <v>0.86815572198596214</v>
      </c>
      <c r="D17" s="18">
        <f t="shared" si="2"/>
        <v>0.877788086832621</v>
      </c>
      <c r="E17" s="18">
        <f>Spectroscopy!C17</f>
        <v>0.88742045167927985</v>
      </c>
      <c r="F17" s="18">
        <f t="shared" si="3"/>
        <v>0.8936348806126081</v>
      </c>
      <c r="G17" s="18">
        <f t="shared" si="0"/>
        <v>0.89984930954593645</v>
      </c>
      <c r="H17" s="18">
        <f>Spectroscopy!D17</f>
        <v>0.90606373847926469</v>
      </c>
      <c r="I17" s="18">
        <f t="shared" si="4"/>
        <v>0.90917095294592887</v>
      </c>
      <c r="J17" s="18">
        <f t="shared" si="5"/>
        <v>0.91227816741259293</v>
      </c>
      <c r="K17" s="18">
        <f>Spectroscopy!E17</f>
        <v>0.91538538187925711</v>
      </c>
      <c r="L17" s="18">
        <f t="shared" si="6"/>
        <v>0.91600682477258999</v>
      </c>
      <c r="M17" s="18">
        <f t="shared" si="7"/>
        <v>0.91662826766592276</v>
      </c>
      <c r="N17" s="18">
        <f>Spectroscopy!F17</f>
        <v>0.91724971055925564</v>
      </c>
      <c r="O17" s="18"/>
    </row>
    <row r="18" spans="1:15">
      <c r="A18" s="15" t="s">
        <v>149</v>
      </c>
      <c r="B18" s="18">
        <f>Spectroscopy!B18</f>
        <v>0.99002500000000004</v>
      </c>
      <c r="C18" s="18">
        <f t="shared" si="1"/>
        <v>0.99002500000000004</v>
      </c>
      <c r="D18" s="18">
        <f t="shared" si="2"/>
        <v>0.99002500000000004</v>
      </c>
      <c r="E18" s="18">
        <f>Spectroscopy!C18</f>
        <v>0.99002500000000004</v>
      </c>
      <c r="F18" s="18">
        <f t="shared" si="3"/>
        <v>0.99002500000000004</v>
      </c>
      <c r="G18" s="18">
        <f t="shared" si="0"/>
        <v>0.99002500000000004</v>
      </c>
      <c r="H18" s="18">
        <f>Spectroscopy!D18</f>
        <v>0.99002500000000004</v>
      </c>
      <c r="I18" s="18">
        <f t="shared" si="4"/>
        <v>0.99002500000000004</v>
      </c>
      <c r="J18" s="18">
        <f t="shared" si="5"/>
        <v>0.99002500000000004</v>
      </c>
      <c r="K18" s="18">
        <f>Spectroscopy!E18</f>
        <v>0.99002500000000004</v>
      </c>
      <c r="L18" s="18">
        <f t="shared" si="6"/>
        <v>0.99002500000000004</v>
      </c>
      <c r="M18" s="18">
        <f t="shared" si="7"/>
        <v>0.99002500000000004</v>
      </c>
      <c r="N18" s="18">
        <f>Spectroscopy!F18</f>
        <v>0.99002500000000004</v>
      </c>
      <c r="O18" s="18"/>
    </row>
    <row r="19" spans="1:15">
      <c r="A19" s="15" t="s">
        <v>96</v>
      </c>
      <c r="B19" s="18">
        <f>Spectroscopy!B19</f>
        <v>0.82699999999999996</v>
      </c>
      <c r="C19" s="18">
        <v>0.85899999999999999</v>
      </c>
      <c r="D19" s="18">
        <v>0.88</v>
      </c>
      <c r="E19" s="18">
        <f>Spectroscopy!C19</f>
        <v>0.9</v>
      </c>
      <c r="F19" s="18">
        <v>0.92500000000000004</v>
      </c>
      <c r="G19" s="18">
        <v>0.91700000000000004</v>
      </c>
      <c r="H19" s="18">
        <f>Spectroscopy!D19</f>
        <v>0.90200000000000002</v>
      </c>
      <c r="I19" s="18">
        <f t="shared" si="4"/>
        <v>0.89666666666666672</v>
      </c>
      <c r="J19" s="18">
        <f t="shared" si="5"/>
        <v>0.89133333333333331</v>
      </c>
      <c r="K19" s="18">
        <f>Spectroscopy!E19</f>
        <v>0.88600000000000001</v>
      </c>
      <c r="L19" s="18">
        <v>0.88500000000000001</v>
      </c>
      <c r="M19" s="18">
        <v>0.88600000000000001</v>
      </c>
      <c r="N19" s="18">
        <f>Spectroscopy!F19</f>
        <v>0.88800000000000001</v>
      </c>
      <c r="O19" s="18"/>
    </row>
    <row r="20" spans="1:15">
      <c r="A20" s="10" t="s">
        <v>124</v>
      </c>
      <c r="B20" s="29">
        <f t="shared" ref="B20" si="14">B6*B7*B8*B9*B10*B11*B12*B13*B14*B15*B16*B17*B18*B19</f>
        <v>0.11637148969316197</v>
      </c>
      <c r="C20" s="29">
        <f>C6*C7*C8*C9*C10*C11*C12*C13*C14*C15*C16*C17*C18*C19</f>
        <v>0.15608908364676238</v>
      </c>
      <c r="D20" s="29">
        <f t="shared" ref="D20:N20" si="15">D6*D7*D8*D9*D10*D11*D12*D13*D14*D15*D16*D17*D18*D19</f>
        <v>0.20274814998181234</v>
      </c>
      <c r="E20" s="29">
        <f t="shared" si="15"/>
        <v>0.25890652221967897</v>
      </c>
      <c r="F20" s="29">
        <f t="shared" si="15"/>
        <v>0.31688150820038485</v>
      </c>
      <c r="G20" s="29">
        <f t="shared" si="15"/>
        <v>0.37038748888041922</v>
      </c>
      <c r="H20" s="29">
        <f t="shared" si="15"/>
        <v>0.4258243953606371</v>
      </c>
      <c r="I20" s="29">
        <f t="shared" si="15"/>
        <v>0.41088739016372888</v>
      </c>
      <c r="J20" s="29">
        <f t="shared" si="15"/>
        <v>0.39572403904324593</v>
      </c>
      <c r="K20" s="29">
        <f t="shared" si="15"/>
        <v>0.3803367390480405</v>
      </c>
      <c r="L20" s="29">
        <f t="shared" si="15"/>
        <v>0.35073132695570708</v>
      </c>
      <c r="M20" s="29">
        <f t="shared" si="15"/>
        <v>0.32169753482876673</v>
      </c>
      <c r="N20" s="29">
        <f t="shared" si="15"/>
        <v>0.29270498044539939</v>
      </c>
      <c r="O20" s="29">
        <f>AVERAGE(B20:N20)</f>
        <v>0.30763774218982654</v>
      </c>
    </row>
    <row r="21" spans="1:15">
      <c r="A21" s="15" t="s">
        <v>126</v>
      </c>
      <c r="B21" s="36">
        <v>0.48148842200000003</v>
      </c>
      <c r="C21" s="18">
        <f>(E21-B21)/(E$5-B$5)*(C$5-B$5)+B21</f>
        <v>0.50577832533333333</v>
      </c>
      <c r="D21" s="18">
        <f>(E21-B21)/(E$5-B$5)*(D$5-B$5)+B21</f>
        <v>0.5300682286666667</v>
      </c>
      <c r="E21" s="36">
        <v>0.55435813199999995</v>
      </c>
      <c r="F21" s="18">
        <f>(H21-E21)/(H$5-E$5)*(F$5-E$5)+E21</f>
        <v>0.60456923604000001</v>
      </c>
      <c r="G21" s="18">
        <f>(H21-E21)/(H$5-E$5)*(G$5-E$5)+E21</f>
        <v>0.65478034007999997</v>
      </c>
      <c r="H21" s="36">
        <v>0.70499144412000003</v>
      </c>
      <c r="I21" s="18">
        <f>(K21-H21)/(K$5-H$5)*(I$5-H$5)+H21</f>
        <v>0.72755005608000012</v>
      </c>
      <c r="J21" s="18">
        <f>(K21-H21)/(K$5-H$5)*(J$5-H$5)+H21</f>
        <v>0.75010866803999998</v>
      </c>
      <c r="K21" s="36">
        <v>0.77266728000000007</v>
      </c>
      <c r="L21" s="18">
        <f>(N21-K21)/(N$5-K$5)*(L$5-K$5)+K21</f>
        <v>0.78485557248000004</v>
      </c>
      <c r="M21" s="18">
        <f>(N21-K21)/(N$5-K$5)*(M$5-K$5)+K21</f>
        <v>0.79704386496000001</v>
      </c>
      <c r="N21" s="36">
        <v>0.80923215743999999</v>
      </c>
      <c r="O21" s="36"/>
    </row>
    <row r="22" spans="1:15">
      <c r="A22" s="10" t="s">
        <v>125</v>
      </c>
      <c r="B22" s="29">
        <f t="shared" ref="B22:N22" si="16">B20*B21</f>
        <v>5.6031524938149821E-2</v>
      </c>
      <c r="C22" s="29">
        <f t="shared" si="16"/>
        <v>7.8946475329674068E-2</v>
      </c>
      <c r="D22" s="29">
        <f t="shared" si="16"/>
        <v>0.10747035272630294</v>
      </c>
      <c r="E22" s="29">
        <f t="shared" si="16"/>
        <v>0.14352693602031771</v>
      </c>
      <c r="F22" s="29">
        <f t="shared" si="16"/>
        <v>0.19157681132790966</v>
      </c>
      <c r="G22" s="29">
        <f t="shared" si="16"/>
        <v>0.2425224459304981</v>
      </c>
      <c r="H22" s="29">
        <f t="shared" si="16"/>
        <v>0.30020255542682139</v>
      </c>
      <c r="I22" s="29">
        <f t="shared" si="16"/>
        <v>0.29894114375618586</v>
      </c>
      <c r="J22" s="29">
        <f t="shared" si="16"/>
        <v>0.29683603183813817</v>
      </c>
      <c r="K22" s="29">
        <f t="shared" si="16"/>
        <v>0.29387375364431928</v>
      </c>
      <c r="L22" s="29">
        <f t="shared" si="16"/>
        <v>0.27527343640449153</v>
      </c>
      <c r="M22" s="29">
        <f t="shared" si="16"/>
        <v>0.25640704650802443</v>
      </c>
      <c r="N22" s="29">
        <f t="shared" si="16"/>
        <v>0.23686628281926356</v>
      </c>
      <c r="O22" s="29">
        <f>AVERAGE(B22:N22)</f>
        <v>0.21372883051308436</v>
      </c>
    </row>
    <row r="23" spans="1:15">
      <c r="A23" s="10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</row>
    <row r="24" spans="1:15">
      <c r="A24" s="32" t="s">
        <v>88</v>
      </c>
    </row>
    <row r="25" spans="1:15">
      <c r="A25" s="10" t="s">
        <v>6</v>
      </c>
      <c r="B25" s="30">
        <v>552</v>
      </c>
      <c r="C25" s="62">
        <f>(E25-B25)/3+B25</f>
        <v>561.33333333333337</v>
      </c>
      <c r="D25" s="62">
        <f>(E25-B25)/3*2+B25</f>
        <v>570.66666666666663</v>
      </c>
      <c r="E25" s="30">
        <v>580</v>
      </c>
      <c r="F25" s="62">
        <f>(H25-E25)/3+E25</f>
        <v>594</v>
      </c>
      <c r="G25" s="62">
        <f>(H25-E25)/3*2+E25</f>
        <v>608</v>
      </c>
      <c r="H25" s="30">
        <v>622</v>
      </c>
      <c r="I25" s="62">
        <f>(K25-H25)/3+H25</f>
        <v>631.33333333333337</v>
      </c>
      <c r="J25" s="62">
        <f>(K25-H25)/3*2+H25</f>
        <v>640.66666666666663</v>
      </c>
      <c r="K25" s="30">
        <v>650</v>
      </c>
      <c r="L25" s="62">
        <f>(N25-K25)/3+K25</f>
        <v>663.66666666666663</v>
      </c>
      <c r="M25" s="62">
        <f>(N25-K25)/3*2+K25</f>
        <v>677.33333333333337</v>
      </c>
      <c r="N25" s="30">
        <v>691</v>
      </c>
      <c r="O25" s="30"/>
    </row>
    <row r="26" spans="1:15">
      <c r="A26" s="15" t="s">
        <v>5</v>
      </c>
      <c r="B26" s="18">
        <f>Spectroscopy!B26</f>
        <v>0.8563021036261893</v>
      </c>
      <c r="C26" s="18">
        <f>(E26-B26)/(E$25-B$25)*(C$25-B$25)+B26</f>
        <v>0.8680014024174596</v>
      </c>
      <c r="D26" s="18">
        <f>(E26-B26)/(E$25-B$25)*(D$25-B$25)+B26</f>
        <v>0.87970070120872967</v>
      </c>
      <c r="E26" s="18">
        <v>0.89139999999999997</v>
      </c>
      <c r="F26" s="18">
        <f>(H26-E26)/(H$25-E$25)*(F$25-E$25)+E26</f>
        <v>0.88044521750758542</v>
      </c>
      <c r="G26" s="18">
        <f>(H26-E26)/(H$25-E$25)*(G$25-E$25)+E26</f>
        <v>0.86949043501517087</v>
      </c>
      <c r="H26" s="18">
        <f>Spectroscopy!D26</f>
        <v>0.85853565252275632</v>
      </c>
      <c r="I26" s="18">
        <f>(K26-H26)/(K$25-H$25)*(I$25-H$25)+H26</f>
        <v>0.85838614152324666</v>
      </c>
      <c r="J26" s="18">
        <f>(K26-H26)/(K$25-H$25)*(J$25-H$25)+H26</f>
        <v>0.85823663052373689</v>
      </c>
      <c r="K26" s="18">
        <f>Spectroscopy!E26</f>
        <v>0.85808711952422723</v>
      </c>
      <c r="L26" s="18">
        <f>(N26-K26)/(N$25-K$25)*(L$25-K$25)+K26</f>
        <v>0.85786819270351655</v>
      </c>
      <c r="M26" s="18">
        <f>(N26-K26)/(N$25-K$25)*(M$25-K$25)+K26</f>
        <v>0.85764926588280599</v>
      </c>
      <c r="N26" s="18">
        <f>Spectroscopy!F26</f>
        <v>0.85743033906209531</v>
      </c>
      <c r="O26" s="18"/>
    </row>
    <row r="27" spans="1:15">
      <c r="A27" s="15" t="s">
        <v>7</v>
      </c>
      <c r="B27" s="18">
        <f>Spectroscopy!B27</f>
        <v>0.94089999999999996</v>
      </c>
      <c r="C27" s="18">
        <f t="shared" ref="C27:C39" si="17">(E27-B27)/(E$25-B$25)*(C$25-B$25)+B27</f>
        <v>0.94544300000000003</v>
      </c>
      <c r="D27" s="18">
        <f t="shared" ref="D27:D39" si="18">(E27-B27)/(E$25-B$25)*(D$25-B$25)+B27</f>
        <v>0.949986</v>
      </c>
      <c r="E27" s="18">
        <v>0.95452899999999996</v>
      </c>
      <c r="F27" s="18">
        <f t="shared" ref="F27:F39" si="19">(H27-E27)/(H$25-E$25)*(F$25-E$25)+E27</f>
        <v>0.949986</v>
      </c>
      <c r="G27" s="18">
        <f t="shared" ref="G27:G39" si="20">(H27-E27)/(H$25-E$25)*(G$25-E$25)+E27</f>
        <v>0.94544299999999992</v>
      </c>
      <c r="H27" s="18">
        <f>Spectroscopy!D27</f>
        <v>0.94089999999999996</v>
      </c>
      <c r="I27" s="18">
        <f t="shared" ref="I27:I39" si="21">(K27-H27)/(K$25-H$25)*(I$25-H$25)+H27</f>
        <v>0.94089999999999996</v>
      </c>
      <c r="J27" s="18">
        <f t="shared" ref="J27:J39" si="22">(K27-H27)/(K$25-H$25)*(J$25-H$25)+H27</f>
        <v>0.94089999999999996</v>
      </c>
      <c r="K27" s="18">
        <f>Spectroscopy!E27</f>
        <v>0.94089999999999996</v>
      </c>
      <c r="L27" s="18">
        <f t="shared" ref="L27:L40" si="23">(N27-K27)/(N$25-K$25)*(L$25-K$25)+K27</f>
        <v>0.94089999999999996</v>
      </c>
      <c r="M27" s="18">
        <f t="shared" ref="M27:M40" si="24">(N27-K27)/(N$25-K$25)*(M$25-K$25)+K27</f>
        <v>0.94089999999999996</v>
      </c>
      <c r="N27" s="18">
        <f>Spectroscopy!F27</f>
        <v>0.94089999999999996</v>
      </c>
      <c r="O27" s="18"/>
    </row>
    <row r="28" spans="1:15">
      <c r="A28" s="15" t="s">
        <v>27</v>
      </c>
      <c r="B28" s="18">
        <f>Spectroscopy!B28</f>
        <v>0.98499999999999999</v>
      </c>
      <c r="C28" s="18">
        <f t="shared" si="17"/>
        <v>0.98333333333333328</v>
      </c>
      <c r="D28" s="18">
        <f t="shared" si="18"/>
        <v>0.98166666666666669</v>
      </c>
      <c r="E28" s="18">
        <v>0.98</v>
      </c>
      <c r="F28" s="18">
        <f t="shared" si="19"/>
        <v>0.98166666666666669</v>
      </c>
      <c r="G28" s="18">
        <f t="shared" si="20"/>
        <v>0.98333333333333328</v>
      </c>
      <c r="H28" s="18">
        <f>Spectroscopy!D28</f>
        <v>0.98499999999999999</v>
      </c>
      <c r="I28" s="18">
        <f t="shared" si="21"/>
        <v>0.98499999999999999</v>
      </c>
      <c r="J28" s="18">
        <f t="shared" si="22"/>
        <v>0.98499999999999999</v>
      </c>
      <c r="K28" s="18">
        <f>Spectroscopy!E28</f>
        <v>0.98499999999999999</v>
      </c>
      <c r="L28" s="18">
        <f t="shared" si="23"/>
        <v>0.98499999999999999</v>
      </c>
      <c r="M28" s="18">
        <f t="shared" si="24"/>
        <v>0.98499999999999999</v>
      </c>
      <c r="N28" s="18">
        <f>Spectroscopy!F28</f>
        <v>0.98499999999999999</v>
      </c>
      <c r="O28" s="18"/>
    </row>
    <row r="29" spans="1:15">
      <c r="A29" s="15" t="s">
        <v>8</v>
      </c>
      <c r="B29" s="18">
        <f>Spectroscopy!B29</f>
        <v>0.96039999999999992</v>
      </c>
      <c r="C29" s="18">
        <f t="shared" si="17"/>
        <v>0.96498966666666663</v>
      </c>
      <c r="D29" s="18">
        <f t="shared" si="18"/>
        <v>0.96957933333333324</v>
      </c>
      <c r="E29" s="18">
        <v>0.97416899999999995</v>
      </c>
      <c r="F29" s="18">
        <f t="shared" si="19"/>
        <v>0.96957933333333324</v>
      </c>
      <c r="G29" s="18">
        <f t="shared" si="20"/>
        <v>0.96498966666666663</v>
      </c>
      <c r="H29" s="18">
        <f>Spectroscopy!D29</f>
        <v>0.96039999999999992</v>
      </c>
      <c r="I29" s="18">
        <f t="shared" si="21"/>
        <v>0.96039999999999992</v>
      </c>
      <c r="J29" s="18">
        <f t="shared" si="22"/>
        <v>0.96039999999999992</v>
      </c>
      <c r="K29" s="18">
        <f>Spectroscopy!E29</f>
        <v>0.96039999999999992</v>
      </c>
      <c r="L29" s="18">
        <f t="shared" si="23"/>
        <v>0.96039999999999992</v>
      </c>
      <c r="M29" s="18">
        <f t="shared" si="24"/>
        <v>0.96039999999999992</v>
      </c>
      <c r="N29" s="18">
        <f>Spectroscopy!F29</f>
        <v>0.96039999999999992</v>
      </c>
      <c r="O29" s="18"/>
    </row>
    <row r="30" spans="1:15">
      <c r="A30" s="15" t="s">
        <v>85</v>
      </c>
      <c r="B30" s="18">
        <f>Spectroscopy!B30</f>
        <v>0.95</v>
      </c>
      <c r="C30" s="18">
        <f t="shared" si="17"/>
        <v>0.95899999999999996</v>
      </c>
      <c r="D30" s="18">
        <f t="shared" si="18"/>
        <v>0.96799999999999997</v>
      </c>
      <c r="E30" s="18">
        <v>0.97699999999999998</v>
      </c>
      <c r="F30" s="18">
        <f t="shared" si="19"/>
        <v>0.96799999999999997</v>
      </c>
      <c r="G30" s="18">
        <f t="shared" si="20"/>
        <v>0.95899999999999996</v>
      </c>
      <c r="H30" s="18">
        <f>Spectroscopy!D30</f>
        <v>0.95</v>
      </c>
      <c r="I30" s="18">
        <f t="shared" si="21"/>
        <v>0.95</v>
      </c>
      <c r="J30" s="18">
        <f t="shared" si="22"/>
        <v>0.95</v>
      </c>
      <c r="K30" s="18">
        <f>Spectroscopy!E30</f>
        <v>0.95</v>
      </c>
      <c r="L30" s="18">
        <f t="shared" si="23"/>
        <v>0.95</v>
      </c>
      <c r="M30" s="18">
        <f t="shared" si="24"/>
        <v>0.95</v>
      </c>
      <c r="N30" s="18">
        <f>Spectroscopy!F30</f>
        <v>0.95</v>
      </c>
      <c r="O30" s="18"/>
    </row>
    <row r="31" spans="1:15">
      <c r="A31" s="15" t="s">
        <v>86</v>
      </c>
      <c r="B31" s="18">
        <f>Spectroscopy!B31</f>
        <v>0.91563693238709987</v>
      </c>
      <c r="C31" s="18">
        <f t="shared" si="17"/>
        <v>0.91627345441169983</v>
      </c>
      <c r="D31" s="18">
        <f t="shared" si="18"/>
        <v>0.9169099764362999</v>
      </c>
      <c r="E31" s="18">
        <v>0.91754649846089986</v>
      </c>
      <c r="F31" s="18">
        <f t="shared" si="19"/>
        <v>0.91722823744859994</v>
      </c>
      <c r="G31" s="18">
        <f t="shared" si="20"/>
        <v>0.9169099764362999</v>
      </c>
      <c r="H31" s="18">
        <f>Spectroscopy!D31</f>
        <v>0.91659171542399998</v>
      </c>
      <c r="I31" s="18">
        <f t="shared" si="21"/>
        <v>0.91627345441169994</v>
      </c>
      <c r="J31" s="18">
        <f t="shared" si="22"/>
        <v>0.9159551933993999</v>
      </c>
      <c r="K31" s="18">
        <f>Spectroscopy!E31</f>
        <v>0.91563693238709987</v>
      </c>
      <c r="L31" s="18">
        <f t="shared" si="23"/>
        <v>0.91563693238709987</v>
      </c>
      <c r="M31" s="18">
        <f t="shared" si="24"/>
        <v>0.91563693238709987</v>
      </c>
      <c r="N31" s="18">
        <f>Spectroscopy!F31</f>
        <v>0.91563693238709987</v>
      </c>
      <c r="O31" s="18"/>
    </row>
    <row r="32" spans="1:15">
      <c r="A32" s="15" t="s">
        <v>91</v>
      </c>
      <c r="B32" s="18">
        <f>Spectroscopy!B32</f>
        <v>0.98499999999999999</v>
      </c>
      <c r="C32" s="18">
        <f t="shared" si="17"/>
        <v>0.98333333333333328</v>
      </c>
      <c r="D32" s="18">
        <f t="shared" si="18"/>
        <v>0.98166666666666669</v>
      </c>
      <c r="E32" s="18">
        <v>0.98</v>
      </c>
      <c r="F32" s="18">
        <f t="shared" si="19"/>
        <v>0.98166666666666669</v>
      </c>
      <c r="G32" s="18">
        <f t="shared" si="20"/>
        <v>0.98333333333333328</v>
      </c>
      <c r="H32" s="18">
        <f>Spectroscopy!D32</f>
        <v>0.98499999999999999</v>
      </c>
      <c r="I32" s="18">
        <f t="shared" si="21"/>
        <v>0.98499999999999999</v>
      </c>
      <c r="J32" s="18">
        <f t="shared" si="22"/>
        <v>0.98499999999999999</v>
      </c>
      <c r="K32" s="18">
        <f>Spectroscopy!E32</f>
        <v>0.98499999999999999</v>
      </c>
      <c r="L32" s="18">
        <f t="shared" si="23"/>
        <v>0.98499999999999999</v>
      </c>
      <c r="M32" s="18">
        <f t="shared" si="24"/>
        <v>0.98499999999999999</v>
      </c>
      <c r="N32" s="18">
        <f>Spectroscopy!F32</f>
        <v>0.98499999999999999</v>
      </c>
      <c r="O32" s="18"/>
    </row>
    <row r="33" spans="1:15">
      <c r="A33" s="15" t="s">
        <v>92</v>
      </c>
      <c r="B33" s="18">
        <f>Spectroscopy!B33</f>
        <v>0.98</v>
      </c>
      <c r="C33" s="18">
        <f t="shared" si="17"/>
        <v>0.97899999999999998</v>
      </c>
      <c r="D33" s="18">
        <f t="shared" si="18"/>
        <v>0.97799999999999998</v>
      </c>
      <c r="E33" s="18">
        <v>0.97699999999999998</v>
      </c>
      <c r="F33" s="18">
        <f t="shared" si="19"/>
        <v>0.97799999999999998</v>
      </c>
      <c r="G33" s="18">
        <f t="shared" si="20"/>
        <v>0.97899999999999998</v>
      </c>
      <c r="H33" s="18">
        <f>Spectroscopy!D33</f>
        <v>0.98</v>
      </c>
      <c r="I33" s="18">
        <f t="shared" si="21"/>
        <v>0.98</v>
      </c>
      <c r="J33" s="18">
        <f t="shared" si="22"/>
        <v>0.98</v>
      </c>
      <c r="K33" s="18">
        <f>Spectroscopy!E33</f>
        <v>0.98</v>
      </c>
      <c r="L33" s="18">
        <f t="shared" si="23"/>
        <v>0.98</v>
      </c>
      <c r="M33" s="18">
        <f t="shared" si="24"/>
        <v>0.98</v>
      </c>
      <c r="N33" s="18">
        <f>Spectroscopy!F33</f>
        <v>0.98</v>
      </c>
      <c r="O33" s="18"/>
    </row>
    <row r="34" spans="1:15">
      <c r="A34" s="15" t="s">
        <v>97</v>
      </c>
      <c r="B34" s="18">
        <f>Spectroscopy!B34</f>
        <v>0.93099999999999994</v>
      </c>
      <c r="C34" s="18">
        <f t="shared" si="17"/>
        <v>0.944075</v>
      </c>
      <c r="D34" s="18">
        <f t="shared" si="18"/>
        <v>0.95714999999999995</v>
      </c>
      <c r="E34" s="18">
        <v>0.970225</v>
      </c>
      <c r="F34" s="18">
        <f t="shared" si="19"/>
        <v>0.95714999999999995</v>
      </c>
      <c r="G34" s="18">
        <f t="shared" si="20"/>
        <v>0.944075</v>
      </c>
      <c r="H34" s="18">
        <f>Spectroscopy!D34</f>
        <v>0.93099999999999994</v>
      </c>
      <c r="I34" s="18">
        <f t="shared" si="21"/>
        <v>0.93099999999999994</v>
      </c>
      <c r="J34" s="18">
        <f t="shared" si="22"/>
        <v>0.93099999999999994</v>
      </c>
      <c r="K34" s="18">
        <f>Spectroscopy!E34</f>
        <v>0.93099999999999994</v>
      </c>
      <c r="L34" s="18">
        <f t="shared" si="23"/>
        <v>0.93099999999999994</v>
      </c>
      <c r="M34" s="18">
        <f t="shared" si="24"/>
        <v>0.93099999999999994</v>
      </c>
      <c r="N34" s="18">
        <f>Spectroscopy!F34</f>
        <v>0.93099999999999994</v>
      </c>
      <c r="O34" s="18"/>
    </row>
    <row r="35" spans="1:15">
      <c r="A35" s="15" t="s">
        <v>98</v>
      </c>
      <c r="B35" s="18">
        <f>Spectroscopy!B35</f>
        <v>0.96</v>
      </c>
      <c r="C35" s="18">
        <f t="shared" si="17"/>
        <v>0.96566666666666667</v>
      </c>
      <c r="D35" s="18">
        <f t="shared" si="18"/>
        <v>0.97133333333333327</v>
      </c>
      <c r="E35" s="18">
        <v>0.97699999999999998</v>
      </c>
      <c r="F35" s="18">
        <f t="shared" si="19"/>
        <v>0.97133333333333327</v>
      </c>
      <c r="G35" s="18">
        <f t="shared" si="20"/>
        <v>0.96566666666666667</v>
      </c>
      <c r="H35" s="18">
        <f>Spectroscopy!D35</f>
        <v>0.96</v>
      </c>
      <c r="I35" s="18">
        <f t="shared" si="21"/>
        <v>0.96</v>
      </c>
      <c r="J35" s="18">
        <f t="shared" si="22"/>
        <v>0.96</v>
      </c>
      <c r="K35" s="18">
        <f>Spectroscopy!E35</f>
        <v>0.96</v>
      </c>
      <c r="L35" s="18">
        <f t="shared" si="23"/>
        <v>0.96</v>
      </c>
      <c r="M35" s="18">
        <f t="shared" si="24"/>
        <v>0.96</v>
      </c>
      <c r="N35" s="18">
        <f>Spectroscopy!F35</f>
        <v>0.96</v>
      </c>
      <c r="O35" s="18"/>
    </row>
    <row r="36" spans="1:15">
      <c r="A36" s="15" t="s">
        <v>99</v>
      </c>
      <c r="B36" s="18">
        <f>Spectroscopy!B36</f>
        <v>0.96</v>
      </c>
      <c r="C36" s="18">
        <f t="shared" si="17"/>
        <v>0.96566666666666667</v>
      </c>
      <c r="D36" s="18">
        <f t="shared" si="18"/>
        <v>0.97133333333333327</v>
      </c>
      <c r="E36" s="18">
        <v>0.97699999999999998</v>
      </c>
      <c r="F36" s="18">
        <f t="shared" si="19"/>
        <v>0.97133333333333327</v>
      </c>
      <c r="G36" s="18">
        <f t="shared" si="20"/>
        <v>0.96566666666666667</v>
      </c>
      <c r="H36" s="18">
        <f>Spectroscopy!D36</f>
        <v>0.96</v>
      </c>
      <c r="I36" s="18">
        <f t="shared" si="21"/>
        <v>0.96</v>
      </c>
      <c r="J36" s="18">
        <f t="shared" si="22"/>
        <v>0.96</v>
      </c>
      <c r="K36" s="18">
        <f>Spectroscopy!E36</f>
        <v>0.96</v>
      </c>
      <c r="L36" s="18">
        <f t="shared" si="23"/>
        <v>0.96</v>
      </c>
      <c r="M36" s="18">
        <f t="shared" si="24"/>
        <v>0.96</v>
      </c>
      <c r="N36" s="18">
        <f>Spectroscopy!F36</f>
        <v>0.96</v>
      </c>
      <c r="O36" s="18"/>
    </row>
    <row r="37" spans="1:15">
      <c r="A37" s="15" t="s">
        <v>120</v>
      </c>
      <c r="B37" s="18">
        <f>Spectroscopy!B37</f>
        <v>0.64021948297209641</v>
      </c>
      <c r="C37" s="18">
        <f t="shared" ref="C37" si="25">(E37-B37)/(E$25-B$25)*(C$25-B$25)+B37</f>
        <v>0.68356767713166566</v>
      </c>
      <c r="D37" s="18">
        <f t="shared" ref="D37" si="26">(E37-B37)/(E$25-B$25)*(D$25-B$25)+B37</f>
        <v>0.72691587129123425</v>
      </c>
      <c r="E37" s="38">
        <f>'Individual components'!D154</f>
        <v>0.7702640654508035</v>
      </c>
      <c r="F37" s="18">
        <f t="shared" ref="F37" si="27">(H37-E37)/(H$25-E$25)*(F$25-E$25)+E37</f>
        <v>0.79693987724130755</v>
      </c>
      <c r="G37" s="18">
        <f t="shared" ref="G37" si="28">(H37-E37)/(H$25-E$25)*(G$25-E$25)+E37</f>
        <v>0.82361568903181148</v>
      </c>
      <c r="H37" s="18">
        <f>Spectroscopy!D37</f>
        <v>0.85029150082231553</v>
      </c>
      <c r="I37" s="18">
        <f t="shared" ref="I37" si="29">(K37-H37)/(K$25-H$25)*(I$25-H$25)+H37</f>
        <v>0.83361911845325043</v>
      </c>
      <c r="J37" s="18">
        <f t="shared" ref="J37" si="30">(K37-H37)/(K$25-H$25)*(J$25-H$25)+H37</f>
        <v>0.81694673608418567</v>
      </c>
      <c r="K37" s="18">
        <f>Spectroscopy!E37</f>
        <v>0.80027435371512057</v>
      </c>
      <c r="L37" s="18">
        <f t="shared" ref="L37" si="31">(N37-K37)/(N$25-K$25)*(L$25-K$25)+K37</f>
        <v>0.75448539048182661</v>
      </c>
      <c r="M37" s="18">
        <f t="shared" ref="M37" si="32">(N37-K37)/(N$25-K$25)*(M$25-K$25)+K37</f>
        <v>0.70869642724853232</v>
      </c>
      <c r="N37" s="18">
        <f>Spectroscopy!F37</f>
        <v>0.66290746401523837</v>
      </c>
      <c r="O37" s="18"/>
    </row>
    <row r="38" spans="1:15">
      <c r="A38" s="15" t="s">
        <v>100</v>
      </c>
      <c r="B38" s="18">
        <f>Spectroscopy!B38</f>
        <v>0.89674209507927227</v>
      </c>
      <c r="C38" s="18">
        <f t="shared" si="17"/>
        <v>0.89798498086593792</v>
      </c>
      <c r="D38" s="18">
        <f t="shared" si="18"/>
        <v>0.89922786665260357</v>
      </c>
      <c r="E38" s="18">
        <v>0.90047075243926922</v>
      </c>
      <c r="F38" s="18">
        <f t="shared" si="19"/>
        <v>0.90047075243926922</v>
      </c>
      <c r="G38" s="18">
        <f t="shared" si="20"/>
        <v>0.90047075243926922</v>
      </c>
      <c r="H38" s="18">
        <f>Spectroscopy!D38</f>
        <v>0.90047075243926922</v>
      </c>
      <c r="I38" s="18">
        <f t="shared" si="21"/>
        <v>0.90016003099260278</v>
      </c>
      <c r="J38" s="18">
        <f t="shared" si="22"/>
        <v>0.89984930954593645</v>
      </c>
      <c r="K38" s="18">
        <f>Spectroscopy!E38</f>
        <v>0.89953858809927001</v>
      </c>
      <c r="L38" s="18">
        <f t="shared" si="23"/>
        <v>0.89984930954593645</v>
      </c>
      <c r="M38" s="18">
        <f t="shared" si="24"/>
        <v>0.90016003099260278</v>
      </c>
      <c r="N38" s="18">
        <f>Spectroscopy!F38</f>
        <v>0.90047075243926922</v>
      </c>
      <c r="O38" s="18"/>
    </row>
    <row r="39" spans="1:15">
      <c r="A39" s="15" t="s">
        <v>150</v>
      </c>
      <c r="B39" s="18">
        <f>Spectroscopy!B39</f>
        <v>0.97799999999999998</v>
      </c>
      <c r="C39" s="18">
        <f t="shared" si="17"/>
        <v>0.98200833333333337</v>
      </c>
      <c r="D39" s="18">
        <f t="shared" si="18"/>
        <v>0.98601666666666665</v>
      </c>
      <c r="E39" s="18">
        <v>0.99002500000000004</v>
      </c>
      <c r="F39" s="18">
        <f t="shared" si="19"/>
        <v>0.98935000000000006</v>
      </c>
      <c r="G39" s="18">
        <f t="shared" si="20"/>
        <v>0.98867499999999997</v>
      </c>
      <c r="H39" s="18">
        <f>Spectroscopy!D39</f>
        <v>0.98799999999999999</v>
      </c>
      <c r="I39" s="18">
        <f t="shared" si="21"/>
        <v>0.98699999999999999</v>
      </c>
      <c r="J39" s="18">
        <f t="shared" si="22"/>
        <v>0.98599999999999999</v>
      </c>
      <c r="K39" s="18">
        <f>Spectroscopy!E39</f>
        <v>0.98499999999999999</v>
      </c>
      <c r="L39" s="18">
        <f t="shared" si="23"/>
        <v>0.98199999999999998</v>
      </c>
      <c r="M39" s="18">
        <f t="shared" si="24"/>
        <v>0.97899999999999998</v>
      </c>
      <c r="N39" s="18">
        <f>Spectroscopy!F39</f>
        <v>0.97599999999999998</v>
      </c>
      <c r="O39" s="18"/>
    </row>
    <row r="40" spans="1:15">
      <c r="A40" s="15" t="s">
        <v>101</v>
      </c>
      <c r="B40" s="18">
        <f>Spectroscopy!B40</f>
        <v>0.92100000000000004</v>
      </c>
      <c r="C40" s="18">
        <v>0.92300000000000004</v>
      </c>
      <c r="D40" s="18">
        <f t="shared" ref="D40" si="33">(E40-B40)/(E$25-B$25)*(D$25-B$25)+B40</f>
        <v>0.92366666666666675</v>
      </c>
      <c r="E40" s="18">
        <v>0.92500000000000004</v>
      </c>
      <c r="F40" s="18">
        <v>0.92349999999999999</v>
      </c>
      <c r="G40" s="18">
        <v>0.91800000000000004</v>
      </c>
      <c r="H40" s="18">
        <f>Spectroscopy!D40</f>
        <v>0.91200000000000003</v>
      </c>
      <c r="I40" s="18">
        <v>0.90800000000000003</v>
      </c>
      <c r="J40" s="18">
        <v>0.9</v>
      </c>
      <c r="K40" s="18">
        <f>Spectroscopy!E40</f>
        <v>0.89200000000000002</v>
      </c>
      <c r="L40" s="18">
        <f t="shared" si="23"/>
        <v>0.87833333333333341</v>
      </c>
      <c r="M40" s="18">
        <f t="shared" si="24"/>
        <v>0.86466666666666658</v>
      </c>
      <c r="N40" s="18">
        <f>Spectroscopy!F40</f>
        <v>0.85099999999999998</v>
      </c>
      <c r="O40" s="18"/>
    </row>
    <row r="41" spans="1:15">
      <c r="A41" s="10" t="s">
        <v>40</v>
      </c>
      <c r="B41" s="29">
        <f>B26*B27*B28*B29*B30*B31*B32*B33*B34*B35*B36*B37*B38*B39*B40</f>
        <v>0.2839586808072595</v>
      </c>
      <c r="C41" s="29">
        <f t="shared" ref="C41:N41" si="34">C26*C27*C28*C29*C30*C31*C32*C33*C34*C35*C36*C37*C38*C39*C40</f>
        <v>0.3226523337738284</v>
      </c>
      <c r="D41" s="29">
        <f t="shared" si="34"/>
        <v>0.36439676808770105</v>
      </c>
      <c r="E41" s="29">
        <f t="shared" si="34"/>
        <v>0.41013247147458431</v>
      </c>
      <c r="F41" s="29">
        <f t="shared" ref="F41" si="35">F26*F27*F28*F29*F30*F31*F32*F33*F34*F35*F36*F37*F38*F39*F40</f>
        <v>0.40181045047563091</v>
      </c>
      <c r="G41" s="29">
        <f t="shared" ref="G41" si="36">G26*G27*G28*G29*G30*G31*G32*G33*G34*G35*G36*G37*G38*G39*G40</f>
        <v>0.3912945294369064</v>
      </c>
      <c r="H41" s="29">
        <f t="shared" si="34"/>
        <v>0.38021863970508429</v>
      </c>
      <c r="I41" s="29">
        <f t="shared" ref="I41" si="37">I26*I27*I28*I29*I30*I31*I32*I33*I34*I35*I36*I37*I38*I39*I40</f>
        <v>0.37043166526821758</v>
      </c>
      <c r="J41" s="29">
        <f t="shared" ref="J41" si="38">J26*J27*J28*J29*J30*J31*J32*J33*J34*J35*J36*J37*J38*J39*J40</f>
        <v>0.35914856810828238</v>
      </c>
      <c r="K41" s="29">
        <f t="shared" si="34"/>
        <v>0.34803616628318923</v>
      </c>
      <c r="L41" s="29">
        <f t="shared" ref="L41" si="39">L26*L27*L28*L29*L30*L31*L32*L33*L34*L35*L36*L37*L38*L39*L40</f>
        <v>0.32214044292077176</v>
      </c>
      <c r="M41" s="29">
        <f t="shared" ref="M41" si="40">M26*M27*M28*M29*M30*M31*M32*M33*M34*M35*M36*M37*M38*M39*M40</f>
        <v>0.29699853596630038</v>
      </c>
      <c r="N41" s="29">
        <f t="shared" si="34"/>
        <v>0.27260508659409638</v>
      </c>
      <c r="O41" s="29">
        <f>AVERAGE(B41:N41)</f>
        <v>0.3479864876078349</v>
      </c>
    </row>
    <row r="42" spans="1:15">
      <c r="A42" s="15" t="s">
        <v>126</v>
      </c>
      <c r="B42" s="36">
        <v>0.80923215743999999</v>
      </c>
      <c r="C42" s="18">
        <f t="shared" ref="C42" si="41">(E42-B42)/(E$25-B$25)*(C$25-B$25)+B42</f>
        <v>0.81579508416000002</v>
      </c>
      <c r="D42" s="18">
        <f t="shared" ref="D42" si="42">(E42-B42)/(E$25-B$25)*(D$25-B$25)+B42</f>
        <v>0.82235801087999993</v>
      </c>
      <c r="E42" s="36">
        <v>0.82892093759999996</v>
      </c>
      <c r="F42" s="18">
        <f t="shared" ref="F42" si="43">(H42-E42)/(H$25-E$25)*(F$25-E$25)+E42</f>
        <v>0.83639941907999993</v>
      </c>
      <c r="G42" s="18">
        <f t="shared" ref="G42" si="44">(H42-E42)/(H$25-E$25)*(G$25-E$25)+E42</f>
        <v>0.84387790055999989</v>
      </c>
      <c r="H42" s="36">
        <v>0.85135638203999986</v>
      </c>
      <c r="I42" s="18">
        <f t="shared" ref="I42" si="45">(K42-H42)/(K$25-H$25)*(I$25-H$25)+H42</f>
        <v>0.85490815235999984</v>
      </c>
      <c r="J42" s="18">
        <f t="shared" ref="J42" si="46">(K42-H42)/(K$25-H$25)*(J$25-H$25)+H42</f>
        <v>0.85845992267999993</v>
      </c>
      <c r="K42" s="36">
        <v>0.86201169299999991</v>
      </c>
      <c r="L42" s="18">
        <f t="shared" ref="L42" si="47">(N42-K42)/(N$25-K$25)*(L$25-K$25)+K42</f>
        <v>0.8672124995399999</v>
      </c>
      <c r="M42" s="18">
        <f t="shared" ref="M42" si="48">(N42-K42)/(N$25-K$25)*(M$25-K$25)+K42</f>
        <v>0.8724133060799999</v>
      </c>
      <c r="N42" s="36">
        <v>0.87761411261999989</v>
      </c>
      <c r="O42" s="36"/>
    </row>
    <row r="43" spans="1:15">
      <c r="A43" s="10" t="s">
        <v>125</v>
      </c>
      <c r="B43" s="29">
        <f t="shared" ref="B43:N43" si="49">B41*B42</f>
        <v>0.22978849589347491</v>
      </c>
      <c r="C43" s="29">
        <f t="shared" si="49"/>
        <v>0.26321818778544076</v>
      </c>
      <c r="D43" s="29">
        <f t="shared" si="49"/>
        <v>0.2996646013757025</v>
      </c>
      <c r="E43" s="29">
        <f t="shared" si="49"/>
        <v>0.33996739279491767</v>
      </c>
      <c r="F43" s="29">
        <f t="shared" ref="F43:G43" si="50">F41*F42</f>
        <v>0.33607402735809078</v>
      </c>
      <c r="G43" s="29">
        <f t="shared" si="50"/>
        <v>0.33020480600182966</v>
      </c>
      <c r="H43" s="29">
        <f t="shared" si="49"/>
        <v>0.32370156548349083</v>
      </c>
      <c r="I43" s="29">
        <f t="shared" ref="I43:J43" si="51">I41*I42</f>
        <v>0.31668505053008983</v>
      </c>
      <c r="J43" s="29">
        <f t="shared" si="51"/>
        <v>0.30831465200886876</v>
      </c>
      <c r="K43" s="29">
        <f t="shared" si="49"/>
        <v>0.30001124492300141</v>
      </c>
      <c r="L43" s="29">
        <f t="shared" ref="L43:M43" si="52">L41*L42</f>
        <v>0.27936421870824513</v>
      </c>
      <c r="M43" s="29">
        <f t="shared" si="52"/>
        <v>0.25910547466327988</v>
      </c>
      <c r="N43" s="29">
        <f t="shared" si="49"/>
        <v>0.23924207116697613</v>
      </c>
      <c r="O43" s="29">
        <f>AVERAGE(B43:N43)</f>
        <v>0.2942570606687237</v>
      </c>
    </row>
    <row r="44" spans="1:15"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29"/>
    </row>
    <row r="45" spans="1:15">
      <c r="A45" s="34" t="s">
        <v>89</v>
      </c>
    </row>
    <row r="46" spans="1:15">
      <c r="A46" s="10" t="s">
        <v>6</v>
      </c>
      <c r="B46" s="30">
        <v>691</v>
      </c>
      <c r="C46" s="62">
        <f>(E46-B46)/3+B46</f>
        <v>700.66666666666663</v>
      </c>
      <c r="D46" s="62">
        <f>(E46-B46)/3*2+B46</f>
        <v>710.33333333333337</v>
      </c>
      <c r="E46" s="30">
        <v>720</v>
      </c>
      <c r="F46" s="62">
        <f>(H46-E46)/3+E46</f>
        <v>731.66666666666663</v>
      </c>
      <c r="G46" s="62">
        <f>(H46-E46)/3*2+E46</f>
        <v>743.33333333333337</v>
      </c>
      <c r="H46" s="30">
        <v>755</v>
      </c>
      <c r="I46" s="62">
        <f>(K46-H46)/3+H46</f>
        <v>763.33333333333337</v>
      </c>
      <c r="J46" s="62">
        <f>(K46-H46)/3*2+H46</f>
        <v>771.66666666666663</v>
      </c>
      <c r="K46" s="30">
        <v>780</v>
      </c>
      <c r="L46" s="62">
        <f>(N46-K46)/3+K46</f>
        <v>792.66666666666663</v>
      </c>
      <c r="M46" s="62">
        <f>(N46-K46)/3*2+K46</f>
        <v>805.33333333333337</v>
      </c>
      <c r="N46" s="30">
        <v>818</v>
      </c>
      <c r="O46" s="30"/>
    </row>
    <row r="47" spans="1:15">
      <c r="A47" s="15" t="s">
        <v>5</v>
      </c>
      <c r="B47" s="18">
        <f>Spectroscopy!B47</f>
        <v>0.85743033906209531</v>
      </c>
      <c r="C47" s="18">
        <f>(E47-B47)/(E$46-B$46)*(C$46-B$46)+B47</f>
        <v>0.85773218287628161</v>
      </c>
      <c r="D47" s="18">
        <f>(E47-B47)/(E$46-B$46)*(D$46-B$46)+B47</f>
        <v>0.8580340266904678</v>
      </c>
      <c r="E47" s="18">
        <f>Spectroscopy!C47</f>
        <v>0.8583358705046541</v>
      </c>
      <c r="F47" s="18">
        <f>(H47-E47)/(H$46-E$46)*(F$46-E$46)+E47</f>
        <v>0.8597277687832704</v>
      </c>
      <c r="G47" s="18">
        <f>(H47-E47)/(H$46-E$46)*(G$46-E$46)+E47</f>
        <v>0.86111966706188658</v>
      </c>
      <c r="H47" s="18">
        <f>Spectroscopy!D47</f>
        <v>0.86251156534050288</v>
      </c>
      <c r="I47" s="18">
        <f>(K47-H47)/(K$46-H$46)*(I$46-H$46)+H47</f>
        <v>0.86321143328714256</v>
      </c>
      <c r="J47" s="18">
        <f>(K47-H47)/(K$46-H$46)*(J$46-H$46)+H47</f>
        <v>0.86391130123378213</v>
      </c>
      <c r="K47" s="18">
        <f>Spectroscopy!E47</f>
        <v>0.8646111691804218</v>
      </c>
      <c r="L47" s="18">
        <f>(N47-K47)/(N$46-K$46)*(L$46-K$46)+K47</f>
        <v>0.8633553885564752</v>
      </c>
      <c r="M47" s="18">
        <f>(N47-K47)/(N$46-K$46)*(M$46-K$46)+K47</f>
        <v>0.86209960793252871</v>
      </c>
      <c r="N47" s="18">
        <f>Spectroscopy!F47</f>
        <v>0.86084382730858211</v>
      </c>
      <c r="O47" s="18"/>
    </row>
    <row r="48" spans="1:15">
      <c r="A48" s="15" t="s">
        <v>7</v>
      </c>
      <c r="B48" s="18">
        <f>Spectroscopy!B48</f>
        <v>0.94089999999999996</v>
      </c>
      <c r="C48" s="18">
        <f t="shared" ref="C48:C60" si="53">(E48-B48)/(E$46-B$46)*(C$46-B$46)+B48</f>
        <v>0.94089999999999996</v>
      </c>
      <c r="D48" s="18">
        <f t="shared" ref="D48:D60" si="54">(E48-B48)/(E$46-B$46)*(D$46-B$46)+B48</f>
        <v>0.94089999999999996</v>
      </c>
      <c r="E48" s="18">
        <f>Spectroscopy!C48</f>
        <v>0.94089999999999996</v>
      </c>
      <c r="F48" s="18">
        <f t="shared" ref="F48:F61" si="55">(H48-E48)/(H$46-E$46)*(F$46-E$46)+E48</f>
        <v>0.94089999999999996</v>
      </c>
      <c r="G48" s="18">
        <f t="shared" ref="G48:G61" si="56">(H48-E48)/(H$46-E$46)*(G$46-E$46)+E48</f>
        <v>0.94089999999999996</v>
      </c>
      <c r="H48" s="18">
        <f>Spectroscopy!D48</f>
        <v>0.94089999999999996</v>
      </c>
      <c r="I48" s="18">
        <f t="shared" ref="I48:I61" si="57">(K48-H48)/(K$46-H$46)*(I$46-H$46)+H48</f>
        <v>0.94089999999999996</v>
      </c>
      <c r="J48" s="18">
        <f t="shared" ref="J48:J61" si="58">(K48-H48)/(K$46-H$46)*(J$46-H$46)+H48</f>
        <v>0.94089999999999996</v>
      </c>
      <c r="K48" s="18">
        <f>Spectroscopy!E48</f>
        <v>0.94089999999999996</v>
      </c>
      <c r="L48" s="18">
        <f t="shared" ref="L48:L61" si="59">(N48-K48)/(N$46-K$46)*(L$46-K$46)+K48</f>
        <v>0.94089999999999996</v>
      </c>
      <c r="M48" s="18">
        <f t="shared" ref="M48:M60" si="60">(N48-K48)/(N$46-K$46)*(M$46-K$46)+K48</f>
        <v>0.94089999999999996</v>
      </c>
      <c r="N48" s="18">
        <f>Spectroscopy!F48</f>
        <v>0.94089999999999996</v>
      </c>
      <c r="O48" s="18"/>
    </row>
    <row r="49" spans="1:15">
      <c r="A49" s="15" t="s">
        <v>27</v>
      </c>
      <c r="B49" s="18">
        <f>Spectroscopy!B49</f>
        <v>0.98499999999999999</v>
      </c>
      <c r="C49" s="18">
        <f t="shared" si="53"/>
        <v>0.98499999999999999</v>
      </c>
      <c r="D49" s="18">
        <f t="shared" si="54"/>
        <v>0.98499999999999999</v>
      </c>
      <c r="E49" s="18">
        <f>Spectroscopy!C49</f>
        <v>0.98499999999999999</v>
      </c>
      <c r="F49" s="18">
        <f t="shared" si="55"/>
        <v>0.98499999999999999</v>
      </c>
      <c r="G49" s="18">
        <f t="shared" si="56"/>
        <v>0.98499999999999999</v>
      </c>
      <c r="H49" s="18">
        <f>Spectroscopy!D49</f>
        <v>0.98499999999999999</v>
      </c>
      <c r="I49" s="18">
        <f t="shared" si="57"/>
        <v>0.98499999999999999</v>
      </c>
      <c r="J49" s="18">
        <f t="shared" si="58"/>
        <v>0.98499999999999999</v>
      </c>
      <c r="K49" s="18">
        <f>Spectroscopy!E49</f>
        <v>0.98499999999999999</v>
      </c>
      <c r="L49" s="18">
        <f t="shared" si="59"/>
        <v>0.98499999999999999</v>
      </c>
      <c r="M49" s="18">
        <f t="shared" si="60"/>
        <v>0.98499999999999999</v>
      </c>
      <c r="N49" s="18">
        <f>Spectroscopy!F49</f>
        <v>0.98499999999999999</v>
      </c>
      <c r="O49" s="18"/>
    </row>
    <row r="50" spans="1:15">
      <c r="A50" s="15" t="s">
        <v>8</v>
      </c>
      <c r="B50" s="18">
        <f>Spectroscopy!B50</f>
        <v>0.96039999999999992</v>
      </c>
      <c r="C50" s="18">
        <f t="shared" si="53"/>
        <v>0.96039999999999992</v>
      </c>
      <c r="D50" s="18">
        <f t="shared" si="54"/>
        <v>0.96039999999999992</v>
      </c>
      <c r="E50" s="18">
        <f>Spectroscopy!C50</f>
        <v>0.96039999999999992</v>
      </c>
      <c r="F50" s="18">
        <f t="shared" si="55"/>
        <v>0.96039999999999992</v>
      </c>
      <c r="G50" s="18">
        <f t="shared" si="56"/>
        <v>0.96039999999999992</v>
      </c>
      <c r="H50" s="18">
        <f>Spectroscopy!D50</f>
        <v>0.96039999999999992</v>
      </c>
      <c r="I50" s="18">
        <f t="shared" si="57"/>
        <v>0.96039999999999992</v>
      </c>
      <c r="J50" s="18">
        <f t="shared" si="58"/>
        <v>0.96039999999999992</v>
      </c>
      <c r="K50" s="18">
        <f>Spectroscopy!E50</f>
        <v>0.96039999999999992</v>
      </c>
      <c r="L50" s="18">
        <f t="shared" si="59"/>
        <v>0.96039999999999992</v>
      </c>
      <c r="M50" s="18">
        <f t="shared" si="60"/>
        <v>0.96039999999999992</v>
      </c>
      <c r="N50" s="18">
        <f>Spectroscopy!F50</f>
        <v>0.96039999999999992</v>
      </c>
      <c r="O50" s="18"/>
    </row>
    <row r="51" spans="1:15">
      <c r="A51" s="15" t="s">
        <v>85</v>
      </c>
      <c r="B51" s="18">
        <f>Spectroscopy!B51</f>
        <v>0.95</v>
      </c>
      <c r="C51" s="18">
        <f t="shared" si="53"/>
        <v>0.95</v>
      </c>
      <c r="D51" s="18">
        <f t="shared" si="54"/>
        <v>0.95</v>
      </c>
      <c r="E51" s="18">
        <f>Spectroscopy!C51</f>
        <v>0.95</v>
      </c>
      <c r="F51" s="18">
        <f t="shared" si="55"/>
        <v>0.95</v>
      </c>
      <c r="G51" s="18">
        <f t="shared" si="56"/>
        <v>0.95</v>
      </c>
      <c r="H51" s="18">
        <f>Spectroscopy!D51</f>
        <v>0.95</v>
      </c>
      <c r="I51" s="18">
        <f t="shared" si="57"/>
        <v>0.95</v>
      </c>
      <c r="J51" s="18">
        <f t="shared" si="58"/>
        <v>0.95</v>
      </c>
      <c r="K51" s="18">
        <f>Spectroscopy!E51</f>
        <v>0.95</v>
      </c>
      <c r="L51" s="18">
        <f t="shared" si="59"/>
        <v>0.95</v>
      </c>
      <c r="M51" s="18">
        <f t="shared" si="60"/>
        <v>0.95</v>
      </c>
      <c r="N51" s="18">
        <f>Spectroscopy!F51</f>
        <v>0.95</v>
      </c>
      <c r="O51" s="18"/>
    </row>
    <row r="52" spans="1:15">
      <c r="A52" s="15" t="s">
        <v>102</v>
      </c>
      <c r="B52" s="18">
        <f>Spectroscopy!B52</f>
        <v>0.91181780023949988</v>
      </c>
      <c r="C52" s="18">
        <f t="shared" si="53"/>
        <v>0.91245432226409984</v>
      </c>
      <c r="D52" s="18">
        <f t="shared" si="54"/>
        <v>0.91309084428869991</v>
      </c>
      <c r="E52" s="18">
        <f>Spectroscopy!C52</f>
        <v>0.91372736631329987</v>
      </c>
      <c r="F52" s="18">
        <f t="shared" si="55"/>
        <v>0.91436388833789983</v>
      </c>
      <c r="G52" s="18">
        <f t="shared" si="56"/>
        <v>0.91500041036249991</v>
      </c>
      <c r="H52" s="18">
        <f>Spectroscopy!D52</f>
        <v>0.91563693238709987</v>
      </c>
      <c r="I52" s="18">
        <f t="shared" si="57"/>
        <v>0.9159551933993999</v>
      </c>
      <c r="J52" s="18">
        <f t="shared" si="58"/>
        <v>0.91627345441169994</v>
      </c>
      <c r="K52" s="18">
        <f>Spectroscopy!E52</f>
        <v>0.91659171542399998</v>
      </c>
      <c r="L52" s="18">
        <f t="shared" si="59"/>
        <v>0.9169099764362999</v>
      </c>
      <c r="M52" s="18">
        <f t="shared" si="60"/>
        <v>0.91722823744859994</v>
      </c>
      <c r="N52" s="18">
        <f>Spectroscopy!F52</f>
        <v>0.91754649846089986</v>
      </c>
      <c r="O52" s="18"/>
    </row>
    <row r="53" spans="1:15">
      <c r="A53" s="15" t="s">
        <v>103</v>
      </c>
      <c r="B53" s="18">
        <f>Spectroscopy!B53</f>
        <v>0.93099999999999994</v>
      </c>
      <c r="C53" s="18">
        <f t="shared" si="53"/>
        <v>0.93099999999999994</v>
      </c>
      <c r="D53" s="18">
        <f t="shared" si="54"/>
        <v>0.93099999999999994</v>
      </c>
      <c r="E53" s="18">
        <f>Spectroscopy!C53</f>
        <v>0.93099999999999994</v>
      </c>
      <c r="F53" s="18">
        <f t="shared" si="55"/>
        <v>0.93099999999999994</v>
      </c>
      <c r="G53" s="18">
        <f t="shared" si="56"/>
        <v>0.93099999999999994</v>
      </c>
      <c r="H53" s="18">
        <f>Spectroscopy!D53</f>
        <v>0.93099999999999994</v>
      </c>
      <c r="I53" s="18">
        <f t="shared" si="57"/>
        <v>0.93099999999999994</v>
      </c>
      <c r="J53" s="18">
        <f t="shared" si="58"/>
        <v>0.93099999999999994</v>
      </c>
      <c r="K53" s="18">
        <f>Spectroscopy!E53</f>
        <v>0.93099999999999994</v>
      </c>
      <c r="L53" s="18">
        <f t="shared" si="59"/>
        <v>0.93099999999999994</v>
      </c>
      <c r="M53" s="18">
        <f t="shared" si="60"/>
        <v>0.93099999999999994</v>
      </c>
      <c r="N53" s="18">
        <f>Spectroscopy!F53</f>
        <v>0.93099999999999994</v>
      </c>
      <c r="O53" s="18"/>
    </row>
    <row r="54" spans="1:15">
      <c r="A54" s="15" t="s">
        <v>104</v>
      </c>
      <c r="B54" s="18">
        <f>Spectroscopy!B54</f>
        <v>0.97</v>
      </c>
      <c r="C54" s="18">
        <f t="shared" si="53"/>
        <v>0.97</v>
      </c>
      <c r="D54" s="18">
        <f t="shared" si="54"/>
        <v>0.97</v>
      </c>
      <c r="E54" s="18">
        <f>Spectroscopy!C54</f>
        <v>0.97</v>
      </c>
      <c r="F54" s="18">
        <f t="shared" si="55"/>
        <v>0.97</v>
      </c>
      <c r="G54" s="18">
        <f t="shared" si="56"/>
        <v>0.97</v>
      </c>
      <c r="H54" s="18">
        <f>Spectroscopy!D54</f>
        <v>0.97</v>
      </c>
      <c r="I54" s="18">
        <f t="shared" si="57"/>
        <v>0.97</v>
      </c>
      <c r="J54" s="18">
        <f t="shared" si="58"/>
        <v>0.97</v>
      </c>
      <c r="K54" s="18">
        <f>Spectroscopy!E54</f>
        <v>0.97</v>
      </c>
      <c r="L54" s="18">
        <f t="shared" si="59"/>
        <v>0.97</v>
      </c>
      <c r="M54" s="18">
        <f t="shared" si="60"/>
        <v>0.97</v>
      </c>
      <c r="N54" s="18">
        <f>Spectroscopy!F54</f>
        <v>0.97</v>
      </c>
      <c r="O54" s="18"/>
    </row>
    <row r="55" spans="1:15">
      <c r="A55" s="15" t="s">
        <v>105</v>
      </c>
      <c r="B55" s="18">
        <f>Spectroscopy!B55</f>
        <v>0.97</v>
      </c>
      <c r="C55" s="18">
        <f t="shared" si="53"/>
        <v>0.97</v>
      </c>
      <c r="D55" s="18">
        <f t="shared" si="54"/>
        <v>0.97</v>
      </c>
      <c r="E55" s="18">
        <f>Spectroscopy!C55</f>
        <v>0.97</v>
      </c>
      <c r="F55" s="18">
        <f t="shared" si="55"/>
        <v>0.97</v>
      </c>
      <c r="G55" s="18">
        <f t="shared" si="56"/>
        <v>0.97</v>
      </c>
      <c r="H55" s="18">
        <f>Spectroscopy!D55</f>
        <v>0.97</v>
      </c>
      <c r="I55" s="18">
        <f t="shared" si="57"/>
        <v>0.97</v>
      </c>
      <c r="J55" s="18">
        <f t="shared" si="58"/>
        <v>0.97</v>
      </c>
      <c r="K55" s="18">
        <f>Spectroscopy!E55</f>
        <v>0.97</v>
      </c>
      <c r="L55" s="18">
        <f t="shared" si="59"/>
        <v>0.97</v>
      </c>
      <c r="M55" s="18">
        <f t="shared" si="60"/>
        <v>0.97</v>
      </c>
      <c r="N55" s="18">
        <f>Spectroscopy!F55</f>
        <v>0.97</v>
      </c>
      <c r="O55" s="18"/>
    </row>
    <row r="56" spans="1:15">
      <c r="A56" s="15" t="s">
        <v>109</v>
      </c>
      <c r="B56" s="18">
        <f>Spectroscopy!B56</f>
        <v>0.98499999999999999</v>
      </c>
      <c r="C56" s="18">
        <f t="shared" si="53"/>
        <v>0.98499999999999999</v>
      </c>
      <c r="D56" s="18">
        <f t="shared" si="54"/>
        <v>0.98499999999999999</v>
      </c>
      <c r="E56" s="18">
        <f>Spectroscopy!C56</f>
        <v>0.98499999999999999</v>
      </c>
      <c r="F56" s="18">
        <f t="shared" si="55"/>
        <v>0.98499999999999999</v>
      </c>
      <c r="G56" s="18">
        <f t="shared" si="56"/>
        <v>0.98499999999999999</v>
      </c>
      <c r="H56" s="18">
        <f>Spectroscopy!D56</f>
        <v>0.98499999999999999</v>
      </c>
      <c r="I56" s="18">
        <f t="shared" si="57"/>
        <v>0.98499999999999999</v>
      </c>
      <c r="J56" s="18">
        <f t="shared" si="58"/>
        <v>0.98499999999999999</v>
      </c>
      <c r="K56" s="18">
        <f>Spectroscopy!E56</f>
        <v>0.98499999999999999</v>
      </c>
      <c r="L56" s="18">
        <f t="shared" si="59"/>
        <v>0.98499999999999999</v>
      </c>
      <c r="M56" s="18">
        <f t="shared" si="60"/>
        <v>0.98499999999999999</v>
      </c>
      <c r="N56" s="18">
        <f>Spectroscopy!F56</f>
        <v>0.98499999999999999</v>
      </c>
      <c r="O56" s="18"/>
    </row>
    <row r="57" spans="1:15">
      <c r="A57" s="15" t="s">
        <v>110</v>
      </c>
      <c r="B57" s="18">
        <f>Spectroscopy!B57</f>
        <v>0.98</v>
      </c>
      <c r="C57" s="18">
        <f t="shared" si="53"/>
        <v>0.98</v>
      </c>
      <c r="D57" s="18">
        <f t="shared" si="54"/>
        <v>0.98</v>
      </c>
      <c r="E57" s="18">
        <f>Spectroscopy!C57</f>
        <v>0.98</v>
      </c>
      <c r="F57" s="18">
        <f t="shared" si="55"/>
        <v>0.98</v>
      </c>
      <c r="G57" s="18">
        <f t="shared" si="56"/>
        <v>0.98</v>
      </c>
      <c r="H57" s="18">
        <f>Spectroscopy!D57</f>
        <v>0.98</v>
      </c>
      <c r="I57" s="18">
        <f t="shared" si="57"/>
        <v>0.98</v>
      </c>
      <c r="J57" s="18">
        <f t="shared" si="58"/>
        <v>0.98</v>
      </c>
      <c r="K57" s="18">
        <f>Spectroscopy!E57</f>
        <v>0.98</v>
      </c>
      <c r="L57" s="18">
        <f t="shared" si="59"/>
        <v>0.98</v>
      </c>
      <c r="M57" s="18">
        <f t="shared" si="60"/>
        <v>0.98</v>
      </c>
      <c r="N57" s="18">
        <f>Spectroscopy!F57</f>
        <v>0.98</v>
      </c>
      <c r="O57" s="18"/>
    </row>
    <row r="58" spans="1:15">
      <c r="A58" s="15" t="s">
        <v>121</v>
      </c>
      <c r="B58" s="18">
        <f>Spectroscopy!B58</f>
        <v>0.72947338304750731</v>
      </c>
      <c r="C58" s="18">
        <f t="shared" ref="C58" si="61">(E58-B58)/(E$46-B$46)*(C$46-B$46)+B58</f>
        <v>0.7637209597164043</v>
      </c>
      <c r="D58" s="18">
        <f t="shared" ref="D58" si="62">(E58-B58)/(E$46-B$46)*(D$46-B$46)+B58</f>
        <v>0.79796853638530163</v>
      </c>
      <c r="E58" s="18">
        <f>Spectroscopy!C58</f>
        <v>0.83221611305419863</v>
      </c>
      <c r="F58" s="18">
        <f t="shared" ref="F58" si="63">(H58-E58)/(H$46-E$46)*(F$46-E$46)+E58</f>
        <v>0.8424903860548677</v>
      </c>
      <c r="G58" s="18">
        <f t="shared" ref="G58" si="64">(H58-E58)/(H$46-E$46)*(G$46-E$46)+E58</f>
        <v>0.85276465905553689</v>
      </c>
      <c r="H58" s="18">
        <f>Spectroscopy!D58</f>
        <v>0.86303893205620597</v>
      </c>
      <c r="I58" s="18">
        <f t="shared" ref="I58" si="65">(K58-H58)/(K$46-H$46)*(I$46-H$46)+H58</f>
        <v>0.85276465905553678</v>
      </c>
      <c r="J58" s="18">
        <f t="shared" ref="J58" si="66">(K58-H58)/(K$46-H$46)*(J$46-H$46)+H58</f>
        <v>0.84249038605486781</v>
      </c>
      <c r="K58" s="18">
        <f>Spectroscopy!E58</f>
        <v>0.83221611305419863</v>
      </c>
      <c r="L58" s="18">
        <f t="shared" ref="L58" si="67">(N58-K58)/(N$46-K$46)*(L$46-K$46)+K58</f>
        <v>0.80139329405219129</v>
      </c>
      <c r="M58" s="18">
        <f t="shared" ref="M58" si="68">(N58-K58)/(N$46-K$46)*(M$46-K$46)+K58</f>
        <v>0.77057047505018383</v>
      </c>
      <c r="N58" s="18">
        <f>Spectroscopy!F58</f>
        <v>0.73974765604817649</v>
      </c>
      <c r="O58" s="18"/>
    </row>
    <row r="59" spans="1:15">
      <c r="A59" s="15" t="s">
        <v>107</v>
      </c>
      <c r="B59" s="18">
        <f>Spectroscopy!B59</f>
        <v>0.90979239583926164</v>
      </c>
      <c r="C59" s="18">
        <f t="shared" si="53"/>
        <v>0.91072456017926084</v>
      </c>
      <c r="D59" s="18">
        <f t="shared" si="54"/>
        <v>0.91165672451926016</v>
      </c>
      <c r="E59" s="18">
        <f>Spectroscopy!C59</f>
        <v>0.91258888885925937</v>
      </c>
      <c r="F59" s="18">
        <f t="shared" si="55"/>
        <v>0.91352105319925858</v>
      </c>
      <c r="G59" s="18">
        <f t="shared" si="56"/>
        <v>0.9144532175392579</v>
      </c>
      <c r="H59" s="18">
        <f>Spectroscopy!D59</f>
        <v>0.91538538187925711</v>
      </c>
      <c r="I59" s="18">
        <f t="shared" si="57"/>
        <v>0.91569610332592355</v>
      </c>
      <c r="J59" s="18">
        <f t="shared" si="58"/>
        <v>0.91600682477258999</v>
      </c>
      <c r="K59" s="18">
        <f>Spectroscopy!E59</f>
        <v>0.91631754621925643</v>
      </c>
      <c r="L59" s="18">
        <f t="shared" si="59"/>
        <v>0.91631754621925643</v>
      </c>
      <c r="M59" s="18">
        <f t="shared" si="60"/>
        <v>0.91631754621925643</v>
      </c>
      <c r="N59" s="18">
        <f>Spectroscopy!F59</f>
        <v>0.91631754621925643</v>
      </c>
      <c r="O59" s="18"/>
    </row>
    <row r="60" spans="1:15">
      <c r="A60" s="15" t="s">
        <v>151</v>
      </c>
      <c r="B60" s="18">
        <f>Spectroscopy!B60</f>
        <v>0.996</v>
      </c>
      <c r="C60" s="18">
        <f t="shared" si="53"/>
        <v>0.99633333333333329</v>
      </c>
      <c r="D60" s="18">
        <f t="shared" si="54"/>
        <v>0.9966666666666667</v>
      </c>
      <c r="E60" s="18">
        <f>Spectroscopy!C60</f>
        <v>0.997</v>
      </c>
      <c r="F60" s="18">
        <f t="shared" si="55"/>
        <v>0.997</v>
      </c>
      <c r="G60" s="18">
        <f t="shared" si="56"/>
        <v>0.997</v>
      </c>
      <c r="H60" s="18">
        <f>Spectroscopy!D60</f>
        <v>0.997</v>
      </c>
      <c r="I60" s="18">
        <f t="shared" si="57"/>
        <v>0.99633333333333329</v>
      </c>
      <c r="J60" s="18">
        <f t="shared" si="58"/>
        <v>0.9956666666666667</v>
      </c>
      <c r="K60" s="18">
        <f>Spectroscopy!E60</f>
        <v>0.995</v>
      </c>
      <c r="L60" s="18">
        <f t="shared" si="59"/>
        <v>0.9936666666666667</v>
      </c>
      <c r="M60" s="18">
        <f t="shared" si="60"/>
        <v>0.99233333333333329</v>
      </c>
      <c r="N60" s="18">
        <f>Spectroscopy!F60</f>
        <v>0.99099999999999999</v>
      </c>
      <c r="O60" s="18"/>
    </row>
    <row r="61" spans="1:15">
      <c r="A61" s="15" t="s">
        <v>108</v>
      </c>
      <c r="B61" s="18">
        <f>Spectroscopy!B61</f>
        <v>0.92800000000000005</v>
      </c>
      <c r="C61" s="18">
        <f t="shared" ref="C61" si="69">(E61-B61)/(E$46-B$46)*(C$46-B$46)+B61</f>
        <v>0.93033333333333335</v>
      </c>
      <c r="D61" s="18">
        <v>0.93100000000000005</v>
      </c>
      <c r="E61" s="18">
        <f>Spectroscopy!C61</f>
        <v>0.93500000000000005</v>
      </c>
      <c r="F61" s="18">
        <f t="shared" si="55"/>
        <v>0.93166666666666675</v>
      </c>
      <c r="G61" s="18">
        <f t="shared" si="56"/>
        <v>0.92833333333333334</v>
      </c>
      <c r="H61" s="18">
        <f>Spectroscopy!D61</f>
        <v>0.92500000000000004</v>
      </c>
      <c r="I61" s="18">
        <f t="shared" si="57"/>
        <v>0.92066666666666663</v>
      </c>
      <c r="J61" s="18">
        <f t="shared" si="58"/>
        <v>0.91633333333333344</v>
      </c>
      <c r="K61" s="18">
        <f>Spectroscopy!E61</f>
        <v>0.91200000000000003</v>
      </c>
      <c r="L61" s="18">
        <f t="shared" si="59"/>
        <v>0.89500000000000002</v>
      </c>
      <c r="M61" s="18">
        <v>0.88200000000000001</v>
      </c>
      <c r="N61" s="18">
        <f>Spectroscopy!F61</f>
        <v>0.86099999999999999</v>
      </c>
      <c r="O61" s="18"/>
    </row>
    <row r="62" spans="1:15">
      <c r="A62" s="10" t="s">
        <v>40</v>
      </c>
      <c r="B62" s="29">
        <f>B47*B48*B49*B50*B51*B52*B53*B54*B55*B56*B57*B58*B59*B60*B61</f>
        <v>0.34290742672158497</v>
      </c>
      <c r="C62" s="29">
        <f>C47*C48*C49*C50*C51*C52*C53*C54*C55*C56*C57*C58*C59*C60*C61</f>
        <v>0.36077692286424062</v>
      </c>
      <c r="D62" s="29">
        <f t="shared" ref="D62:N62" si="70">D47*D48*D49*D50*D51*D52*D53*D54*D55*D56*D57*D58*D59*D60*D61</f>
        <v>0.37813435126062162</v>
      </c>
      <c r="E62" s="29">
        <f>E47*E48*E49*E50*E51*E52*E53*E54*E55*E56*E57*E58*E59*E60*E61</f>
        <v>0.3970113037711776</v>
      </c>
      <c r="F62" s="29">
        <f>F47*F48*F49*F50*F51*F52*F53*F54*F55*F56*F57*F58*F59*F60*F61</f>
        <v>0.40181871625938997</v>
      </c>
      <c r="G62" s="29">
        <f t="shared" ref="G62" si="71">G47*G48*G49*G50*G51*G52*G53*G54*G55*G56*G57*G58*G59*G60*G61</f>
        <v>0.40661696788929003</v>
      </c>
      <c r="H62" s="29">
        <f>H47*H48*H49*H50*H51*H52*H53*H54*H55*H56*H57*H58*H59*H60*H61</f>
        <v>0.41140578236647024</v>
      </c>
      <c r="I62" s="29">
        <f t="shared" ref="I62" si="72">I47*I48*I49*I50*I51*I52*I53*I54*I55*I56*I57*I58*I59*I60*I61</f>
        <v>0.40493933414477917</v>
      </c>
      <c r="J62" s="29">
        <f t="shared" ref="J62" si="73">J47*J48*J49*J50*J51*J52*J53*J54*J55*J56*J57*J58*J59*J60*J61</f>
        <v>0.39850730560284942</v>
      </c>
      <c r="K62" s="29">
        <f t="shared" si="70"/>
        <v>0.39210982328078958</v>
      </c>
      <c r="L62" s="29">
        <f t="shared" ref="L62" si="74">L47*L48*L49*L50*L51*L52*L53*L54*L55*L56*L57*L58*L59*L60*L61</f>
        <v>0.36964316221179172</v>
      </c>
      <c r="M62" s="29">
        <f t="shared" ref="M62" si="75">M47*M48*M49*M50*M51*M52*M53*M54*M55*M56*M57*M58*M59*M60*M61</f>
        <v>0.34940595929869622</v>
      </c>
      <c r="N62" s="29">
        <f t="shared" si="70"/>
        <v>0.3266403029957069</v>
      </c>
      <c r="O62" s="29">
        <f>AVERAGE(B62:N62)</f>
        <v>0.37999364297441451</v>
      </c>
    </row>
    <row r="63" spans="1:15">
      <c r="A63" s="15" t="s">
        <v>126</v>
      </c>
      <c r="B63" s="18">
        <v>0.87761411261999989</v>
      </c>
      <c r="C63" s="18">
        <f t="shared" ref="C63" si="76">(E63-B63)/(E$46-B$46)*(C$46-B$46)+B63</f>
        <v>0.8812927318799999</v>
      </c>
      <c r="D63" s="18">
        <f t="shared" ref="D63" si="77">(E63-B63)/(E$46-B$46)*(D$46-B$46)+B63</f>
        <v>0.88497135113999992</v>
      </c>
      <c r="E63" s="18">
        <v>0.88864997039999993</v>
      </c>
      <c r="F63" s="18">
        <f t="shared" ref="F63" si="78">(H63-E63)/(H$46-E$46)*(F$46-E$46)+E63</f>
        <v>0.88475858579999989</v>
      </c>
      <c r="G63" s="18">
        <f t="shared" ref="G63" si="79">(H63-E63)/(H$46-E$46)*(G$46-E$46)+E63</f>
        <v>0.88086720119999995</v>
      </c>
      <c r="H63" s="18">
        <v>0.8769758165999999</v>
      </c>
      <c r="I63" s="18">
        <f t="shared" ref="I63" si="80">(K63-H63)/(K$46-H$46)*(I$46-H$46)+H63</f>
        <v>0.87636017759999996</v>
      </c>
      <c r="J63" s="18">
        <f t="shared" ref="J63" si="81">(K63-H63)/(K$46-H$46)*(J$46-H$46)+H63</f>
        <v>0.8757445385999999</v>
      </c>
      <c r="K63" s="18">
        <v>0.87512889959999995</v>
      </c>
      <c r="L63" s="18">
        <f t="shared" ref="L63" si="82">(N63-K63)/(N$46-K$46)*(L$46-K$46)+K63</f>
        <v>0.87765635075999993</v>
      </c>
      <c r="M63" s="18">
        <f t="shared" ref="M63" si="83">(N63-K63)/(N$46-K$46)*(M$46-K$46)+K63</f>
        <v>0.88018380192000001</v>
      </c>
      <c r="N63" s="18">
        <v>0.88271125307999998</v>
      </c>
      <c r="O63" s="36"/>
    </row>
    <row r="64" spans="1:15">
      <c r="A64" s="10" t="s">
        <v>125</v>
      </c>
      <c r="B64" s="29">
        <f t="shared" ref="B64:N64" si="84">B62*B63</f>
        <v>0.30094039701307146</v>
      </c>
      <c r="C64" s="29">
        <f t="shared" si="84"/>
        <v>0.31795007995028662</v>
      </c>
      <c r="D64" s="29">
        <f t="shared" si="84"/>
        <v>0.33463806774755966</v>
      </c>
      <c r="E64" s="29">
        <f t="shared" si="84"/>
        <v>0.35280408334472235</v>
      </c>
      <c r="F64" s="29">
        <f t="shared" ref="F64:G64" si="85">F62*F63</f>
        <v>0.35551255914562929</v>
      </c>
      <c r="G64" s="29">
        <f t="shared" si="85"/>
        <v>0.35817555046506916</v>
      </c>
      <c r="H64" s="29">
        <f t="shared" si="84"/>
        <v>0.36079292194479706</v>
      </c>
      <c r="I64" s="29">
        <f t="shared" ref="I64:J64" si="86">I62*I63</f>
        <v>0.35487270678834443</v>
      </c>
      <c r="J64" s="29">
        <f t="shared" si="86"/>
        <v>0.34899059647389652</v>
      </c>
      <c r="K64" s="29">
        <f t="shared" si="84"/>
        <v>0.34314663817006785</v>
      </c>
      <c r="L64" s="29">
        <f t="shared" ref="L64:M64" si="87">L62*L63</f>
        <v>0.3244196688301878</v>
      </c>
      <c r="M64" s="29">
        <f t="shared" si="87"/>
        <v>0.30754146566903123</v>
      </c>
      <c r="N64" s="29">
        <f t="shared" si="84"/>
        <v>0.28832907116377132</v>
      </c>
      <c r="O64" s="29">
        <f>AVERAGE(B64:N64)</f>
        <v>0.33447029282357188</v>
      </c>
    </row>
    <row r="65" spans="1:15">
      <c r="A65" s="10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29"/>
    </row>
    <row r="66" spans="1:15">
      <c r="A66" s="24" t="s">
        <v>90</v>
      </c>
    </row>
    <row r="67" spans="1:15">
      <c r="A67" s="10" t="s">
        <v>6</v>
      </c>
      <c r="B67" s="30">
        <v>818</v>
      </c>
      <c r="C67" s="62">
        <f>(E67-B67)/3+B67</f>
        <v>828.66666666666663</v>
      </c>
      <c r="D67" s="62">
        <f>(E67-B67)/3*2+B67</f>
        <v>839.33333333333337</v>
      </c>
      <c r="E67" s="30">
        <v>850</v>
      </c>
      <c r="F67" s="62">
        <f>(H67-E67)/3+E67</f>
        <v>863</v>
      </c>
      <c r="G67" s="62">
        <f>(H67-E67)/3*2+E67</f>
        <v>876</v>
      </c>
      <c r="H67" s="30">
        <v>889</v>
      </c>
      <c r="I67" s="62">
        <f>(K67-H67)/3+H67</f>
        <v>900</v>
      </c>
      <c r="J67" s="62">
        <f>(K67-H67)/3*2+H67</f>
        <v>911</v>
      </c>
      <c r="K67" s="30">
        <v>922</v>
      </c>
      <c r="L67" s="62">
        <f>(N67-K67)/3+K67</f>
        <v>934.66666666666663</v>
      </c>
      <c r="M67" s="62">
        <f>(N67-K67)/3*2+K67</f>
        <v>947.33333333333337</v>
      </c>
      <c r="N67" s="30">
        <v>960</v>
      </c>
      <c r="O67" s="30"/>
    </row>
    <row r="68" spans="1:15">
      <c r="A68" s="15" t="s">
        <v>5</v>
      </c>
      <c r="B68" s="18">
        <f>Spectroscopy!B68</f>
        <v>0.86254392804599589</v>
      </c>
      <c r="C68" s="18">
        <f>(E68-B68)/(E$67-B$67)*(C$67-B$67)+B68</f>
        <v>0.86254940744586772</v>
      </c>
      <c r="D68" s="18">
        <f>(E68-B68)/(E$67-B$67)*(D$67-B$67)+B68</f>
        <v>0.86255488684573955</v>
      </c>
      <c r="E68" s="18">
        <f>Spectroscopy!C68</f>
        <v>0.86256036624561139</v>
      </c>
      <c r="F68" s="18">
        <f>(H68-E68)/(H$67-E$67)*(F$67-E$67)+E68</f>
        <v>0.86256704426420516</v>
      </c>
      <c r="G68" s="18">
        <f>(H68-E68)/(H$67-E$67)*(G$67-E$67)+E68</f>
        <v>0.86257372228279905</v>
      </c>
      <c r="H68" s="18">
        <f>Spectroscopy!D68</f>
        <v>0.86258040030139282</v>
      </c>
      <c r="I68" s="18">
        <f>(K68-H68)/(K$67-H$67)*(I$67-H$67)+H68</f>
        <v>0.86245852661883748</v>
      </c>
      <c r="J68" s="18">
        <f>(K68-H68)/(K$67-H$67)*(J$67-H$67)+H68</f>
        <v>0.86233665293628226</v>
      </c>
      <c r="K68" s="18">
        <f>Spectroscopy!E68</f>
        <v>0.86221477925372692</v>
      </c>
      <c r="L68" s="18">
        <f>(N68-K68)/(N$67-K$67)*(L$67-K$67)+K68</f>
        <v>0.86200101677200291</v>
      </c>
      <c r="M68" s="18">
        <f>(N68-K68)/(N$67-K$67)*(M$67-K$67)+K68</f>
        <v>0.86178725429027903</v>
      </c>
      <c r="N68" s="18">
        <f>Spectroscopy!F68</f>
        <v>0.86157349180855503</v>
      </c>
      <c r="O68" s="18"/>
    </row>
    <row r="69" spans="1:15">
      <c r="A69" s="15" t="s">
        <v>7</v>
      </c>
      <c r="B69" s="18">
        <f>Spectroscopy!B69</f>
        <v>0.94089999999999996</v>
      </c>
      <c r="C69" s="18">
        <f t="shared" ref="C69:C82" si="88">(E69-B69)/(E$67-B$67)*(C$67-B$67)+B69</f>
        <v>0.94089999999999996</v>
      </c>
      <c r="D69" s="18">
        <f t="shared" ref="D69:D82" si="89">(E69-B69)/(E$67-B$67)*(D$67-B$67)+B69</f>
        <v>0.94089999999999996</v>
      </c>
      <c r="E69" s="18">
        <f>Spectroscopy!C69</f>
        <v>0.94089999999999996</v>
      </c>
      <c r="F69" s="18">
        <f t="shared" ref="F69:F82" si="90">(H69-E69)/(H$67-E$67)*(F$67-E$67)+E69</f>
        <v>0.94089999999999996</v>
      </c>
      <c r="G69" s="18">
        <f t="shared" ref="G69:G82" si="91">(H69-E69)/(H$67-E$67)*(G$67-E$67)+E69</f>
        <v>0.94089999999999996</v>
      </c>
      <c r="H69" s="18">
        <f>Spectroscopy!D69</f>
        <v>0.94089999999999996</v>
      </c>
      <c r="I69" s="18">
        <f t="shared" ref="I69:I83" si="92">(K69-H69)/(K$67-H$67)*(I$67-H$67)+H69</f>
        <v>0.94089999999999996</v>
      </c>
      <c r="J69" s="18">
        <f t="shared" ref="J69:J83" si="93">(K69-H69)/(K$67-H$67)*(J$67-H$67)+H69</f>
        <v>0.94089999999999996</v>
      </c>
      <c r="K69" s="18">
        <f>Spectroscopy!E69</f>
        <v>0.94089999999999996</v>
      </c>
      <c r="L69" s="18">
        <f t="shared" ref="L69:L82" si="94">(N69-K69)/(N$67-K$67)*(L$67-K$67)+K69</f>
        <v>0.94089999999999996</v>
      </c>
      <c r="M69" s="18">
        <f t="shared" ref="M69:M82" si="95">(N69-K69)/(N$67-K$67)*(M$67-K$67)+K69</f>
        <v>0.94089999999999996</v>
      </c>
      <c r="N69" s="18">
        <f>Spectroscopy!F69</f>
        <v>0.94089999999999996</v>
      </c>
      <c r="O69" s="18"/>
    </row>
    <row r="70" spans="1:15">
      <c r="A70" s="15" t="s">
        <v>27</v>
      </c>
      <c r="B70" s="18">
        <f>Spectroscopy!B70</f>
        <v>0.98499999999999999</v>
      </c>
      <c r="C70" s="18">
        <f t="shared" si="88"/>
        <v>0.98499999999999999</v>
      </c>
      <c r="D70" s="18">
        <f t="shared" si="89"/>
        <v>0.98499999999999999</v>
      </c>
      <c r="E70" s="18">
        <f>Spectroscopy!C70</f>
        <v>0.98499999999999999</v>
      </c>
      <c r="F70" s="18">
        <f t="shared" si="90"/>
        <v>0.98499999999999999</v>
      </c>
      <c r="G70" s="18">
        <f t="shared" si="91"/>
        <v>0.98499999999999999</v>
      </c>
      <c r="H70" s="18">
        <f>Spectroscopy!D70</f>
        <v>0.98499999999999999</v>
      </c>
      <c r="I70" s="18">
        <f t="shared" si="92"/>
        <v>0.98499999999999999</v>
      </c>
      <c r="J70" s="18">
        <f t="shared" si="93"/>
        <v>0.98499999999999999</v>
      </c>
      <c r="K70" s="18">
        <f>Spectroscopy!E70</f>
        <v>0.98499999999999999</v>
      </c>
      <c r="L70" s="18">
        <f t="shared" si="94"/>
        <v>0.98499999999999999</v>
      </c>
      <c r="M70" s="18">
        <f t="shared" si="95"/>
        <v>0.98499999999999999</v>
      </c>
      <c r="N70" s="18">
        <f>Spectroscopy!F70</f>
        <v>0.98499999999999999</v>
      </c>
      <c r="O70" s="18"/>
    </row>
    <row r="71" spans="1:15">
      <c r="A71" s="15" t="s">
        <v>8</v>
      </c>
      <c r="B71" s="18">
        <f>Spectroscopy!B71</f>
        <v>0.96039999999999992</v>
      </c>
      <c r="C71" s="18">
        <f t="shared" si="88"/>
        <v>0.96039999999999992</v>
      </c>
      <c r="D71" s="18">
        <f t="shared" si="89"/>
        <v>0.96039999999999992</v>
      </c>
      <c r="E71" s="18">
        <f>Spectroscopy!C71</f>
        <v>0.96039999999999992</v>
      </c>
      <c r="F71" s="18">
        <f t="shared" si="90"/>
        <v>0.96039999999999992</v>
      </c>
      <c r="G71" s="18">
        <f t="shared" si="91"/>
        <v>0.96039999999999992</v>
      </c>
      <c r="H71" s="18">
        <f>Spectroscopy!D71</f>
        <v>0.96039999999999992</v>
      </c>
      <c r="I71" s="18">
        <f t="shared" si="92"/>
        <v>0.96039999999999992</v>
      </c>
      <c r="J71" s="18">
        <f t="shared" si="93"/>
        <v>0.96039999999999992</v>
      </c>
      <c r="K71" s="18">
        <f>Spectroscopy!E71</f>
        <v>0.96039999999999992</v>
      </c>
      <c r="L71" s="18">
        <f t="shared" si="94"/>
        <v>0.96039999999999992</v>
      </c>
      <c r="M71" s="18">
        <f t="shared" si="95"/>
        <v>0.96039999999999992</v>
      </c>
      <c r="N71" s="18">
        <f>Spectroscopy!F71</f>
        <v>0.96039999999999992</v>
      </c>
      <c r="O71" s="18"/>
    </row>
    <row r="72" spans="1:15">
      <c r="A72" s="15" t="s">
        <v>85</v>
      </c>
      <c r="B72" s="18">
        <f>Spectroscopy!B72</f>
        <v>0.95</v>
      </c>
      <c r="C72" s="18">
        <f t="shared" si="88"/>
        <v>0.95</v>
      </c>
      <c r="D72" s="18">
        <f t="shared" si="89"/>
        <v>0.95</v>
      </c>
      <c r="E72" s="18">
        <f>Spectroscopy!C72</f>
        <v>0.95</v>
      </c>
      <c r="F72" s="18">
        <f t="shared" si="90"/>
        <v>0.95</v>
      </c>
      <c r="G72" s="18">
        <f t="shared" si="91"/>
        <v>0.95</v>
      </c>
      <c r="H72" s="18">
        <f>Spectroscopy!D72</f>
        <v>0.95</v>
      </c>
      <c r="I72" s="18">
        <f t="shared" si="92"/>
        <v>0.95</v>
      </c>
      <c r="J72" s="18">
        <f t="shared" si="93"/>
        <v>0.95</v>
      </c>
      <c r="K72" s="18">
        <f>Spectroscopy!E72</f>
        <v>0.95</v>
      </c>
      <c r="L72" s="18">
        <f t="shared" si="94"/>
        <v>0.95</v>
      </c>
      <c r="M72" s="18">
        <f t="shared" si="95"/>
        <v>0.95</v>
      </c>
      <c r="N72" s="18">
        <f>Spectroscopy!F72</f>
        <v>0.95</v>
      </c>
      <c r="O72" s="18"/>
    </row>
    <row r="73" spans="1:15">
      <c r="A73" s="15" t="s">
        <v>102</v>
      </c>
      <c r="B73" s="18">
        <f>Spectroscopy!B73</f>
        <v>0.91754649846089986</v>
      </c>
      <c r="C73" s="18">
        <f t="shared" si="88"/>
        <v>0.91754649846089986</v>
      </c>
      <c r="D73" s="18">
        <f t="shared" si="89"/>
        <v>0.91754649846089986</v>
      </c>
      <c r="E73" s="18">
        <f>Spectroscopy!C73</f>
        <v>0.91754649846089986</v>
      </c>
      <c r="F73" s="18">
        <f t="shared" si="90"/>
        <v>0.91754649846089986</v>
      </c>
      <c r="G73" s="18">
        <f t="shared" si="91"/>
        <v>0.91754649846089986</v>
      </c>
      <c r="H73" s="18">
        <f>Spectroscopy!D73</f>
        <v>0.91754649846089986</v>
      </c>
      <c r="I73" s="18">
        <f t="shared" si="92"/>
        <v>0.91722823744859994</v>
      </c>
      <c r="J73" s="18">
        <f t="shared" si="93"/>
        <v>0.9169099764362999</v>
      </c>
      <c r="K73" s="18">
        <f>Spectroscopy!E73</f>
        <v>0.91659171542399998</v>
      </c>
      <c r="L73" s="18">
        <f t="shared" si="94"/>
        <v>0.91563693238709998</v>
      </c>
      <c r="M73" s="18">
        <f t="shared" si="95"/>
        <v>0.91468214935019987</v>
      </c>
      <c r="N73" s="18">
        <f>Spectroscopy!F73</f>
        <v>0.91372736631329987</v>
      </c>
      <c r="O73" s="18"/>
    </row>
    <row r="74" spans="1:15">
      <c r="A74" s="15" t="s">
        <v>103</v>
      </c>
      <c r="B74" s="18">
        <f>Spectroscopy!B74</f>
        <v>0.93099999999999994</v>
      </c>
      <c r="C74" s="18">
        <f t="shared" si="88"/>
        <v>0.93099999999999994</v>
      </c>
      <c r="D74" s="18">
        <f t="shared" si="89"/>
        <v>0.93099999999999994</v>
      </c>
      <c r="E74" s="18">
        <f>Spectroscopy!C74</f>
        <v>0.93099999999999994</v>
      </c>
      <c r="F74" s="18">
        <f t="shared" si="90"/>
        <v>0.93099999999999994</v>
      </c>
      <c r="G74" s="18">
        <f t="shared" si="91"/>
        <v>0.93099999999999994</v>
      </c>
      <c r="H74" s="18">
        <f>Spectroscopy!D74</f>
        <v>0.93099999999999994</v>
      </c>
      <c r="I74" s="18">
        <f t="shared" si="92"/>
        <v>0.93099999999999994</v>
      </c>
      <c r="J74" s="18">
        <f t="shared" si="93"/>
        <v>0.93099999999999994</v>
      </c>
      <c r="K74" s="18">
        <f>Spectroscopy!E74</f>
        <v>0.93099999999999994</v>
      </c>
      <c r="L74" s="18">
        <f t="shared" si="94"/>
        <v>0.93099999999999994</v>
      </c>
      <c r="M74" s="18">
        <f t="shared" si="95"/>
        <v>0.93099999999999994</v>
      </c>
      <c r="N74" s="18">
        <f>Spectroscopy!F74</f>
        <v>0.93099999999999994</v>
      </c>
      <c r="O74" s="18"/>
    </row>
    <row r="75" spans="1:15">
      <c r="A75" s="15" t="s">
        <v>104</v>
      </c>
      <c r="B75" s="18">
        <f>Spectroscopy!B75</f>
        <v>0.97</v>
      </c>
      <c r="C75" s="18">
        <f t="shared" si="88"/>
        <v>0.97</v>
      </c>
      <c r="D75" s="18">
        <f t="shared" si="89"/>
        <v>0.97</v>
      </c>
      <c r="E75" s="18">
        <f>Spectroscopy!C75</f>
        <v>0.97</v>
      </c>
      <c r="F75" s="18">
        <f t="shared" si="90"/>
        <v>0.97</v>
      </c>
      <c r="G75" s="18">
        <f t="shared" si="91"/>
        <v>0.97</v>
      </c>
      <c r="H75" s="18">
        <f>Spectroscopy!D75</f>
        <v>0.97</v>
      </c>
      <c r="I75" s="18">
        <f t="shared" si="92"/>
        <v>0.97</v>
      </c>
      <c r="J75" s="18">
        <f t="shared" si="93"/>
        <v>0.97</v>
      </c>
      <c r="K75" s="18">
        <f>Spectroscopy!E75</f>
        <v>0.97</v>
      </c>
      <c r="L75" s="18">
        <f t="shared" si="94"/>
        <v>0.97</v>
      </c>
      <c r="M75" s="18">
        <f t="shared" si="95"/>
        <v>0.97</v>
      </c>
      <c r="N75" s="18">
        <f>Spectroscopy!F75</f>
        <v>0.97</v>
      </c>
      <c r="O75" s="18"/>
    </row>
    <row r="76" spans="1:15">
      <c r="A76" s="15" t="s">
        <v>105</v>
      </c>
      <c r="B76" s="18">
        <f>Spectroscopy!B76</f>
        <v>0.97</v>
      </c>
      <c r="C76" s="18">
        <f t="shared" si="88"/>
        <v>0.97</v>
      </c>
      <c r="D76" s="18">
        <f t="shared" si="89"/>
        <v>0.97</v>
      </c>
      <c r="E76" s="18">
        <f>Spectroscopy!C76</f>
        <v>0.97</v>
      </c>
      <c r="F76" s="18">
        <f t="shared" si="90"/>
        <v>0.97</v>
      </c>
      <c r="G76" s="18">
        <f t="shared" si="91"/>
        <v>0.97</v>
      </c>
      <c r="H76" s="18">
        <f>Spectroscopy!D76</f>
        <v>0.97</v>
      </c>
      <c r="I76" s="18">
        <f t="shared" si="92"/>
        <v>0.97</v>
      </c>
      <c r="J76" s="18">
        <f t="shared" si="93"/>
        <v>0.97</v>
      </c>
      <c r="K76" s="18">
        <f>Spectroscopy!E76</f>
        <v>0.97</v>
      </c>
      <c r="L76" s="18">
        <f t="shared" si="94"/>
        <v>0.97</v>
      </c>
      <c r="M76" s="18">
        <f t="shared" si="95"/>
        <v>0.97</v>
      </c>
      <c r="N76" s="18">
        <f>Spectroscopy!F76</f>
        <v>0.97</v>
      </c>
      <c r="O76" s="18"/>
    </row>
    <row r="77" spans="1:15">
      <c r="A77" s="15" t="s">
        <v>106</v>
      </c>
      <c r="B77" s="18">
        <f>Spectroscopy!B77</f>
        <v>0.93099999999999994</v>
      </c>
      <c r="C77" s="18">
        <f t="shared" si="88"/>
        <v>0.93099999999999994</v>
      </c>
      <c r="D77" s="18">
        <f t="shared" si="89"/>
        <v>0.93099999999999994</v>
      </c>
      <c r="E77" s="18">
        <f>Spectroscopy!C77</f>
        <v>0.93099999999999994</v>
      </c>
      <c r="F77" s="18">
        <f t="shared" si="90"/>
        <v>0.93099999999999994</v>
      </c>
      <c r="G77" s="18">
        <f t="shared" si="91"/>
        <v>0.93099999999999994</v>
      </c>
      <c r="H77" s="18">
        <f>Spectroscopy!D77</f>
        <v>0.93099999999999994</v>
      </c>
      <c r="I77" s="18">
        <f t="shared" si="92"/>
        <v>0.93099999999999994</v>
      </c>
      <c r="J77" s="18">
        <f t="shared" si="93"/>
        <v>0.93099999999999994</v>
      </c>
      <c r="K77" s="18">
        <f>Spectroscopy!E77</f>
        <v>0.93099999999999994</v>
      </c>
      <c r="L77" s="18">
        <f t="shared" si="94"/>
        <v>0.93099999999999994</v>
      </c>
      <c r="M77" s="18">
        <f t="shared" si="95"/>
        <v>0.93099999999999994</v>
      </c>
      <c r="N77" s="18">
        <f>Spectroscopy!F77</f>
        <v>0.93099999999999994</v>
      </c>
      <c r="O77" s="18"/>
    </row>
    <row r="78" spans="1:15">
      <c r="A78" s="15" t="s">
        <v>111</v>
      </c>
      <c r="B78" s="18">
        <f>Spectroscopy!B78</f>
        <v>0.98</v>
      </c>
      <c r="C78" s="18">
        <f t="shared" si="88"/>
        <v>0.98</v>
      </c>
      <c r="D78" s="18">
        <f t="shared" si="89"/>
        <v>0.98</v>
      </c>
      <c r="E78" s="18">
        <f>Spectroscopy!C78</f>
        <v>0.98</v>
      </c>
      <c r="F78" s="18">
        <f t="shared" si="90"/>
        <v>0.98</v>
      </c>
      <c r="G78" s="18">
        <f t="shared" si="91"/>
        <v>0.98</v>
      </c>
      <c r="H78" s="18">
        <f>Spectroscopy!D78</f>
        <v>0.98</v>
      </c>
      <c r="I78" s="18">
        <f t="shared" si="92"/>
        <v>0.98</v>
      </c>
      <c r="J78" s="18">
        <f t="shared" si="93"/>
        <v>0.98</v>
      </c>
      <c r="K78" s="18">
        <f>Spectroscopy!E78</f>
        <v>0.98</v>
      </c>
      <c r="L78" s="18">
        <f t="shared" si="94"/>
        <v>0.98</v>
      </c>
      <c r="M78" s="18">
        <f t="shared" si="95"/>
        <v>0.98</v>
      </c>
      <c r="N78" s="18">
        <f>Spectroscopy!F78</f>
        <v>0.98</v>
      </c>
      <c r="O78" s="18"/>
    </row>
    <row r="79" spans="1:15">
      <c r="A79" s="15" t="s">
        <v>112</v>
      </c>
      <c r="B79" s="18">
        <f>Spectroscopy!B79</f>
        <v>0.98</v>
      </c>
      <c r="C79" s="18">
        <f t="shared" si="88"/>
        <v>0.98</v>
      </c>
      <c r="D79" s="18">
        <f t="shared" si="89"/>
        <v>0.98</v>
      </c>
      <c r="E79" s="18">
        <f>Spectroscopy!C79</f>
        <v>0.98</v>
      </c>
      <c r="F79" s="18">
        <f t="shared" si="90"/>
        <v>0.98</v>
      </c>
      <c r="G79" s="18">
        <f t="shared" si="91"/>
        <v>0.98</v>
      </c>
      <c r="H79" s="18">
        <f>Spectroscopy!D79</f>
        <v>0.98</v>
      </c>
      <c r="I79" s="18">
        <f t="shared" si="92"/>
        <v>0.98</v>
      </c>
      <c r="J79" s="18">
        <f t="shared" si="93"/>
        <v>0.98</v>
      </c>
      <c r="K79" s="18">
        <f>Spectroscopy!E79</f>
        <v>0.98</v>
      </c>
      <c r="L79" s="18">
        <f t="shared" si="94"/>
        <v>0.98</v>
      </c>
      <c r="M79" s="18">
        <f t="shared" si="95"/>
        <v>0.98</v>
      </c>
      <c r="N79" s="18">
        <f>Spectroscopy!F79</f>
        <v>0.98</v>
      </c>
      <c r="O79" s="18"/>
    </row>
    <row r="80" spans="1:15">
      <c r="A80" s="15" t="s">
        <v>122</v>
      </c>
      <c r="B80" s="18">
        <f>Spectroscopy!B80</f>
        <v>0.64690804628999998</v>
      </c>
      <c r="C80" s="18">
        <f t="shared" ref="C80" si="96">(E80-B80)/(E$67-B$67)*(C$67-B$67)+B80</f>
        <v>0.68036430080519983</v>
      </c>
      <c r="D80" s="18">
        <f t="shared" ref="D80" si="97">(E80-B80)/(E$67-B$67)*(D$67-B$67)+B80</f>
        <v>0.71382055532040001</v>
      </c>
      <c r="E80" s="18">
        <f>Spectroscopy!C80</f>
        <v>0.74727680983559985</v>
      </c>
      <c r="F80" s="18">
        <f t="shared" ref="F80" si="98">(H80-E80)/(H$67-E$67)*(F$67-E$67)+E80</f>
        <v>0.76231286501039985</v>
      </c>
      <c r="G80" s="18">
        <f t="shared" ref="G80" si="99">(H80-E80)/(H$67-E$67)*(G$67-E$67)+E80</f>
        <v>0.77734892018519997</v>
      </c>
      <c r="H80" s="18">
        <f>Spectroscopy!D80</f>
        <v>0.79238497535999997</v>
      </c>
      <c r="I80" s="18">
        <f t="shared" ref="I80" si="100">(K80-H80)/(K$67-H$67)*(I$67-H$67)+H80</f>
        <v>0.78712304388299992</v>
      </c>
      <c r="J80" s="18">
        <f t="shared" ref="J80" si="101">(K80-H80)/(K$67-H$67)*(J$67-H$67)+H80</f>
        <v>0.78186111240599987</v>
      </c>
      <c r="K80" s="18">
        <f>Spectroscopy!E80</f>
        <v>0.77659918092899982</v>
      </c>
      <c r="L80" s="18">
        <f t="shared" ref="L80" si="102">(N80-K80)/(N$67-K$67)*(L$67-K$67)+K80</f>
        <v>0.7441127726076</v>
      </c>
      <c r="M80" s="18">
        <f t="shared" ref="M80" si="103">(N80-K80)/(N$67-K$67)*(M$67-K$67)+K80</f>
        <v>0.71162636428619974</v>
      </c>
      <c r="N80" s="18">
        <f>Spectroscopy!F80</f>
        <v>0.67913995596479992</v>
      </c>
      <c r="O80" s="18"/>
    </row>
    <row r="81" spans="1:15">
      <c r="A81" s="15" t="s">
        <v>113</v>
      </c>
      <c r="B81" s="18">
        <f>Spectroscopy!B81</f>
        <v>0.91818187489925485</v>
      </c>
      <c r="C81" s="18">
        <f t="shared" si="88"/>
        <v>0.91818187489925485</v>
      </c>
      <c r="D81" s="18">
        <f t="shared" si="89"/>
        <v>0.91818187489925485</v>
      </c>
      <c r="E81" s="18">
        <f>Spectroscopy!C81</f>
        <v>0.91818187489925485</v>
      </c>
      <c r="F81" s="18">
        <f t="shared" si="90"/>
        <v>0.91787115345258841</v>
      </c>
      <c r="G81" s="18">
        <f t="shared" si="91"/>
        <v>0.91756043200592208</v>
      </c>
      <c r="H81" s="18">
        <f>Spectroscopy!D81</f>
        <v>0.91724971055925564</v>
      </c>
      <c r="I81" s="18">
        <f t="shared" si="92"/>
        <v>0.91724971055925564</v>
      </c>
      <c r="J81" s="18">
        <f t="shared" si="93"/>
        <v>0.91724971055925564</v>
      </c>
      <c r="K81" s="18">
        <f>Spectroscopy!E81</f>
        <v>0.91724971055925564</v>
      </c>
      <c r="L81" s="18">
        <f t="shared" si="94"/>
        <v>0.9169389891125892</v>
      </c>
      <c r="M81" s="18">
        <f t="shared" si="95"/>
        <v>0.91662826766592287</v>
      </c>
      <c r="N81" s="18">
        <f>Spectroscopy!F81</f>
        <v>0.91631754621925643</v>
      </c>
      <c r="O81" s="18"/>
    </row>
    <row r="82" spans="1:15">
      <c r="A82" s="15" t="s">
        <v>152</v>
      </c>
      <c r="B82" s="18">
        <f>Spectroscopy!B82</f>
        <v>0.99002500000000004</v>
      </c>
      <c r="C82" s="18">
        <f t="shared" si="88"/>
        <v>0.99002500000000004</v>
      </c>
      <c r="D82" s="18">
        <f t="shared" si="89"/>
        <v>0.99002500000000004</v>
      </c>
      <c r="E82" s="18">
        <f>Spectroscopy!C82</f>
        <v>0.99002500000000004</v>
      </c>
      <c r="F82" s="18">
        <f t="shared" si="90"/>
        <v>0.99001666666666666</v>
      </c>
      <c r="G82" s="18">
        <f t="shared" si="91"/>
        <v>0.99000833333333338</v>
      </c>
      <c r="H82" s="18">
        <f>Spectroscopy!D82</f>
        <v>0.99</v>
      </c>
      <c r="I82" s="18">
        <f t="shared" si="92"/>
        <v>0.99000833333333338</v>
      </c>
      <c r="J82" s="18">
        <f t="shared" si="93"/>
        <v>0.99001666666666666</v>
      </c>
      <c r="K82" s="18">
        <f>Spectroscopy!E82</f>
        <v>0.99002500000000004</v>
      </c>
      <c r="L82" s="18">
        <f t="shared" si="94"/>
        <v>0.99002500000000004</v>
      </c>
      <c r="M82" s="18">
        <f t="shared" si="95"/>
        <v>0.99002500000000004</v>
      </c>
      <c r="N82" s="18">
        <f>Spectroscopy!F82</f>
        <v>0.99002500000000004</v>
      </c>
      <c r="O82" s="18"/>
    </row>
    <row r="83" spans="1:15">
      <c r="A83" s="15" t="s">
        <v>114</v>
      </c>
      <c r="B83" s="18">
        <f>Spectroscopy!B83</f>
        <v>0.86099999999999999</v>
      </c>
      <c r="C83" s="18">
        <v>0.83699999999999997</v>
      </c>
      <c r="D83" s="18">
        <v>0.81100000000000005</v>
      </c>
      <c r="E83" s="18">
        <f>Spectroscopy!C83</f>
        <v>0.78400000000000003</v>
      </c>
      <c r="F83" s="18">
        <f>(E83+G83)/2</f>
        <v>0.74199999999999999</v>
      </c>
      <c r="G83" s="18">
        <v>0.7</v>
      </c>
      <c r="H83" s="18">
        <f>Spectroscopy!D83</f>
        <v>0.64200000000000002</v>
      </c>
      <c r="I83" s="18">
        <f t="shared" si="92"/>
        <v>0.59666666666666668</v>
      </c>
      <c r="J83" s="18">
        <f t="shared" si="93"/>
        <v>0.55133333333333334</v>
      </c>
      <c r="K83" s="18">
        <f>Spectroscopy!E83</f>
        <v>0.50600000000000001</v>
      </c>
      <c r="L83" s="18">
        <v>0.43</v>
      </c>
      <c r="M83" s="18">
        <f>(L83+N83)/2</f>
        <v>0.36649999999999999</v>
      </c>
      <c r="N83" s="18">
        <f>Spectroscopy!F83</f>
        <v>0.30299999999999999</v>
      </c>
      <c r="O83" s="18"/>
    </row>
    <row r="84" spans="1:15">
      <c r="A84" s="10" t="s">
        <v>40</v>
      </c>
      <c r="B84" s="29">
        <f>B68*B69*B70*B71*B72*B73*B74*B75*B76*B77*B78*B79*B80*B81*B82*B83</f>
        <v>0.26538741449516179</v>
      </c>
      <c r="C84" s="29">
        <f t="shared" ref="C84:N84" si="104">C68*C69*C70*C71*C72*C73*C74*C75*C76*C77*C78*C79*C80*C81*C82*C83</f>
        <v>0.27133408524898683</v>
      </c>
      <c r="D84" s="29">
        <f t="shared" si="104"/>
        <v>0.2758354248706229</v>
      </c>
      <c r="E84" s="29">
        <f t="shared" si="104"/>
        <v>0.27915181978396575</v>
      </c>
      <c r="F84" s="29">
        <f t="shared" si="104"/>
        <v>0.26942181810103877</v>
      </c>
      <c r="G84" s="29">
        <f t="shared" si="104"/>
        <v>0.25909695582152897</v>
      </c>
      <c r="H84" s="29">
        <f t="shared" si="104"/>
        <v>0.24214312548527897</v>
      </c>
      <c r="I84" s="29">
        <f t="shared" si="104"/>
        <v>0.22344308092542711</v>
      </c>
      <c r="J84" s="29">
        <f t="shared" si="104"/>
        <v>0.20498776218720374</v>
      </c>
      <c r="K84" s="29">
        <f t="shared" si="104"/>
        <v>0.18677683759059596</v>
      </c>
      <c r="L84" s="29">
        <f t="shared" si="104"/>
        <v>0.15183620253864993</v>
      </c>
      <c r="M84" s="29">
        <f t="shared" si="104"/>
        <v>0.12356233990170577</v>
      </c>
      <c r="N84" s="29">
        <f t="shared" si="104"/>
        <v>9.733151274065642E-2</v>
      </c>
      <c r="O84" s="29">
        <f>AVERAGE(B84:N84)</f>
        <v>0.21925449074544787</v>
      </c>
    </row>
    <row r="85" spans="1:15">
      <c r="A85" s="15" t="s">
        <v>126</v>
      </c>
      <c r="B85" s="18">
        <v>0.87232158575999996</v>
      </c>
      <c r="C85" s="18">
        <f t="shared" ref="C85" si="105">(E85-B85)/(E$67-B$67)*(C$67-B$67)+B85</f>
        <v>0.88115363017333326</v>
      </c>
      <c r="D85" s="18">
        <f t="shared" ref="D85" si="106">(E85-B85)/(E$67-B$67)*(D$67-B$67)+B85</f>
        <v>0.88998567458666666</v>
      </c>
      <c r="E85" s="18">
        <v>0.89881771899999996</v>
      </c>
      <c r="F85" s="18">
        <f t="shared" ref="F85" si="107">(H85-E85)/(H$67-E$67)*(F$67-E$67)+E85</f>
        <v>0.90536097078</v>
      </c>
      <c r="G85" s="18">
        <f t="shared" ref="G85" si="108">(H85-E85)/(H$67-E$67)*(G$67-E$67)+E85</f>
        <v>0.91190422255999992</v>
      </c>
      <c r="H85" s="18">
        <v>0.91844747433999996</v>
      </c>
      <c r="I85" s="18">
        <f t="shared" ref="I85" si="109">(K85-H85)/(K$67-H$67)*(I$67-H$67)+H85</f>
        <v>0.92099148694666666</v>
      </c>
      <c r="J85" s="18">
        <f t="shared" ref="J85" si="110">(K85-H85)/(K$67-H$67)*(J$67-H$67)+H85</f>
        <v>0.92353549955333325</v>
      </c>
      <c r="K85" s="18">
        <v>0.92607951215999995</v>
      </c>
      <c r="L85" s="18">
        <f t="shared" ref="L85" si="111">(N85-K85)/(N$67-K$67)*(L$67-K$67)+K85</f>
        <v>0.92728597770666665</v>
      </c>
      <c r="M85" s="18">
        <f t="shared" ref="M85" si="112">(N85-K85)/(N$67-K$67)*(M$67-K$67)+K85</f>
        <v>0.92849244325333324</v>
      </c>
      <c r="N85" s="18">
        <v>0.92969890879999995</v>
      </c>
      <c r="O85" s="36"/>
    </row>
    <row r="86" spans="1:15">
      <c r="A86" s="10" t="s">
        <v>125</v>
      </c>
      <c r="B86" s="29">
        <f t="shared" ref="B86:N86" si="113">B84*B85</f>
        <v>0.23150317025316594</v>
      </c>
      <c r="C86" s="29">
        <f t="shared" si="113"/>
        <v>0.23908701420690542</v>
      </c>
      <c r="D86" s="29">
        <f t="shared" si="113"/>
        <v>0.24548957667838114</v>
      </c>
      <c r="E86" s="29">
        <f t="shared" si="113"/>
        <v>0.25090660191292313</v>
      </c>
      <c r="F86" s="29">
        <f t="shared" ref="F86:G86" si="114">F84*F85</f>
        <v>0.24392399878526905</v>
      </c>
      <c r="G86" s="29">
        <f t="shared" si="114"/>
        <v>0.23627160806609401</v>
      </c>
      <c r="H86" s="29">
        <f t="shared" si="113"/>
        <v>0.22239574203074813</v>
      </c>
      <c r="I86" s="29">
        <f t="shared" ref="I86:J86" si="115">I84*I85</f>
        <v>0.20578917534945348</v>
      </c>
      <c r="J86" s="29">
        <f t="shared" si="115"/>
        <v>0.18931347535387907</v>
      </c>
      <c r="K86" s="29">
        <f t="shared" si="113"/>
        <v>0.17297020263868665</v>
      </c>
      <c r="L86" s="29">
        <f t="shared" ref="L86:M86" si="116">L84*L85</f>
        <v>0.14079558152231947</v>
      </c>
      <c r="M86" s="29">
        <f t="shared" si="116"/>
        <v>0.11472669886943362</v>
      </c>
      <c r="N86" s="29">
        <f t="shared" si="113"/>
        <v>9.0489001186841569E-2</v>
      </c>
      <c r="O86" s="29">
        <f>AVERAGE(B86:N86)</f>
        <v>0.19874321898877695</v>
      </c>
    </row>
    <row r="87" spans="1:15">
      <c r="A87" s="10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29"/>
    </row>
    <row r="88" spans="1:15">
      <c r="A88" s="21" t="s">
        <v>1</v>
      </c>
    </row>
    <row r="89" spans="1:15">
      <c r="A89" s="10" t="s">
        <v>6</v>
      </c>
      <c r="B89" s="30">
        <v>960</v>
      </c>
      <c r="C89" s="62">
        <f>(E89-B89)/3+B89</f>
        <v>973.33333333333337</v>
      </c>
      <c r="D89" s="62">
        <f>(E89-B89)/3*2+B89</f>
        <v>986.66666666666663</v>
      </c>
      <c r="E89" s="30">
        <v>1000</v>
      </c>
      <c r="F89" s="62">
        <f>(H89-E89)/3+E89</f>
        <v>1013.3333333333334</v>
      </c>
      <c r="G89" s="62">
        <f>(H89-E89)/3*2+E89</f>
        <v>1026.6666666666667</v>
      </c>
      <c r="H89" s="30">
        <v>1040</v>
      </c>
      <c r="I89" s="62">
        <f>(K89-H89)/3+H89</f>
        <v>1056.6666666666667</v>
      </c>
      <c r="J89" s="62">
        <f>(K89-H89)/3*2+H89</f>
        <v>1073.3333333333333</v>
      </c>
      <c r="K89" s="30">
        <v>1090</v>
      </c>
      <c r="L89" s="62">
        <f>(N89-K89)/3+K89</f>
        <v>1100</v>
      </c>
      <c r="M89" s="62">
        <f>(N89-K89)/3*2+K89</f>
        <v>1110</v>
      </c>
      <c r="N89" s="30">
        <v>1120</v>
      </c>
      <c r="O89" s="30"/>
    </row>
    <row r="90" spans="1:15">
      <c r="A90" s="15" t="s">
        <v>5</v>
      </c>
      <c r="B90" s="18">
        <f>Spectroscopy!B90</f>
        <v>0.86157349180855503</v>
      </c>
      <c r="C90" s="18">
        <f>(E90-B90)/(E$67-B$67)*(C$67-B$67)+B90</f>
        <v>0.86134847866989828</v>
      </c>
      <c r="D90" s="18">
        <f>(E90-B90)/(E$67-B$67)*(D$67-B$67)+B90</f>
        <v>0.86112346553124142</v>
      </c>
      <c r="E90" s="18">
        <f>Spectroscopy!C90</f>
        <v>0.86089845239258467</v>
      </c>
      <c r="F90" s="18">
        <f>(H90-E90)/(H$67-E$67)*(F$67-E$67)+E90</f>
        <v>0.86090245423024048</v>
      </c>
      <c r="G90" s="18">
        <f>(H90-E90)/(H$67-E$67)*(G$67-E$67)+E90</f>
        <v>0.8609064560678964</v>
      </c>
      <c r="H90" s="18">
        <f>Spectroscopy!D90</f>
        <v>0.86091045790555221</v>
      </c>
      <c r="I90" s="18">
        <f>(K90-H90)/(K$67-H$67)*(I$67-H$67)+H90</f>
        <v>0.860915460202622</v>
      </c>
      <c r="J90" s="18">
        <f>(K90-H90)/(K$67-H$67)*(J$67-H$67)+H90</f>
        <v>0.8609204624996919</v>
      </c>
      <c r="K90" s="18">
        <f>Spectroscopy!E90</f>
        <v>0.86092546479676169</v>
      </c>
      <c r="L90" s="18">
        <f>(N90-K90)/(N$67-K$67)*(L$67-K$67)+K90</f>
        <v>0.86092813539754987</v>
      </c>
      <c r="M90" s="18">
        <f>(N90-K90)/(N$67-K$67)*(M$67-K$67)+K90</f>
        <v>0.86093080599833816</v>
      </c>
      <c r="N90" s="18">
        <f>Spectroscopy!F90</f>
        <v>0.86093347659912633</v>
      </c>
      <c r="O90" s="18"/>
    </row>
    <row r="91" spans="1:15">
      <c r="A91" s="15" t="s">
        <v>7</v>
      </c>
      <c r="B91" s="18">
        <f>Spectroscopy!B91</f>
        <v>0.94089999999999996</v>
      </c>
      <c r="C91" s="18">
        <f>(E91-B91)/(E$67-B$67)*(C$67-B$67)+B91</f>
        <v>0.94089999999999996</v>
      </c>
      <c r="D91" s="18">
        <f>(E91-B91)/(E$67-B$67)*(D$67-B$67)+B91</f>
        <v>0.94089999999999996</v>
      </c>
      <c r="E91" s="18">
        <f>Spectroscopy!C91</f>
        <v>0.94089999999999996</v>
      </c>
      <c r="F91" s="18">
        <f>(H91-E91)/(H$67-E$67)*(F$67-E$67)+E91</f>
        <v>0.94089999999999996</v>
      </c>
      <c r="G91" s="18">
        <f>(H91-E91)/(H$67-E$67)*(G$67-E$67)+E91</f>
        <v>0.94089999999999996</v>
      </c>
      <c r="H91" s="18">
        <f>Spectroscopy!D91</f>
        <v>0.94089999999999996</v>
      </c>
      <c r="I91" s="18">
        <f>(K91-H91)/(K$67-H$67)*(I$67-H$67)+H91</f>
        <v>0.94089999999999996</v>
      </c>
      <c r="J91" s="18">
        <f>(K91-H91)/(K$67-H$67)*(J$67-H$67)+H91</f>
        <v>0.94089999999999996</v>
      </c>
      <c r="K91" s="18">
        <f>Spectroscopy!E91</f>
        <v>0.94089999999999996</v>
      </c>
      <c r="L91" s="18">
        <f>(N91-K91)/(N$67-K$67)*(L$67-K$67)+K91</f>
        <v>0.94089999999999996</v>
      </c>
      <c r="M91" s="18">
        <f>(N91-K91)/(N$67-K$67)*(M$67-K$67)+K91</f>
        <v>0.94089999999999996</v>
      </c>
      <c r="N91" s="18">
        <f>Spectroscopy!F91</f>
        <v>0.94089999999999996</v>
      </c>
      <c r="O91" s="18"/>
    </row>
    <row r="92" spans="1:15">
      <c r="A92" s="15" t="s">
        <v>28</v>
      </c>
      <c r="B92" s="18">
        <f>Spectroscopy!B92</f>
        <v>0.93099999999999994</v>
      </c>
      <c r="C92" s="18">
        <f t="shared" ref="C92:C101" si="117">(E92-B92)/(E$67-B$67)*(C$67-B$67)+B92</f>
        <v>0.93099999999999994</v>
      </c>
      <c r="D92" s="18">
        <f t="shared" ref="D92:D101" si="118">(E92-B92)/(E$67-B$67)*(D$67-B$67)+B92</f>
        <v>0.93099999999999994</v>
      </c>
      <c r="E92" s="18">
        <f>Spectroscopy!C92</f>
        <v>0.93099999999999994</v>
      </c>
      <c r="F92" s="18">
        <f t="shared" ref="F92:F101" si="119">(H92-E92)/(H$67-E$67)*(F$67-E$67)+E92</f>
        <v>0.93099999999999994</v>
      </c>
      <c r="G92" s="18">
        <f t="shared" ref="G92:G101" si="120">(H92-E92)/(H$67-E$67)*(G$67-E$67)+E92</f>
        <v>0.93099999999999994</v>
      </c>
      <c r="H92" s="18">
        <f>Spectroscopy!D92</f>
        <v>0.93099999999999994</v>
      </c>
      <c r="I92" s="18">
        <f t="shared" ref="I92:I101" si="121">(K92-H92)/(K$67-H$67)*(I$67-H$67)+H92</f>
        <v>0.93099999999999994</v>
      </c>
      <c r="J92" s="18">
        <f t="shared" ref="J92:J101" si="122">(K92-H92)/(K$67-H$67)*(J$67-H$67)+H92</f>
        <v>0.93099999999999994</v>
      </c>
      <c r="K92" s="18">
        <f>Spectroscopy!E92</f>
        <v>0.93099999999999994</v>
      </c>
      <c r="L92" s="18">
        <f t="shared" ref="L92:L101" si="123">(N92-K92)/(N$67-K$67)*(L$67-K$67)+K92</f>
        <v>0.93099999999999994</v>
      </c>
      <c r="M92" s="18">
        <f t="shared" ref="M92:M101" si="124">(N92-K92)/(N$67-K$67)*(M$67-K$67)+K92</f>
        <v>0.93099999999999994</v>
      </c>
      <c r="N92" s="18">
        <f>Spectroscopy!F92</f>
        <v>0.93099999999999994</v>
      </c>
      <c r="O92" s="18"/>
    </row>
    <row r="93" spans="1:15">
      <c r="A93" s="15" t="s">
        <v>37</v>
      </c>
      <c r="B93" s="18">
        <f>Spectroscopy!B93</f>
        <v>0.90439291139495326</v>
      </c>
      <c r="C93" s="18">
        <f t="shared" si="117"/>
        <v>0.90439291139495326</v>
      </c>
      <c r="D93" s="18">
        <f t="shared" si="118"/>
        <v>0.90439291139495326</v>
      </c>
      <c r="E93" s="18">
        <f>Spectroscopy!C93</f>
        <v>0.90439291139495326</v>
      </c>
      <c r="F93" s="18">
        <f t="shared" si="119"/>
        <v>0.90439291139495326</v>
      </c>
      <c r="G93" s="18">
        <f t="shared" si="120"/>
        <v>0.90439291139495326</v>
      </c>
      <c r="H93" s="18">
        <f>Spectroscopy!D93</f>
        <v>0.90439291139495326</v>
      </c>
      <c r="I93" s="18">
        <f t="shared" si="121"/>
        <v>0.90439291139495326</v>
      </c>
      <c r="J93" s="18">
        <f t="shared" si="122"/>
        <v>0.90439291139495326</v>
      </c>
      <c r="K93" s="18">
        <f>Spectroscopy!E93</f>
        <v>0.90439291139495326</v>
      </c>
      <c r="L93" s="18">
        <f t="shared" si="123"/>
        <v>0.90439291139495326</v>
      </c>
      <c r="M93" s="18">
        <f t="shared" si="124"/>
        <v>0.90439291139495326</v>
      </c>
      <c r="N93" s="18">
        <f>Spectroscopy!F93</f>
        <v>0.90439291139495326</v>
      </c>
      <c r="O93" s="18"/>
    </row>
    <row r="94" spans="1:15">
      <c r="A94" s="15" t="s">
        <v>25</v>
      </c>
      <c r="B94" s="18">
        <f>Spectroscopy!B94</f>
        <v>0.98499999999999999</v>
      </c>
      <c r="C94" s="18">
        <f t="shared" si="117"/>
        <v>0.98499999999999999</v>
      </c>
      <c r="D94" s="18">
        <f t="shared" si="118"/>
        <v>0.98499999999999999</v>
      </c>
      <c r="E94" s="18">
        <f>Spectroscopy!C94</f>
        <v>0.98499999999999999</v>
      </c>
      <c r="F94" s="18">
        <f t="shared" si="119"/>
        <v>0.98499999999999999</v>
      </c>
      <c r="G94" s="18">
        <f t="shared" si="120"/>
        <v>0.98499999999999999</v>
      </c>
      <c r="H94" s="18">
        <f>Spectroscopy!D94</f>
        <v>0.98499999999999999</v>
      </c>
      <c r="I94" s="18">
        <f t="shared" si="121"/>
        <v>0.98499999999999999</v>
      </c>
      <c r="J94" s="18">
        <f t="shared" si="122"/>
        <v>0.98499999999999999</v>
      </c>
      <c r="K94" s="18">
        <f>Spectroscopy!E94</f>
        <v>0.98499999999999999</v>
      </c>
      <c r="L94" s="18">
        <f t="shared" si="123"/>
        <v>0.98499999999999999</v>
      </c>
      <c r="M94" s="18">
        <f t="shared" si="124"/>
        <v>0.98499999999999999</v>
      </c>
      <c r="N94" s="18">
        <f>Spectroscopy!F94</f>
        <v>0.98499999999999999</v>
      </c>
      <c r="O94" s="18"/>
    </row>
    <row r="95" spans="1:15">
      <c r="A95" s="15" t="s">
        <v>29</v>
      </c>
      <c r="B95" s="18">
        <f>Spectroscopy!B95</f>
        <v>0.98</v>
      </c>
      <c r="C95" s="18">
        <f t="shared" si="117"/>
        <v>0.98</v>
      </c>
      <c r="D95" s="18">
        <f t="shared" si="118"/>
        <v>0.98</v>
      </c>
      <c r="E95" s="18">
        <f>Spectroscopy!C95</f>
        <v>0.98</v>
      </c>
      <c r="F95" s="18">
        <f t="shared" si="119"/>
        <v>0.98</v>
      </c>
      <c r="G95" s="18">
        <f t="shared" si="120"/>
        <v>0.98</v>
      </c>
      <c r="H95" s="18">
        <f>Spectroscopy!D95</f>
        <v>0.98</v>
      </c>
      <c r="I95" s="18">
        <f t="shared" si="121"/>
        <v>0.98</v>
      </c>
      <c r="J95" s="18">
        <f t="shared" si="122"/>
        <v>0.98</v>
      </c>
      <c r="K95" s="18">
        <f>Spectroscopy!E95</f>
        <v>0.98</v>
      </c>
      <c r="L95" s="18">
        <f t="shared" si="123"/>
        <v>0.98</v>
      </c>
      <c r="M95" s="18">
        <f t="shared" si="124"/>
        <v>0.98</v>
      </c>
      <c r="N95" s="18">
        <f>Spectroscopy!F95</f>
        <v>0.98</v>
      </c>
      <c r="O95" s="18"/>
    </row>
    <row r="96" spans="1:15">
      <c r="A96" s="15" t="s">
        <v>22</v>
      </c>
      <c r="B96" s="18">
        <f>Spectroscopy!B96</f>
        <v>0.98</v>
      </c>
      <c r="C96" s="18">
        <f t="shared" si="117"/>
        <v>0.98</v>
      </c>
      <c r="D96" s="18">
        <f t="shared" si="118"/>
        <v>0.98</v>
      </c>
      <c r="E96" s="18">
        <f>Spectroscopy!C96</f>
        <v>0.98</v>
      </c>
      <c r="F96" s="18">
        <f t="shared" si="119"/>
        <v>0.98</v>
      </c>
      <c r="G96" s="18">
        <f t="shared" si="120"/>
        <v>0.98</v>
      </c>
      <c r="H96" s="18">
        <f>Spectroscopy!D96</f>
        <v>0.98</v>
      </c>
      <c r="I96" s="18">
        <f t="shared" si="121"/>
        <v>0.98</v>
      </c>
      <c r="J96" s="18">
        <f t="shared" si="122"/>
        <v>0.98</v>
      </c>
      <c r="K96" s="18">
        <f>Spectroscopy!E96</f>
        <v>0.98</v>
      </c>
      <c r="L96" s="18">
        <f t="shared" si="123"/>
        <v>0.98</v>
      </c>
      <c r="M96" s="18">
        <f t="shared" si="124"/>
        <v>0.98</v>
      </c>
      <c r="N96" s="18">
        <f>Spectroscopy!F96</f>
        <v>0.98</v>
      </c>
      <c r="O96" s="18"/>
    </row>
    <row r="97" spans="1:15">
      <c r="A97" s="15" t="s">
        <v>30</v>
      </c>
      <c r="B97" s="18">
        <f>Spectroscopy!B97</f>
        <v>0.98499999999999999</v>
      </c>
      <c r="C97" s="18">
        <f t="shared" si="117"/>
        <v>0.98499999999999999</v>
      </c>
      <c r="D97" s="18">
        <f t="shared" si="118"/>
        <v>0.98499999999999999</v>
      </c>
      <c r="E97" s="18">
        <f>Spectroscopy!C97</f>
        <v>0.98499999999999999</v>
      </c>
      <c r="F97" s="18">
        <f t="shared" si="119"/>
        <v>0.98499999999999999</v>
      </c>
      <c r="G97" s="18">
        <f t="shared" si="120"/>
        <v>0.98499999999999999</v>
      </c>
      <c r="H97" s="18">
        <f>Spectroscopy!D97</f>
        <v>0.98499999999999999</v>
      </c>
      <c r="I97" s="18">
        <f t="shared" si="121"/>
        <v>0.98499999999999999</v>
      </c>
      <c r="J97" s="18">
        <f t="shared" si="122"/>
        <v>0.98499999999999999</v>
      </c>
      <c r="K97" s="18">
        <f>Spectroscopy!E97</f>
        <v>0.98499999999999999</v>
      </c>
      <c r="L97" s="18">
        <f t="shared" si="123"/>
        <v>0.98499999999999999</v>
      </c>
      <c r="M97" s="18">
        <f t="shared" si="124"/>
        <v>0.98499999999999999</v>
      </c>
      <c r="N97" s="18">
        <f>Spectroscopy!F97</f>
        <v>0.98499999999999999</v>
      </c>
      <c r="O97" s="18"/>
    </row>
    <row r="98" spans="1:15">
      <c r="A98" s="15" t="s">
        <v>258</v>
      </c>
      <c r="B98" s="18">
        <f>Spectroscopy!B98</f>
        <v>0.94099999999999995</v>
      </c>
      <c r="C98" s="18">
        <f t="shared" si="117"/>
        <v>0.94866666666666655</v>
      </c>
      <c r="D98" s="18">
        <f t="shared" si="118"/>
        <v>0.95633333333333337</v>
      </c>
      <c r="E98" s="18">
        <f>Spectroscopy!C98</f>
        <v>0.96399999999999997</v>
      </c>
      <c r="F98" s="18">
        <f t="shared" si="119"/>
        <v>0.96399999999999997</v>
      </c>
      <c r="G98" s="18">
        <f t="shared" si="120"/>
        <v>0.96399999999999997</v>
      </c>
      <c r="H98" s="18">
        <f>Spectroscopy!D98</f>
        <v>0.96399999999999997</v>
      </c>
      <c r="I98" s="18">
        <f t="shared" si="121"/>
        <v>0.95466666666666666</v>
      </c>
      <c r="J98" s="18">
        <f t="shared" si="122"/>
        <v>0.94533333333333336</v>
      </c>
      <c r="K98" s="18">
        <f>Spectroscopy!E98</f>
        <v>0.93600000000000005</v>
      </c>
      <c r="L98" s="18">
        <f t="shared" si="123"/>
        <v>0.93866666666666665</v>
      </c>
      <c r="M98" s="18">
        <f t="shared" si="124"/>
        <v>0.94133333333333336</v>
      </c>
      <c r="N98" s="18">
        <f>Spectroscopy!F98</f>
        <v>0.94399999999999995</v>
      </c>
      <c r="O98" s="18"/>
    </row>
    <row r="99" spans="1:15">
      <c r="A99" s="15" t="s">
        <v>13</v>
      </c>
      <c r="B99" s="18">
        <f>Spectroscopy!B99</f>
        <v>0.47889141798535712</v>
      </c>
      <c r="C99" s="18">
        <f t="shared" ref="C99" si="125">(E99-B99)/(E$67-B$67)*(C$67-B$67)+B99</f>
        <v>0.53663009958642838</v>
      </c>
      <c r="D99" s="18">
        <f t="shared" ref="D99" si="126">(E99-B99)/(E$67-B$67)*(D$67-B$67)+B99</f>
        <v>0.59436878118750025</v>
      </c>
      <c r="E99" s="18">
        <f>Spectroscopy!C99</f>
        <v>0.65210746278857146</v>
      </c>
      <c r="F99" s="18">
        <f t="shared" ref="F99" si="127">(H99-E99)/(H$67-E$67)*(F$67-E$67)+E99</f>
        <v>0.6724858210007143</v>
      </c>
      <c r="G99" s="18">
        <f t="shared" ref="G99" si="128">(H99-E99)/(H$67-E$67)*(G$67-E$67)+E99</f>
        <v>0.69286417921285703</v>
      </c>
      <c r="H99" s="18">
        <f>Spectroscopy!D99</f>
        <v>0.71324253742499988</v>
      </c>
      <c r="I99" s="18">
        <f t="shared" ref="I99" si="129">(K99-H99)/(K$67-H$67)*(I$67-H$67)+H99</f>
        <v>0.68267500010678561</v>
      </c>
      <c r="J99" s="18">
        <f t="shared" ref="J99" si="130">(K99-H99)/(K$67-H$67)*(J$67-H$67)+H99</f>
        <v>0.65210746278857135</v>
      </c>
      <c r="K99" s="18">
        <f>Spectroscopy!E99</f>
        <v>0.62153992547035708</v>
      </c>
      <c r="L99" s="18">
        <f t="shared" ref="L99" si="131">(N99-K99)/(N$67-K$67)*(L$67-K$67)+K99</f>
        <v>0.5807832090460715</v>
      </c>
      <c r="M99" s="18">
        <f t="shared" ref="M99" si="132">(N99-K99)/(N$67-K$67)*(M$67-K$67)+K99</f>
        <v>0.54002649262178559</v>
      </c>
      <c r="N99" s="18">
        <f>Spectroscopy!F99</f>
        <v>0.49926977619749996</v>
      </c>
      <c r="O99" s="18"/>
    </row>
    <row r="100" spans="1:15">
      <c r="A100" s="15" t="s">
        <v>17</v>
      </c>
      <c r="B100" s="18">
        <f>Spectroscopy!B100</f>
        <v>0.91700000000000004</v>
      </c>
      <c r="C100" s="18">
        <f t="shared" si="117"/>
        <v>0.91700000000000004</v>
      </c>
      <c r="D100" s="18">
        <f t="shared" si="118"/>
        <v>0.91700000000000004</v>
      </c>
      <c r="E100" s="18">
        <f>Spectroscopy!C100</f>
        <v>0.91700000000000004</v>
      </c>
      <c r="F100" s="18">
        <f t="shared" si="119"/>
        <v>0.91700000000000004</v>
      </c>
      <c r="G100" s="18">
        <f t="shared" si="120"/>
        <v>0.91700000000000004</v>
      </c>
      <c r="H100" s="18">
        <f>Spectroscopy!D100</f>
        <v>0.91700000000000004</v>
      </c>
      <c r="I100" s="18">
        <f t="shared" si="121"/>
        <v>0.91700000000000004</v>
      </c>
      <c r="J100" s="18">
        <f t="shared" si="122"/>
        <v>0.91700000000000004</v>
      </c>
      <c r="K100" s="18">
        <f>Spectroscopy!E100</f>
        <v>0.91700000000000004</v>
      </c>
      <c r="L100" s="18">
        <f t="shared" si="123"/>
        <v>0.91700000000000004</v>
      </c>
      <c r="M100" s="18">
        <f t="shared" si="124"/>
        <v>0.91700000000000004</v>
      </c>
      <c r="N100" s="18">
        <f>Spectroscopy!F100</f>
        <v>0.91700000000000004</v>
      </c>
      <c r="O100" s="18"/>
    </row>
    <row r="101" spans="1:15">
      <c r="A101" s="15" t="s">
        <v>33</v>
      </c>
      <c r="B101" s="18">
        <f>Spectroscopy!B101</f>
        <v>0.8</v>
      </c>
      <c r="C101" s="18">
        <f t="shared" si="117"/>
        <v>0.8</v>
      </c>
      <c r="D101" s="18">
        <f t="shared" si="118"/>
        <v>0.8</v>
      </c>
      <c r="E101" s="18">
        <f>Spectroscopy!C101</f>
        <v>0.8</v>
      </c>
      <c r="F101" s="18">
        <f t="shared" si="119"/>
        <v>0.8</v>
      </c>
      <c r="G101" s="18">
        <f t="shared" si="120"/>
        <v>0.8</v>
      </c>
      <c r="H101" s="18">
        <f>Spectroscopy!D101</f>
        <v>0.8</v>
      </c>
      <c r="I101" s="18">
        <f t="shared" si="121"/>
        <v>0.8</v>
      </c>
      <c r="J101" s="18">
        <f t="shared" si="122"/>
        <v>0.8</v>
      </c>
      <c r="K101" s="18">
        <f>Spectroscopy!E101</f>
        <v>0.8</v>
      </c>
      <c r="L101" s="18">
        <f t="shared" si="123"/>
        <v>0.8</v>
      </c>
      <c r="M101" s="18">
        <f t="shared" si="124"/>
        <v>0.8</v>
      </c>
      <c r="N101" s="18">
        <f>Spectroscopy!F101</f>
        <v>0.8</v>
      </c>
      <c r="O101" s="18"/>
    </row>
    <row r="102" spans="1:15">
      <c r="A102" s="10" t="s">
        <v>40</v>
      </c>
      <c r="B102" s="29">
        <f>B90*B91*B92*B93*B94*B95*B96*B97*B99*B100*B101</f>
        <v>0.22344138621416457</v>
      </c>
      <c r="C102" s="29">
        <f t="shared" ref="C102:N102" si="133">C90*C91*C92*C93*C94*C95*C96*C97*C99*C100*C101</f>
        <v>0.25031573694070297</v>
      </c>
      <c r="D102" s="29">
        <f t="shared" si="133"/>
        <v>0.27717601621339649</v>
      </c>
      <c r="E102" s="29">
        <f t="shared" si="133"/>
        <v>0.30402222403224466</v>
      </c>
      <c r="F102" s="29">
        <f t="shared" ref="F102" si="134">F90*F91*F92*F93*F94*F95*F96*F97*F99*F100*F101</f>
        <v>0.31352437592676696</v>
      </c>
      <c r="G102" s="29">
        <f t="shared" ref="G102" si="135">G90*G91*G92*G93*G94*G95*G96*G97*G99*G100*G101</f>
        <v>0.32302661614816908</v>
      </c>
      <c r="H102" s="29">
        <f t="shared" si="133"/>
        <v>0.33252894469645072</v>
      </c>
      <c r="I102" s="29">
        <f t="shared" ref="I102" si="136">I90*I91*I92*I93*I94*I95*I96*I97*I99*I100*I101</f>
        <v>0.31827955355350329</v>
      </c>
      <c r="J102" s="29">
        <f t="shared" ref="J102" si="137">J90*J91*J92*J93*J94*J95*J96*J97*J99*J100*J101</f>
        <v>0.30402999679765647</v>
      </c>
      <c r="K102" s="29">
        <f t="shared" si="133"/>
        <v>0.28978027442891025</v>
      </c>
      <c r="L102" s="29">
        <f t="shared" ref="L102" si="138">L90*L91*L92*L93*L94*L95*L96*L97*L99*L100*L101</f>
        <v>0.27077912917785446</v>
      </c>
      <c r="M102" s="29">
        <f t="shared" ref="M102" si="139">M90*M91*M92*M93*M94*M95*M96*M97*M99*M100*M101</f>
        <v>0.25177786603804092</v>
      </c>
      <c r="N102" s="29">
        <f t="shared" si="133"/>
        <v>0.23277648500947012</v>
      </c>
      <c r="O102" s="29">
        <f>AVERAGE(B102:N102)</f>
        <v>0.28395835424441007</v>
      </c>
    </row>
    <row r="103" spans="1:15">
      <c r="A103" s="15" t="s">
        <v>126</v>
      </c>
      <c r="B103" s="36">
        <v>0.92969890879999995</v>
      </c>
      <c r="C103" s="18">
        <f t="shared" ref="C103" si="140">(E103-B103)/(E$89-B$89)*(C$89-B$89)+B103</f>
        <v>0.93096887253333327</v>
      </c>
      <c r="D103" s="18">
        <f t="shared" ref="D103" si="141">(E103-B103)/(E$89-B$89)*(D$89-B$89)+B103</f>
        <v>0.93223883626666659</v>
      </c>
      <c r="E103" s="36">
        <v>0.93350879999999992</v>
      </c>
      <c r="F103" s="18">
        <f t="shared" ref="F103" si="142">(H103-E103)/(H$89-E$89)*(F$89-E$89)+E103</f>
        <v>0.93440307999999994</v>
      </c>
      <c r="G103" s="18">
        <f t="shared" ref="G103" si="143">(H103-E103)/(H$89-E$89)*(G$89-E$89)+E103</f>
        <v>0.93529735999999997</v>
      </c>
      <c r="H103" s="36">
        <v>0.93619163999999999</v>
      </c>
      <c r="I103" s="18">
        <f t="shared" ref="I103" si="144">(K103-H103)/(K$89-H$89)*(I$89-H$89)+H103</f>
        <v>0.93730948999999997</v>
      </c>
      <c r="J103" s="18">
        <f t="shared" ref="J103" si="145">(K103-H103)/(K$89-H$89)*(J$89-H$89)+H103</f>
        <v>0.93842734000000005</v>
      </c>
      <c r="K103" s="36">
        <v>0.93954519000000003</v>
      </c>
      <c r="L103" s="18">
        <f t="shared" ref="L103" si="146">(N103-K103)/(N$89-K$89)*(L$89-K$89)+K103</f>
        <v>0.93996090426666667</v>
      </c>
      <c r="M103" s="18">
        <f t="shared" ref="M103" si="147">(N103-K103)/(N$89-K$89)*(M$89-K$89)+K103</f>
        <v>0.94037661853333332</v>
      </c>
      <c r="N103" s="36">
        <v>0.94079233279999996</v>
      </c>
      <c r="O103" s="36"/>
    </row>
    <row r="104" spans="1:15">
      <c r="A104" s="10" t="s">
        <v>125</v>
      </c>
      <c r="B104" s="29">
        <f t="shared" ref="B104:N104" si="148">B102*B103</f>
        <v>0.20773321294406816</v>
      </c>
      <c r="C104" s="29">
        <f t="shared" si="148"/>
        <v>0.23303615939703667</v>
      </c>
      <c r="D104" s="29">
        <f t="shared" si="148"/>
        <v>0.25839424679580747</v>
      </c>
      <c r="E104" s="29">
        <f t="shared" si="148"/>
        <v>0.28380742152967187</v>
      </c>
      <c r="F104" s="29">
        <f t="shared" ref="F104:G104" si="149">F102*F103</f>
        <v>0.2929581425210489</v>
      </c>
      <c r="G104" s="29">
        <f t="shared" si="149"/>
        <v>0.30212594129311587</v>
      </c>
      <c r="H104" s="29">
        <f t="shared" si="148"/>
        <v>0.3113108180828395</v>
      </c>
      <c r="I104" s="29">
        <f t="shared" ref="I104:J104" si="150">I102*I103</f>
        <v>0.29832644601866187</v>
      </c>
      <c r="J104" s="29">
        <f t="shared" si="150"/>
        <v>0.28531006117503327</v>
      </c>
      <c r="K104" s="29">
        <f t="shared" si="148"/>
        <v>0.27226166299656263</v>
      </c>
      <c r="L104" s="29">
        <f t="shared" ref="L104:M104" si="151">L102*L103</f>
        <v>0.2545217951185566</v>
      </c>
      <c r="M104" s="29">
        <f t="shared" si="151"/>
        <v>0.23676601828639152</v>
      </c>
      <c r="N104" s="29">
        <f t="shared" si="148"/>
        <v>0.21899433235304361</v>
      </c>
      <c r="O104" s="29">
        <f>AVERAGE(B104:N104)</f>
        <v>0.26581125065475675</v>
      </c>
    </row>
    <row r="105" spans="1:15">
      <c r="A105" s="10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17"/>
    </row>
    <row r="106" spans="1:15">
      <c r="A106" s="22" t="s">
        <v>2</v>
      </c>
    </row>
    <row r="107" spans="1:15">
      <c r="A107" s="10" t="s">
        <v>6</v>
      </c>
      <c r="B107" s="30">
        <v>1150</v>
      </c>
      <c r="C107" s="62">
        <f>(E107-B107)/3+B107</f>
        <v>1166.6666666666667</v>
      </c>
      <c r="D107" s="62">
        <f>(E107-B107)/3*2+B107</f>
        <v>1183.3333333333333</v>
      </c>
      <c r="E107" s="30">
        <v>1200</v>
      </c>
      <c r="F107" s="62">
        <f>(H107-E107)/3+E107</f>
        <v>1216.6666666666667</v>
      </c>
      <c r="G107" s="62">
        <f>(H107-E107)/3*2+E107</f>
        <v>1233.3333333333333</v>
      </c>
      <c r="H107" s="30">
        <v>1250</v>
      </c>
      <c r="I107" s="62">
        <f>(K107-H107)/3+H107</f>
        <v>1266.6666666666667</v>
      </c>
      <c r="J107" s="62">
        <f>(K107-H107)/3*2+H107</f>
        <v>1283.3333333333333</v>
      </c>
      <c r="K107" s="30">
        <v>1300</v>
      </c>
      <c r="L107" s="62">
        <f>(N107-K107)/3+K107</f>
        <v>1316.6666666666667</v>
      </c>
      <c r="M107" s="62">
        <f>(N107-K107)/3*2+K107</f>
        <v>1333.3333333333333</v>
      </c>
      <c r="N107" s="30">
        <v>1350</v>
      </c>
      <c r="O107" s="30"/>
    </row>
    <row r="108" spans="1:15">
      <c r="A108" s="15" t="s">
        <v>5</v>
      </c>
      <c r="B108" s="18">
        <f>Spectroscopy!B108</f>
        <v>0.86094099223531051</v>
      </c>
      <c r="C108" s="18">
        <f>(E108-B108)/(E$107-B$107)*(C$107-B$107)+B108</f>
        <v>0.86094516758874617</v>
      </c>
      <c r="D108" s="18">
        <f>(E108-B108)/(E$107-B$107)*(D$107-B$107)+B108</f>
        <v>0.86094934294218173</v>
      </c>
      <c r="E108" s="18">
        <f>Spectroscopy!C108</f>
        <v>0.86095351829561739</v>
      </c>
      <c r="F108" s="18">
        <f>(H108-E108)/(H$107-E$107)*(F$107-E$107)+E108</f>
        <v>0.86066982271537207</v>
      </c>
      <c r="G108" s="18">
        <f>(H108-E108)/(H$107-E$107)*(G$107-E$107)+E108</f>
        <v>0.86038612713512685</v>
      </c>
      <c r="H108" s="18">
        <f>Spectroscopy!D108</f>
        <v>0.86010243155488153</v>
      </c>
      <c r="I108" s="18">
        <f>(K108-H108)/(K$107-H$107)*(I$107-H$107)+H108</f>
        <v>0.85981873597463621</v>
      </c>
      <c r="J108" s="18">
        <f>(K108-H108)/(K$107-H$107)*(J$107-H$107)+H108</f>
        <v>0.85953504039439099</v>
      </c>
      <c r="K108" s="18">
        <f>Spectroscopy!E108</f>
        <v>0.85925134481414567</v>
      </c>
      <c r="L108" s="18">
        <f>(N108-K108)/(N$107-K$107)*(L$107-K$107)+K108</f>
        <v>0.85896734006992803</v>
      </c>
      <c r="M108" s="18">
        <f>(N108-K108)/(N$107-K$107)*(M$107-K$107)+K108</f>
        <v>0.8586833353257104</v>
      </c>
      <c r="N108" s="18">
        <f>Spectroscopy!F108</f>
        <v>0.85839933058149276</v>
      </c>
      <c r="O108" s="18"/>
    </row>
    <row r="109" spans="1:15">
      <c r="A109" s="15" t="s">
        <v>7</v>
      </c>
      <c r="B109" s="18">
        <f>Spectroscopy!B109</f>
        <v>0.94089999999999996</v>
      </c>
      <c r="C109" s="18">
        <f t="shared" ref="C109:C118" si="152">(E109-B109)/(E$107-B$107)*(C$107-B$107)+B109</f>
        <v>0.94089999999999996</v>
      </c>
      <c r="D109" s="18">
        <f t="shared" ref="D109:D118" si="153">(E109-B109)/(E$107-B$107)*(D$107-B$107)+B109</f>
        <v>0.94089999999999996</v>
      </c>
      <c r="E109" s="18">
        <f>Spectroscopy!C109</f>
        <v>0.94089999999999996</v>
      </c>
      <c r="F109" s="18">
        <f t="shared" ref="F109:F119" si="154">(H109-E109)/(H$107-E$107)*(F$107-E$107)+E109</f>
        <v>0.94089999999999996</v>
      </c>
      <c r="G109" s="18">
        <f t="shared" ref="G109:G119" si="155">(H109-E109)/(H$107-E$107)*(G$107-E$107)+E109</f>
        <v>0.94089999999999996</v>
      </c>
      <c r="H109" s="18">
        <f>Spectroscopy!D109</f>
        <v>0.94089999999999996</v>
      </c>
      <c r="I109" s="18">
        <f t="shared" ref="I109:I119" si="156">(K109-H109)/(K$107-H$107)*(I$107-H$107)+H109</f>
        <v>0.94089999999999996</v>
      </c>
      <c r="J109" s="18">
        <f t="shared" ref="J109:J119" si="157">(K109-H109)/(K$107-H$107)*(J$107-H$107)+H109</f>
        <v>0.94089999999999996</v>
      </c>
      <c r="K109" s="18">
        <f>Spectroscopy!E109</f>
        <v>0.94089999999999996</v>
      </c>
      <c r="L109" s="18">
        <f t="shared" ref="L109:L119" si="158">(N109-K109)/(N$107-K$107)*(L$107-K$107)+K109</f>
        <v>0.94089999999999996</v>
      </c>
      <c r="M109" s="18">
        <f t="shared" ref="M109:M119" si="159">(N109-K109)/(N$107-K$107)*(M$107-K$107)+K109</f>
        <v>0.94089999999999996</v>
      </c>
      <c r="N109" s="18">
        <f>Spectroscopy!F109</f>
        <v>0.94089999999999996</v>
      </c>
      <c r="O109" s="18"/>
    </row>
    <row r="110" spans="1:15">
      <c r="A110" s="15" t="s">
        <v>28</v>
      </c>
      <c r="B110" s="18">
        <f>Spectroscopy!B110</f>
        <v>0.93099999999999994</v>
      </c>
      <c r="C110" s="18">
        <f t="shared" si="152"/>
        <v>0.93099999999999994</v>
      </c>
      <c r="D110" s="18">
        <f t="shared" si="153"/>
        <v>0.93099999999999994</v>
      </c>
      <c r="E110" s="18">
        <f>Spectroscopy!C110</f>
        <v>0.93099999999999994</v>
      </c>
      <c r="F110" s="18">
        <f t="shared" si="154"/>
        <v>0.93099999999999994</v>
      </c>
      <c r="G110" s="18">
        <f t="shared" si="155"/>
        <v>0.93099999999999994</v>
      </c>
      <c r="H110" s="18">
        <f>Spectroscopy!D110</f>
        <v>0.93099999999999994</v>
      </c>
      <c r="I110" s="18">
        <f t="shared" si="156"/>
        <v>0.93099999999999994</v>
      </c>
      <c r="J110" s="18">
        <f t="shared" si="157"/>
        <v>0.93099999999999994</v>
      </c>
      <c r="K110" s="18">
        <f>Spectroscopy!E110</f>
        <v>0.93099999999999994</v>
      </c>
      <c r="L110" s="18">
        <f t="shared" si="158"/>
        <v>0.93099999999999994</v>
      </c>
      <c r="M110" s="18">
        <f t="shared" si="159"/>
        <v>0.93099999999999994</v>
      </c>
      <c r="N110" s="18">
        <f>Spectroscopy!F110</f>
        <v>0.93099999999999994</v>
      </c>
      <c r="O110" s="18"/>
    </row>
    <row r="111" spans="1:15">
      <c r="A111" s="15" t="s">
        <v>37</v>
      </c>
      <c r="B111" s="18">
        <f>Spectroscopy!B111</f>
        <v>0.90439291139495326</v>
      </c>
      <c r="C111" s="18">
        <f t="shared" si="152"/>
        <v>0.90439291139495326</v>
      </c>
      <c r="D111" s="18">
        <f t="shared" si="153"/>
        <v>0.90439291139495326</v>
      </c>
      <c r="E111" s="18">
        <f>Spectroscopy!C111</f>
        <v>0.90439291139495326</v>
      </c>
      <c r="F111" s="18">
        <f t="shared" si="154"/>
        <v>0.90348488638351254</v>
      </c>
      <c r="G111" s="18">
        <f t="shared" si="155"/>
        <v>0.90257686137207183</v>
      </c>
      <c r="H111" s="18">
        <f>Spectroscopy!D111</f>
        <v>0.90166883636063111</v>
      </c>
      <c r="I111" s="18">
        <f t="shared" si="156"/>
        <v>0.90076081134919039</v>
      </c>
      <c r="J111" s="18">
        <f t="shared" si="157"/>
        <v>0.89985278633774968</v>
      </c>
      <c r="K111" s="18">
        <f>Spectroscopy!E111</f>
        <v>0.89894476132630896</v>
      </c>
      <c r="L111" s="18">
        <f t="shared" si="158"/>
        <v>0.89833941131868178</v>
      </c>
      <c r="M111" s="18">
        <f t="shared" si="159"/>
        <v>0.89773406131105471</v>
      </c>
      <c r="N111" s="18">
        <f>Spectroscopy!F111</f>
        <v>0.89712871130342753</v>
      </c>
      <c r="O111" s="18"/>
    </row>
    <row r="112" spans="1:15">
      <c r="A112" s="15" t="s">
        <v>25</v>
      </c>
      <c r="B112" s="18">
        <f>Spectroscopy!B112</f>
        <v>0.98499999999999999</v>
      </c>
      <c r="C112" s="18">
        <f t="shared" si="152"/>
        <v>0.98499999999999999</v>
      </c>
      <c r="D112" s="18">
        <f t="shared" si="153"/>
        <v>0.98499999999999999</v>
      </c>
      <c r="E112" s="18">
        <f>Spectroscopy!C112</f>
        <v>0.98499999999999999</v>
      </c>
      <c r="F112" s="18">
        <f t="shared" si="154"/>
        <v>0.98499999999999999</v>
      </c>
      <c r="G112" s="18">
        <f t="shared" si="155"/>
        <v>0.98499999999999999</v>
      </c>
      <c r="H112" s="18">
        <f>Spectroscopy!D112</f>
        <v>0.98499999999999999</v>
      </c>
      <c r="I112" s="18">
        <f t="shared" si="156"/>
        <v>0.98499999999999999</v>
      </c>
      <c r="J112" s="18">
        <f t="shared" si="157"/>
        <v>0.98499999999999999</v>
      </c>
      <c r="K112" s="18">
        <f>Spectroscopy!E112</f>
        <v>0.98499999999999999</v>
      </c>
      <c r="L112" s="18">
        <f t="shared" si="158"/>
        <v>0.98499999999999999</v>
      </c>
      <c r="M112" s="18">
        <f t="shared" si="159"/>
        <v>0.98499999999999999</v>
      </c>
      <c r="N112" s="18">
        <f>Spectroscopy!F112</f>
        <v>0.98499999999999999</v>
      </c>
      <c r="O112" s="18"/>
    </row>
    <row r="113" spans="1:15">
      <c r="A113" s="15" t="s">
        <v>29</v>
      </c>
      <c r="B113" s="18">
        <f>Spectroscopy!B113</f>
        <v>0.98</v>
      </c>
      <c r="C113" s="18">
        <f t="shared" si="152"/>
        <v>0.98</v>
      </c>
      <c r="D113" s="18">
        <f t="shared" si="153"/>
        <v>0.98</v>
      </c>
      <c r="E113" s="18">
        <f>Spectroscopy!C113</f>
        <v>0.98</v>
      </c>
      <c r="F113" s="18">
        <f>(H113-E113)/(H$107-E$107)*(F$107-E$107)+E113</f>
        <v>0.98</v>
      </c>
      <c r="G113" s="18">
        <f t="shared" si="155"/>
        <v>0.98</v>
      </c>
      <c r="H113" s="18">
        <f>Spectroscopy!D113</f>
        <v>0.98</v>
      </c>
      <c r="I113" s="18">
        <f t="shared" si="156"/>
        <v>0.98</v>
      </c>
      <c r="J113" s="18">
        <f t="shared" si="157"/>
        <v>0.98</v>
      </c>
      <c r="K113" s="18">
        <f>Spectroscopy!E113</f>
        <v>0.98</v>
      </c>
      <c r="L113" s="18">
        <f t="shared" si="158"/>
        <v>0.98</v>
      </c>
      <c r="M113" s="18">
        <f t="shared" si="159"/>
        <v>0.98</v>
      </c>
      <c r="N113" s="18">
        <f>Spectroscopy!F113</f>
        <v>0.98</v>
      </c>
      <c r="O113" s="18"/>
    </row>
    <row r="114" spans="1:15">
      <c r="A114" s="15" t="s">
        <v>21</v>
      </c>
      <c r="B114" s="18">
        <f>Spectroscopy!B114</f>
        <v>0.92149999999999999</v>
      </c>
      <c r="C114" s="18">
        <f>(E114-B114)/(E$107-B$107)*(C$107-B$107)+B114</f>
        <v>0.92149999999999999</v>
      </c>
      <c r="D114" s="18">
        <f t="shared" si="153"/>
        <v>0.92149999999999999</v>
      </c>
      <c r="E114" s="18">
        <f>Spectroscopy!C114</f>
        <v>0.92149999999999999</v>
      </c>
      <c r="F114" s="18">
        <f t="shared" si="154"/>
        <v>0.92149999999999999</v>
      </c>
      <c r="G114" s="18">
        <f t="shared" si="155"/>
        <v>0.92149999999999999</v>
      </c>
      <c r="H114" s="18">
        <f>Spectroscopy!D114</f>
        <v>0.92149999999999999</v>
      </c>
      <c r="I114" s="18">
        <f t="shared" si="156"/>
        <v>0.92149999999999999</v>
      </c>
      <c r="J114" s="18">
        <f t="shared" si="157"/>
        <v>0.92149999999999999</v>
      </c>
      <c r="K114" s="18">
        <f>Spectroscopy!E114</f>
        <v>0.92149999999999999</v>
      </c>
      <c r="L114" s="18">
        <f t="shared" si="158"/>
        <v>0.92149999999999999</v>
      </c>
      <c r="M114" s="18">
        <f t="shared" si="159"/>
        <v>0.92149999999999999</v>
      </c>
      <c r="N114" s="18">
        <f>Spectroscopy!F114</f>
        <v>0.92149999999999999</v>
      </c>
      <c r="O114" s="18"/>
    </row>
    <row r="115" spans="1:15">
      <c r="A115" s="15" t="s">
        <v>69</v>
      </c>
      <c r="B115" s="18">
        <f>Spectroscopy!B115</f>
        <v>0.99</v>
      </c>
      <c r="C115" s="18">
        <f t="shared" si="152"/>
        <v>0.99</v>
      </c>
      <c r="D115" s="18">
        <f t="shared" si="153"/>
        <v>0.99</v>
      </c>
      <c r="E115" s="18">
        <f>Spectroscopy!C115</f>
        <v>0.99</v>
      </c>
      <c r="F115" s="18">
        <f t="shared" si="154"/>
        <v>0.99</v>
      </c>
      <c r="G115" s="18">
        <f t="shared" si="155"/>
        <v>0.99</v>
      </c>
      <c r="H115" s="18">
        <f>Spectroscopy!D115</f>
        <v>0.99</v>
      </c>
      <c r="I115" s="18">
        <f t="shared" si="156"/>
        <v>0.99</v>
      </c>
      <c r="J115" s="18">
        <f t="shared" si="157"/>
        <v>0.99</v>
      </c>
      <c r="K115" s="18">
        <f>Spectroscopy!E115</f>
        <v>0.99</v>
      </c>
      <c r="L115" s="18">
        <f t="shared" si="158"/>
        <v>0.99</v>
      </c>
      <c r="M115" s="18">
        <f t="shared" si="159"/>
        <v>0.99</v>
      </c>
      <c r="N115" s="18">
        <f>Spectroscopy!F115</f>
        <v>0.99</v>
      </c>
      <c r="O115" s="18"/>
    </row>
    <row r="116" spans="1:15">
      <c r="A116" s="15" t="s">
        <v>70</v>
      </c>
      <c r="B116" s="18">
        <f>Spectroscopy!B116</f>
        <v>0.99</v>
      </c>
      <c r="C116" s="18">
        <f t="shared" si="152"/>
        <v>0.99</v>
      </c>
      <c r="D116" s="18">
        <f t="shared" si="153"/>
        <v>0.99</v>
      </c>
      <c r="E116" s="18">
        <f>Spectroscopy!C116</f>
        <v>0.99</v>
      </c>
      <c r="F116" s="18">
        <f t="shared" si="154"/>
        <v>0.99</v>
      </c>
      <c r="G116" s="18">
        <f t="shared" si="155"/>
        <v>0.99</v>
      </c>
      <c r="H116" s="18">
        <f>Spectroscopy!D116</f>
        <v>0.99</v>
      </c>
      <c r="I116" s="18">
        <f t="shared" si="156"/>
        <v>0.99</v>
      </c>
      <c r="J116" s="18">
        <f t="shared" si="157"/>
        <v>0.99</v>
      </c>
      <c r="K116" s="18">
        <f>Spectroscopy!E116</f>
        <v>0.99</v>
      </c>
      <c r="L116" s="18">
        <f t="shared" si="158"/>
        <v>0.99</v>
      </c>
      <c r="M116" s="18">
        <f t="shared" si="159"/>
        <v>0.99</v>
      </c>
      <c r="N116" s="18">
        <f>Spectroscopy!F116</f>
        <v>0.99</v>
      </c>
      <c r="O116" s="18"/>
    </row>
    <row r="117" spans="1:15">
      <c r="A117" s="15" t="s">
        <v>14</v>
      </c>
      <c r="B117" s="18">
        <f>Spectroscopy!B117</f>
        <v>0.62575145283419986</v>
      </c>
      <c r="C117" s="18">
        <f t="shared" ref="C117" si="160">(E117-B117)/(E$107-B$107)*(C$107-B$107)+B117</f>
        <v>0.69675870989340016</v>
      </c>
      <c r="D117" s="18">
        <f t="shared" ref="D117" si="161">(E117-B117)/(E$107-B$107)*(D$107-B$107)+B117</f>
        <v>0.76776596695259958</v>
      </c>
      <c r="E117" s="18">
        <f>Spectroscopy!C117</f>
        <v>0.83877322401179988</v>
      </c>
      <c r="F117" s="18">
        <f t="shared" ref="F117" si="162">(H117-E117)/(H$107-E$107)*(F$107-E$107)+E117</f>
        <v>0.83840339454794988</v>
      </c>
      <c r="G117" s="18">
        <f t="shared" ref="G117" si="163">(H117-E117)/(H$107-E$107)*(G$107-E$107)+E117</f>
        <v>0.83803356508409976</v>
      </c>
      <c r="H117" s="18">
        <f>Spectroscopy!D117</f>
        <v>0.83766373562024976</v>
      </c>
      <c r="I117" s="18">
        <f t="shared" ref="I117" si="164">(K117-H117)/(K$107-H$107)*(I$107-H$107)+H117</f>
        <v>0.78144965711504955</v>
      </c>
      <c r="J117" s="18">
        <f t="shared" ref="J117" si="165">(K117-H117)/(K$107-H$107)*(J$107-H$107)+H117</f>
        <v>0.72523557860985011</v>
      </c>
      <c r="K117" s="18">
        <f>Spectroscopy!E117</f>
        <v>0.66902150010464989</v>
      </c>
      <c r="L117" s="18">
        <f t="shared" ref="L117" si="166">(N117-K117)/(N$107-K$107)*(L$107-K$107)+K117</f>
        <v>0.61238475935504966</v>
      </c>
      <c r="M117" s="18">
        <f t="shared" ref="M117" si="167">(N117-K117)/(N$107-K$107)*(M$107-K$107)+K117</f>
        <v>0.5557480186054502</v>
      </c>
      <c r="N117" s="18">
        <f>Spectroscopy!F117</f>
        <v>0.49911127785584991</v>
      </c>
      <c r="O117" s="18"/>
    </row>
    <row r="118" spans="1:15">
      <c r="A118" s="15" t="s">
        <v>18</v>
      </c>
      <c r="B118" s="18">
        <f>Spectroscopy!B118</f>
        <v>0.91700000000000004</v>
      </c>
      <c r="C118" s="18">
        <f t="shared" si="152"/>
        <v>0.91700000000000004</v>
      </c>
      <c r="D118" s="18">
        <f t="shared" si="153"/>
        <v>0.91700000000000004</v>
      </c>
      <c r="E118" s="18">
        <f>Spectroscopy!C118</f>
        <v>0.91700000000000004</v>
      </c>
      <c r="F118" s="18">
        <f t="shared" si="154"/>
        <v>0.91666666666666674</v>
      </c>
      <c r="G118" s="18">
        <f t="shared" si="155"/>
        <v>0.91633333333333333</v>
      </c>
      <c r="H118" s="18">
        <f>Spectroscopy!D118</f>
        <v>0.91600000000000004</v>
      </c>
      <c r="I118" s="18">
        <f t="shared" si="156"/>
        <v>0.91600000000000004</v>
      </c>
      <c r="J118" s="18">
        <f t="shared" si="157"/>
        <v>0.91600000000000004</v>
      </c>
      <c r="K118" s="18">
        <f>Spectroscopy!E118</f>
        <v>0.91600000000000004</v>
      </c>
      <c r="L118" s="18">
        <f t="shared" si="158"/>
        <v>0.91566666666666674</v>
      </c>
      <c r="M118" s="18">
        <f t="shared" si="159"/>
        <v>0.91533333333333333</v>
      </c>
      <c r="N118" s="18">
        <f>Spectroscopy!F118</f>
        <v>0.91500000000000004</v>
      </c>
      <c r="O118" s="18"/>
    </row>
    <row r="119" spans="1:15">
      <c r="A119" s="15" t="s">
        <v>32</v>
      </c>
      <c r="B119" s="18">
        <f>Spectroscopy!B119</f>
        <v>0.8</v>
      </c>
      <c r="C119" s="18">
        <f t="shared" ref="C119" si="168">(E119-B119)/(E$107-B$107)*(C$107-B$107)+B119</f>
        <v>0.8</v>
      </c>
      <c r="D119" s="18">
        <f t="shared" ref="D119" si="169">(E119-B119)/(E$107-B$107)*(D$107-B$107)+B119</f>
        <v>0.8</v>
      </c>
      <c r="E119" s="18">
        <f>Spectroscopy!C119</f>
        <v>0.8</v>
      </c>
      <c r="F119" s="18">
        <f t="shared" si="154"/>
        <v>0.8</v>
      </c>
      <c r="G119" s="18">
        <f t="shared" si="155"/>
        <v>0.8</v>
      </c>
      <c r="H119" s="18">
        <f>Spectroscopy!D119</f>
        <v>0.8</v>
      </c>
      <c r="I119" s="18">
        <f t="shared" si="156"/>
        <v>0.8</v>
      </c>
      <c r="J119" s="18">
        <f t="shared" si="157"/>
        <v>0.8</v>
      </c>
      <c r="K119" s="18">
        <f>Spectroscopy!E119</f>
        <v>0.8</v>
      </c>
      <c r="L119" s="18">
        <f t="shared" si="158"/>
        <v>0.8</v>
      </c>
      <c r="M119" s="18">
        <f t="shared" si="159"/>
        <v>0.8</v>
      </c>
      <c r="N119" s="18">
        <f>Spectroscopy!F119</f>
        <v>0.8</v>
      </c>
      <c r="O119" s="18"/>
    </row>
    <row r="120" spans="1:15">
      <c r="A120" s="10" t="s">
        <v>40</v>
      </c>
      <c r="B120" s="29">
        <f t="shared" ref="B120:N120" si="170">B108*B109*B110*B111*B112*B113*B114*B115*B116*B117*B118*B119</f>
        <v>0.27296873674950362</v>
      </c>
      <c r="C120" s="29">
        <f t="shared" si="170"/>
        <v>0.30394538660457093</v>
      </c>
      <c r="D120" s="29">
        <f t="shared" si="170"/>
        <v>0.33492233690370526</v>
      </c>
      <c r="E120" s="29">
        <f t="shared" si="170"/>
        <v>0.36589958764690722</v>
      </c>
      <c r="F120" s="29">
        <f t="shared" ref="F120:G120" si="171">F108*F109*F110*F111*F112*F113*F114*F115*F116*F117*F118*F119</f>
        <v>0.36511788443774479</v>
      </c>
      <c r="G120" s="29">
        <f t="shared" si="171"/>
        <v>0.36433732458570983</v>
      </c>
      <c r="H120" s="29">
        <f>H108*H109*H110*H111*H112*H113*H114*H115*H116*H117*H118*H119</f>
        <v>0.36355790703800916</v>
      </c>
      <c r="I120" s="29">
        <f t="shared" ref="I120:J120" si="172">I108*I109*I110*I111*I112*I113*I114*I115*I116*I117*I118*I119</f>
        <v>0.33870689525360659</v>
      </c>
      <c r="J120" s="29">
        <f t="shared" si="172"/>
        <v>0.31392131039634558</v>
      </c>
      <c r="K120" s="29">
        <f t="shared" si="170"/>
        <v>0.28920110384192405</v>
      </c>
      <c r="L120" s="29">
        <f t="shared" ref="L120:M120" si="173">L108*L109*L110*L111*L112*L113*L114*L115*L116*L117*L118*L119</f>
        <v>0.26435653711679313</v>
      </c>
      <c r="M120" s="29">
        <f t="shared" si="173"/>
        <v>0.23957920000186431</v>
      </c>
      <c r="N120" s="29">
        <f t="shared" si="170"/>
        <v>0.21486900606703366</v>
      </c>
      <c r="O120" s="29">
        <f>AVERAGE(B120:N120)</f>
        <v>0.31010640128028599</v>
      </c>
    </row>
    <row r="121" spans="1:15">
      <c r="A121" s="15" t="s">
        <v>126</v>
      </c>
      <c r="B121" s="36">
        <v>0.94165698200000003</v>
      </c>
      <c r="C121" s="18">
        <f t="shared" ref="C121" si="174">(E121-B121)/(E$107-B$107)*(C$107-B$107)+B121</f>
        <v>0.94213734266666671</v>
      </c>
      <c r="D121" s="18">
        <f t="shared" ref="D121" si="175">(E121-B121)/(E$107-B$107)*(D$107-B$107)+B121</f>
        <v>0.94261770333333328</v>
      </c>
      <c r="E121" s="36">
        <v>0.94309806399999996</v>
      </c>
      <c r="F121" s="18">
        <f t="shared" ref="F121" si="176">(H121-E121)/(H$107-E$107)*(F$107-E$107)+E121</f>
        <v>0.94390215733333327</v>
      </c>
      <c r="G121" s="18">
        <f t="shared" ref="G121" si="177">(H121-E121)/(H$107-E$107)*(G$107-E$107)+E121</f>
        <v>0.94470625066666658</v>
      </c>
      <c r="H121" s="36">
        <v>0.94551034399999989</v>
      </c>
      <c r="I121" s="18">
        <f t="shared" ref="I121" si="178">(K121-H121)/(K$107-H$107)*(I$107-H$107)+H121</f>
        <v>0.9463144373333332</v>
      </c>
      <c r="J121" s="18">
        <f t="shared" ref="J121" si="179">(K121-H121)/(K$107-H$107)*(J$107-H$107)+H121</f>
        <v>0.94711853066666662</v>
      </c>
      <c r="K121" s="36">
        <v>0.94792262399999994</v>
      </c>
      <c r="L121" s="18">
        <f t="shared" ref="L121" si="180">(N121-K121)/(N$107-K$107)*(L$107-K$107)+K121</f>
        <v>0.94743964466666664</v>
      </c>
      <c r="M121" s="18">
        <f t="shared" ref="M121" si="181">(N121-K121)/(N$107-K$107)*(M$107-K$107)+K121</f>
        <v>0.94695666533333323</v>
      </c>
      <c r="N121" s="36">
        <v>0.94647368599999993</v>
      </c>
      <c r="O121" s="36"/>
    </row>
    <row r="122" spans="1:15">
      <c r="A122" s="10" t="s">
        <v>125</v>
      </c>
      <c r="B122" s="29">
        <f t="shared" ref="B122:N122" si="182">B120*B121</f>
        <v>0.2570429168278901</v>
      </c>
      <c r="C122" s="29">
        <f t="shared" si="182"/>
        <v>0.28635829885142311</v>
      </c>
      <c r="D122" s="29">
        <f t="shared" si="182"/>
        <v>0.31570372400720353</v>
      </c>
      <c r="E122" s="29">
        <f t="shared" si="182"/>
        <v>0.34507919272819648</v>
      </c>
      <c r="F122" s="29">
        <f t="shared" ref="F122:G122" si="183">F120*F121</f>
        <v>0.34463555880176999</v>
      </c>
      <c r="G122" s="29">
        <f t="shared" si="183"/>
        <v>0.34419174788729023</v>
      </c>
      <c r="H122" s="29">
        <f t="shared" si="182"/>
        <v>0.34374776174742805</v>
      </c>
      <c r="I122" s="29">
        <f t="shared" ref="I122:J122" si="184">I120*I121</f>
        <v>0.32052322500283692</v>
      </c>
      <c r="J122" s="29">
        <f t="shared" si="184"/>
        <v>0.29732069024754137</v>
      </c>
      <c r="K122" s="29">
        <f t="shared" si="182"/>
        <v>0.27414026921753309</v>
      </c>
      <c r="L122" s="29">
        <f t="shared" ref="L122:M122" si="185">L120*L121</f>
        <v>0.25046186359124495</v>
      </c>
      <c r="M122" s="29">
        <f t="shared" si="185"/>
        <v>0.22687112031699314</v>
      </c>
      <c r="N122" s="29">
        <f t="shared" si="182"/>
        <v>0.20336786017942168</v>
      </c>
      <c r="O122" s="29">
        <f>AVERAGE(B122:N122)</f>
        <v>0.29303417149282868</v>
      </c>
    </row>
    <row r="123" spans="1:15"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17"/>
    </row>
    <row r="124" spans="1:15">
      <c r="A124" s="23" t="s">
        <v>3</v>
      </c>
    </row>
    <row r="125" spans="1:15">
      <c r="A125" s="10" t="s">
        <v>6</v>
      </c>
      <c r="B125" s="30">
        <v>1500</v>
      </c>
      <c r="C125" s="62">
        <f>(E125-B125)/3+B125</f>
        <v>1516.6666666666667</v>
      </c>
      <c r="D125" s="62">
        <f>(E125-B125)/3*2+B125</f>
        <v>1533.3333333333333</v>
      </c>
      <c r="E125" s="30">
        <v>1550</v>
      </c>
      <c r="F125" s="62">
        <f>(H125-E125)/3+E125</f>
        <v>1576.6666666666667</v>
      </c>
      <c r="G125" s="62">
        <f>(H125-E125)/3*2+E125</f>
        <v>1603.3333333333333</v>
      </c>
      <c r="H125" s="30">
        <v>1630</v>
      </c>
      <c r="I125" s="62">
        <f>(K125-H125)/3+H125</f>
        <v>1653.3333333333333</v>
      </c>
      <c r="J125" s="62">
        <f>(K125-H125)/3*2+H125</f>
        <v>1676.6666666666667</v>
      </c>
      <c r="K125" s="30">
        <v>1700</v>
      </c>
      <c r="L125" s="62">
        <f>(N125-K125)/3+K125</f>
        <v>1720</v>
      </c>
      <c r="M125" s="62">
        <f>(N125-K125)/3*2+K125</f>
        <v>1740</v>
      </c>
      <c r="N125" s="30">
        <v>1760</v>
      </c>
      <c r="O125" s="30"/>
    </row>
    <row r="126" spans="1:15">
      <c r="A126" s="15" t="s">
        <v>5</v>
      </c>
      <c r="B126" s="18">
        <f>Spectroscopy!B126</f>
        <v>0.85584328788353414</v>
      </c>
      <c r="C126" s="18">
        <f>(E126-B126)/(E$125-B$125)*(C$125-B$125)+B126</f>
        <v>0.85555961774032463</v>
      </c>
      <c r="D126" s="18">
        <f>(E126-B126)/(E$125-B$125)*(D$125-B$125)+B126</f>
        <v>0.85527594759711512</v>
      </c>
      <c r="E126" s="18">
        <f>Spectroscopy!C126</f>
        <v>0.8549922774539056</v>
      </c>
      <c r="F126" s="18">
        <f>(H126-E126)/(H$125-E$125)*(F$125-E$125)+E126</f>
        <v>0.85419610738559271</v>
      </c>
      <c r="G126" s="18">
        <f>(H126-E126)/(H$125-E$125)*(G$125-E$125)+E126</f>
        <v>0.8533999373172797</v>
      </c>
      <c r="H126" s="18">
        <f>Spectroscopy!D126</f>
        <v>0.8526037672489668</v>
      </c>
      <c r="I126" s="18">
        <f>(K126-H126)/(K$125-H$125)*(I$125-H$125)+H126</f>
        <v>0.85140793409039228</v>
      </c>
      <c r="J126" s="18">
        <f>(K126-H126)/(K$125-H$125)*(J$125-H$125)+H126</f>
        <v>0.85021210093181776</v>
      </c>
      <c r="K126" s="18">
        <f>Spectroscopy!E126</f>
        <v>0.84901626777324324</v>
      </c>
      <c r="L126" s="18">
        <f>(N126-K126)/(N$125-K$125)*(L$125-K$125)+K126</f>
        <v>0.84799516967635546</v>
      </c>
      <c r="M126" s="18">
        <f>(N126-K126)/(N$125-K$125)*(M$125-K$125)+K126</f>
        <v>0.84697407157946769</v>
      </c>
      <c r="N126" s="18">
        <f>Spectroscopy!F126</f>
        <v>0.84595297348257992</v>
      </c>
      <c r="O126" s="18"/>
    </row>
    <row r="127" spans="1:15">
      <c r="A127" s="15" t="s">
        <v>7</v>
      </c>
      <c r="B127" s="18">
        <f>Spectroscopy!B127</f>
        <v>0.94089999999999996</v>
      </c>
      <c r="C127" s="18">
        <f t="shared" ref="C127:C137" si="186">(E127-B127)/(E$125-B$125)*(C$125-B$125)+B127</f>
        <v>0.94089999999999996</v>
      </c>
      <c r="D127" s="18">
        <f t="shared" ref="D127:D137" si="187">(E127-B127)/(E$125-B$125)*(D$125-B$125)+B127</f>
        <v>0.94089999999999996</v>
      </c>
      <c r="E127" s="18">
        <f>Spectroscopy!C127</f>
        <v>0.94089999999999996</v>
      </c>
      <c r="F127" s="18">
        <f t="shared" ref="F127:F138" si="188">(H127-E127)/(H$125-E$125)*(F$125-E$125)+E127</f>
        <v>0.94089999999999996</v>
      </c>
      <c r="G127" s="18">
        <f t="shared" ref="G127:G138" si="189">(H127-E127)/(H$125-E$125)*(G$125-E$125)+E127</f>
        <v>0.94089999999999996</v>
      </c>
      <c r="H127" s="18">
        <f>Spectroscopy!D127</f>
        <v>0.94089999999999996</v>
      </c>
      <c r="I127" s="18">
        <f t="shared" ref="I127:I138" si="190">(K127-H127)/(K$125-H$125)*(I$125-H$125)+H127</f>
        <v>0.94089999999999996</v>
      </c>
      <c r="J127" s="18">
        <f t="shared" ref="J127:J138" si="191">(K127-H127)/(K$125-H$125)*(J$125-H$125)+H127</f>
        <v>0.94089999999999996</v>
      </c>
      <c r="K127" s="18">
        <f>Spectroscopy!E127</f>
        <v>0.94089999999999996</v>
      </c>
      <c r="L127" s="18">
        <f t="shared" ref="L127:L138" si="192">(N127-K127)/(N$125-K$125)*(L$125-K$125)+K127</f>
        <v>0.94089999999999996</v>
      </c>
      <c r="M127" s="18">
        <f t="shared" ref="M127:M138" si="193">(N127-K127)/(N$125-K$125)*(M$125-K$125)+K127</f>
        <v>0.94089999999999996</v>
      </c>
      <c r="N127" s="18">
        <f>Spectroscopy!F127</f>
        <v>0.94089999999999996</v>
      </c>
      <c r="O127" s="18"/>
    </row>
    <row r="128" spans="1:15">
      <c r="A128" s="15" t="s">
        <v>28</v>
      </c>
      <c r="B128" s="18">
        <f>Spectroscopy!B128</f>
        <v>0.93099999999999994</v>
      </c>
      <c r="C128" s="18">
        <f t="shared" si="186"/>
        <v>0.93099999999999994</v>
      </c>
      <c r="D128" s="18">
        <f t="shared" si="187"/>
        <v>0.93099999999999994</v>
      </c>
      <c r="E128" s="18">
        <f>Spectroscopy!C128</f>
        <v>0.93099999999999994</v>
      </c>
      <c r="F128" s="18">
        <f t="shared" si="188"/>
        <v>0.93099999999999994</v>
      </c>
      <c r="G128" s="18">
        <f t="shared" si="189"/>
        <v>0.93099999999999994</v>
      </c>
      <c r="H128" s="18">
        <f>Spectroscopy!D128</f>
        <v>0.93099999999999994</v>
      </c>
      <c r="I128" s="18">
        <f t="shared" si="190"/>
        <v>0.93099999999999994</v>
      </c>
      <c r="J128" s="18">
        <f t="shared" si="191"/>
        <v>0.93099999999999994</v>
      </c>
      <c r="K128" s="18">
        <f>Spectroscopy!E128</f>
        <v>0.93099999999999994</v>
      </c>
      <c r="L128" s="18">
        <f t="shared" si="192"/>
        <v>0.93099999999999994</v>
      </c>
      <c r="M128" s="18">
        <f t="shared" si="193"/>
        <v>0.93099999999999994</v>
      </c>
      <c r="N128" s="18">
        <f>Spectroscopy!F128</f>
        <v>0.93099999999999994</v>
      </c>
      <c r="O128" s="18"/>
    </row>
    <row r="129" spans="1:15">
      <c r="A129" s="15" t="s">
        <v>41</v>
      </c>
      <c r="B129" s="18">
        <f>Spectroscopy!B129</f>
        <v>0.89258858624622395</v>
      </c>
      <c r="C129" s="18">
        <f t="shared" si="186"/>
        <v>0.89168056123478323</v>
      </c>
      <c r="D129" s="18">
        <f t="shared" si="187"/>
        <v>0.89077253622334251</v>
      </c>
      <c r="E129" s="18">
        <f>Spectroscopy!C129</f>
        <v>0.8898645112119018</v>
      </c>
      <c r="F129" s="18">
        <f t="shared" si="188"/>
        <v>0.88865381119664755</v>
      </c>
      <c r="G129" s="18">
        <f t="shared" si="189"/>
        <v>0.88744311118139318</v>
      </c>
      <c r="H129" s="18">
        <f>Spectroscopy!D129</f>
        <v>0.88623241116613893</v>
      </c>
      <c r="I129" s="18">
        <f t="shared" si="190"/>
        <v>0.8844163611432575</v>
      </c>
      <c r="J129" s="18">
        <f t="shared" si="191"/>
        <v>0.88260031112037607</v>
      </c>
      <c r="K129" s="18">
        <f>Spectroscopy!E129</f>
        <v>0.88078426109749464</v>
      </c>
      <c r="L129" s="18">
        <f t="shared" si="192"/>
        <v>0.8789682110746132</v>
      </c>
      <c r="M129" s="18">
        <f t="shared" si="193"/>
        <v>0.87715216105173177</v>
      </c>
      <c r="N129" s="18">
        <f>Spectroscopy!F129</f>
        <v>0.87533611102885034</v>
      </c>
      <c r="O129" s="18"/>
    </row>
    <row r="130" spans="1:15">
      <c r="A130" s="15" t="s">
        <v>26</v>
      </c>
      <c r="B130" s="18">
        <f>Spectroscopy!B130</f>
        <v>0.92149999999999999</v>
      </c>
      <c r="C130" s="18">
        <f t="shared" si="186"/>
        <v>0.92149999999999999</v>
      </c>
      <c r="D130" s="18">
        <f t="shared" si="187"/>
        <v>0.92149999999999999</v>
      </c>
      <c r="E130" s="18">
        <f>Spectroscopy!C130</f>
        <v>0.92149999999999999</v>
      </c>
      <c r="F130" s="18">
        <f t="shared" si="188"/>
        <v>0.92149999999999999</v>
      </c>
      <c r="G130" s="18">
        <f t="shared" si="189"/>
        <v>0.92149999999999999</v>
      </c>
      <c r="H130" s="18">
        <f>Spectroscopy!D130</f>
        <v>0.92149999999999999</v>
      </c>
      <c r="I130" s="18">
        <f t="shared" si="190"/>
        <v>0.92149999999999999</v>
      </c>
      <c r="J130" s="18">
        <f t="shared" si="191"/>
        <v>0.92149999999999999</v>
      </c>
      <c r="K130" s="18">
        <f>Spectroscopy!E130</f>
        <v>0.92149999999999999</v>
      </c>
      <c r="L130" s="18">
        <f t="shared" si="192"/>
        <v>0.92149999999999999</v>
      </c>
      <c r="M130" s="18">
        <f t="shared" si="193"/>
        <v>0.92149999999999999</v>
      </c>
      <c r="N130" s="18">
        <f>Spectroscopy!F130</f>
        <v>0.92149999999999999</v>
      </c>
      <c r="O130" s="18"/>
    </row>
    <row r="131" spans="1:15">
      <c r="A131" s="15" t="s">
        <v>42</v>
      </c>
      <c r="B131" s="18">
        <f>Spectroscopy!B131</f>
        <v>0.98499999999999999</v>
      </c>
      <c r="C131" s="18">
        <f t="shared" si="186"/>
        <v>0.98499999999999999</v>
      </c>
      <c r="D131" s="18">
        <f t="shared" si="187"/>
        <v>0.98499999999999999</v>
      </c>
      <c r="E131" s="18">
        <f>Spectroscopy!C131</f>
        <v>0.98499999999999999</v>
      </c>
      <c r="F131" s="18">
        <f t="shared" si="188"/>
        <v>0.98499999999999999</v>
      </c>
      <c r="G131" s="18">
        <f t="shared" si="189"/>
        <v>0.98499999999999999</v>
      </c>
      <c r="H131" s="18">
        <f>Spectroscopy!D131</f>
        <v>0.98499999999999999</v>
      </c>
      <c r="I131" s="18">
        <f t="shared" si="190"/>
        <v>0.98499999999999999</v>
      </c>
      <c r="J131" s="18">
        <f t="shared" si="191"/>
        <v>0.98499999999999999</v>
      </c>
      <c r="K131" s="18">
        <f>Spectroscopy!E131</f>
        <v>0.98499999999999999</v>
      </c>
      <c r="L131" s="18">
        <f t="shared" si="192"/>
        <v>0.98499999999999999</v>
      </c>
      <c r="M131" s="18">
        <f t="shared" si="193"/>
        <v>0.98499999999999999</v>
      </c>
      <c r="N131" s="18">
        <f>Spectroscopy!F131</f>
        <v>0.98499999999999999</v>
      </c>
      <c r="O131" s="18"/>
    </row>
    <row r="132" spans="1:15">
      <c r="A132" s="15" t="s">
        <v>43</v>
      </c>
      <c r="B132" s="18">
        <f>Spectroscopy!B132</f>
        <v>0.98499999999999999</v>
      </c>
      <c r="C132" s="18">
        <f t="shared" si="186"/>
        <v>0.98499999999999999</v>
      </c>
      <c r="D132" s="18">
        <f t="shared" si="187"/>
        <v>0.98499999999999999</v>
      </c>
      <c r="E132" s="18">
        <f>Spectroscopy!C132</f>
        <v>0.98499999999999999</v>
      </c>
      <c r="F132" s="18">
        <f t="shared" si="188"/>
        <v>0.98499999999999999</v>
      </c>
      <c r="G132" s="18">
        <f t="shared" si="189"/>
        <v>0.98499999999999999</v>
      </c>
      <c r="H132" s="18">
        <f>Spectroscopy!D132</f>
        <v>0.98499999999999999</v>
      </c>
      <c r="I132" s="18">
        <f t="shared" si="190"/>
        <v>0.98499999999999999</v>
      </c>
      <c r="J132" s="18">
        <f t="shared" si="191"/>
        <v>0.98499999999999999</v>
      </c>
      <c r="K132" s="18">
        <f>Spectroscopy!E132</f>
        <v>0.98499999999999999</v>
      </c>
      <c r="L132" s="18">
        <f t="shared" si="192"/>
        <v>0.98499999999999999</v>
      </c>
      <c r="M132" s="18">
        <f t="shared" si="193"/>
        <v>0.98499999999999999</v>
      </c>
      <c r="N132" s="18">
        <f>Spectroscopy!F132</f>
        <v>0.98499999999999999</v>
      </c>
      <c r="O132" s="18"/>
    </row>
    <row r="133" spans="1:15">
      <c r="A133" s="15" t="s">
        <v>24</v>
      </c>
      <c r="B133" s="18">
        <f>Spectroscopy!B133</f>
        <v>0.98499999999999999</v>
      </c>
      <c r="C133" s="18">
        <f t="shared" si="186"/>
        <v>0.98499999999999999</v>
      </c>
      <c r="D133" s="18">
        <f t="shared" si="187"/>
        <v>0.98499999999999999</v>
      </c>
      <c r="E133" s="18">
        <f>Spectroscopy!C133</f>
        <v>0.98499999999999999</v>
      </c>
      <c r="F133" s="18">
        <f t="shared" si="188"/>
        <v>0.98499999999999999</v>
      </c>
      <c r="G133" s="18">
        <f t="shared" si="189"/>
        <v>0.98499999999999999</v>
      </c>
      <c r="H133" s="18">
        <f>Spectroscopy!D133</f>
        <v>0.98499999999999999</v>
      </c>
      <c r="I133" s="18">
        <f t="shared" si="190"/>
        <v>0.98499999999999999</v>
      </c>
      <c r="J133" s="18">
        <f t="shared" si="191"/>
        <v>0.98499999999999999</v>
      </c>
      <c r="K133" s="18">
        <f>Spectroscopy!E133</f>
        <v>0.98499999999999999</v>
      </c>
      <c r="L133" s="18">
        <f t="shared" si="192"/>
        <v>0.98499999999999999</v>
      </c>
      <c r="M133" s="18">
        <f t="shared" si="193"/>
        <v>0.98499999999999999</v>
      </c>
      <c r="N133" s="18">
        <f>Spectroscopy!F133</f>
        <v>0.98499999999999999</v>
      </c>
      <c r="O133" s="18"/>
    </row>
    <row r="134" spans="1:15">
      <c r="A134" s="15" t="s">
        <v>31</v>
      </c>
      <c r="B134" s="18">
        <f>Spectroscopy!B134</f>
        <v>0.99</v>
      </c>
      <c r="C134" s="18">
        <f t="shared" si="186"/>
        <v>0.99</v>
      </c>
      <c r="D134" s="18">
        <f t="shared" si="187"/>
        <v>0.99</v>
      </c>
      <c r="E134" s="18">
        <f>Spectroscopy!C134</f>
        <v>0.99</v>
      </c>
      <c r="F134" s="18">
        <f t="shared" si="188"/>
        <v>0.99</v>
      </c>
      <c r="G134" s="18">
        <f t="shared" si="189"/>
        <v>0.99</v>
      </c>
      <c r="H134" s="18">
        <f>Spectroscopy!D134</f>
        <v>0.99</v>
      </c>
      <c r="I134" s="18">
        <f t="shared" si="190"/>
        <v>0.99</v>
      </c>
      <c r="J134" s="18">
        <f t="shared" si="191"/>
        <v>0.99</v>
      </c>
      <c r="K134" s="18">
        <f>Spectroscopy!E134</f>
        <v>0.99</v>
      </c>
      <c r="L134" s="18">
        <f t="shared" si="192"/>
        <v>0.99</v>
      </c>
      <c r="M134" s="18">
        <f t="shared" si="193"/>
        <v>0.99</v>
      </c>
      <c r="N134" s="18">
        <f>Spectroscopy!F134</f>
        <v>0.99</v>
      </c>
      <c r="O134" s="18"/>
    </row>
    <row r="135" spans="1:15">
      <c r="A135" s="15" t="s">
        <v>260</v>
      </c>
      <c r="B135" s="18">
        <f>Spectroscopy!B135</f>
        <v>0.99199999999999999</v>
      </c>
      <c r="C135" s="18">
        <f t="shared" ref="C135" si="194">(E135-B135)/(E$125-B$125)*(C$125-B$125)+B135</f>
        <v>0.99233333333333329</v>
      </c>
      <c r="D135" s="18">
        <f t="shared" ref="D135" si="195">(E135-B135)/(E$125-B$125)*(D$125-B$125)+B135</f>
        <v>0.9926666666666667</v>
      </c>
      <c r="E135" s="18">
        <f>Spectroscopy!C135</f>
        <v>0.99299999999999999</v>
      </c>
      <c r="F135" s="18">
        <f t="shared" ref="F135" si="196">(H135-E135)/(H$125-E$125)*(F$125-E$125)+E135</f>
        <v>0.995</v>
      </c>
      <c r="G135" s="18">
        <f t="shared" ref="G135" si="197">(H135-E135)/(H$125-E$125)*(G$125-E$125)+E135</f>
        <v>0.997</v>
      </c>
      <c r="H135" s="18">
        <f>Spectroscopy!D135</f>
        <v>0.999</v>
      </c>
      <c r="I135" s="18">
        <f t="shared" ref="I135" si="198">(K135-H135)/(K$125-H$125)*(I$125-H$125)+H135</f>
        <v>0.998</v>
      </c>
      <c r="J135" s="18">
        <f t="shared" ref="J135" si="199">(K135-H135)/(K$125-H$125)*(J$125-H$125)+H135</f>
        <v>0.997</v>
      </c>
      <c r="K135" s="18">
        <f>Spectroscopy!E135</f>
        <v>0.996</v>
      </c>
      <c r="L135" s="18">
        <f t="shared" ref="L135" si="200">(N135-K135)/(N$125-K$125)*(L$125-K$125)+K135</f>
        <v>0.9966666666666667</v>
      </c>
      <c r="M135" s="18">
        <f t="shared" ref="M135" si="201">(N135-K135)/(N$125-K$125)*(M$125-K$125)+K135</f>
        <v>0.99733333333333329</v>
      </c>
      <c r="N135" s="18">
        <f>Spectroscopy!F135</f>
        <v>0.998</v>
      </c>
      <c r="O135" s="18"/>
    </row>
    <row r="136" spans="1:15">
      <c r="A136" s="15" t="s">
        <v>15</v>
      </c>
      <c r="B136" s="18">
        <f>Spectroscopy!B136</f>
        <v>0.5283543625575533</v>
      </c>
      <c r="C136" s="18">
        <f t="shared" ref="C136" si="202">(E136-B136)/(E$125-B$125)*(C$125-B$125)+B136</f>
        <v>0.56246539246244087</v>
      </c>
      <c r="D136" s="18">
        <f t="shared" ref="D136" si="203">(E136-B136)/(E$125-B$125)*(D$125-B$125)+B136</f>
        <v>0.59657642236732789</v>
      </c>
      <c r="E136" s="18">
        <f>Spectroscopy!C136</f>
        <v>0.63068745227221545</v>
      </c>
      <c r="F136" s="18">
        <f t="shared" ref="F136" si="204">(H136-E136)/(H$125-E$125)*(F$125-E$125)+E136</f>
        <v>0.65387281604422176</v>
      </c>
      <c r="G136" s="18">
        <f t="shared" ref="G136" si="205">(H136-E136)/(H$125-E$125)*(G$125-E$125)+E136</f>
        <v>0.67705817981622773</v>
      </c>
      <c r="H136" s="18">
        <f>Spectroscopy!D136</f>
        <v>0.70024354358823404</v>
      </c>
      <c r="I136" s="18">
        <f t="shared" ref="I136" si="206">(K136-H136)/(K$125-H$125)*(I$125-H$125)+H136</f>
        <v>0.68177864726558002</v>
      </c>
      <c r="J136" s="18">
        <f t="shared" ref="J136" si="207">(K136-H136)/(K$125-H$125)*(J$125-H$125)+H136</f>
        <v>0.66331375094292588</v>
      </c>
      <c r="K136" s="18">
        <f>Spectroscopy!E136</f>
        <v>0.64484885462027186</v>
      </c>
      <c r="L136" s="18">
        <f t="shared" ref="L136" si="208">(N136-K136)/(N$125-K$125)*(L$125-K$125)+K136</f>
        <v>0.60963778777806987</v>
      </c>
      <c r="M136" s="18">
        <f t="shared" ref="M136" si="209">(N136-K136)/(N$125-K$125)*(M$125-K$125)+K136</f>
        <v>0.574426720935868</v>
      </c>
      <c r="N136" s="18">
        <f>Spectroscopy!F136</f>
        <v>0.53921565409366601</v>
      </c>
      <c r="O136" s="18"/>
    </row>
    <row r="137" spans="1:15">
      <c r="A137" s="15" t="s">
        <v>19</v>
      </c>
      <c r="B137" s="18">
        <f>Spectroscopy!B137</f>
        <v>0.91200000000000003</v>
      </c>
      <c r="C137" s="18">
        <f t="shared" si="186"/>
        <v>0.91200000000000003</v>
      </c>
      <c r="D137" s="18">
        <f t="shared" si="187"/>
        <v>0.91200000000000003</v>
      </c>
      <c r="E137" s="18">
        <f>Spectroscopy!C137</f>
        <v>0.91200000000000003</v>
      </c>
      <c r="F137" s="18">
        <f t="shared" si="188"/>
        <v>0.91133333333333333</v>
      </c>
      <c r="G137" s="18">
        <f t="shared" si="189"/>
        <v>0.91066666666666674</v>
      </c>
      <c r="H137" s="18">
        <f>Spectroscopy!D137</f>
        <v>0.91</v>
      </c>
      <c r="I137" s="18">
        <f t="shared" si="190"/>
        <v>0.90933333333333333</v>
      </c>
      <c r="J137" s="18">
        <f t="shared" si="191"/>
        <v>0.90866666666666673</v>
      </c>
      <c r="K137" s="18">
        <f>Spectroscopy!E137</f>
        <v>0.90800000000000003</v>
      </c>
      <c r="L137" s="18">
        <f t="shared" si="192"/>
        <v>0.90733333333333333</v>
      </c>
      <c r="M137" s="18">
        <f t="shared" si="193"/>
        <v>0.90666666666666673</v>
      </c>
      <c r="N137" s="18">
        <f>Spectroscopy!F137</f>
        <v>0.90600000000000003</v>
      </c>
      <c r="O137" s="18"/>
    </row>
    <row r="138" spans="1:15">
      <c r="A138" s="15" t="s">
        <v>34</v>
      </c>
      <c r="B138" s="18">
        <f>Spectroscopy!B138</f>
        <v>0.8</v>
      </c>
      <c r="C138" s="18">
        <f t="shared" ref="C138" si="210">(E138-B138)/(E$125-B$125)*(C$125-B$125)+B138</f>
        <v>0.8</v>
      </c>
      <c r="D138" s="18">
        <f t="shared" ref="D138" si="211">(E138-B138)/(E$125-B$125)*(D$125-B$125)+B138</f>
        <v>0.8</v>
      </c>
      <c r="E138" s="18">
        <f>Spectroscopy!C138</f>
        <v>0.8</v>
      </c>
      <c r="F138" s="18">
        <f t="shared" si="188"/>
        <v>0.8</v>
      </c>
      <c r="G138" s="18">
        <f t="shared" si="189"/>
        <v>0.8</v>
      </c>
      <c r="H138" s="18">
        <f>Spectroscopy!D138</f>
        <v>0.8</v>
      </c>
      <c r="I138" s="18">
        <f t="shared" si="190"/>
        <v>0.8</v>
      </c>
      <c r="J138" s="18">
        <f t="shared" si="191"/>
        <v>0.8</v>
      </c>
      <c r="K138" s="18">
        <f>Spectroscopy!E138</f>
        <v>0.8</v>
      </c>
      <c r="L138" s="18">
        <f t="shared" si="192"/>
        <v>0.8</v>
      </c>
      <c r="M138" s="18">
        <f t="shared" si="193"/>
        <v>0.8</v>
      </c>
      <c r="N138" s="18">
        <f>Spectroscopy!F138</f>
        <v>0.8</v>
      </c>
      <c r="O138" s="18"/>
    </row>
    <row r="139" spans="1:15">
      <c r="A139" s="10" t="s">
        <v>40</v>
      </c>
      <c r="B139" s="29">
        <f>B126*B127*B128*B129*B130*B131*B132*B133*B134*B135*B136*B137*B138</f>
        <v>0.22310009150500792</v>
      </c>
      <c r="C139" s="29">
        <f t="shared" ref="C139:N139" si="212">C126*C127*C128*C129*C130*C131*C132*C133*C134*C135*C136*C137*C138</f>
        <v>0.2372630797797767</v>
      </c>
      <c r="D139" s="29">
        <f t="shared" si="212"/>
        <v>0.2513968328217473</v>
      </c>
      <c r="E139" s="29">
        <f t="shared" si="212"/>
        <v>0.26550134081437932</v>
      </c>
      <c r="F139" s="29">
        <f t="shared" si="212"/>
        <v>0.27498320956614447</v>
      </c>
      <c r="G139" s="29">
        <f t="shared" si="212"/>
        <v>0.28444354281528139</v>
      </c>
      <c r="H139" s="29">
        <f t="shared" si="212"/>
        <v>0.29388216603151174</v>
      </c>
      <c r="I139" s="29">
        <f t="shared" si="212"/>
        <v>0.28465175854997171</v>
      </c>
      <c r="J139" s="29">
        <f t="shared" si="212"/>
        <v>0.27550689736983686</v>
      </c>
      <c r="K139" s="29">
        <f t="shared" si="212"/>
        <v>0.26644712538955878</v>
      </c>
      <c r="L139" s="29">
        <f t="shared" si="212"/>
        <v>0.25106003637059315</v>
      </c>
      <c r="M139" s="29">
        <f t="shared" si="212"/>
        <v>0.23577080869828829</v>
      </c>
      <c r="N139" s="29">
        <f t="shared" si="212"/>
        <v>0.22057925186093491</v>
      </c>
      <c r="O139" s="29">
        <f>AVERAGE(B139:N139)</f>
        <v>0.25881431858254095</v>
      </c>
    </row>
    <row r="140" spans="1:15">
      <c r="A140" s="15" t="s">
        <v>126</v>
      </c>
      <c r="B140" s="36">
        <v>0.95372427599999998</v>
      </c>
      <c r="C140" s="18">
        <f t="shared" ref="C140" si="213">(E140-B140)/(E$125-B$125)*(C$125-B$125)+B140</f>
        <v>0.954209223</v>
      </c>
      <c r="D140" s="18">
        <f t="shared" ref="D140" si="214">(E140-B140)/(E$125-B$125)*(D$125-B$125)+B140</f>
        <v>0.9546941699999999</v>
      </c>
      <c r="E140" s="36">
        <v>0.95517911699999991</v>
      </c>
      <c r="F140" s="18">
        <f t="shared" ref="F140" si="215">(H140-E140)/(H$125-E$125)*(F$125-E$125)+E140</f>
        <v>0.95566406399999992</v>
      </c>
      <c r="G140" s="18">
        <f t="shared" ref="G140" si="216">(H140-E140)/(H$125-E$125)*(G$125-E$125)+E140</f>
        <v>0.95614901099999994</v>
      </c>
      <c r="H140" s="36">
        <v>0.95663395799999995</v>
      </c>
      <c r="I140" s="18">
        <f t="shared" ref="I140" si="217">(K140-H140)/(K$125-H$125)*(I$125-H$125)+H140</f>
        <v>0.95663395799999995</v>
      </c>
      <c r="J140" s="18">
        <f t="shared" ref="J140" si="218">(K140-H140)/(K$125-H$125)*(J$125-H$125)+H140</f>
        <v>0.95663395799999995</v>
      </c>
      <c r="K140" s="36">
        <v>0.95663395799999995</v>
      </c>
      <c r="L140" s="18">
        <f t="shared" ref="L140" si="219">(N140-K140)/(N$125-K$125)*(L$125-K$125)+K140</f>
        <v>0.95682879179999991</v>
      </c>
      <c r="M140" s="18">
        <f t="shared" ref="M140" si="220">(N140-K140)/(N$125-K$125)*(M$125-K$125)+K140</f>
        <v>0.95702362559999998</v>
      </c>
      <c r="N140" s="36">
        <v>0.95721845939999994</v>
      </c>
      <c r="O140" s="36"/>
    </row>
    <row r="141" spans="1:15">
      <c r="A141" s="10" t="s">
        <v>125</v>
      </c>
      <c r="B141" s="29">
        <f t="shared" ref="B141:N141" si="221">B139*B140</f>
        <v>0.21277597324614744</v>
      </c>
      <c r="C141" s="29">
        <f t="shared" si="221"/>
        <v>0.22639861900324773</v>
      </c>
      <c r="D141" s="29">
        <f t="shared" si="221"/>
        <v>0.24000709065138676</v>
      </c>
      <c r="E141" s="29">
        <f t="shared" si="221"/>
        <v>0.25360133628139486</v>
      </c>
      <c r="F141" s="29">
        <f t="shared" ref="F141:G141" si="222">F139*F140</f>
        <v>0.26279157158574529</v>
      </c>
      <c r="G141" s="29">
        <f t="shared" si="222"/>
        <v>0.27197041214816742</v>
      </c>
      <c r="H141" s="29">
        <f t="shared" si="221"/>
        <v>0.28113765967633819</v>
      </c>
      <c r="I141" s="29">
        <f t="shared" ref="I141:J141" si="223">I139*I140</f>
        <v>0.27230753843331978</v>
      </c>
      <c r="J141" s="29">
        <f t="shared" si="223"/>
        <v>0.26355925368720678</v>
      </c>
      <c r="K141" s="29">
        <f t="shared" si="221"/>
        <v>0.25489236815913591</v>
      </c>
      <c r="L141" s="29">
        <f t="shared" ref="L141:M141" si="224">L139*L140</f>
        <v>0.2402214712697387</v>
      </c>
      <c r="M141" s="29">
        <f t="shared" si="224"/>
        <v>0.22563823415107986</v>
      </c>
      <c r="N141" s="29">
        <f t="shared" si="221"/>
        <v>0.2111425316419287</v>
      </c>
      <c r="O141" s="29">
        <f>AVERAGE(B141:N141)</f>
        <v>0.24741877384114136</v>
      </c>
    </row>
    <row r="142" spans="1:15"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17"/>
    </row>
    <row r="143" spans="1:15">
      <c r="A143" s="24" t="s">
        <v>4</v>
      </c>
    </row>
    <row r="144" spans="1:15">
      <c r="A144" s="10" t="s">
        <v>6</v>
      </c>
      <c r="B144" s="30">
        <v>2000</v>
      </c>
      <c r="C144" s="62">
        <f>(E144-B144)/3+B144</f>
        <v>2033.3333333333333</v>
      </c>
      <c r="D144" s="62">
        <f>(E144-B144)/3*2+B144</f>
        <v>2066.6666666666665</v>
      </c>
      <c r="E144" s="30">
        <v>2100</v>
      </c>
      <c r="F144" s="62">
        <f>(H144-E144)/3+E144</f>
        <v>2125</v>
      </c>
      <c r="G144" s="62">
        <f>(H144-E144)/3*2+E144</f>
        <v>2150</v>
      </c>
      <c r="H144" s="30">
        <v>2175</v>
      </c>
      <c r="I144" s="62">
        <f>(K144-H144)/3+H144</f>
        <v>2210</v>
      </c>
      <c r="J144" s="62">
        <f>(K144-H144)/3*2+H144</f>
        <v>2245</v>
      </c>
      <c r="K144" s="30">
        <v>2280</v>
      </c>
      <c r="L144" s="62">
        <f>(N144-K144)/3+K144</f>
        <v>2303.3333333333335</v>
      </c>
      <c r="M144" s="62">
        <f>(N144-K144)/3*2+K144</f>
        <v>2326.6666666666665</v>
      </c>
      <c r="N144" s="30">
        <v>2350</v>
      </c>
      <c r="O144" s="30"/>
    </row>
    <row r="145" spans="1:15">
      <c r="A145" s="15" t="s">
        <v>5</v>
      </c>
      <c r="B145" s="18">
        <f>Spectroscopy!B145</f>
        <v>0.84053474318649235</v>
      </c>
      <c r="C145" s="18">
        <f>(E145-B145)/(E$144-B$144)*(C$144-B$144)+B145</f>
        <v>0.8321016695936263</v>
      </c>
      <c r="D145" s="18">
        <f>(E145-B145)/(E$144-B$144)*(D$144-B$144)+B145</f>
        <v>0.82366859600076026</v>
      </c>
      <c r="E145" s="18">
        <f>Spectroscopy!C145</f>
        <v>0.8152355224078941</v>
      </c>
      <c r="F145" s="18">
        <f>(H145-E145)/(H$144-E$144)*(F$144-E$144)+E145</f>
        <v>0.80901899427544799</v>
      </c>
      <c r="G145" s="18">
        <f>(H145-E145)/(H$144-E$144)*(G$144-E$144)+E145</f>
        <v>0.80280246614300177</v>
      </c>
      <c r="H145" s="18">
        <f>Spectroscopy!D145</f>
        <v>0.79658593801055566</v>
      </c>
      <c r="I145" s="18">
        <f>(K145-H145)/(K$144-H$144)*(I$144-H$144)+H145</f>
        <v>0.79299140804211299</v>
      </c>
      <c r="J145" s="18">
        <f>(K145-H145)/(K$144-H$144)*(J$144-H$144)+H145</f>
        <v>0.78939687807367043</v>
      </c>
      <c r="K145" s="18">
        <f>Spectroscopy!E145</f>
        <v>0.78580234810522775</v>
      </c>
      <c r="L145" s="18">
        <f>(N145-K145)/(N$144-K$144)*(L$144-K$144)+K145</f>
        <v>0.78447354788163748</v>
      </c>
      <c r="M145" s="18">
        <f>(N145-K145)/(N$144-K$144)*(M$144-K$144)+K145</f>
        <v>0.7831447476580472</v>
      </c>
      <c r="N145" s="18">
        <f>Spectroscopy!F145</f>
        <v>0.78181594743445693</v>
      </c>
      <c r="O145" s="18"/>
    </row>
    <row r="146" spans="1:15">
      <c r="A146" s="15" t="s">
        <v>7</v>
      </c>
      <c r="B146" s="18">
        <f>Spectroscopy!B146</f>
        <v>0.95452899999999996</v>
      </c>
      <c r="C146" s="18">
        <f t="shared" ref="C146:C157" si="225">(E146-B146)/(E$144-B$144)*(C$144-B$144)+B146</f>
        <v>0.95452899999999996</v>
      </c>
      <c r="D146" s="18">
        <f t="shared" ref="D146:D157" si="226">(E146-B146)/(E$144-B$144)*(D$144-B$144)+B146</f>
        <v>0.95452899999999996</v>
      </c>
      <c r="E146" s="18">
        <f>Spectroscopy!C146</f>
        <v>0.95452899999999996</v>
      </c>
      <c r="F146" s="18">
        <f t="shared" ref="F146:F158" si="227">(H146-E146)/(H$144-E$144)*(F$144-E$144)+E146</f>
        <v>0.95452899999999996</v>
      </c>
      <c r="G146" s="18">
        <f t="shared" ref="G146:G158" si="228">(H146-E146)/(H$144-E$144)*(G$144-E$144)+E146</f>
        <v>0.95452899999999996</v>
      </c>
      <c r="H146" s="18">
        <f>Spectroscopy!D146</f>
        <v>0.95452899999999996</v>
      </c>
      <c r="I146" s="18">
        <f t="shared" ref="I146:I158" si="229">(K146-H146)/(K$144-H$144)*(I$144-H$144)+H146</f>
        <v>0.95452899999999996</v>
      </c>
      <c r="J146" s="18">
        <f t="shared" ref="J146:J158" si="230">(K146-H146)/(K$144-H$144)*(J$144-H$144)+H146</f>
        <v>0.95452899999999996</v>
      </c>
      <c r="K146" s="18">
        <f>Spectroscopy!E146</f>
        <v>0.95452899999999996</v>
      </c>
      <c r="L146" s="18">
        <f t="shared" ref="L146:L158" si="231">(N146-K146)/(N$144-K$144)*(L$144-K$144)+K146</f>
        <v>0.95452899999999996</v>
      </c>
      <c r="M146" s="18">
        <f t="shared" ref="M146:M158" si="232">(N146-K146)/(N$144-K$144)*(M$144-K$144)+K146</f>
        <v>0.95452899999999996</v>
      </c>
      <c r="N146" s="18">
        <f>Spectroscopy!F146</f>
        <v>0.95452899999999996</v>
      </c>
      <c r="O146" s="18"/>
    </row>
    <row r="147" spans="1:15">
      <c r="A147" s="15" t="s">
        <v>28</v>
      </c>
      <c r="B147" s="18">
        <f>Spectroscopy!B147</f>
        <v>0.93099999999999994</v>
      </c>
      <c r="C147" s="18">
        <f t="shared" si="225"/>
        <v>0.93099999999999994</v>
      </c>
      <c r="D147" s="18">
        <f t="shared" si="226"/>
        <v>0.93099999999999994</v>
      </c>
      <c r="E147" s="18">
        <f>Spectroscopy!C147</f>
        <v>0.93099999999999994</v>
      </c>
      <c r="F147" s="18">
        <f t="shared" si="227"/>
        <v>0.93099999999999994</v>
      </c>
      <c r="G147" s="18">
        <f t="shared" si="228"/>
        <v>0.93099999999999994</v>
      </c>
      <c r="H147" s="18">
        <f>Spectroscopy!D147</f>
        <v>0.93099999999999994</v>
      </c>
      <c r="I147" s="18">
        <f t="shared" si="229"/>
        <v>0.93099999999999994</v>
      </c>
      <c r="J147" s="18">
        <f t="shared" si="230"/>
        <v>0.93099999999999994</v>
      </c>
      <c r="K147" s="18">
        <f>Spectroscopy!E147</f>
        <v>0.93099999999999994</v>
      </c>
      <c r="L147" s="18">
        <f t="shared" si="231"/>
        <v>0.93753333333333333</v>
      </c>
      <c r="M147" s="18">
        <f t="shared" si="232"/>
        <v>0.94406666666666661</v>
      </c>
      <c r="N147" s="18">
        <f>Spectroscopy!F147</f>
        <v>0.9506</v>
      </c>
      <c r="O147" s="18"/>
    </row>
    <row r="148" spans="1:15">
      <c r="A148" s="15" t="s">
        <v>41</v>
      </c>
      <c r="B148" s="18">
        <f>Spectroscopy!B148</f>
        <v>0.86897993594876533</v>
      </c>
      <c r="C148" s="18">
        <f t="shared" si="225"/>
        <v>0.85414886076190033</v>
      </c>
      <c r="D148" s="18">
        <f t="shared" si="226"/>
        <v>0.83931778557503534</v>
      </c>
      <c r="E148" s="18">
        <f>Spectroscopy!C148</f>
        <v>0.82448671038817023</v>
      </c>
      <c r="F148" s="18">
        <f t="shared" si="227"/>
        <v>0.81419576025850882</v>
      </c>
      <c r="G148" s="18">
        <f t="shared" si="228"/>
        <v>0.80390481012884729</v>
      </c>
      <c r="H148" s="18">
        <f>Spectroscopy!D148</f>
        <v>0.79361385999918588</v>
      </c>
      <c r="I148" s="18">
        <f t="shared" si="229"/>
        <v>0.7890737349419823</v>
      </c>
      <c r="J148" s="18">
        <f t="shared" si="230"/>
        <v>0.78453360988477872</v>
      </c>
      <c r="K148" s="18">
        <f>Spectroscopy!E148</f>
        <v>0.77999348482757513</v>
      </c>
      <c r="L148" s="18">
        <f t="shared" si="231"/>
        <v>0.77696673478943934</v>
      </c>
      <c r="M148" s="18">
        <f t="shared" si="232"/>
        <v>0.77393998475130377</v>
      </c>
      <c r="N148" s="18">
        <f>Spectroscopy!F148</f>
        <v>0.77091323471316797</v>
      </c>
      <c r="O148" s="18"/>
    </row>
    <row r="149" spans="1:15">
      <c r="A149" s="15" t="s">
        <v>26</v>
      </c>
      <c r="B149" s="18">
        <f>Spectroscopy!B149</f>
        <v>0.92149999999999999</v>
      </c>
      <c r="C149" s="18">
        <f t="shared" si="225"/>
        <v>0.92149999999999999</v>
      </c>
      <c r="D149" s="18">
        <f t="shared" si="226"/>
        <v>0.92149999999999999</v>
      </c>
      <c r="E149" s="18">
        <f>Spectroscopy!C149</f>
        <v>0.92149999999999999</v>
      </c>
      <c r="F149" s="18">
        <f t="shared" si="227"/>
        <v>0.92149999999999999</v>
      </c>
      <c r="G149" s="18">
        <f t="shared" si="228"/>
        <v>0.92149999999999999</v>
      </c>
      <c r="H149" s="18">
        <f>Spectroscopy!D149</f>
        <v>0.92149999999999999</v>
      </c>
      <c r="I149" s="18">
        <f t="shared" si="229"/>
        <v>0.92149999999999999</v>
      </c>
      <c r="J149" s="18">
        <f t="shared" si="230"/>
        <v>0.92149999999999999</v>
      </c>
      <c r="K149" s="18">
        <f>Spectroscopy!E149</f>
        <v>0.92149999999999999</v>
      </c>
      <c r="L149" s="18">
        <f t="shared" si="231"/>
        <v>0.92149999999999999</v>
      </c>
      <c r="M149" s="18">
        <f t="shared" si="232"/>
        <v>0.92149999999999999</v>
      </c>
      <c r="N149" s="18">
        <f>Spectroscopy!F149</f>
        <v>0.92149999999999999</v>
      </c>
      <c r="O149" s="18"/>
    </row>
    <row r="150" spans="1:15">
      <c r="A150" s="15" t="s">
        <v>42</v>
      </c>
      <c r="B150" s="18">
        <f>Spectroscopy!B150</f>
        <v>0.98499999999999999</v>
      </c>
      <c r="C150" s="18">
        <f t="shared" si="225"/>
        <v>0.98499999999999999</v>
      </c>
      <c r="D150" s="18">
        <f t="shared" si="226"/>
        <v>0.98499999999999999</v>
      </c>
      <c r="E150" s="18">
        <f>Spectroscopy!C150</f>
        <v>0.98499999999999999</v>
      </c>
      <c r="F150" s="18">
        <f t="shared" si="227"/>
        <v>0.98499999999999999</v>
      </c>
      <c r="G150" s="18">
        <f t="shared" si="228"/>
        <v>0.98499999999999999</v>
      </c>
      <c r="H150" s="18">
        <f>Spectroscopy!D150</f>
        <v>0.98499999999999999</v>
      </c>
      <c r="I150" s="18">
        <f t="shared" si="229"/>
        <v>0.98499999999999999</v>
      </c>
      <c r="J150" s="18">
        <f t="shared" si="230"/>
        <v>0.98499999999999999</v>
      </c>
      <c r="K150" s="18">
        <f>Spectroscopy!E150</f>
        <v>0.98499999999999999</v>
      </c>
      <c r="L150" s="18">
        <f t="shared" si="231"/>
        <v>0.98499999999999999</v>
      </c>
      <c r="M150" s="18">
        <f t="shared" si="232"/>
        <v>0.98499999999999999</v>
      </c>
      <c r="N150" s="18">
        <f>Spectroscopy!F150</f>
        <v>0.98499999999999999</v>
      </c>
      <c r="O150" s="18"/>
    </row>
    <row r="151" spans="1:15">
      <c r="A151" s="15" t="s">
        <v>43</v>
      </c>
      <c r="B151" s="18">
        <f>Spectroscopy!B151</f>
        <v>0.98499999999999999</v>
      </c>
      <c r="C151" s="18">
        <f t="shared" si="225"/>
        <v>0.98499999999999999</v>
      </c>
      <c r="D151" s="18">
        <f t="shared" si="226"/>
        <v>0.98499999999999999</v>
      </c>
      <c r="E151" s="18">
        <f>Spectroscopy!C151</f>
        <v>0.98499999999999999</v>
      </c>
      <c r="F151" s="18">
        <f t="shared" si="227"/>
        <v>0.98499999999999999</v>
      </c>
      <c r="G151" s="18">
        <f t="shared" si="228"/>
        <v>0.98499999999999999</v>
      </c>
      <c r="H151" s="18">
        <f>Spectroscopy!D151</f>
        <v>0.98499999999999999</v>
      </c>
      <c r="I151" s="18">
        <f t="shared" si="229"/>
        <v>0.98499999999999999</v>
      </c>
      <c r="J151" s="18">
        <f t="shared" si="230"/>
        <v>0.98499999999999999</v>
      </c>
      <c r="K151" s="18">
        <f>Spectroscopy!E151</f>
        <v>0.98499999999999999</v>
      </c>
      <c r="L151" s="18">
        <f t="shared" si="231"/>
        <v>0.98499999999999999</v>
      </c>
      <c r="M151" s="18">
        <f t="shared" si="232"/>
        <v>0.98499999999999999</v>
      </c>
      <c r="N151" s="18">
        <f>Spectroscopy!F151</f>
        <v>0.98499999999999999</v>
      </c>
      <c r="O151" s="18"/>
    </row>
    <row r="152" spans="1:15">
      <c r="A152" s="15" t="s">
        <v>23</v>
      </c>
      <c r="B152" s="18">
        <f>Spectroscopy!B152</f>
        <v>0.92149999999999999</v>
      </c>
      <c r="C152" s="18">
        <f t="shared" si="225"/>
        <v>0.92149999999999999</v>
      </c>
      <c r="D152" s="18">
        <f t="shared" si="226"/>
        <v>0.92149999999999999</v>
      </c>
      <c r="E152" s="18">
        <f>Spectroscopy!C152</f>
        <v>0.92149999999999999</v>
      </c>
      <c r="F152" s="18">
        <f t="shared" si="227"/>
        <v>0.92149999999999999</v>
      </c>
      <c r="G152" s="18">
        <f t="shared" si="228"/>
        <v>0.92149999999999999</v>
      </c>
      <c r="H152" s="18">
        <f>Spectroscopy!D152</f>
        <v>0.92149999999999999</v>
      </c>
      <c r="I152" s="18">
        <f t="shared" si="229"/>
        <v>0.92149999999999999</v>
      </c>
      <c r="J152" s="18">
        <f t="shared" si="230"/>
        <v>0.92149999999999999</v>
      </c>
      <c r="K152" s="18">
        <f>Spectroscopy!E152</f>
        <v>0.92149999999999999</v>
      </c>
      <c r="L152" s="18">
        <f t="shared" si="231"/>
        <v>0.92149999999999999</v>
      </c>
      <c r="M152" s="18">
        <f t="shared" si="232"/>
        <v>0.92149999999999999</v>
      </c>
      <c r="N152" s="18">
        <f>Spectroscopy!F152</f>
        <v>0.92149999999999999</v>
      </c>
      <c r="O152" s="18"/>
    </row>
    <row r="153" spans="1:15">
      <c r="A153" s="15" t="s">
        <v>44</v>
      </c>
      <c r="B153" s="18">
        <f>Spectroscopy!B153</f>
        <v>0.99</v>
      </c>
      <c r="C153" s="18">
        <f t="shared" si="225"/>
        <v>0.99</v>
      </c>
      <c r="D153" s="18">
        <f t="shared" si="226"/>
        <v>0.99</v>
      </c>
      <c r="E153" s="18">
        <f>Spectroscopy!C153</f>
        <v>0.99</v>
      </c>
      <c r="F153" s="18">
        <f t="shared" si="227"/>
        <v>0.99</v>
      </c>
      <c r="G153" s="18">
        <f t="shared" si="228"/>
        <v>0.99</v>
      </c>
      <c r="H153" s="18">
        <f>Spectroscopy!D153</f>
        <v>0.99</v>
      </c>
      <c r="I153" s="18">
        <f t="shared" si="229"/>
        <v>0.99</v>
      </c>
      <c r="J153" s="18">
        <f t="shared" si="230"/>
        <v>0.99</v>
      </c>
      <c r="K153" s="18">
        <f>Spectroscopy!E153</f>
        <v>0.99</v>
      </c>
      <c r="L153" s="18">
        <f t="shared" si="231"/>
        <v>0.99</v>
      </c>
      <c r="M153" s="18">
        <f t="shared" si="232"/>
        <v>0.99</v>
      </c>
      <c r="N153" s="18">
        <f>Spectroscopy!F153</f>
        <v>0.99</v>
      </c>
      <c r="O153" s="18"/>
    </row>
    <row r="154" spans="1:15">
      <c r="A154" s="15" t="s">
        <v>45</v>
      </c>
      <c r="B154" s="18">
        <f>Spectroscopy!B154</f>
        <v>0.99</v>
      </c>
      <c r="C154" s="18">
        <f t="shared" si="225"/>
        <v>0.99</v>
      </c>
      <c r="D154" s="18">
        <f t="shared" si="226"/>
        <v>0.99</v>
      </c>
      <c r="E154" s="18">
        <f>Spectroscopy!C154</f>
        <v>0.99</v>
      </c>
      <c r="F154" s="18">
        <f t="shared" si="227"/>
        <v>0.99</v>
      </c>
      <c r="G154" s="18">
        <f t="shared" si="228"/>
        <v>0.99</v>
      </c>
      <c r="H154" s="18">
        <f>Spectroscopy!D154</f>
        <v>0.99</v>
      </c>
      <c r="I154" s="18">
        <f t="shared" si="229"/>
        <v>0.99</v>
      </c>
      <c r="J154" s="18">
        <f t="shared" si="230"/>
        <v>0.99</v>
      </c>
      <c r="K154" s="18">
        <f>Spectroscopy!E154</f>
        <v>0.99</v>
      </c>
      <c r="L154" s="18">
        <f t="shared" si="231"/>
        <v>0.99</v>
      </c>
      <c r="M154" s="18">
        <f t="shared" si="232"/>
        <v>0.99</v>
      </c>
      <c r="N154" s="18">
        <f>Spectroscopy!F154</f>
        <v>0.99</v>
      </c>
      <c r="O154" s="18"/>
    </row>
    <row r="155" spans="1:15">
      <c r="A155" s="15" t="s">
        <v>170</v>
      </c>
      <c r="B155" s="18">
        <f>Spectroscopy!B155</f>
        <v>1</v>
      </c>
      <c r="C155" s="18">
        <f t="shared" si="225"/>
        <v>1</v>
      </c>
      <c r="D155" s="18">
        <f t="shared" si="226"/>
        <v>1</v>
      </c>
      <c r="E155" s="18">
        <f>Spectroscopy!C155</f>
        <v>1</v>
      </c>
      <c r="F155" s="18">
        <f t="shared" si="227"/>
        <v>1</v>
      </c>
      <c r="G155" s="18">
        <f t="shared" si="228"/>
        <v>1</v>
      </c>
      <c r="H155" s="18">
        <f>Spectroscopy!D155</f>
        <v>1</v>
      </c>
      <c r="I155" s="18">
        <f t="shared" si="229"/>
        <v>1</v>
      </c>
      <c r="J155" s="18">
        <f t="shared" si="230"/>
        <v>1</v>
      </c>
      <c r="K155" s="18">
        <f>Spectroscopy!E155</f>
        <v>1</v>
      </c>
      <c r="L155" s="18">
        <f t="shared" si="231"/>
        <v>1</v>
      </c>
      <c r="M155" s="18">
        <f t="shared" si="232"/>
        <v>1</v>
      </c>
      <c r="N155" s="18">
        <f>Spectroscopy!F155</f>
        <v>1</v>
      </c>
      <c r="O155" s="18"/>
    </row>
    <row r="156" spans="1:15">
      <c r="A156" s="15" t="s">
        <v>16</v>
      </c>
      <c r="B156" s="18">
        <f>Spectroscopy!B156</f>
        <v>0.35073366805614437</v>
      </c>
      <c r="C156" s="18">
        <f t="shared" ref="C156" si="233">(E156-B156)/(E$144-B$144)*(C$144-B$144)+B156</f>
        <v>0.41054888763679204</v>
      </c>
      <c r="D156" s="18">
        <f t="shared" ref="D156" si="234">(E156-B156)/(E$144-B$144)*(D$144-B$144)+B156</f>
        <v>0.47036410721743971</v>
      </c>
      <c r="E156" s="18">
        <f>Spectroscopy!C156</f>
        <v>0.53017932679808777</v>
      </c>
      <c r="F156" s="18">
        <f t="shared" ref="F156" si="235">(H156-E156)/(H$144-E$144)*(F$144-E$144)+E156</f>
        <v>0.553356014248502</v>
      </c>
      <c r="G156" s="18">
        <f t="shared" ref="G156" si="236">(H156-E156)/(H$144-E$144)*(G$144-E$144)+E156</f>
        <v>0.57653270169891624</v>
      </c>
      <c r="H156" s="18">
        <f>Spectroscopy!D156</f>
        <v>0.59970938914933047</v>
      </c>
      <c r="I156" s="18">
        <f t="shared" ref="I156" si="237">(K156-H156)/(K$144-H$144)*(I$144-H$144)+H156</f>
        <v>0.56928316469705065</v>
      </c>
      <c r="J156" s="18">
        <f t="shared" ref="J156" si="238">(K156-H156)/(K$144-H$144)*(J$144-H$144)+H156</f>
        <v>0.53885694024477071</v>
      </c>
      <c r="K156" s="18">
        <f>Spectroscopy!E156</f>
        <v>0.50843071579249088</v>
      </c>
      <c r="L156" s="18">
        <f t="shared" ref="L156" si="239">(N156-K156)/(N$144-K$144)*(L$144-K$144)+K156</f>
        <v>0.45400007068130371</v>
      </c>
      <c r="M156" s="18">
        <f t="shared" ref="M156" si="240">(N156-K156)/(N$144-K$144)*(M$144-K$144)+K156</f>
        <v>0.39956942557011754</v>
      </c>
      <c r="N156" s="18">
        <f>Spectroscopy!F156</f>
        <v>0.34513878045893037</v>
      </c>
      <c r="O156" s="18"/>
    </row>
    <row r="157" spans="1:15">
      <c r="A157" s="15" t="s">
        <v>20</v>
      </c>
      <c r="B157" s="18">
        <f>Spectroscopy!B157</f>
        <v>0.90200000000000002</v>
      </c>
      <c r="C157" s="18">
        <f t="shared" si="225"/>
        <v>0.89633333333333332</v>
      </c>
      <c r="D157" s="18">
        <f t="shared" si="226"/>
        <v>0.89066666666666672</v>
      </c>
      <c r="E157" s="18">
        <f>Spectroscopy!C157</f>
        <v>0.88500000000000001</v>
      </c>
      <c r="F157" s="18">
        <f t="shared" si="227"/>
        <v>0.88066666666666671</v>
      </c>
      <c r="G157" s="18">
        <f t="shared" si="228"/>
        <v>0.8763333333333333</v>
      </c>
      <c r="H157" s="18">
        <f>Spectroscopy!D157</f>
        <v>0.872</v>
      </c>
      <c r="I157" s="18">
        <f t="shared" si="229"/>
        <v>0.8696666666666667</v>
      </c>
      <c r="J157" s="18">
        <f t="shared" si="230"/>
        <v>0.86733333333333329</v>
      </c>
      <c r="K157" s="18">
        <f>Spectroscopy!E157</f>
        <v>0.86499999999999999</v>
      </c>
      <c r="L157" s="18">
        <f t="shared" si="231"/>
        <v>0.86399999999999999</v>
      </c>
      <c r="M157" s="18">
        <f t="shared" si="232"/>
        <v>0.86299999999999999</v>
      </c>
      <c r="N157" s="18">
        <f>Spectroscopy!F157</f>
        <v>0.86199999999999999</v>
      </c>
      <c r="O157" s="18"/>
    </row>
    <row r="158" spans="1:15">
      <c r="A158" s="15" t="s">
        <v>35</v>
      </c>
      <c r="B158" s="18">
        <f>Spectroscopy!B158</f>
        <v>0.8</v>
      </c>
      <c r="C158" s="18">
        <f t="shared" ref="C158" si="241">(E158-B158)/(E$144-B$144)*(C$144-B$144)+B158</f>
        <v>0.8</v>
      </c>
      <c r="D158" s="18">
        <f t="shared" ref="D158" si="242">(E158-B158)/(E$144-B$144)*(D$144-B$144)+B158</f>
        <v>0.8</v>
      </c>
      <c r="E158" s="18">
        <f>Spectroscopy!C158</f>
        <v>0.8</v>
      </c>
      <c r="F158" s="18">
        <f t="shared" si="227"/>
        <v>0.8</v>
      </c>
      <c r="G158" s="18">
        <f t="shared" si="228"/>
        <v>0.8</v>
      </c>
      <c r="H158" s="18">
        <f>Spectroscopy!D158</f>
        <v>0.8</v>
      </c>
      <c r="I158" s="18">
        <f t="shared" si="229"/>
        <v>0.8</v>
      </c>
      <c r="J158" s="18">
        <f t="shared" si="230"/>
        <v>0.8</v>
      </c>
      <c r="K158" s="18">
        <f>Spectroscopy!E158</f>
        <v>0.8</v>
      </c>
      <c r="L158" s="18">
        <f t="shared" si="231"/>
        <v>0.8</v>
      </c>
      <c r="M158" s="18">
        <f t="shared" si="232"/>
        <v>0.8</v>
      </c>
      <c r="N158" s="18">
        <f>Spectroscopy!F158</f>
        <v>0.8</v>
      </c>
      <c r="O158" s="18"/>
    </row>
    <row r="159" spans="1:15">
      <c r="A159" s="10" t="s">
        <v>40</v>
      </c>
      <c r="B159" s="29">
        <f>B145*B146*B147*B148*B149*B150*B151*B152*B153*B154*B155*B156*B157*B158</f>
        <v>0.13265136951223613</v>
      </c>
      <c r="C159" s="29">
        <f t="shared" ref="C159:D159" si="243">C145*C146*C147*C148*C149*C150*C151*C152*C153*C154*C155*C156*C157*C158</f>
        <v>0.15014356080074098</v>
      </c>
      <c r="D159" s="29">
        <f t="shared" si="243"/>
        <v>0.16626109324221205</v>
      </c>
      <c r="E159" s="29">
        <f t="shared" ref="E159:N159" si="244">E145*E146*E147*E148*E149*E150*E151*E152*E153*E154*E155*E156*E157*E158</f>
        <v>0.18104858694112161</v>
      </c>
      <c r="F159" s="29">
        <f t="shared" ref="F159" si="245">F145*F146*F147*F148*F149*F150*F151*F152*F153*F154*F155*F156*F157*F158</f>
        <v>0.18427485261134247</v>
      </c>
      <c r="G159" s="29">
        <f t="shared" ref="G159" si="246">G145*G146*G147*G148*G149*G150*G151*G152*G153*G154*G155*G156*G157*G158</f>
        <v>0.18718408781470941</v>
      </c>
      <c r="H159" s="29">
        <f t="shared" si="244"/>
        <v>0.18978484847147664</v>
      </c>
      <c r="I159" s="29">
        <f t="shared" ref="I159" si="247">I145*I146*I147*I148*I149*I150*I151*I152*I153*I154*I155*I156*I157*I158</f>
        <v>0.17784004489576058</v>
      </c>
      <c r="J159" s="29">
        <f t="shared" ref="J159" si="248">J145*J146*J147*J148*J149*J150*J151*J152*J153*J154*J155*J156*J157*J158</f>
        <v>0.16616088675005747</v>
      </c>
      <c r="K159" s="29">
        <f t="shared" si="244"/>
        <v>0.15474424598864775</v>
      </c>
      <c r="L159" s="29">
        <f t="shared" ref="L159" si="249">L145*L146*L147*L148*L149*L150*L151*L152*L153*L154*L155*L156*L157*L158</f>
        <v>0.13821327364410602</v>
      </c>
      <c r="M159" s="29">
        <f t="shared" ref="M159" si="250">M145*M146*M147*M148*M149*M150*M151*M152*M153*M154*M155*M156*M157*M158</f>
        <v>0.12166556481868818</v>
      </c>
      <c r="N159" s="29">
        <f t="shared" si="244"/>
        <v>0.10510454733502131</v>
      </c>
      <c r="O159" s="29">
        <f>AVERAGE(B159:N159)</f>
        <v>0.15808284329431693</v>
      </c>
    </row>
    <row r="160" spans="1:15">
      <c r="A160" s="15" t="s">
        <v>126</v>
      </c>
      <c r="B160" s="36">
        <v>0.95664086399999992</v>
      </c>
      <c r="C160" s="18">
        <f t="shared" ref="C160" si="251">(E160-B160)/(E$144-B$144)*(C$144-B$144)+B160</f>
        <v>0.95696492933333321</v>
      </c>
      <c r="D160" s="18">
        <f t="shared" ref="D160" si="252">(E160-B160)/(E$144-B$144)*(D$144-B$144)+B160</f>
        <v>0.95728899466666661</v>
      </c>
      <c r="E160" s="36">
        <v>0.9576130599999999</v>
      </c>
      <c r="F160" s="18">
        <f t="shared" ref="F160" si="253">(H160-E160)/(H$144-E$144)*(F$144-E$144)+E160</f>
        <v>0.9576130599999999</v>
      </c>
      <c r="G160" s="18">
        <f t="shared" ref="G160" si="254">(H160-E160)/(H$144-E$144)*(G$144-E$144)+E160</f>
        <v>0.9576130599999999</v>
      </c>
      <c r="H160" s="36">
        <v>0.9576130599999999</v>
      </c>
      <c r="I160" s="18">
        <f t="shared" ref="I160" si="255">(K160-H160)/(K$144-H$144)*(I$144-H$144)+H160</f>
        <v>0.95745110958333324</v>
      </c>
      <c r="J160" s="18">
        <f t="shared" ref="J160" si="256">(K160-H160)/(K$144-H$144)*(J$144-H$144)+H160</f>
        <v>0.95728915916666657</v>
      </c>
      <c r="K160" s="36">
        <v>0.9571272087499999</v>
      </c>
      <c r="L160" s="18">
        <f t="shared" ref="L160" si="257">(N160-K160)/(N$144-K$144)*(L$144-K$144)+K160</f>
        <v>0.94701363916666648</v>
      </c>
      <c r="M160" s="18">
        <f t="shared" ref="M160" si="258">(N160-K160)/(N$144-K$144)*(M$144-K$144)+K160</f>
        <v>0.93690006958333338</v>
      </c>
      <c r="N160" s="36">
        <v>0.92678649999999996</v>
      </c>
      <c r="O160" s="36"/>
    </row>
    <row r="161" spans="1:15">
      <c r="A161" s="10" t="s">
        <v>125</v>
      </c>
      <c r="B161" s="29">
        <f t="shared" ref="B161:N161" si="259">B159*B160</f>
        <v>0.12689972074096884</v>
      </c>
      <c r="C161" s="29">
        <f t="shared" si="259"/>
        <v>0.1436821220515361</v>
      </c>
      <c r="D161" s="29">
        <f t="shared" si="259"/>
        <v>0.1591599148020181</v>
      </c>
      <c r="E161" s="29">
        <f t="shared" si="259"/>
        <v>0.17337449134936347</v>
      </c>
      <c r="F161" s="29">
        <f t="shared" ref="F161:G161" si="260">F159*F160</f>
        <v>0.17646400549019664</v>
      </c>
      <c r="G161" s="29">
        <f t="shared" si="260"/>
        <v>0.17924992711555257</v>
      </c>
      <c r="H161" s="29">
        <f t="shared" si="259"/>
        <v>0.18174044948640705</v>
      </c>
      <c r="I161" s="29">
        <f t="shared" ref="I161:J161" si="261">I159*I160</f>
        <v>0.17027314831379575</v>
      </c>
      <c r="J161" s="29">
        <f t="shared" si="261"/>
        <v>0.15906401556335023</v>
      </c>
      <c r="K161" s="29">
        <f t="shared" si="259"/>
        <v>0.14810992823323779</v>
      </c>
      <c r="L161" s="29">
        <f t="shared" ref="L161:M161" si="262">L159*L160</f>
        <v>0.13088985525484315</v>
      </c>
      <c r="M161" s="29">
        <f t="shared" si="262"/>
        <v>0.11398847614452451</v>
      </c>
      <c r="N161" s="29">
        <f t="shared" si="259"/>
        <v>9.7409475558708727E-2</v>
      </c>
      <c r="O161" s="29">
        <f>AVERAGE(B161:N161)</f>
        <v>0.15079273308496177</v>
      </c>
    </row>
    <row r="162" spans="1:15">
      <c r="A162" s="10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17"/>
    </row>
    <row r="163" spans="1:15">
      <c r="A163" s="10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</row>
    <row r="197" spans="1:1">
      <c r="A197" s="19"/>
    </row>
    <row r="201" spans="1:1">
      <c r="A201" s="19"/>
    </row>
  </sheetData>
  <pageMargins left="0.75" right="0.75" top="1" bottom="1" header="0.5" footer="0.5"/>
  <pageSetup paperSize="9" orientation="portrait" horizontalDpi="4294967292" verticalDpi="4294967292"/>
  <ignoredErrors>
    <ignoredError sqref="E16 E37 E58 E80 E117 E136 E156 H16 K16 H37 K37 H58 K58 H80 K80 H117 K117 H136 K136 H156 K156" formula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Req-traceability</vt:lpstr>
      <vt:lpstr>Individual components</vt:lpstr>
      <vt:lpstr>Imaging</vt:lpstr>
      <vt:lpstr>Spectroscopy</vt:lpstr>
      <vt:lpstr>SOW6-Requirement</vt:lpstr>
      <vt:lpstr>All bands figures</vt:lpstr>
      <vt:lpstr>Tablas auxiliares</vt:lpstr>
      <vt:lpstr>ImagingA</vt:lpstr>
      <vt:lpstr>SpectroscopyA</vt:lpstr>
    </vt:vector>
  </TitlesOfParts>
  <Company>Fractal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Perez</dc:creator>
  <cp:lastModifiedBy>Ana Perez</cp:lastModifiedBy>
  <cp:lastPrinted>2020-05-05T12:24:47Z</cp:lastPrinted>
  <dcterms:created xsi:type="dcterms:W3CDTF">2018-01-08T17:29:41Z</dcterms:created>
  <dcterms:modified xsi:type="dcterms:W3CDTF">2020-10-26T06:30:42Z</dcterms:modified>
</cp:coreProperties>
</file>