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AA9" i="1" l="1"/>
  <c r="B426" i="9" l="1"/>
  <c r="AD71" i="1" l="1"/>
  <c r="AA11" i="1" l="1"/>
  <c r="D68" i="8" l="1"/>
  <c r="F68" i="8"/>
  <c r="D47" i="8"/>
  <c r="D46" i="8"/>
  <c r="F366" i="8" l="1"/>
  <c r="F366" i="7"/>
  <c r="AD59" i="1" l="1"/>
  <c r="D67" i="8" l="1"/>
  <c r="B16" i="8"/>
  <c r="B12" i="8"/>
  <c r="D48" i="8"/>
  <c r="D307" i="8"/>
  <c r="D306" i="8"/>
  <c r="AA13" i="1" l="1"/>
  <c r="D286" i="8" l="1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20" i="9"/>
  <c r="B2" i="9"/>
  <c r="Z60" i="1" l="1"/>
  <c r="D56" i="7" l="1"/>
  <c r="D246" i="7" l="1"/>
  <c r="D368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<sst xmlns="http://schemas.openxmlformats.org/spreadsheetml/2006/main" count="5216" uniqueCount="487">
  <si>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</si>
  <si>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</si>
  <si>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</si>
  <si>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</si>
  <si>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</si>
  <si>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</si>
  <si>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</si>
  <si>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</si>
  <si>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</si>
  <si>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</si>
  <si>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</si>
  <si>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</si>
  <si>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</si>
  <si>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</si>
  <si>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</si>
  <si>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</si>
  <si>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</si>
  <si>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</si>
  <si>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</si>
  <si>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</si>
  <si>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</si>
  <si>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</si>
  <si>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</si>
  <si>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</si>
  <si>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</si>
  <si>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</si>
  <si>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</si>
  <si>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</si>
  <si>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</si>
  <si>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</si>
  <si>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</si>
  <si>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</si>
  <si>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</si>
  <si>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</si>
  <si>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</si>
  <si>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</si>
  <si>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</si>
  <si>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</si>
  <si>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</si>
  <si>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</si>
  <si>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</si>
  <si>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</si>
  <si>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</si>
  <si>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</si>
  <si>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</si>
  <si>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</si>
  <si>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</si>
  <si>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</si>
  <si>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</si>
  <si>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</si>
  <si>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</si>
  <si>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</si>
  <si>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</si>
  <si>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</si>
  <si>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</si>
  <si>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</si>
  <si>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</si>
  <si>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</si>
  <si>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</si>
  <si>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</si>
  <si>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</si>
  <si>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</si>
  <si>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</si>
  <si>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</si>
  <si>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</si>
  <si>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</si>
  <si>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</si>
  <si>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</si>
  <si>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</si>
  <si>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</si>
  <si>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</si>
  <si>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</si>
  <si>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</si>
  <si>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</si>
  <si>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</si>
  <si>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</si>
  <si>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</si>
  <si>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</si>
  <si>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</si>
  <si>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</si>
  <si>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</si>
  <si>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</si>
  <si>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</si>
  <si>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</si>
  <si>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</si>
  <si>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</si>
  <si>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</si>
  <si>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</si>
  <si>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</si>
  <si>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</si>
  <si>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</si>
  <si>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</si>
  <si>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</si>
  <si>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</si>
  <si>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</si>
  <si>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</si>
  <si>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</si>
  <si>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</si>
  <si>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</si>
  <si>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</si>
  <si>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</si>
  <si>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</si>
  <si>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</si>
  <si>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</si>
  <si>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</si>
  <si>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</si>
  <si>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</si>
  <si>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</si>
  <si>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</si>
  <si>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</si>
  <si>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</si>
  <si>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</si>
  <si>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</si>
  <si>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</si>
  <si>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</si>
  <si>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</si>
  <si>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</si>
  <si>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</si>
  <si>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</si>
  <si>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</si>
  <si>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</si>
  <si>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</si>
  <si>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</si>
  <si>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</si>
  <si>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</si>
  <si>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</si>
  <si>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</si>
  <si>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</si>
  <si>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</si>
  <si>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</si>
  <si>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</si>
  <si>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</si>
  <si>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</si>
  <si>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</si>
  <si>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</si>
  <si>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</si>
  <si>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</si>
  <si>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</si>
  <si>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</si>
  <si>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</si>
  <si>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</si>
  <si>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</si>
  <si>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</si>
  <si>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</si>
  <si>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</si>
  <si>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</si>
  <si>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</si>
  <si>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</si>
  <si>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</si>
  <si>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</si>
  <si>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</si>
  <si>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</si>
  <si>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</si>
  <si>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</si>
  <si>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</si>
  <si>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</si>
  <si>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</si>
  <si>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</si>
  <si>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</si>
  <si>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</si>
  <si>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</si>
  <si>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</si>
  <si>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</si>
  <si>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</si>
  <si>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</si>
  <si>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</si>
  <si>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</si>
  <si>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</si>
  <si>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</si>
  <si>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</si>
  <si>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</si>
  <si>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</si>
  <si>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</si>
  <si>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</si>
  <si>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</si>
  <si>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</si>
  <si>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</si>
  <si>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</si>
  <si>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</si>
  <si>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</si>
  <si>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</si>
  <si>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</si>
  <si>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</si>
  <si>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</si>
  <si>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</si>
  <si>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</si>
  <si>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</si>
  <si>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</si>
  <si>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</si>
  <si>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</si>
  <si>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</si>
  <si>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</si>
  <si>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</si>
  <si>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</si>
  <si>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</si>
  <si>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</si>
  <si>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</si>
  <si>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</si>
  <si>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</si>
  <si>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</si>
  <si>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</si>
  <si>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</si>
  <si>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</si>
  <si>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</si>
  <si>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</si>
  <si>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</si>
  <si>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</si>
  <si>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</si>
  <si>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</si>
  <si>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</si>
  <si>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</si>
  <si>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</si>
  <si>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</si>
  <si>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</si>
  <si>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</si>
  <si>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</si>
  <si>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</si>
  <si>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</si>
  <si>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</si>
  <si>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</si>
  <si>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</si>
  <si>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</si>
  <si>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</si>
  <si>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</si>
  <si>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</si>
  <si>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</si>
  <si>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</si>
  <si>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</si>
  <si>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</si>
  <si>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</si>
  <si>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</si>
  <si>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</si>
  <si>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</si>
  <si>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</si>
  <si>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</si>
  <si>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</si>
  <si>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</si>
  <si>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</si>
  <si>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</si>
  <si>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</si>
  <si>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</si>
  <si>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</si>
  <si>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</si>
  <si>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</si>
  <si>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</si>
  <si>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</si>
  <si>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</si>
  <si>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</si>
  <si>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</si>
  <si>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</si>
  <si>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</si>
  <si>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</si>
  <si>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</si>
  <si>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</si>
  <si>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</si>
  <si>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</si>
  <si>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</si>
  <si>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</si>
  <si>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</si>
  <si>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</si>
  <si>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</si>
  <si>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</si>
  <si>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</si>
  <si>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</si>
  <si>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</si>
  <si>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</si>
  <si>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</si>
  <si>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</si>
  <si>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</si>
  <si>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</si>
  <si>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</si>
  <si>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</si>
  <si>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</si>
  <si>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</si>
  <si>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</si>
  <si>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</si>
  <si>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</si>
  <si>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</si>
  <si>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</si>
  <si>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</si>
  <si>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</si>
  <si>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</si>
  <si>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</si>
  <si>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</si>
  <si>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</si>
  <si>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</si>
  <si>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</si>
  <si>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</si>
  <si>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</si>
  <si>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</si>
  <si>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</si>
  <si>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</si>
  <si>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</si>
  <si>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</si>
  <si>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</si>
  <si>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</si>
  <si>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</si>
  <si>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</si>
  <si>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</si>
  <si>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</si>
  <si>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</si>
  <si>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</si>
  <si>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</si>
  <si>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</si>
  <si>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</si>
  <si>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</si>
  <si>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</si>
  <si>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</si>
  <si>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</si>
  <si>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</si>
  <si>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</si>
  <si>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</si>
  <si>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</si>
  <si>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</si>
  <si>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</si>
  <si>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</si>
  <si>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</si>
  <si>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</si>
  <si>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</si>
  <si>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</si>
  <si>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</si>
  <si>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</si>
  <si>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</si>
  <si>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</si>
  <si>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</si>
  <si>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</si>
  <si>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</si>
  <si>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</si>
  <si>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</si>
  <si>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</si>
  <si>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</si>
  <si>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</si>
  <si>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</si>
  <si>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</si>
  <si>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</si>
  <si>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</si>
  <si>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</si>
  <si>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</si>
  <si>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</si>
  <si>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</si>
  <si>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</si>
  <si>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</si>
  <si>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</si>
  <si>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</si>
  <si>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</si>
  <si>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</si>
  <si>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</si>
  <si>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</si>
  <si>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</si>
  <si>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</si>
  <si>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</si>
  <si>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</si>
  <si>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</si>
  <si>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</si>
  <si>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</si>
  <si>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</si>
  <si>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</si>
  <si>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</si>
  <si>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</si>
  <si>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</si>
  <si>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</si>
  <si>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</si>
  <si>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</si>
  <si>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</si>
  <si>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</si>
  <si>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</si>
  <si>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</si>
  <si>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</si>
  <si>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</si>
  <si>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</si>
  <si>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</si>
  <si>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</si>
  <si>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</si>
  <si>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</si>
  <si>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</si>
  <si>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</si>
  <si>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</si>
  <si>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</si>
  <si>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</si>
  <si>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</si>
  <si>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</si>
  <si>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</si>
  <si>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</si>
  <si>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</si>
  <si>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</si>
  <si>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</si>
  <si>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</si>
  <si>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</si>
  <si>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</si>
  <si>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</si>
  <si>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</si>
  <si>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</si>
  <si>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</si>
  <si>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</si>
  <si>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</si>
  <si>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</si>
  <si>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</si>
  <si>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</si>
  <si>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</si>
  <si>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</si>
  <si>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</si>
  <si>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</si>
  <si>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</si>
  <si>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</si>
  <si>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</si>
  <si>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</si>
  <si>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</si>
  <si>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</si>
  <si>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</si>
  <si>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</si>
  <si>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</si>
  <si>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</si>
  <si>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</si>
  <si>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</si>
  <si>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</si>
  <si>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</si>
  <si>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</si>
  <si>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</si>
  <si>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</si>
  <si>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</si>
  <si>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</si>
  <si>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</si>
  <si>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</si>
  <si>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</si>
  <si>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</si>
  <si>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</si>
  <si>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</si>
  <si>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</si>
  <si>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</si>
  <si>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</si>
  <si>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</si>
  <si>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</si>
  <si>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</si>
  <si>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</si>
  <si>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</si>
  <si>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</si>
  <si>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</si>
  <si>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</si>
  <si>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</si>
  <si>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</si>
  <si>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</si>
  <si>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</si>
  <si>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</si>
  <si>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</si>
  <si>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</si>
  <si>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</si>
  <si>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</si>
  <si>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</si>
  <si>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</si>
  <si>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</si>
  <si>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</si>
  <si>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</si>
  <si>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</si>
  <si>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</si>
  <si>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</si>
  <si>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</si>
  <si>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</si>
  <si>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</si>
  <si>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</si>
  <si>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</si>
  <si>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</si>
  <si>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</si>
  <si>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</si>
  <si>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</si>
  <si>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</si>
  <si>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</si>
  <si>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</si>
  <si>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</si>
  <si>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</si>
  <si>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</si>
  <si>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</si>
  <si>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</si>
  <si>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</si>
  <si>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</si>
  <si>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</si>
  <si>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</si>
  <si>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Gasofa 8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</si>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</sst>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16" zoomScaleNormal="100" workbookViewId="0">
      <pane xSplit="1" topLeftCell="Z1" activePane="topRight" state="frozen"/>
      <selection pane="topRight" activeCell="AH28" sqref="AH2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24911.559999999998</v>
      </c>
      <c r="AB5" s="221"/>
      <c r="AC5" s="221"/>
      <c r="AD5" s="222"/>
      <c r="AE5" s="229">
        <f>'08'!K19</f>
        <v>13551.890000000001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>
        <v>3973.79</v>
      </c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>
        <f>786.42+134.94+83.04</f>
        <v>1004.3999999999999</v>
      </c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>
        <v>341.74</v>
      </c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>
        <f>0.02</f>
        <v>0.02</v>
      </c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2871.2000000000003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>
        <f>93.93</f>
        <v>93.93</v>
      </c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>
        <v>632.86</v>
      </c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5438.31</v>
      </c>
      <c r="X17" s="234"/>
      <c r="Y17" s="234"/>
      <c r="Z17" s="235"/>
      <c r="AA17" s="233">
        <f>SUM(AA8:AA16)</f>
        <v>1731.21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36399.89</v>
      </c>
      <c r="AZ17" s="2">
        <f ca="1">AY17/BB17</f>
        <v>5199.9842857142858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107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1826.1999999999998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2618.1999999999998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3410.2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4202.2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0.16919245011789419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917.46</v>
      </c>
      <c r="AD21" s="84">
        <f t="shared" si="7"/>
        <v>734.39999999999986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1862.3999999999999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3020.3999999999996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4178.3999999999996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5336.4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6494.4</v>
      </c>
      <c r="AY21" s="45">
        <f t="shared" si="13"/>
        <v>7588.52</v>
      </c>
      <c r="AZ21" s="41">
        <f t="shared" si="14"/>
        <v>0.25204758018685713</v>
      </c>
      <c r="BA21" s="42">
        <f t="shared" ref="BA21:BA45" si="16">_xlfn.RANK.EQ(AZ21,$AZ$20:$AZ$45,)</f>
        <v>1</v>
      </c>
      <c r="BB21" s="42">
        <f t="shared" ca="1" si="15"/>
        <v>1084.0742857142857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246.24000000000004</v>
      </c>
      <c r="AD22" s="85">
        <f t="shared" si="7"/>
        <v>154.71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664.71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1044.71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1424.71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1804.71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2184.71</v>
      </c>
      <c r="AY22" s="43">
        <f t="shared" si="13"/>
        <v>2954.7500000000005</v>
      </c>
      <c r="AZ22" s="41">
        <f t="shared" si="14"/>
        <v>9.8140030935823602E-2</v>
      </c>
      <c r="BA22" s="42">
        <f t="shared" si="16"/>
        <v>3</v>
      </c>
      <c r="BB22" s="42">
        <f t="shared" ca="1" si="15"/>
        <v>422.10714285714295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143.05000000000001</v>
      </c>
      <c r="AD23" s="84">
        <f t="shared" si="7"/>
        <v>6.3100000000000023</v>
      </c>
      <c r="AE23" s="27" t="s">
        <v>107</v>
      </c>
      <c r="AF23" s="62">
        <f>'08'!B80</f>
        <v>150</v>
      </c>
      <c r="AG23" s="63">
        <f>SUM('08'!D80:F80)</f>
        <v>0</v>
      </c>
      <c r="AH23" s="84">
        <f t="shared" si="8"/>
        <v>156.31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306.31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456.31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606.30999999999995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756.31</v>
      </c>
      <c r="AY23" s="45">
        <f t="shared" si="13"/>
        <v>1330.4899999999998</v>
      </c>
      <c r="AZ23" s="41">
        <f t="shared" si="14"/>
        <v>4.4191329134378177E-2</v>
      </c>
      <c r="BA23" s="42">
        <f t="shared" si="16"/>
        <v>8</v>
      </c>
      <c r="BB23" s="42">
        <f t="shared" ca="1" si="15"/>
        <v>190.06999999999996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59.69</v>
      </c>
      <c r="AD24" s="85">
        <f t="shared" si="7"/>
        <v>137.93000000000004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287.93000000000006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437.93000000000006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587.93000000000006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737.93000000000006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887.93000000000006</v>
      </c>
      <c r="AY24" s="43">
        <f t="shared" si="13"/>
        <v>976.63000000000011</v>
      </c>
      <c r="AZ24" s="41">
        <f t="shared" si="14"/>
        <v>3.2438107593824657E-2</v>
      </c>
      <c r="BA24" s="42">
        <f t="shared" si="16"/>
        <v>9</v>
      </c>
      <c r="BB24" s="42">
        <f t="shared" ca="1" si="15"/>
        <v>139.51857142857145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7.645074365216098E-2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141.99999999999997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193.99999999999997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245.99999999999997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298</v>
      </c>
      <c r="AY26" s="43">
        <f t="shared" si="13"/>
        <v>319.47000000000003</v>
      </c>
      <c r="AZ26" s="41">
        <f t="shared" si="14"/>
        <v>1.0610980855594405E-2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8.204935051045437E-3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7.1584512691028029E-2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2.3756214815648859E-2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7.930916858230292E-3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187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257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327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397</v>
      </c>
      <c r="AY31" s="45">
        <f t="shared" si="17"/>
        <v>615</v>
      </c>
      <c r="AZ31" s="41">
        <f t="shared" si="14"/>
        <v>2.0426810737128865E-2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10</v>
      </c>
      <c r="AD32" s="89">
        <f t="shared" si="7"/>
        <v>-74.110000000000014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5.8899999999999864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55.889999999999986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105.88999999999999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155.88999999999999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205.89</v>
      </c>
      <c r="AY32" s="43">
        <f t="shared" si="17"/>
        <v>554.11</v>
      </c>
      <c r="AZ32" s="41">
        <f t="shared" si="14"/>
        <v>1.8404390402521096E-2</v>
      </c>
      <c r="BA32" s="42">
        <f t="shared" si="16"/>
        <v>12</v>
      </c>
      <c r="BB32" s="42">
        <f t="shared" ca="1" si="15"/>
        <v>79.158571428571435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60</v>
      </c>
      <c r="AG33" s="63">
        <f>SUM('08'!D280:F280)</f>
        <v>0</v>
      </c>
      <c r="AH33" s="88">
        <f t="shared" si="8"/>
        <v>180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190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200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210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220</v>
      </c>
      <c r="AY33" s="45">
        <f t="shared" si="17"/>
        <v>31.54</v>
      </c>
      <c r="AZ33" s="41">
        <f t="shared" si="14"/>
        <v>1.0475798547138933E-3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120</v>
      </c>
      <c r="AG34" s="59">
        <f>SUM('08'!D300:F300)</f>
        <v>0</v>
      </c>
      <c r="AH34" s="89">
        <f t="shared" si="8"/>
        <v>522.47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622.47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722.47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822.47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922.47</v>
      </c>
      <c r="AY34" s="43">
        <f>E34+I34+M34+Q34+U34+Y34+AC34+AG34+AK34+AO34+AS34+AW34+(E36+I36+M36)</f>
        <v>2518.71</v>
      </c>
      <c r="AZ34" s="41">
        <f t="shared" si="14"/>
        <v>8.3657256051567222E-2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4.4691536889989829E-2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70.02</v>
      </c>
      <c r="AG36" s="64">
        <f>SUM('08'!D340:F340)</f>
        <v>0</v>
      </c>
      <c r="AH36" s="85">
        <f t="shared" si="8"/>
        <v>-38.879999999999981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11.120000000000019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61.120000000000019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111.12000000000002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161.12</v>
      </c>
      <c r="AY36" s="40">
        <f>Q36+U36+Y36+AC36+AG36+AK36+AO36+AS36+AW36</f>
        <v>132.9</v>
      </c>
      <c r="AZ36" s="41">
        <f t="shared" si="14"/>
        <v>4.4141839788039445E-3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1.3821477645595827E-2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28.849999999999994</v>
      </c>
      <c r="AD38" s="85">
        <f t="shared" si="7"/>
        <v>34.700000000000017</v>
      </c>
      <c r="AE38" s="26" t="s">
        <v>107</v>
      </c>
      <c r="AF38" s="61">
        <f>'08'!B380</f>
        <v>60</v>
      </c>
      <c r="AG38" s="61">
        <f>SUM('08'!D380:F380)</f>
        <v>0</v>
      </c>
      <c r="AH38" s="85">
        <f t="shared" si="8"/>
        <v>94.700000000000017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134.70000000000002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174.70000000000002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214.70000000000002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254.70000000000002</v>
      </c>
      <c r="AY38" s="43">
        <f t="shared" si="17"/>
        <v>449.31999999999994</v>
      </c>
      <c r="AZ38" s="41">
        <f t="shared" si="14"/>
        <v>1.4923861138872747E-2</v>
      </c>
      <c r="BA38" s="42">
        <f t="shared" si="16"/>
        <v>13</v>
      </c>
      <c r="BB38" s="42">
        <f t="shared" ca="1" si="15"/>
        <v>64.188571428571422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20</v>
      </c>
      <c r="AG39" s="60">
        <f>SUM('08'!D400:F400)</f>
        <v>0</v>
      </c>
      <c r="AH39" s="84">
        <f t="shared" si="8"/>
        <v>1090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1100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1110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1120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1130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20</v>
      </c>
      <c r="AG40" s="61">
        <f>SUM('08'!D420:F420)</f>
        <v>0</v>
      </c>
      <c r="AH40" s="85">
        <f t="shared" si="8"/>
        <v>738.89000000000044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738.89000000000044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738.89000000000044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738.89000000000044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738.89000000000044</v>
      </c>
      <c r="AY40" s="43">
        <f t="shared" si="17"/>
        <v>118.89</v>
      </c>
      <c r="AZ40" s="41">
        <f t="shared" si="14"/>
        <v>3.9488512659142288E-3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-2887.09</v>
      </c>
      <c r="AC41" s="60">
        <f>SUM('07'!D440:F440)</f>
        <v>0</v>
      </c>
      <c r="AD41" s="84">
        <f t="shared" si="7"/>
        <v>6592.48</v>
      </c>
      <c r="AE41" s="27" t="s">
        <v>107</v>
      </c>
      <c r="AF41" s="60">
        <f>'08'!B440</f>
        <v>0</v>
      </c>
      <c r="AG41" s="60">
        <f>SUM('08'!D440:F440)</f>
        <v>0</v>
      </c>
      <c r="AH41" s="84">
        <f t="shared" si="8"/>
        <v>6592.48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6592.48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6592.48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6592.48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6592.48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479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315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315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315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315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1.1625014240642443E-4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1731.21</v>
      </c>
      <c r="AC46" s="117">
        <f>SUM(AC20:AC45)</f>
        <v>3014.6900000000005</v>
      </c>
      <c r="AD46" s="118">
        <f>SUM(AD20:AD45)</f>
        <v>23628.079999999998</v>
      </c>
      <c r="AE46" s="116"/>
      <c r="AF46" s="117">
        <f>SUM(AF20:AF45)</f>
        <v>3900.02</v>
      </c>
      <c r="AG46" s="117">
        <f>SUM(AG20:AG45)</f>
        <v>0</v>
      </c>
      <c r="AH46" s="118">
        <f>SUM(AH20:AH45)</f>
        <v>27528.100000000002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31415.1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35302.1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39189.1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43076.1</v>
      </c>
      <c r="AY46" s="28">
        <f>SUM(AY20:AY45)</f>
        <v>30107.490000000005</v>
      </c>
      <c r="AZ46" s="1"/>
      <c r="BA46" s="1"/>
      <c r="BB46" s="29">
        <f ca="1">SUM(BB20:BB45)</f>
        <v>4301.0700000000015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-1283.4800000000005</v>
      </c>
      <c r="AD47" s="82"/>
      <c r="AE47" s="82">
        <f>AE5-AD46</f>
        <v>-10076.189999999997</v>
      </c>
      <c r="AF47" s="82">
        <f>AE17-AF46</f>
        <v>-3900.02</v>
      </c>
      <c r="AG47" s="82">
        <f>AE17-AG46</f>
        <v>0</v>
      </c>
      <c r="AH47" s="82"/>
      <c r="AI47" s="82">
        <f>AI5-AH46</f>
        <v>-19047.120000000003</v>
      </c>
      <c r="AJ47" s="82">
        <f>AI17-AJ46</f>
        <v>-3887</v>
      </c>
      <c r="AK47" s="82">
        <f>AI17-AK46</f>
        <v>0</v>
      </c>
      <c r="AL47" s="82"/>
      <c r="AM47" s="82">
        <f>AM5-AL46</f>
        <v>-22934.12</v>
      </c>
      <c r="AN47" s="82">
        <f>AM17-AN46</f>
        <v>-3887</v>
      </c>
      <c r="AO47" s="82">
        <f>AM17-AO46</f>
        <v>0</v>
      </c>
      <c r="AP47" s="82"/>
      <c r="AQ47" s="82">
        <f>AQ5-AP46</f>
        <v>-26821.119999999999</v>
      </c>
      <c r="AR47" s="82">
        <f>AQ17-AR46</f>
        <v>-3887</v>
      </c>
      <c r="AS47" s="82">
        <f>AQ17-AS46</f>
        <v>0</v>
      </c>
      <c r="AT47" s="82"/>
      <c r="AU47" s="82">
        <f>AU5-AT46</f>
        <v>-30708.12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274.24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/>
      <c r="AS54" s="243"/>
      <c r="AT54" s="195"/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>
        <v>43313</v>
      </c>
      <c r="AF56" s="246" t="s">
        <v>229</v>
      </c>
      <c r="AG56" s="247"/>
      <c r="AH56" s="195">
        <v>10</v>
      </c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52" t="s">
        <v>297</v>
      </c>
      <c r="AC57" s="253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52" t="s">
        <v>369</v>
      </c>
      <c r="AC58" s="253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4" t="s">
        <v>463</v>
      </c>
      <c r="AC59" s="255"/>
      <c r="AD59" s="195">
        <f>(50*7)-'01'!D13-'03'!E13</f>
        <v>285.02</v>
      </c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450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 t="s">
        <v>318</v>
      </c>
      <c r="Y60" s="257"/>
      <c r="Z60" s="195">
        <f>622.46*2</f>
        <v>1244.92</v>
      </c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451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441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442</v>
      </c>
      <c r="Y71" s="261"/>
      <c r="Z71" s="196">
        <f>Z70-1484.91-429.89</f>
        <v>1645.1799999999998</v>
      </c>
      <c r="AA71" s="192"/>
      <c r="AB71" s="258"/>
      <c r="AC71" s="259"/>
      <c r="AD71" s="196">
        <f>550-161.56</f>
        <v>388.44</v>
      </c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74" workbookViewId="0">
      <selection activeCell="B382" sqref="B382:G3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B22" sqref="B22:G4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495" sqref="F495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1" workbookViewId="0">
      <selection activeCell="I22" sqref="I22:L2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2946.37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7451.76</v>
      </c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v>800</v>
      </c>
      <c r="L11" s="276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474</v>
      </c>
      <c r="H12" s="1"/>
      <c r="I12" s="207" t="s">
        <v>313</v>
      </c>
      <c r="J12" s="206" t="s">
        <v>314</v>
      </c>
      <c r="K12" s="275">
        <v>5092.08</v>
      </c>
      <c r="L12" s="276"/>
      <c r="M12" s="187" t="s">
        <v>467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>
        <f>40</f>
        <v>40</v>
      </c>
      <c r="C16" s="34" t="s">
        <v>475</v>
      </c>
      <c r="D16" s="70"/>
      <c r="E16" s="71"/>
      <c r="F16" s="71">
        <v>60</v>
      </c>
      <c r="G16" s="34" t="s">
        <v>475</v>
      </c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478</v>
      </c>
      <c r="K25" s="282">
        <v>134.94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486</v>
      </c>
      <c r="K26" s="275">
        <v>83.04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>
        <v>2</v>
      </c>
      <c r="J27" s="36" t="s">
        <v>286</v>
      </c>
      <c r="K27" s="275">
        <v>786.42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481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86.61+69.18</f>
        <v>155.79000000000002</v>
      </c>
      <c r="E47" s="71"/>
      <c r="F47" s="71"/>
      <c r="G47" s="34" t="s">
        <v>482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473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246.24000000000004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470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471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483</v>
      </c>
      <c r="H68" s="1">
        <v>106.3</v>
      </c>
      <c r="I68" s="184" t="s">
        <v>318</v>
      </c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84.05</v>
      </c>
      <c r="E80" s="69">
        <f>SUM(E66:E79)</f>
        <v>0</v>
      </c>
      <c r="F80" s="69">
        <f>SUM(F66:F79)</f>
        <v>59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53.39</v>
      </c>
      <c r="E86" s="71"/>
      <c r="F86" s="71"/>
      <c r="G86" s="34" t="s">
        <v>476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477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53.39</v>
      </c>
      <c r="E100" s="69">
        <f>SUM(E86:E99)</f>
        <v>6.3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464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v>10</v>
      </c>
      <c r="E246" s="71"/>
      <c r="F246" s="71"/>
      <c r="G246" s="34" t="s">
        <v>484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10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462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472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</f>
        <v>28.849999999999994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28.849999999999994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-2887.09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-2887.09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501" workbookViewId="0">
      <selection activeCell="B502" sqref="B502:G50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/>
      <c r="L6" s="276"/>
      <c r="M6" s="1" t="s">
        <v>404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v>20</v>
      </c>
      <c r="C12" s="34" t="s">
        <v>475</v>
      </c>
      <c r="D12" s="70"/>
      <c r="E12" s="71"/>
      <c r="F12" s="71"/>
      <c r="G12" s="34"/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-285</v>
      </c>
      <c r="C13" s="34" t="s">
        <v>480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13551.890000000001</v>
      </c>
      <c r="L19" s="27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485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20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Cartama Finanazas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8">
        <v>30</v>
      </c>
      <c r="C466" s="34" t="s">
        <v>203</v>
      </c>
      <c r="D466" s="70"/>
      <c r="E466" s="71"/>
      <c r="F466" s="71"/>
      <c r="G466" s="34"/>
    </row>
    <row r="467" spans="2:7">
      <c r="B467" s="68">
        <v>285</v>
      </c>
      <c r="C467" s="34" t="s">
        <v>480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2018-07-17T15:23:57Z</dcterms:modified>
</cp:coreProperties>
</file>