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0" yWindow="0" windowWidth="21570" windowHeight="7560" activeTab="5"/>
  </bookViews>
  <sheets>
    <sheet name="Operacion 1" sheetId="1" r:id="rId1"/>
    <sheet name="Operacion 2" sheetId="2" r:id="rId2"/>
    <sheet name="Operacion 3" sheetId="4" r:id="rId3"/>
    <sheet name="Historial" sheetId="3" r:id="rId4"/>
    <sheet name="Fondo" sheetId="6" r:id="rId5"/>
    <sheet name="Criterios" sheetId="5" r:id="rId6"/>
  </sheets>
  <calcPr calcId="171027"/>
</workbook>
</file>

<file path=xl/calcChain.xml><?xml version="1.0" encoding="utf-8"?>
<calcChain xmlns="http://schemas.openxmlformats.org/spreadsheetml/2006/main">
  <c r="B3" i="6" l="1"/>
  <c r="B6" i="6" l="1"/>
  <c r="C4" i="6" s="1"/>
  <c r="D4" i="6" s="1"/>
  <c r="B4" i="6"/>
  <c r="C3" i="6" l="1"/>
  <c r="C5" i="6"/>
  <c r="D5" i="6" s="1"/>
  <c r="Q19" i="3"/>
  <c r="R19" i="3" s="1"/>
  <c r="P19" i="3"/>
  <c r="D3" i="6" l="1"/>
  <c r="C6" i="6"/>
  <c r="U33" i="3"/>
  <c r="B15" i="4" l="1"/>
  <c r="R18" i="3" l="1"/>
  <c r="O22" i="3" l="1"/>
  <c r="N22" i="3"/>
  <c r="M22" i="3"/>
  <c r="L22" i="3"/>
  <c r="R3" i="3"/>
  <c r="R22" i="3" s="1"/>
  <c r="S3" i="3"/>
  <c r="R12" i="3"/>
  <c r="Q13" i="3"/>
  <c r="S22" i="3"/>
  <c r="P67" i="3"/>
  <c r="K22" i="3" l="1"/>
  <c r="J22" i="3"/>
  <c r="I22" i="3"/>
  <c r="H22" i="3" l="1"/>
  <c r="B13" i="3" l="1"/>
  <c r="B18" i="1" l="1"/>
  <c r="B16" i="1"/>
  <c r="B4" i="2" l="1"/>
  <c r="B5" i="1"/>
  <c r="B17" i="1" s="1"/>
  <c r="B15" i="1" s="1"/>
  <c r="B19" i="2"/>
  <c r="A26" i="3" l="1"/>
  <c r="F26" i="3"/>
  <c r="E26" i="3"/>
  <c r="B26" i="3"/>
  <c r="E16" i="4"/>
  <c r="B7" i="4"/>
  <c r="E13" i="4" s="1"/>
  <c r="E17" i="4" s="1"/>
  <c r="B5" i="4"/>
  <c r="I4" i="4"/>
  <c r="I5" i="4" s="1"/>
  <c r="D26" i="3" l="1"/>
  <c r="D13" i="3"/>
  <c r="G26" i="3"/>
  <c r="E6" i="4"/>
  <c r="E5" i="4"/>
  <c r="E3" i="4"/>
  <c r="E4" i="4"/>
  <c r="H26" i="3" l="1"/>
  <c r="L26" i="3"/>
  <c r="E11" i="4"/>
  <c r="E18" i="4" s="1"/>
  <c r="J26" i="3" l="1"/>
  <c r="I26" i="3"/>
  <c r="N26" i="3"/>
  <c r="M26" i="3"/>
  <c r="B5" i="2"/>
  <c r="K26" i="3" l="1"/>
  <c r="O26" i="3"/>
  <c r="P26" i="3"/>
  <c r="Q26" i="3"/>
  <c r="A25" i="3"/>
  <c r="F25" i="3"/>
  <c r="L25" i="3" s="1"/>
  <c r="M25" i="3" s="1"/>
  <c r="E25" i="3"/>
  <c r="B25" i="3"/>
  <c r="A24" i="3"/>
  <c r="E16" i="2"/>
  <c r="B12" i="2"/>
  <c r="B7" i="2"/>
  <c r="D25" i="3"/>
  <c r="I4" i="2"/>
  <c r="I5" i="2" s="1"/>
  <c r="R26" i="3" l="1"/>
  <c r="S26" i="3" s="1"/>
  <c r="E5" i="2"/>
  <c r="G25" i="3"/>
  <c r="H25" i="3"/>
  <c r="E6" i="2"/>
  <c r="E3" i="2"/>
  <c r="E4" i="2"/>
  <c r="E13" i="2"/>
  <c r="E17" i="2" s="1"/>
  <c r="N25" i="3" l="1"/>
  <c r="I25" i="3"/>
  <c r="P25" i="3" s="1"/>
  <c r="E11" i="2"/>
  <c r="E18" i="2" s="1"/>
  <c r="B12" i="1"/>
  <c r="B24" i="3"/>
  <c r="F24" i="3"/>
  <c r="E24" i="3"/>
  <c r="O25" i="3" l="1"/>
  <c r="J25" i="3"/>
  <c r="K25" i="3" s="1"/>
  <c r="D24" i="3"/>
  <c r="H24" i="3" s="1"/>
  <c r="F3" i="3"/>
  <c r="G3" i="3" s="1"/>
  <c r="R25" i="3" l="1"/>
  <c r="Q25" i="3"/>
  <c r="S25" i="3"/>
  <c r="L24" i="3"/>
  <c r="I24" i="3"/>
  <c r="J24" i="3" s="1"/>
  <c r="K24" i="3" s="1"/>
  <c r="E16" i="1"/>
  <c r="M24" i="3" l="1"/>
  <c r="P24" i="3" s="1"/>
  <c r="I4" i="1"/>
  <c r="N24" i="3" l="1"/>
  <c r="Q24" i="3" s="1"/>
  <c r="B7" i="1"/>
  <c r="G24" i="3" s="1"/>
  <c r="O24" i="3" l="1"/>
  <c r="E6" i="1"/>
  <c r="E13" i="1"/>
  <c r="E17" i="1" s="1"/>
  <c r="E3" i="1"/>
  <c r="E4" i="1"/>
  <c r="E5" i="1"/>
  <c r="R24" i="3" l="1"/>
  <c r="S24" i="3" s="1"/>
  <c r="E11" i="1"/>
  <c r="E18" i="1" s="1"/>
  <c r="I5" i="1"/>
</calcChain>
</file>

<file path=xl/sharedStrings.xml><?xml version="1.0" encoding="utf-8"?>
<sst xmlns="http://schemas.openxmlformats.org/spreadsheetml/2006/main" count="170" uniqueCount="89">
  <si>
    <t>% =</t>
  </si>
  <si>
    <t>CONDICIONES DE VENTA</t>
  </si>
  <si>
    <t>Profit-Warning</t>
  </si>
  <si>
    <t>(benefict &gt; 11%)</t>
  </si>
  <si>
    <t>(benefict &gt; 26%)</t>
  </si>
  <si>
    <t>(benefict &gt; 51%)</t>
  </si>
  <si>
    <t>(BB+19_2,0 --&gt; MM0)</t>
  </si>
  <si>
    <t>(RSI &gt; 70%)</t>
  </si>
  <si>
    <t>Suma =</t>
  </si>
  <si>
    <t>Accion a Realizar =</t>
  </si>
  <si>
    <t>Stop-Loss</t>
  </si>
  <si>
    <t>(MM0 &lt; BB-19_2,0)</t>
  </si>
  <si>
    <t>Fecha de Compra =</t>
  </si>
  <si>
    <t>CONDICIONES DE COMPRA</t>
  </si>
  <si>
    <t>VALOR</t>
  </si>
  <si>
    <t>FECHA COMPRA</t>
  </si>
  <si>
    <t>FECHA VENTA</t>
  </si>
  <si>
    <t>PRECIO DE COMPRA</t>
  </si>
  <si>
    <t>PRECIO DE VENTA</t>
  </si>
  <si>
    <t>% RESULTADO</t>
  </si>
  <si>
    <t>IMPUESTOS</t>
  </si>
  <si>
    <t>COMISIONES</t>
  </si>
  <si>
    <t>Nº VALORES</t>
  </si>
  <si>
    <t>% BENEFICIO</t>
  </si>
  <si>
    <t>MT.AS</t>
  </si>
  <si>
    <t>(RSI &lt; 60%)</t>
  </si>
  <si>
    <t>(MM0 --&gt; BB+19_2,0) AND (MM0 &lt; BB+19_2,0)</t>
  </si>
  <si>
    <t>(MM0 --&gt; BB-19_2,0) OR (MM0 &lt; BB-19_2,0)</t>
  </si>
  <si>
    <t>Nombre Valor =</t>
  </si>
  <si>
    <t>Precio de compra =</t>
  </si>
  <si>
    <t>Precio de venta =</t>
  </si>
  <si>
    <t>Nº de valores =</t>
  </si>
  <si>
    <t xml:space="preserve">Dinero Disponible = </t>
  </si>
  <si>
    <t>PHI.AS</t>
  </si>
  <si>
    <t>Profit-Warning según los Diás *</t>
  </si>
  <si>
    <t>* Si han pasado menos de 4 dias y el Beneficio es mayor del 4.04%, o Si han pasado mas de 4 semanas y el Beneficio es mayor del 2.79%</t>
  </si>
  <si>
    <t>(benefict &lt; -6%)</t>
  </si>
  <si>
    <t xml:space="preserve">(MM0 --&gt; BB+19_2,0) </t>
  </si>
  <si>
    <t xml:space="preserve">(MM0 &gt; BB+19_2,0) </t>
  </si>
  <si>
    <t>UNA.AS</t>
  </si>
  <si>
    <t>Limite venta:</t>
  </si>
  <si>
    <t>OPERACION 1</t>
  </si>
  <si>
    <t>OPERACION 2</t>
  </si>
  <si>
    <t>Intereses Cuenta</t>
  </si>
  <si>
    <t>Custodia de acciones</t>
  </si>
  <si>
    <t>Venta de warrants de MT.AS</t>
  </si>
  <si>
    <t>StockSplit 4 acciones</t>
  </si>
  <si>
    <t>Profit Warning</t>
  </si>
  <si>
    <t>ITX.MC</t>
  </si>
  <si>
    <t>COMPRA</t>
  </si>
  <si>
    <t>Acciones</t>
  </si>
  <si>
    <t>Comisiones</t>
  </si>
  <si>
    <t>Impuestos</t>
  </si>
  <si>
    <t>Todo</t>
  </si>
  <si>
    <t>VENTA</t>
  </si>
  <si>
    <t>Final</t>
  </si>
  <si>
    <t>TOTAL</t>
  </si>
  <si>
    <t>Citi</t>
  </si>
  <si>
    <t>GS</t>
  </si>
  <si>
    <t>Resultado Final</t>
  </si>
  <si>
    <t>OPERACION 3 (ES)</t>
  </si>
  <si>
    <t>TEF.MC = 7.7 -- 11</t>
  </si>
  <si>
    <t>Custodia de acciones MT.AS</t>
  </si>
  <si>
    <t>ABI.BR</t>
  </si>
  <si>
    <t>Noviembre Compra</t>
  </si>
  <si>
    <t>VOW3.DE</t>
  </si>
  <si>
    <t>DAI.DE</t>
  </si>
  <si>
    <t>BMV.DE</t>
  </si>
  <si>
    <r>
      <t>Inditex</t>
    </r>
    <r>
      <rPr>
        <sz val="12"/>
        <color rgb="FF545454"/>
        <rFont val="Arial"/>
        <family val="2"/>
      </rPr>
      <t> SA. </t>
    </r>
    <r>
      <rPr>
        <b/>
        <sz val="12"/>
        <color rgb="FF6A6A6A"/>
        <rFont val="Arial"/>
        <family val="2"/>
      </rPr>
      <t>Code</t>
    </r>
    <r>
      <rPr>
        <sz val="12"/>
        <color rgb="FF545454"/>
        <rFont val="Arial"/>
        <family val="2"/>
      </rPr>
      <t> number. A11873. </t>
    </r>
    <r>
      <rPr>
        <b/>
        <sz val="12"/>
        <color rgb="FF6A6A6A"/>
        <rFont val="Arial"/>
        <family val="2"/>
      </rPr>
      <t>ISIN</t>
    </r>
    <r>
      <rPr>
        <sz val="12"/>
        <color rgb="FF545454"/>
        <rFont val="Arial"/>
        <family val="2"/>
      </rPr>
      <t>. ES0148396007. Symbol. IXD1. Sector. Textile Industry. </t>
    </r>
  </si>
  <si>
    <t>ES0148396007</t>
  </si>
  <si>
    <t>Objetivo:</t>
  </si>
  <si>
    <t>Porcentaje:</t>
  </si>
  <si>
    <t>Hoy:</t>
  </si>
  <si>
    <t>Comisiones+Impuestos Compra ITX.MC</t>
  </si>
  <si>
    <t>Limite venta: 10%</t>
  </si>
  <si>
    <t>Hasta Agosto</t>
  </si>
  <si>
    <t>Dividendos ITX.MC</t>
  </si>
  <si>
    <t>Dividendos de PHI.AS</t>
  </si>
  <si>
    <t>Financieros</t>
  </si>
  <si>
    <t>Accionistas</t>
  </si>
  <si>
    <t>Cantidad</t>
  </si>
  <si>
    <t>Porcentaje</t>
  </si>
  <si>
    <t>Dreamed Holidays</t>
  </si>
  <si>
    <t>Cartama Finanazas</t>
  </si>
  <si>
    <t>Criterios de Compra</t>
  </si>
  <si>
    <t>Reparto de Beneficios Netos</t>
  </si>
  <si>
    <t>Los analistas les den un potencial alto, entre un 30% - 50% de potencial</t>
  </si>
  <si>
    <t>Haber bajado en un año entre un 30% - 50%</t>
  </si>
  <si>
    <t>Volumen medio, alto &gt; 1 M /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</si>
</sst>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#,##0.00\ &quot;€&quot;;[Red]\-#,##0.00\ &quot;€&quot;"/>
    <numFmt numFmtId="164" formatCode="&quot;€&quot;#,##0.00;[Red]\-&quot;€&quot;#,##0.00"/>
    <numFmt numFmtId="165" formatCode="&quot;€&quot;\ #,##0.00"/>
    <numFmt numFmtId="166" formatCode="dd/mm/yy;@"/>
    <numFmt numFmtId="167" formatCode="dd/mm/yyyy;@"/>
    <numFmt numFmtId="168" formatCode="#,##0_ ;[Red]\-#,##0\ 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6282A"/>
      <name val="Arial"/>
      <family val="2"/>
    </font>
    <font>
      <b/>
      <sz val="11"/>
      <color rgb="FF26282A"/>
      <name val="Arial"/>
      <family val="2"/>
    </font>
    <font>
      <sz val="12"/>
      <color rgb="FF000000"/>
      <name val="Arial"/>
      <family val="2"/>
    </font>
    <font>
      <b/>
      <sz val="12"/>
      <color rgb="FF6A6A6A"/>
      <name val="Arial"/>
      <family val="2"/>
    </font>
    <font>
      <sz val="12"/>
      <color rgb="FF545454"/>
      <name val="Arial"/>
      <family val="2"/>
    </font>
    <font>
      <b/>
      <sz val="11"/>
      <color rgb="FF000000"/>
      <name val="Arial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165" fontId="1" fillId="0" borderId="0" xfId="0" applyNumberFormat="1" applyFont="1"/>
    <xf numFmtId="10" fontId="0" fillId="0" borderId="0" xfId="0" applyNumberFormat="1"/>
    <xf numFmtId="166" fontId="0" fillId="0" borderId="0" xfId="0" applyNumberFormat="1"/>
    <xf numFmtId="16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164" fontId="0" fillId="0" borderId="4" xfId="0" applyNumberFormat="1" applyBorder="1"/>
    <xf numFmtId="10" fontId="0" fillId="0" borderId="4" xfId="0" applyNumberFormat="1" applyBorder="1"/>
    <xf numFmtId="0" fontId="1" fillId="0" borderId="7" xfId="0" applyFont="1" applyBorder="1"/>
    <xf numFmtId="49" fontId="2" fillId="0" borderId="7" xfId="0" applyNumberFormat="1" applyFont="1" applyBorder="1"/>
    <xf numFmtId="0" fontId="0" fillId="0" borderId="8" xfId="0" applyBorder="1"/>
    <xf numFmtId="165" fontId="1" fillId="0" borderId="7" xfId="0" applyNumberFormat="1" applyFont="1" applyBorder="1"/>
    <xf numFmtId="0" fontId="1" fillId="0" borderId="9" xfId="0" applyFont="1" applyBorder="1"/>
    <xf numFmtId="0" fontId="0" fillId="0" borderId="10" xfId="0" applyBorder="1"/>
    <xf numFmtId="0" fontId="0" fillId="0" borderId="11" xfId="0" applyBorder="1"/>
    <xf numFmtId="0" fontId="0" fillId="2" borderId="11" xfId="0" applyFill="1" applyBorder="1"/>
    <xf numFmtId="0" fontId="0" fillId="2" borderId="8" xfId="0" applyFill="1" applyBorder="1"/>
    <xf numFmtId="0" fontId="1" fillId="0" borderId="12" xfId="0" applyFont="1" applyBorder="1"/>
    <xf numFmtId="0" fontId="1" fillId="0" borderId="13" xfId="0" applyFont="1" applyBorder="1"/>
    <xf numFmtId="0" fontId="0" fillId="0" borderId="0" xfId="0" applyAlignment="1"/>
    <xf numFmtId="0" fontId="1" fillId="0" borderId="17" xfId="0" applyFont="1" applyBorder="1"/>
    <xf numFmtId="0" fontId="0" fillId="0" borderId="18" xfId="0" applyBorder="1"/>
    <xf numFmtId="0" fontId="1" fillId="0" borderId="19" xfId="0" applyFont="1" applyBorder="1"/>
    <xf numFmtId="168" fontId="0" fillId="0" borderId="0" xfId="0" applyNumberFormat="1"/>
    <xf numFmtId="14" fontId="0" fillId="0" borderId="0" xfId="0" applyNumberForma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0" xfId="0" applyFont="1" applyFill="1" applyBorder="1"/>
    <xf numFmtId="49" fontId="0" fillId="0" borderId="0" xfId="0" quotePrefix="1" applyNumberFormat="1" applyAlignment="1">
      <alignment horizontal="righ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0" fontId="3" fillId="0" borderId="0" xfId="0" applyNumberFormat="1" applyFont="1" applyAlignment="1">
      <alignment horizontal="right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2" fontId="0" fillId="0" borderId="0" xfId="0" applyNumberFormat="1"/>
    <xf numFmtId="0" fontId="6" fillId="0" borderId="0" xfId="0" applyFont="1"/>
    <xf numFmtId="164" fontId="4" fillId="0" borderId="0" xfId="0" applyNumberFormat="1" applyFont="1" applyAlignment="1">
      <alignment horizontal="left" vertical="center" wrapText="1" indent="1"/>
    </xf>
    <xf numFmtId="10" fontId="0" fillId="0" borderId="0" xfId="0" applyNumberFormat="1" applyBorder="1"/>
    <xf numFmtId="164" fontId="0" fillId="0" borderId="0" xfId="0" applyNumberFormat="1" applyBorder="1"/>
    <xf numFmtId="0" fontId="7" fillId="0" borderId="0" xfId="0" applyFont="1"/>
    <xf numFmtId="0" fontId="9" fillId="0" borderId="0" xfId="0" applyFont="1"/>
    <xf numFmtId="0" fontId="10" fillId="0" borderId="0" xfId="0" applyFont="1"/>
    <xf numFmtId="8" fontId="0" fillId="0" borderId="0" xfId="0" applyNumberFormat="1"/>
    <xf numFmtId="0" fontId="0" fillId="0" borderId="0" xfId="0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4" borderId="22" xfId="0" applyFill="1" applyBorder="1" applyAlignment="1">
      <alignment horizontal="center"/>
    </xf>
    <xf numFmtId="0" fontId="0" fillId="5" borderId="2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15" sqref="B15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5600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42234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63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89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(TRUNC(B1/B4)+1)-1</f>
        <v>62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120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0.348314606741573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40</v>
      </c>
      <c r="B12" s="5">
        <f>(B4*0.1155)+B4</f>
        <v>99.279499999999999</v>
      </c>
      <c r="D12" s="34" t="s">
        <v>10</v>
      </c>
      <c r="E12" s="35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((46.9+26.95)/B16)+B17+B18</f>
        <v>22.355415162454872</v>
      </c>
      <c r="D15" s="17" t="s">
        <v>11</v>
      </c>
      <c r="E15" s="19">
        <v>0</v>
      </c>
    </row>
    <row r="16" spans="1:10" ht="15.75" x14ac:dyDescent="0.25">
      <c r="B16">
        <f>186+91</f>
        <v>277</v>
      </c>
      <c r="D16" s="17" t="s">
        <v>7</v>
      </c>
      <c r="E16" s="25">
        <f>E10</f>
        <v>0</v>
      </c>
    </row>
    <row r="17" spans="2:6" ht="16.5" thickBot="1" x14ac:dyDescent="0.3">
      <c r="B17">
        <f>B5/B16 *B4</f>
        <v>19.920577617328519</v>
      </c>
      <c r="D17" s="26" t="s">
        <v>8</v>
      </c>
      <c r="E17" s="23">
        <f>SUM(E13:E16)</f>
        <v>0</v>
      </c>
    </row>
    <row r="18" spans="2:6" ht="16.5" thickBot="1" x14ac:dyDescent="0.3">
      <c r="B18">
        <f>(91/277)*6.6</f>
        <v>2.1682310469314077</v>
      </c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H1:I1"/>
    <mergeCell ref="I5:J5"/>
    <mergeCell ref="D2:E2"/>
    <mergeCell ref="D1:E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6" sqref="B6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600.6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42471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24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f>2.2*3</f>
        <v>6.6000000000000005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91</v>
      </c>
      <c r="D5" s="17" t="s">
        <v>5</v>
      </c>
      <c r="E5" s="25">
        <f>IF(B$7 &gt;= 0.51,1,0)</f>
        <v>1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28.52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3.3212121212121204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4</v>
      </c>
    </row>
    <row r="12" spans="1:10" x14ac:dyDescent="0.25">
      <c r="A12" t="s">
        <v>40</v>
      </c>
      <c r="B12" s="5">
        <f>(B4*0.1155)+B4</f>
        <v>7.3623000000000003</v>
      </c>
      <c r="D12" s="40" t="s">
        <v>10</v>
      </c>
      <c r="E12" s="41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19" spans="2:6" x14ac:dyDescent="0.25">
      <c r="B19">
        <f>273/3</f>
        <v>91</v>
      </c>
    </row>
    <row r="20" spans="2:6" ht="15.75" x14ac:dyDescent="0.25">
      <c r="D20" s="38" t="s">
        <v>35</v>
      </c>
    </row>
    <row r="21" spans="2:6" x14ac:dyDescent="0.25">
      <c r="E21" s="33"/>
    </row>
    <row r="23" spans="2:6" x14ac:dyDescent="0.25">
      <c r="E23" s="33"/>
    </row>
    <row r="28" spans="2:6" x14ac:dyDescent="0.25">
      <c r="E28" s="4"/>
    </row>
  </sheetData>
  <mergeCells count="4">
    <mergeCell ref="I5:J5"/>
    <mergeCell ref="D2:E2"/>
    <mergeCell ref="D1:E1"/>
    <mergeCell ref="H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H8" sqref="H8"/>
    </sheetView>
  </sheetViews>
  <sheetFormatPr defaultColWidth="9.140625" defaultRowHeight="15" x14ac:dyDescent="0.25"/>
  <cols>
    <col min="1" max="1" width="19.42578125" customWidth="1"/>
    <col min="2" max="2" width="16.42578125" customWidth="1"/>
    <col min="4" max="4" width="50.140625" customWidth="1"/>
    <col min="5" max="5" width="10.7109375" bestFit="1" customWidth="1"/>
    <col min="8" max="8" width="45.7109375" customWidth="1"/>
    <col min="9" max="9" width="9.85546875" customWidth="1"/>
  </cols>
  <sheetData>
    <row r="1" spans="1:10" ht="15.75" thickBot="1" x14ac:dyDescent="0.3">
      <c r="A1" t="s">
        <v>32</v>
      </c>
      <c r="B1" s="5">
        <v>5100</v>
      </c>
      <c r="D1" s="62" t="s">
        <v>1</v>
      </c>
      <c r="E1" s="62"/>
      <c r="F1" s="28"/>
      <c r="H1" s="57" t="s">
        <v>13</v>
      </c>
      <c r="I1" s="57"/>
    </row>
    <row r="2" spans="1:10" ht="15.75" x14ac:dyDescent="0.25">
      <c r="A2" t="s">
        <v>12</v>
      </c>
      <c r="B2" s="4">
        <v>43154</v>
      </c>
      <c r="D2" s="60" t="s">
        <v>2</v>
      </c>
      <c r="E2" s="61"/>
      <c r="H2" s="29" t="s">
        <v>26</v>
      </c>
      <c r="I2" s="30">
        <v>1</v>
      </c>
    </row>
    <row r="3" spans="1:10" ht="15.75" x14ac:dyDescent="0.25">
      <c r="A3" t="s">
        <v>28</v>
      </c>
      <c r="B3" s="6" t="s">
        <v>48</v>
      </c>
      <c r="D3" s="17" t="s">
        <v>3</v>
      </c>
      <c r="E3" s="24">
        <f>IF(B$7 &gt;= 0.11,1,0)</f>
        <v>1</v>
      </c>
      <c r="H3" s="17" t="s">
        <v>25</v>
      </c>
      <c r="I3" s="19">
        <v>1</v>
      </c>
    </row>
    <row r="4" spans="1:10" ht="16.5" thickBot="1" x14ac:dyDescent="0.3">
      <c r="A4" t="s">
        <v>29</v>
      </c>
      <c r="B4" s="5">
        <v>25.98</v>
      </c>
      <c r="D4" s="18" t="s">
        <v>4</v>
      </c>
      <c r="E4" s="25">
        <f>IF(B$7 &gt;= 0.26,1,0)</f>
        <v>1</v>
      </c>
      <c r="H4" s="21" t="s">
        <v>8</v>
      </c>
      <c r="I4" s="22">
        <f>SUM(I2:I3)</f>
        <v>2</v>
      </c>
    </row>
    <row r="5" spans="1:10" ht="16.5" thickBot="1" x14ac:dyDescent="0.3">
      <c r="A5" t="s">
        <v>31</v>
      </c>
      <c r="B5" s="32">
        <f>TRUNC(B1/B4)</f>
        <v>196</v>
      </c>
      <c r="D5" s="17" t="s">
        <v>5</v>
      </c>
      <c r="E5" s="25">
        <f>IF(B$7 &gt;= 0.51,1,0)</f>
        <v>0</v>
      </c>
      <c r="H5" s="31" t="s">
        <v>9</v>
      </c>
      <c r="I5" s="58" t="str">
        <f>IF(I4=2,"Se puede COMPRAR","Nada")</f>
        <v>Se puede COMPRAR</v>
      </c>
      <c r="J5" s="59"/>
    </row>
    <row r="6" spans="1:10" ht="15.75" x14ac:dyDescent="0.25">
      <c r="A6" t="s">
        <v>30</v>
      </c>
      <c r="B6" s="5">
        <v>36.049999999999997</v>
      </c>
      <c r="D6" s="17" t="s">
        <v>34</v>
      </c>
      <c r="E6" s="25">
        <f ca="1">IF(AND(B$7 &gt;= 0.0279, TODAY()-B$2 &gt; 28),1,IF(AND(B$7 &gt;= 0.0404, TODAY()-B$2 &lt; 4),1,0))</f>
        <v>1</v>
      </c>
    </row>
    <row r="7" spans="1:10" ht="15.75" x14ac:dyDescent="0.25">
      <c r="A7" t="s">
        <v>0</v>
      </c>
      <c r="B7" s="3">
        <f>(B6/B4)-1</f>
        <v>0.38760585065434938</v>
      </c>
      <c r="D7" s="17" t="s">
        <v>37</v>
      </c>
      <c r="E7" s="19">
        <v>0</v>
      </c>
      <c r="H7" s="1"/>
    </row>
    <row r="8" spans="1:10" ht="15.75" x14ac:dyDescent="0.25">
      <c r="D8" s="17" t="s">
        <v>38</v>
      </c>
      <c r="E8" s="19">
        <v>0</v>
      </c>
      <c r="H8" s="2"/>
    </row>
    <row r="9" spans="1:10" ht="15.75" x14ac:dyDescent="0.25">
      <c r="D9" s="20" t="s">
        <v>6</v>
      </c>
      <c r="E9" s="19">
        <v>0</v>
      </c>
      <c r="H9" s="1"/>
    </row>
    <row r="10" spans="1:10" ht="15.75" x14ac:dyDescent="0.25">
      <c r="B10" s="4"/>
      <c r="D10" s="17" t="s">
        <v>7</v>
      </c>
      <c r="E10" s="19">
        <v>0</v>
      </c>
    </row>
    <row r="11" spans="1:10" ht="16.5" thickBot="1" x14ac:dyDescent="0.3">
      <c r="D11" s="21" t="s">
        <v>8</v>
      </c>
      <c r="E11" s="22">
        <f ca="1">SUM(E3:E10)</f>
        <v>3</v>
      </c>
    </row>
    <row r="12" spans="1:10" x14ac:dyDescent="0.25">
      <c r="A12" t="s">
        <v>74</v>
      </c>
      <c r="B12" s="5">
        <v>29.22</v>
      </c>
      <c r="D12" s="46" t="s">
        <v>10</v>
      </c>
      <c r="E12" s="47"/>
    </row>
    <row r="13" spans="1:10" ht="15.75" x14ac:dyDescent="0.25">
      <c r="B13" s="5"/>
      <c r="D13" s="17" t="s">
        <v>36</v>
      </c>
      <c r="E13" s="25">
        <f>IF(B$7 &lt;= -0.06,1,0)</f>
        <v>0</v>
      </c>
    </row>
    <row r="14" spans="1:10" ht="15.75" x14ac:dyDescent="0.25">
      <c r="B14" s="5"/>
      <c r="D14" s="17" t="s">
        <v>27</v>
      </c>
      <c r="E14" s="19">
        <v>0</v>
      </c>
    </row>
    <row r="15" spans="1:10" ht="15.75" x14ac:dyDescent="0.25">
      <c r="A15" t="s">
        <v>47</v>
      </c>
      <c r="B15" s="5">
        <f>(B4*0.022)+B4</f>
        <v>26.551560000000002</v>
      </c>
      <c r="D15" s="17" t="s">
        <v>11</v>
      </c>
      <c r="E15" s="19">
        <v>0</v>
      </c>
    </row>
    <row r="16" spans="1:10" ht="15.75" x14ac:dyDescent="0.25">
      <c r="D16" s="17" t="s">
        <v>7</v>
      </c>
      <c r="E16" s="25">
        <f>E10</f>
        <v>0</v>
      </c>
    </row>
    <row r="17" spans="2:6" ht="16.5" thickBot="1" x14ac:dyDescent="0.3">
      <c r="D17" s="26" t="s">
        <v>8</v>
      </c>
      <c r="E17" s="23">
        <f>SUM(E13:E16)</f>
        <v>0</v>
      </c>
    </row>
    <row r="18" spans="2:6" ht="16.5" thickBot="1" x14ac:dyDescent="0.3">
      <c r="D18" s="27" t="s">
        <v>9</v>
      </c>
      <c r="E18" s="36" t="str">
        <f ca="1">IF(E11&gt;2,"VENDER-Profit",IF(E11&gt;0,"  Profit Warning", IF(E17&gt;2,"VENDER-loss",IF(E17&gt;0,"Stop Loss Warning", "Nada"))))</f>
        <v>VENDER-Profit</v>
      </c>
      <c r="F18" s="37"/>
    </row>
    <row r="20" spans="2:6" ht="15.75" x14ac:dyDescent="0.25">
      <c r="B20" t="s">
        <v>57</v>
      </c>
      <c r="D20" s="38" t="s">
        <v>35</v>
      </c>
    </row>
    <row r="21" spans="2:6" x14ac:dyDescent="0.25">
      <c r="B21" t="s">
        <v>58</v>
      </c>
      <c r="E21" s="33"/>
    </row>
    <row r="23" spans="2:6" x14ac:dyDescent="0.25">
      <c r="B23" s="54" t="s">
        <v>69</v>
      </c>
      <c r="E23" s="33"/>
    </row>
    <row r="24" spans="2:6" ht="15.75" x14ac:dyDescent="0.25">
      <c r="B24" s="53" t="s">
        <v>68</v>
      </c>
    </row>
    <row r="28" spans="2:6" x14ac:dyDescent="0.25">
      <c r="E28" s="4"/>
    </row>
  </sheetData>
  <mergeCells count="4">
    <mergeCell ref="D1:E1"/>
    <mergeCell ref="H1:I1"/>
    <mergeCell ref="D2:E2"/>
    <mergeCell ref="I5:J5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7"/>
  <sheetViews>
    <sheetView topLeftCell="A13" zoomScaleNormal="100" workbookViewId="0">
      <selection activeCell="V22" sqref="V22"/>
    </sheetView>
  </sheetViews>
  <sheetFormatPr defaultColWidth="11.42578125" defaultRowHeight="15" x14ac:dyDescent="0.25"/>
  <cols>
    <col min="2" max="2" width="16" customWidth="1"/>
    <col min="3" max="4" width="14.140625" customWidth="1"/>
    <col min="5" max="5" width="18.28515625" customWidth="1"/>
    <col min="6" max="6" width="17" customWidth="1"/>
    <col min="7" max="7" width="13.140625" customWidth="1"/>
    <col min="16" max="16" width="12.85546875" customWidth="1"/>
    <col min="18" max="18" width="17.7109375" customWidth="1"/>
    <col min="19" max="19" width="12.7109375" customWidth="1"/>
    <col min="20" max="20" width="24.140625" customWidth="1"/>
  </cols>
  <sheetData>
    <row r="1" spans="1:20" x14ac:dyDescent="0.25">
      <c r="H1" s="63" t="s">
        <v>49</v>
      </c>
      <c r="I1" s="63"/>
      <c r="J1" s="63"/>
      <c r="K1" s="63"/>
      <c r="L1" s="64" t="s">
        <v>54</v>
      </c>
      <c r="M1" s="64"/>
      <c r="N1" s="64"/>
      <c r="O1" s="64"/>
      <c r="P1" s="65" t="s">
        <v>56</v>
      </c>
      <c r="Q1" s="65"/>
      <c r="R1" s="65"/>
    </row>
    <row r="2" spans="1:20" x14ac:dyDescent="0.25">
      <c r="A2" s="11" t="s">
        <v>14</v>
      </c>
      <c r="B2" s="12" t="s">
        <v>15</v>
      </c>
      <c r="C2" s="12" t="s">
        <v>16</v>
      </c>
      <c r="D2" s="12" t="s">
        <v>22</v>
      </c>
      <c r="E2" s="12" t="s">
        <v>17</v>
      </c>
      <c r="F2" s="12" t="s">
        <v>18</v>
      </c>
      <c r="G2" s="12" t="s">
        <v>19</v>
      </c>
      <c r="H2" s="12" t="s">
        <v>50</v>
      </c>
      <c r="I2" s="12" t="s">
        <v>51</v>
      </c>
      <c r="J2" s="12" t="s">
        <v>52</v>
      </c>
      <c r="K2" s="12" t="s">
        <v>53</v>
      </c>
      <c r="L2" s="12" t="s">
        <v>50</v>
      </c>
      <c r="M2" s="12" t="s">
        <v>51</v>
      </c>
      <c r="N2" s="12" t="s">
        <v>52</v>
      </c>
      <c r="O2" s="12" t="s">
        <v>55</v>
      </c>
      <c r="P2" s="12" t="s">
        <v>21</v>
      </c>
      <c r="Q2" s="12" t="s">
        <v>20</v>
      </c>
      <c r="R2" s="13" t="s">
        <v>59</v>
      </c>
      <c r="S2" s="13" t="s">
        <v>23</v>
      </c>
    </row>
    <row r="3" spans="1:20" x14ac:dyDescent="0.25">
      <c r="A3" s="7" t="s">
        <v>33</v>
      </c>
      <c r="B3" s="8">
        <v>42074</v>
      </c>
      <c r="C3" s="8">
        <v>42136</v>
      </c>
      <c r="D3" s="14">
        <v>150</v>
      </c>
      <c r="E3" s="9">
        <v>26.59</v>
      </c>
      <c r="F3" s="9">
        <f>24.77+0.4916</f>
        <v>25.261599999999998</v>
      </c>
      <c r="G3" s="10">
        <f>(F3/E3)-1</f>
        <v>-4.9958631064309977E-2</v>
      </c>
      <c r="H3" s="9">
        <v>3988.5</v>
      </c>
      <c r="I3" s="9"/>
      <c r="J3" s="9"/>
      <c r="K3" s="9"/>
      <c r="L3" s="9"/>
      <c r="M3" s="9"/>
      <c r="N3" s="9"/>
      <c r="O3" s="9"/>
      <c r="P3" s="9">
        <v>40</v>
      </c>
      <c r="Q3" s="9">
        <v>21.54</v>
      </c>
      <c r="R3" s="9">
        <f>-334.54</f>
        <v>-334.54</v>
      </c>
      <c r="S3" s="42">
        <f>-0.0839+0.0185</f>
        <v>-6.54E-2</v>
      </c>
    </row>
    <row r="4" spans="1:20" x14ac:dyDescent="0.25">
      <c r="A4" s="7"/>
      <c r="B4" s="8"/>
      <c r="C4" s="8"/>
      <c r="D4" s="14"/>
      <c r="E4" s="9"/>
      <c r="F4" s="9"/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>
        <v>73.47</v>
      </c>
      <c r="S4" s="42"/>
      <c r="T4" t="s">
        <v>77</v>
      </c>
    </row>
    <row r="5" spans="1:20" x14ac:dyDescent="0.25">
      <c r="A5" s="7" t="s">
        <v>39</v>
      </c>
      <c r="B5" s="8">
        <v>42143</v>
      </c>
      <c r="C5" s="8">
        <v>42198</v>
      </c>
      <c r="D5" s="14">
        <v>102</v>
      </c>
      <c r="E5" s="9">
        <v>39.229999999999997</v>
      </c>
      <c r="F5" s="9">
        <v>40</v>
      </c>
      <c r="G5" s="10">
        <v>1.962783583991845E-2</v>
      </c>
      <c r="H5" s="9">
        <v>4001.4599999999996</v>
      </c>
      <c r="I5" s="9"/>
      <c r="J5" s="9"/>
      <c r="K5" s="9"/>
      <c r="L5" s="9"/>
      <c r="M5" s="9"/>
      <c r="N5" s="9"/>
      <c r="O5" s="9"/>
      <c r="P5" s="9">
        <v>40.014599999999994</v>
      </c>
      <c r="Q5" s="9">
        <v>21.607883999999999</v>
      </c>
      <c r="R5" s="9">
        <v>16.917516000000433</v>
      </c>
      <c r="S5" s="10">
        <v>4.2278358399185385E-3</v>
      </c>
    </row>
    <row r="6" spans="1:20" x14ac:dyDescent="0.25">
      <c r="A6" s="7" t="s">
        <v>24</v>
      </c>
      <c r="B6" s="8">
        <v>42209</v>
      </c>
      <c r="C6" s="8">
        <v>42223</v>
      </c>
      <c r="D6" s="14">
        <v>507</v>
      </c>
      <c r="E6" s="9">
        <v>7.9</v>
      </c>
      <c r="F6" s="9">
        <v>8.82</v>
      </c>
      <c r="G6" s="10">
        <v>0.1164556962025316</v>
      </c>
      <c r="H6" s="9">
        <v>4005.3</v>
      </c>
      <c r="I6" s="9"/>
      <c r="J6" s="9"/>
      <c r="K6" s="9"/>
      <c r="L6" s="9"/>
      <c r="M6" s="9"/>
      <c r="N6" s="9"/>
      <c r="O6" s="9"/>
      <c r="P6" s="9">
        <v>40.053000000000004</v>
      </c>
      <c r="Q6" s="9">
        <v>21.628620000000002</v>
      </c>
      <c r="R6" s="9">
        <v>404.75837999999931</v>
      </c>
      <c r="S6" s="10">
        <v>0.10105569620253146</v>
      </c>
    </row>
    <row r="7" spans="1:20" x14ac:dyDescent="0.25">
      <c r="A7" s="7"/>
      <c r="B7" s="8"/>
      <c r="C7" s="8"/>
      <c r="D7" s="14"/>
      <c r="E7" s="9"/>
      <c r="F7" s="9"/>
      <c r="G7" s="10"/>
      <c r="H7" s="9"/>
      <c r="I7" s="9"/>
      <c r="J7" s="9"/>
      <c r="K7" s="9"/>
      <c r="L7" s="9"/>
      <c r="M7" s="9"/>
      <c r="N7" s="9"/>
      <c r="O7" s="9"/>
      <c r="P7" s="9"/>
      <c r="Q7" s="9"/>
      <c r="R7" s="9">
        <v>0.12</v>
      </c>
      <c r="S7" s="10"/>
      <c r="T7" t="s">
        <v>43</v>
      </c>
    </row>
    <row r="8" spans="1:20" x14ac:dyDescent="0.25">
      <c r="A8" s="7"/>
      <c r="B8" s="8"/>
      <c r="C8" s="8"/>
      <c r="D8" s="14"/>
      <c r="E8" s="9"/>
      <c r="F8" s="9"/>
      <c r="G8" s="10"/>
      <c r="H8" s="9"/>
      <c r="I8" s="9"/>
      <c r="J8" s="9"/>
      <c r="K8" s="9"/>
      <c r="L8" s="9"/>
      <c r="M8" s="9"/>
      <c r="N8" s="9"/>
      <c r="O8" s="9"/>
      <c r="P8" s="9"/>
      <c r="Q8" s="9"/>
      <c r="R8" s="9">
        <v>-27.23</v>
      </c>
      <c r="S8" s="10"/>
      <c r="T8" t="s">
        <v>44</v>
      </c>
    </row>
    <row r="9" spans="1:20" x14ac:dyDescent="0.25">
      <c r="A9" s="7"/>
      <c r="B9" s="8"/>
      <c r="C9" s="8"/>
      <c r="D9" s="14"/>
      <c r="E9" s="9"/>
      <c r="F9" s="9"/>
      <c r="G9" s="10"/>
      <c r="H9" s="9"/>
      <c r="I9" s="9"/>
      <c r="J9" s="9"/>
      <c r="K9" s="9"/>
      <c r="L9" s="9"/>
      <c r="M9" s="9"/>
      <c r="N9" s="9"/>
      <c r="O9" s="9"/>
      <c r="P9" s="9"/>
      <c r="Q9" s="9"/>
      <c r="R9" s="9">
        <v>188.26</v>
      </c>
      <c r="S9" s="10"/>
      <c r="T9" t="s">
        <v>45</v>
      </c>
    </row>
    <row r="10" spans="1:20" x14ac:dyDescent="0.25">
      <c r="A10" s="7"/>
      <c r="B10" s="8"/>
      <c r="C10" s="8"/>
      <c r="D10" s="14"/>
      <c r="E10" s="9"/>
      <c r="F10" s="9"/>
      <c r="G10" s="10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-0.08</v>
      </c>
      <c r="S10" s="10"/>
      <c r="T10" t="s">
        <v>43</v>
      </c>
    </row>
    <row r="11" spans="1:20" x14ac:dyDescent="0.25">
      <c r="A11" s="7"/>
      <c r="B11" s="8"/>
      <c r="C11" s="8"/>
      <c r="D11" s="14"/>
      <c r="E11" s="9"/>
      <c r="F11" s="9"/>
      <c r="G11" s="10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-24.2</v>
      </c>
      <c r="S11" s="10"/>
      <c r="T11" t="s">
        <v>62</v>
      </c>
    </row>
    <row r="12" spans="1:20" x14ac:dyDescent="0.25">
      <c r="A12" s="7"/>
      <c r="B12" s="8"/>
      <c r="C12" s="8"/>
      <c r="D12" s="14"/>
      <c r="E12" s="9"/>
      <c r="F12" s="9"/>
      <c r="G12" s="10"/>
      <c r="H12" s="9"/>
      <c r="I12" s="9"/>
      <c r="J12" s="9"/>
      <c r="K12" s="9"/>
      <c r="L12" s="9"/>
      <c r="M12" s="9"/>
      <c r="N12" s="9"/>
      <c r="O12" s="9"/>
      <c r="P12" s="9"/>
      <c r="Q12" s="9"/>
      <c r="R12" s="9">
        <f>13.5+13.5</f>
        <v>27</v>
      </c>
      <c r="S12" s="10"/>
      <c r="T12" t="s">
        <v>46</v>
      </c>
    </row>
    <row r="13" spans="1:20" x14ac:dyDescent="0.25">
      <c r="A13" s="7" t="s">
        <v>24</v>
      </c>
      <c r="B13" s="8">
        <f>'Operacion 3'!B$2</f>
        <v>43154</v>
      </c>
      <c r="C13" s="8">
        <v>43077</v>
      </c>
      <c r="D13" s="14">
        <f>'Operacion 3'!B$5</f>
        <v>196</v>
      </c>
      <c r="E13" s="9">
        <v>20.22</v>
      </c>
      <c r="F13" s="9">
        <v>26.49</v>
      </c>
      <c r="G13" s="10">
        <v>0.31009999999999999</v>
      </c>
      <c r="H13" s="9">
        <v>586.38</v>
      </c>
      <c r="I13" s="9"/>
      <c r="J13" s="9"/>
      <c r="K13" s="9"/>
      <c r="L13" s="9"/>
      <c r="M13" s="9"/>
      <c r="N13" s="9"/>
      <c r="O13" s="9"/>
      <c r="P13" s="9">
        <v>40</v>
      </c>
      <c r="Q13" s="9">
        <f>1.62+2.07</f>
        <v>3.69</v>
      </c>
      <c r="R13" s="9">
        <v>138.16</v>
      </c>
      <c r="S13" s="10">
        <v>0.2356</v>
      </c>
    </row>
    <row r="14" spans="1:20" x14ac:dyDescent="0.25">
      <c r="A14" s="7" t="s">
        <v>24</v>
      </c>
      <c r="B14" s="8">
        <v>42234</v>
      </c>
      <c r="C14" s="8">
        <v>43103</v>
      </c>
      <c r="D14" s="14">
        <v>186</v>
      </c>
      <c r="E14" s="9">
        <v>23.6</v>
      </c>
      <c r="F14" s="9">
        <v>28.52</v>
      </c>
      <c r="G14" s="10">
        <v>0.20847457627118637</v>
      </c>
      <c r="H14" s="9">
        <v>4389.6000000000004</v>
      </c>
      <c r="I14" s="9"/>
      <c r="J14" s="9"/>
      <c r="K14" s="9"/>
      <c r="L14" s="9"/>
      <c r="M14" s="9"/>
      <c r="N14" s="9"/>
      <c r="O14" s="9"/>
      <c r="P14" s="9">
        <v>48.471600000000009</v>
      </c>
      <c r="Q14" s="9">
        <v>26.174664000000003</v>
      </c>
      <c r="R14" s="9">
        <v>840.47373599999992</v>
      </c>
      <c r="S14" s="10">
        <v>0.19146932203389827</v>
      </c>
    </row>
    <row r="15" spans="1:20" x14ac:dyDescent="0.25">
      <c r="A15" s="7" t="s">
        <v>24</v>
      </c>
      <c r="B15" s="8">
        <v>42471</v>
      </c>
      <c r="C15" s="8">
        <v>43103</v>
      </c>
      <c r="D15" s="14">
        <v>91</v>
      </c>
      <c r="E15" s="9">
        <v>6.6000000000000005</v>
      </c>
      <c r="F15" s="9">
        <v>28.52</v>
      </c>
      <c r="G15" s="10">
        <v>3.3212121212121204</v>
      </c>
      <c r="H15" s="9">
        <v>600.6</v>
      </c>
      <c r="I15" s="9"/>
      <c r="J15" s="9"/>
      <c r="K15" s="9"/>
      <c r="L15" s="9"/>
      <c r="M15" s="9"/>
      <c r="N15" s="9"/>
      <c r="O15" s="9"/>
      <c r="P15" s="9">
        <v>12.976600000000001</v>
      </c>
      <c r="Q15" s="9">
        <v>7.0073640000000008</v>
      </c>
      <c r="R15" s="9">
        <v>1974.7360360000002</v>
      </c>
      <c r="S15" s="10">
        <v>3.287938787878788</v>
      </c>
    </row>
    <row r="16" spans="1:20" x14ac:dyDescent="0.25">
      <c r="A16" s="7"/>
      <c r="B16" s="8"/>
      <c r="C16" s="8"/>
      <c r="D16" s="14"/>
      <c r="E16" s="9"/>
      <c r="F16" s="9"/>
      <c r="G16" s="10"/>
      <c r="H16" s="9"/>
      <c r="I16" s="9"/>
      <c r="J16" s="9"/>
      <c r="K16" s="9"/>
      <c r="L16" s="9"/>
      <c r="M16" s="9"/>
      <c r="N16" s="9"/>
      <c r="O16" s="9"/>
      <c r="P16" s="9"/>
      <c r="Q16" s="9"/>
      <c r="R16" s="9">
        <v>-30.78</v>
      </c>
      <c r="S16" s="10"/>
      <c r="T16" t="s">
        <v>62</v>
      </c>
    </row>
    <row r="17" spans="1:22" x14ac:dyDescent="0.25">
      <c r="A17" s="7"/>
      <c r="B17" s="8"/>
      <c r="C17" s="8"/>
      <c r="D17" s="14"/>
      <c r="E17" s="9"/>
      <c r="F17" s="9"/>
      <c r="G17" s="10"/>
      <c r="H17" s="9"/>
      <c r="I17" s="9"/>
      <c r="J17" s="9"/>
      <c r="K17" s="9"/>
      <c r="L17" s="9"/>
      <c r="M17" s="9"/>
      <c r="N17" s="9"/>
      <c r="O17" s="9"/>
      <c r="P17" s="9"/>
      <c r="Q17" s="9"/>
      <c r="R17" s="9">
        <v>-12.1</v>
      </c>
      <c r="S17" s="10"/>
      <c r="T17" t="s">
        <v>62</v>
      </c>
    </row>
    <row r="18" spans="1:22" x14ac:dyDescent="0.25">
      <c r="A18" s="7" t="s">
        <v>48</v>
      </c>
      <c r="B18" s="8">
        <v>43154</v>
      </c>
      <c r="C18" s="8"/>
      <c r="D18" s="14"/>
      <c r="E18" s="9"/>
      <c r="F18" s="9"/>
      <c r="G18" s="10"/>
      <c r="H18" s="9"/>
      <c r="I18" s="9">
        <v>42.26</v>
      </c>
      <c r="J18" s="9">
        <v>13.75</v>
      </c>
      <c r="K18" s="9"/>
      <c r="L18" s="9"/>
      <c r="M18" s="9"/>
      <c r="N18" s="9"/>
      <c r="O18" s="9"/>
      <c r="P18" s="9"/>
      <c r="Q18" s="9"/>
      <c r="R18" s="9">
        <f>-I18-J18</f>
        <v>-56.01</v>
      </c>
      <c r="S18" s="10"/>
      <c r="T18" t="s">
        <v>73</v>
      </c>
    </row>
    <row r="19" spans="1:22" x14ac:dyDescent="0.25">
      <c r="A19" s="7" t="s">
        <v>48</v>
      </c>
      <c r="C19" s="8">
        <v>43222</v>
      </c>
      <c r="D19" s="14"/>
      <c r="E19" s="9"/>
      <c r="F19" s="9">
        <v>73.5</v>
      </c>
      <c r="G19" s="10"/>
      <c r="H19" s="9"/>
      <c r="I19" s="9"/>
      <c r="J19" s="9"/>
      <c r="K19" s="9"/>
      <c r="L19" s="9"/>
      <c r="M19" s="9"/>
      <c r="N19" s="9"/>
      <c r="O19" s="9"/>
      <c r="P19" s="9">
        <f>2.5+0.53</f>
        <v>3.0300000000000002</v>
      </c>
      <c r="Q19" s="9">
        <f>13.97+17.86</f>
        <v>31.83</v>
      </c>
      <c r="R19" s="9">
        <f>F19-P19-Q19</f>
        <v>38.64</v>
      </c>
      <c r="S19" s="10"/>
      <c r="T19" t="s">
        <v>76</v>
      </c>
    </row>
    <row r="20" spans="1:22" x14ac:dyDescent="0.25">
      <c r="A20" s="7"/>
      <c r="B20" s="8"/>
      <c r="C20" s="8"/>
      <c r="D20" s="14"/>
      <c r="E20" s="9"/>
      <c r="F20" s="9"/>
      <c r="G20" s="10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10"/>
    </row>
    <row r="22" spans="1:22" x14ac:dyDescent="0.25">
      <c r="H22" s="15">
        <f t="shared" ref="H22:O22" si="0">SUM(H3:H21)</f>
        <v>17571.839999999997</v>
      </c>
      <c r="I22" s="15">
        <f t="shared" si="0"/>
        <v>42.26</v>
      </c>
      <c r="J22" s="15">
        <f t="shared" si="0"/>
        <v>13.75</v>
      </c>
      <c r="K22" s="15">
        <f t="shared" si="0"/>
        <v>0</v>
      </c>
      <c r="L22" s="15">
        <f t="shared" si="0"/>
        <v>0</v>
      </c>
      <c r="M22" s="15">
        <f t="shared" si="0"/>
        <v>0</v>
      </c>
      <c r="N22" s="15">
        <f t="shared" si="0"/>
        <v>0</v>
      </c>
      <c r="O22" s="15">
        <f t="shared" si="0"/>
        <v>0</v>
      </c>
      <c r="R22" s="15">
        <f>SUM(R3:R21)</f>
        <v>3217.5956679999995</v>
      </c>
      <c r="S22" s="16">
        <f>SUM(S3:S21)</f>
        <v>3.7548916419551364</v>
      </c>
    </row>
    <row r="23" spans="1:22" x14ac:dyDescent="0.25">
      <c r="H23" s="52"/>
      <c r="I23" s="52"/>
      <c r="J23" s="52"/>
      <c r="K23" s="52"/>
      <c r="L23" s="52"/>
      <c r="M23" s="52"/>
      <c r="N23" s="52"/>
      <c r="O23" s="52"/>
      <c r="R23" s="52"/>
      <c r="S23" s="51"/>
      <c r="T23" s="51"/>
    </row>
    <row r="24" spans="1:22" x14ac:dyDescent="0.25">
      <c r="A24" s="39" t="str">
        <f>'Operacion 1'!B$3</f>
        <v>ABI.BR</v>
      </c>
      <c r="B24" s="8">
        <f>'Operacion 1'!B$2</f>
        <v>42234</v>
      </c>
      <c r="C24" s="8"/>
      <c r="D24" s="14">
        <f>'Operacion 1'!B$5</f>
        <v>62</v>
      </c>
      <c r="E24" s="9">
        <f>'Operacion 1'!B$4</f>
        <v>89</v>
      </c>
      <c r="F24" s="9">
        <f>'Operacion 1'!B$6</f>
        <v>120</v>
      </c>
      <c r="G24" s="10">
        <f>'Operacion 1'!B$7</f>
        <v>0.348314606741573</v>
      </c>
      <c r="H24" s="9">
        <f>(E24*D24)</f>
        <v>5518</v>
      </c>
      <c r="I24" s="9">
        <f>IF((H24*0.005)&lt;20,20,(H24*0.005))</f>
        <v>27.59</v>
      </c>
      <c r="J24" s="9">
        <f>SUM(H24:I24)*0.0027</f>
        <v>14.973093</v>
      </c>
      <c r="K24" s="9">
        <f>SUM(H24:J24)</f>
        <v>5560.5630929999998</v>
      </c>
      <c r="L24" s="9">
        <f>D24*F24</f>
        <v>7440</v>
      </c>
      <c r="M24" s="9">
        <f>IF((L24*0.005)&lt;20,-20,-(L24*0.005))</f>
        <v>-37.200000000000003</v>
      </c>
      <c r="N24" s="9">
        <f>-(SUM(L24:M24)*0.0027)</f>
        <v>-19.987560000000002</v>
      </c>
      <c r="O24" s="9">
        <f>SUM(L24:N24)</f>
        <v>7382.8124400000006</v>
      </c>
      <c r="P24" s="9">
        <f>I24-M24</f>
        <v>64.790000000000006</v>
      </c>
      <c r="Q24" s="9">
        <f>J24-N24</f>
        <v>34.960653000000001</v>
      </c>
      <c r="R24" s="9">
        <f t="shared" ref="R24:R25" si="1">O24-K24</f>
        <v>1822.2493470000009</v>
      </c>
      <c r="S24" s="10">
        <f>R24/K24</f>
        <v>0.32770949929404947</v>
      </c>
      <c r="T24" t="s">
        <v>41</v>
      </c>
    </row>
    <row r="25" spans="1:22" x14ac:dyDescent="0.25">
      <c r="A25" s="39" t="str">
        <f>'Operacion 2'!B$3</f>
        <v>MT.AS</v>
      </c>
      <c r="B25" s="8">
        <f>'Operacion 2'!B$2</f>
        <v>42471</v>
      </c>
      <c r="C25" s="8"/>
      <c r="D25" s="14">
        <f>'Operacion 2'!B$5</f>
        <v>91</v>
      </c>
      <c r="E25" s="9">
        <f>'Operacion 2'!B$4</f>
        <v>6.6000000000000005</v>
      </c>
      <c r="F25" s="9">
        <f>'Operacion 2'!B$6</f>
        <v>28.52</v>
      </c>
      <c r="G25" s="10">
        <f>'Operacion 2'!B$7</f>
        <v>3.3212121212121204</v>
      </c>
      <c r="H25" s="9">
        <f t="shared" ref="H25:H26" si="2">E25*D25</f>
        <v>600.6</v>
      </c>
      <c r="I25" s="9">
        <f>IF((H25*0.005)&lt;20,20,(H25*0.005))</f>
        <v>20</v>
      </c>
      <c r="J25" s="9">
        <f t="shared" ref="J25" si="3">SUM(H25:I25)*0.0027</f>
        <v>1.6756200000000001</v>
      </c>
      <c r="K25" s="9">
        <f t="shared" ref="K25:K26" si="4">SUM(H25:J25)</f>
        <v>622.27562</v>
      </c>
      <c r="L25" s="9">
        <f t="shared" ref="L25:L26" si="5">D25*F25</f>
        <v>2595.3200000000002</v>
      </c>
      <c r="M25" s="9">
        <f>IF((L25*0.005)&lt;20,-20,-(L25*0.005))</f>
        <v>-20</v>
      </c>
      <c r="N25" s="9">
        <f t="shared" ref="N25" si="6">-(SUM(L25:M25)*0.0027)</f>
        <v>-6.9533640000000005</v>
      </c>
      <c r="O25" s="9">
        <f t="shared" ref="O25:O26" si="7">SUM(L25:N25)</f>
        <v>2568.3666360000002</v>
      </c>
      <c r="P25" s="9">
        <f t="shared" ref="P25:P26" si="8">I25-M25</f>
        <v>40</v>
      </c>
      <c r="Q25" s="9">
        <f t="shared" ref="Q25:Q26" si="9">J25-N25</f>
        <v>8.6289840000000009</v>
      </c>
      <c r="R25" s="9">
        <f t="shared" si="1"/>
        <v>1946.0910160000003</v>
      </c>
      <c r="S25" s="10">
        <f t="shared" ref="S25" si="10">R25/K25</f>
        <v>3.1273778908452181</v>
      </c>
      <c r="T25" t="s">
        <v>42</v>
      </c>
    </row>
    <row r="26" spans="1:22" x14ac:dyDescent="0.25">
      <c r="A26" s="39" t="str">
        <f>'Operacion 3'!B3</f>
        <v>ITX.MC</v>
      </c>
      <c r="B26" s="8">
        <f>'Operacion 3'!B$2</f>
        <v>43154</v>
      </c>
      <c r="C26" s="8"/>
      <c r="D26" s="14">
        <f>'Operacion 3'!B$5</f>
        <v>196</v>
      </c>
      <c r="E26" s="9">
        <f>'Operacion 3'!B$4</f>
        <v>25.98</v>
      </c>
      <c r="F26" s="9">
        <f>'Operacion 3'!B$6</f>
        <v>36.049999999999997</v>
      </c>
      <c r="G26" s="10">
        <f>'Operacion 3'!B$7</f>
        <v>0.38760585065434938</v>
      </c>
      <c r="H26" s="9">
        <f t="shared" si="2"/>
        <v>5092.08</v>
      </c>
      <c r="I26" s="9">
        <f>IF((H26*(0.0075+0.0008))&lt;30,30,(H26*(0.0075+0.0008)))</f>
        <v>42.264263999999997</v>
      </c>
      <c r="J26" s="9">
        <f>H26*0.0027</f>
        <v>13.748616</v>
      </c>
      <c r="K26" s="9">
        <f t="shared" si="4"/>
        <v>5148.0928800000002</v>
      </c>
      <c r="L26" s="9">
        <f t="shared" si="5"/>
        <v>7065.7999999999993</v>
      </c>
      <c r="M26" s="9">
        <f>IF((L26*(0.0075+0.0008))&lt;-30,30,-(L26*(0.0075+0.0008)))</f>
        <v>-58.646139999999995</v>
      </c>
      <c r="N26" s="9">
        <f>-(L26*0.0027)</f>
        <v>-19.077659999999998</v>
      </c>
      <c r="O26" s="9">
        <f t="shared" si="7"/>
        <v>6988.0761999999995</v>
      </c>
      <c r="P26" s="9">
        <f t="shared" si="8"/>
        <v>100.910404</v>
      </c>
      <c r="Q26" s="9">
        <f t="shared" si="9"/>
        <v>32.826276</v>
      </c>
      <c r="R26" s="9">
        <f>O26-K26</f>
        <v>1839.9833199999994</v>
      </c>
      <c r="S26" s="10">
        <f>R26/K26</f>
        <v>0.35741066893882445</v>
      </c>
      <c r="T26" t="s">
        <v>60</v>
      </c>
    </row>
    <row r="28" spans="1:22" x14ac:dyDescent="0.25">
      <c r="D28" s="48"/>
      <c r="H28" s="48" t="s">
        <v>61</v>
      </c>
      <c r="I28" s="48"/>
      <c r="J28" s="48" t="s">
        <v>64</v>
      </c>
      <c r="K28" s="48"/>
      <c r="L28" s="48"/>
      <c r="M28" s="48"/>
      <c r="N28" s="48"/>
      <c r="O28" s="48"/>
      <c r="R28" s="48"/>
    </row>
    <row r="29" spans="1:22" x14ac:dyDescent="0.25">
      <c r="F29" s="5"/>
      <c r="G29" s="48"/>
    </row>
    <row r="30" spans="1:22" x14ac:dyDescent="0.25">
      <c r="T30" s="33"/>
    </row>
    <row r="31" spans="1:22" x14ac:dyDescent="0.25">
      <c r="H31" s="5"/>
      <c r="I31" s="5"/>
      <c r="J31" s="5"/>
      <c r="K31" s="5"/>
      <c r="L31" s="5"/>
      <c r="M31" s="5"/>
      <c r="N31" s="5"/>
      <c r="O31" s="5"/>
      <c r="P31" s="5"/>
      <c r="R31" s="5"/>
      <c r="T31" t="s">
        <v>72</v>
      </c>
      <c r="U31">
        <v>29</v>
      </c>
    </row>
    <row r="32" spans="1:22" x14ac:dyDescent="0.25">
      <c r="D32" t="s">
        <v>66</v>
      </c>
      <c r="E32">
        <v>74.89</v>
      </c>
      <c r="P32" s="5"/>
      <c r="S32" s="10"/>
      <c r="T32" t="s">
        <v>70</v>
      </c>
      <c r="U32">
        <v>36.049999999999997</v>
      </c>
      <c r="V32" t="s">
        <v>75</v>
      </c>
    </row>
    <row r="33" spans="4:21" x14ac:dyDescent="0.25">
      <c r="D33" t="s">
        <v>65</v>
      </c>
      <c r="E33">
        <v>182.08</v>
      </c>
      <c r="H33" s="5"/>
      <c r="I33" s="5"/>
      <c r="J33" s="5"/>
      <c r="K33" s="5"/>
      <c r="L33" s="5"/>
      <c r="M33" s="5"/>
      <c r="N33" s="5"/>
      <c r="O33" s="5"/>
      <c r="P33" s="5"/>
      <c r="R33" s="5"/>
      <c r="T33" t="s">
        <v>71</v>
      </c>
      <c r="U33" s="3">
        <f>(U32/U31)-1</f>
        <v>0.24310344827586206</v>
      </c>
    </row>
    <row r="34" spans="4:21" x14ac:dyDescent="0.25">
      <c r="D34" t="s">
        <v>67</v>
      </c>
      <c r="E34">
        <v>93.54</v>
      </c>
      <c r="H34" s="9"/>
      <c r="I34" s="9"/>
      <c r="J34" s="9"/>
      <c r="K34" s="5"/>
    </row>
    <row r="35" spans="4:21" x14ac:dyDescent="0.25">
      <c r="R35" s="43"/>
    </row>
    <row r="36" spans="4:21" x14ac:dyDescent="0.25">
      <c r="F36" s="5"/>
      <c r="R36" s="44"/>
    </row>
    <row r="37" spans="4:21" x14ac:dyDescent="0.25">
      <c r="R37" s="45"/>
    </row>
    <row r="38" spans="4:21" x14ac:dyDescent="0.25">
      <c r="R38" s="50"/>
      <c r="S38" s="48"/>
      <c r="T38" s="5"/>
    </row>
    <row r="39" spans="4:21" ht="15.75" x14ac:dyDescent="0.25">
      <c r="F39" s="5"/>
      <c r="R39" s="45"/>
      <c r="S39" s="49"/>
      <c r="T39" s="5"/>
    </row>
    <row r="40" spans="4:21" x14ac:dyDescent="0.25">
      <c r="E40" s="5"/>
      <c r="F40" s="5"/>
      <c r="R40" s="45"/>
    </row>
    <row r="41" spans="4:21" x14ac:dyDescent="0.25">
      <c r="E41" s="5"/>
      <c r="F41" s="5"/>
      <c r="G41" s="5"/>
      <c r="R41" s="5"/>
      <c r="T41" s="5"/>
    </row>
    <row r="42" spans="4:21" x14ac:dyDescent="0.25">
      <c r="R42" s="43"/>
    </row>
    <row r="43" spans="4:21" x14ac:dyDescent="0.25">
      <c r="R43" s="44"/>
    </row>
    <row r="44" spans="4:21" x14ac:dyDescent="0.25">
      <c r="R44" s="45"/>
    </row>
    <row r="67" spans="16:16" x14ac:dyDescent="0.25">
      <c r="P67">
        <f>100000*0.0027</f>
        <v>270</v>
      </c>
    </row>
  </sheetData>
  <mergeCells count="3">
    <mergeCell ref="H1:K1"/>
    <mergeCell ref="L1:O1"/>
    <mergeCell ref="P1:R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6"/>
  <sheetViews>
    <sheetView workbookViewId="0">
      <selection activeCell="K13" sqref="K13"/>
    </sheetView>
  </sheetViews>
  <sheetFormatPr defaultRowHeight="15" x14ac:dyDescent="0.25"/>
  <cols>
    <col min="1" max="1" width="19.7109375" customWidth="1"/>
    <col min="2" max="2" width="11.5703125" customWidth="1"/>
    <col min="3" max="3" width="10.85546875" customWidth="1"/>
    <col min="4" max="4" width="26.28515625" customWidth="1"/>
  </cols>
  <sheetData>
    <row r="2" spans="1:4" x14ac:dyDescent="0.25">
      <c r="A2" s="55" t="s">
        <v>79</v>
      </c>
      <c r="B2" s="55" t="s">
        <v>80</v>
      </c>
      <c r="C2" s="55" t="s">
        <v>81</v>
      </c>
      <c r="D2" s="55" t="s">
        <v>85</v>
      </c>
    </row>
    <row r="3" spans="1:4" x14ac:dyDescent="0.25">
      <c r="A3" t="s">
        <v>78</v>
      </c>
      <c r="B3" s="56">
        <f>718.89+5092.08</f>
        <v>5810.97</v>
      </c>
      <c r="C3" s="3">
        <f>B3/B$6</f>
        <v>0.81489194317182656</v>
      </c>
      <c r="D3" s="56">
        <f>D$6*C3</f>
        <v>0</v>
      </c>
    </row>
    <row r="4" spans="1:4" x14ac:dyDescent="0.25">
      <c r="A4" t="s">
        <v>82</v>
      </c>
      <c r="B4" s="56">
        <f>1070</f>
        <v>1070</v>
      </c>
      <c r="C4" s="3">
        <f t="shared" ref="C4:C5" si="0">B4/B$6</f>
        <v>0.15004971273192846</v>
      </c>
      <c r="D4" s="56">
        <f t="shared" ref="D4:D5" si="1">D$6*C4</f>
        <v>0</v>
      </c>
    </row>
    <row r="5" spans="1:4" x14ac:dyDescent="0.25">
      <c r="A5" t="s">
        <v>83</v>
      </c>
      <c r="B5" s="56">
        <v>250</v>
      </c>
      <c r="C5" s="3">
        <f t="shared" si="0"/>
        <v>3.5058344096244969E-2</v>
      </c>
      <c r="D5" s="56">
        <f t="shared" si="1"/>
        <v>0</v>
      </c>
    </row>
    <row r="6" spans="1:4" x14ac:dyDescent="0.25">
      <c r="A6" t="s">
        <v>56</v>
      </c>
      <c r="B6" s="56">
        <f>SUM(B3:B5)</f>
        <v>7130.97</v>
      </c>
      <c r="C6" s="3">
        <f>SUM(C3:C5)</f>
        <v>1</v>
      </c>
      <c r="D6" s="56"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tabSelected="1" workbookViewId="0">
      <selection activeCell="A5" sqref="A5"/>
    </sheetView>
  </sheetViews>
  <sheetFormatPr defaultRowHeight="15" x14ac:dyDescent="0.25"/>
  <cols>
    <col min="1" max="1" width="23" customWidth="1"/>
  </cols>
  <sheetData>
    <row r="2" spans="1:1" x14ac:dyDescent="0.25">
      <c r="A2" s="55" t="s">
        <v>84</v>
      </c>
    </row>
    <row r="4" spans="1:1" x14ac:dyDescent="0.25">
      <c r="A4" t="s">
        <v>87</v>
      </c>
    </row>
    <row r="5" spans="1:1" x14ac:dyDescent="0.25">
      <c r="A5" t="s">
        <v>86</v>
      </c>
    </row>
    <row r="6" spans="1:1" x14ac:dyDescent="0.25">
      <c r="A6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Operacion 1</vt:lpstr>
      <vt:lpstr>Operacion 2</vt:lpstr>
      <vt:lpstr>Operacion 3</vt:lpstr>
      <vt:lpstr>Historial</vt:lpstr>
      <vt:lpstr>Fondo</vt:lpstr>
      <vt:lpstr>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2018-07-17T15:02:05Z</dcterms:modified>
</cp:coreProperties>
</file>